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<sst xmlns="http://schemas.openxmlformats.org/spreadsheetml/2006/main" count="282" uniqueCount="51">
  <si>
    <t>Fine Structure Energy Levels for Mg VIII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</si>
  <si>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</si>
  <si>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</si>
  <si>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</si>
  <si>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</si>
  <si>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</si>
  <si>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</si>
  <si>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</si>
  <si>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</si>
  <si>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</si>
  <si>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</si>
  <si>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</si>
  <si>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2s2.2p</t>
  </si>
  <si>
    <t>2P</t>
  </si>
  <si>
    <t>2s.2p2</t>
  </si>
  <si>
    <t>4P</t>
  </si>
  <si>
    <t>2D</t>
  </si>
  <si>
    <t>2S</t>
  </si>
  <si>
    <t>2p3</t>
  </si>
  <si>
    <t>4S</t>
  </si>
  <si>
    <t>2s2.3s</t>
  </si>
  <si>
    <t>2s.2p(3P).3p</t>
  </si>
  <si>
    <t>4D</t>
  </si>
  <si>
    <t>2s.2p(1P).3p</t>
  </si>
  <si>
    <t>2p2(3P).3s</t>
  </si>
  <si>
    <t>2p2(3P).3d</t>
  </si>
  <si>
    <t>2p2(1S).3s</t>
  </si>
  <si>
    <t>2p2(1D).3d</t>
  </si>
  <si>
    <t>2s2.3d</t>
  </si>
  <si>
    <t>2p2(1D).3s</t>
  </si>
  <si>
    <t>4F</t>
  </si>
  <si>
    <t>2p2(1S).3d</t>
  </si>
  <si>
    <t>2F</t>
  </si>
  <si>
    <t>2G</t>
  </si>
  <si>
    <t>2s2(1S).3p</t>
  </si>
  <si>
    <t>2s.2p(3P).3s</t>
  </si>
  <si>
    <t>2s.2p(3P).3d</t>
  </si>
  <si>
    <t>2s.2p(1P).3s</t>
  </si>
  <si>
    <t>2s.2p(1P).3d</t>
  </si>
  <si>
    <t>2p2(3P).3p</t>
  </si>
  <si>
    <t>2p2(1D).3p</t>
  </si>
  <si>
    <t>2p2(1S).3p</t>
  </si>
  <si>
    <t>A-values for fine-structure transitions in Mg VIII</t>
  </si>
  <si>
    <t>k</t>
  </si>
  <si>
    <t>WL Vac (A)</t>
  </si>
  <si>
    <t>A (s-1)</t>
  </si>
  <si>
    <t>A2E1(s-1)</t>
  </si>
  <si>
    <t>Effective Collision Strengths for Mg VIII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</si>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</sst>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28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4.7109375" customWidth="1"/>
    <col min="4" max="4" width="13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12</v>
      </c>
      <c r="B4" s="3">
        <v>5</v>
      </c>
      <c r="C4" s="3">
        <v>1</v>
      </c>
      <c r="D4" s="3" t="s">
        <v>12</v>
      </c>
      <c r="E4" s="3" t="s">
        <v>13</v>
      </c>
      <c r="F4" s="3">
        <v>2</v>
      </c>
      <c r="G4" s="3">
        <v>1</v>
      </c>
      <c r="H4" s="3">
        <v>1</v>
      </c>
      <c r="I4" s="3">
        <v>0.5</v>
      </c>
      <c r="J4" s="4" t="str">
        <f>HYPERLINK("http://141.218.60.56/~jnz1568/getInfo.php?workbook=12_05.xlsx&amp;sheet=E0&amp;row=4&amp;col=10&amp;number=0&amp;sourceID=14","0")</f>
        <v>0</v>
      </c>
    </row>
    <row r="5" spans="1:10">
      <c r="A5" s="3">
        <v>12</v>
      </c>
      <c r="B5" s="3">
        <v>5</v>
      </c>
      <c r="C5" s="3">
        <v>2</v>
      </c>
      <c r="D5" s="3" t="s">
        <v>12</v>
      </c>
      <c r="E5" s="3" t="s">
        <v>13</v>
      </c>
      <c r="F5" s="3">
        <v>2</v>
      </c>
      <c r="G5" s="3">
        <v>1</v>
      </c>
      <c r="H5" s="3">
        <v>1</v>
      </c>
      <c r="I5" s="3">
        <v>1.5</v>
      </c>
      <c r="J5" s="4" t="str">
        <f>HYPERLINK("http://141.218.60.56/~jnz1568/getInfo.php?workbook=12_05.xlsx&amp;sheet=E0&amp;row=5&amp;col=10&amp;number=3302&amp;sourceID=14","3302")</f>
        <v>3302</v>
      </c>
    </row>
    <row r="6" spans="1:10">
      <c r="A6" s="3">
        <v>12</v>
      </c>
      <c r="B6" s="3">
        <v>5</v>
      </c>
      <c r="C6" s="3">
        <v>3</v>
      </c>
      <c r="D6" s="3" t="s">
        <v>14</v>
      </c>
      <c r="E6" s="3" t="s">
        <v>15</v>
      </c>
      <c r="F6" s="3">
        <v>4</v>
      </c>
      <c r="G6" s="3">
        <v>1</v>
      </c>
      <c r="H6" s="3">
        <v>1</v>
      </c>
      <c r="I6" s="3">
        <v>0.5</v>
      </c>
      <c r="J6" s="4" t="str">
        <f>HYPERLINK("http://141.218.60.56/~jnz1568/getInfo.php?workbook=12_05.xlsx&amp;sheet=E0&amp;row=6&amp;col=10&amp;number=129979&amp;sourceID=14","129979")</f>
        <v>129979</v>
      </c>
    </row>
    <row r="7" spans="1:10">
      <c r="A7" s="3">
        <v>12</v>
      </c>
      <c r="B7" s="3">
        <v>5</v>
      </c>
      <c r="C7" s="3">
        <v>4</v>
      </c>
      <c r="D7" s="3" t="s">
        <v>14</v>
      </c>
      <c r="E7" s="3" t="s">
        <v>15</v>
      </c>
      <c r="F7" s="3">
        <v>4</v>
      </c>
      <c r="G7" s="3">
        <v>1</v>
      </c>
      <c r="H7" s="3">
        <v>1</v>
      </c>
      <c r="I7" s="3">
        <v>1.5</v>
      </c>
      <c r="J7" s="4" t="str">
        <f>HYPERLINK("http://141.218.60.56/~jnz1568/getInfo.php?workbook=12_05.xlsx&amp;sheet=E0&amp;row=7&amp;col=10&amp;number=131120&amp;sourceID=14","131120")</f>
        <v>131120</v>
      </c>
    </row>
    <row r="8" spans="1:10">
      <c r="A8" s="3">
        <v>12</v>
      </c>
      <c r="B8" s="3">
        <v>5</v>
      </c>
      <c r="C8" s="3">
        <v>5</v>
      </c>
      <c r="D8" s="3" t="s">
        <v>14</v>
      </c>
      <c r="E8" s="3" t="s">
        <v>15</v>
      </c>
      <c r="F8" s="3">
        <v>4</v>
      </c>
      <c r="G8" s="3">
        <v>1</v>
      </c>
      <c r="H8" s="3">
        <v>1</v>
      </c>
      <c r="I8" s="3">
        <v>2.5</v>
      </c>
      <c r="J8" s="4" t="str">
        <f>HYPERLINK("http://141.218.60.56/~jnz1568/getInfo.php?workbook=12_05.xlsx&amp;sheet=E0&amp;row=8&amp;col=10&amp;number=132792&amp;sourceID=14","132792")</f>
        <v>132792</v>
      </c>
    </row>
    <row r="9" spans="1:10">
      <c r="A9" s="3">
        <v>12</v>
      </c>
      <c r="B9" s="3">
        <v>5</v>
      </c>
      <c r="C9" s="3">
        <v>6</v>
      </c>
      <c r="D9" s="3" t="s">
        <v>14</v>
      </c>
      <c r="E9" s="3" t="s">
        <v>16</v>
      </c>
      <c r="F9" s="3">
        <v>2</v>
      </c>
      <c r="G9" s="3">
        <v>2</v>
      </c>
      <c r="H9" s="3">
        <v>0</v>
      </c>
      <c r="I9" s="3">
        <v>1.5</v>
      </c>
      <c r="J9" s="4" t="str">
        <f>HYPERLINK("http://141.218.60.56/~jnz1568/getInfo.php?workbook=12_05.xlsx&amp;sheet=E0&amp;row=9&amp;col=10&amp;number=232313&amp;sourceID=14","232313")</f>
        <v>232313</v>
      </c>
    </row>
    <row r="10" spans="1:10">
      <c r="A10" s="3">
        <v>12</v>
      </c>
      <c r="B10" s="3">
        <v>5</v>
      </c>
      <c r="C10" s="3">
        <v>7</v>
      </c>
      <c r="D10" s="3" t="s">
        <v>14</v>
      </c>
      <c r="E10" s="3" t="s">
        <v>16</v>
      </c>
      <c r="F10" s="3">
        <v>2</v>
      </c>
      <c r="G10" s="3">
        <v>2</v>
      </c>
      <c r="H10" s="3">
        <v>0</v>
      </c>
      <c r="I10" s="3">
        <v>2.5</v>
      </c>
      <c r="J10" s="4" t="str">
        <f>HYPERLINK("http://141.218.60.56/~jnz1568/getInfo.php?workbook=12_05.xlsx&amp;sheet=E0&amp;row=10&amp;col=10&amp;number=232275&amp;sourceID=14","232275")</f>
        <v>232275</v>
      </c>
    </row>
    <row r="11" spans="1:10">
      <c r="A11" s="3">
        <v>12</v>
      </c>
      <c r="B11" s="3">
        <v>5</v>
      </c>
      <c r="C11" s="3">
        <v>8</v>
      </c>
      <c r="D11" s="3" t="s">
        <v>14</v>
      </c>
      <c r="E11" s="3" t="s">
        <v>17</v>
      </c>
      <c r="F11" s="3">
        <v>2</v>
      </c>
      <c r="G11" s="3">
        <v>0</v>
      </c>
      <c r="H11" s="3">
        <v>0</v>
      </c>
      <c r="I11" s="3">
        <v>0.5</v>
      </c>
      <c r="J11" s="4" t="str">
        <f>HYPERLINK("http://141.218.60.56/~jnz1568/getInfo.php?workbook=12_05.xlsx&amp;sheet=E0&amp;row=11&amp;col=10&amp;number=298302&amp;sourceID=14","298302")</f>
        <v>298302</v>
      </c>
    </row>
    <row r="12" spans="1:10">
      <c r="A12" s="3">
        <v>12</v>
      </c>
      <c r="B12" s="3">
        <v>5</v>
      </c>
      <c r="C12" s="3">
        <v>9</v>
      </c>
      <c r="D12" s="3" t="s">
        <v>14</v>
      </c>
      <c r="E12" s="3" t="s">
        <v>13</v>
      </c>
      <c r="F12" s="3">
        <v>2</v>
      </c>
      <c r="G12" s="3">
        <v>1</v>
      </c>
      <c r="H12" s="3">
        <v>1</v>
      </c>
      <c r="I12" s="3">
        <v>0.5</v>
      </c>
      <c r="J12" s="4" t="str">
        <f>HYPERLINK("http://141.218.60.56/~jnz1568/getInfo.php?workbook=12_05.xlsx&amp;sheet=E0&amp;row=12&amp;col=10&amp;number=318732&amp;sourceID=14","318732")</f>
        <v>318732</v>
      </c>
    </row>
    <row r="13" spans="1:10">
      <c r="A13" s="3">
        <v>12</v>
      </c>
      <c r="B13" s="3">
        <v>5</v>
      </c>
      <c r="C13" s="3">
        <v>10</v>
      </c>
      <c r="D13" s="3" t="s">
        <v>14</v>
      </c>
      <c r="E13" s="3" t="s">
        <v>13</v>
      </c>
      <c r="F13" s="3">
        <v>2</v>
      </c>
      <c r="G13" s="3">
        <v>1</v>
      </c>
      <c r="H13" s="3">
        <v>1</v>
      </c>
      <c r="I13" s="3">
        <v>1.5</v>
      </c>
      <c r="J13" s="4" t="str">
        <f>HYPERLINK("http://141.218.60.56/~jnz1568/getInfo.php?workbook=12_05.xlsx&amp;sheet=E0&amp;row=13&amp;col=10&amp;number=320747&amp;sourceID=14","320747")</f>
        <v>320747</v>
      </c>
    </row>
    <row r="14" spans="1:10">
      <c r="A14" s="3">
        <v>12</v>
      </c>
      <c r="B14" s="3">
        <v>5</v>
      </c>
      <c r="C14" s="3">
        <v>11</v>
      </c>
      <c r="D14" s="3" t="s">
        <v>18</v>
      </c>
      <c r="E14" s="3" t="s">
        <v>19</v>
      </c>
      <c r="F14" s="3">
        <v>4</v>
      </c>
      <c r="G14" s="3">
        <v>0</v>
      </c>
      <c r="H14" s="3">
        <v>0</v>
      </c>
      <c r="I14" s="3">
        <v>1.5</v>
      </c>
      <c r="J14" s="4" t="str">
        <f>HYPERLINK("http://141.218.60.56/~jnz1568/getInfo.php?workbook=12_05.xlsx&amp;sheet=E0&amp;row=14&amp;col=10&amp;number=413700&amp;sourceID=14","413700")</f>
        <v>413700</v>
      </c>
    </row>
    <row r="15" spans="1:10">
      <c r="A15" s="3">
        <v>12</v>
      </c>
      <c r="B15" s="3">
        <v>5</v>
      </c>
      <c r="C15" s="3">
        <v>12</v>
      </c>
      <c r="D15" s="3" t="s">
        <v>18</v>
      </c>
      <c r="E15" s="3" t="s">
        <v>16</v>
      </c>
      <c r="F15" s="3">
        <v>2</v>
      </c>
      <c r="G15" s="3">
        <v>2</v>
      </c>
      <c r="H15" s="3">
        <v>0</v>
      </c>
      <c r="I15" s="3">
        <v>1.5</v>
      </c>
      <c r="J15" s="4" t="str">
        <f>HYPERLINK("http://141.218.60.56/~jnz1568/getInfo.php?workbook=12_05.xlsx&amp;sheet=E0&amp;row=15&amp;col=10&amp;number=465839&amp;sourceID=14","465839")</f>
        <v>465839</v>
      </c>
    </row>
    <row r="16" spans="1:10">
      <c r="A16" s="3">
        <v>12</v>
      </c>
      <c r="B16" s="3">
        <v>5</v>
      </c>
      <c r="C16" s="3">
        <v>13</v>
      </c>
      <c r="D16" s="3" t="s">
        <v>18</v>
      </c>
      <c r="E16" s="3" t="s">
        <v>16</v>
      </c>
      <c r="F16" s="3">
        <v>2</v>
      </c>
      <c r="G16" s="3">
        <v>2</v>
      </c>
      <c r="H16" s="3">
        <v>0</v>
      </c>
      <c r="I16" s="3">
        <v>2.5</v>
      </c>
      <c r="J16" s="4" t="str">
        <f>HYPERLINK("http://141.218.60.56/~jnz1568/getInfo.php?workbook=12_05.xlsx&amp;sheet=E0&amp;row=16&amp;col=10&amp;number=465750&amp;sourceID=14","465750")</f>
        <v>465750</v>
      </c>
    </row>
    <row r="17" spans="1:10">
      <c r="A17" s="3">
        <v>12</v>
      </c>
      <c r="B17" s="3">
        <v>5</v>
      </c>
      <c r="C17" s="3">
        <v>14</v>
      </c>
      <c r="D17" s="3" t="s">
        <v>18</v>
      </c>
      <c r="E17" s="3" t="s">
        <v>13</v>
      </c>
      <c r="F17" s="3">
        <v>2</v>
      </c>
      <c r="G17" s="3">
        <v>1</v>
      </c>
      <c r="H17" s="3">
        <v>1</v>
      </c>
      <c r="I17" s="3">
        <v>0.5</v>
      </c>
      <c r="J17" s="4" t="str">
        <f>HYPERLINK("http://141.218.60.56/~jnz1568/getInfo.php?workbook=12_05.xlsx&amp;sheet=E0&amp;row=17&amp;col=10&amp;number=524669&amp;sourceID=14","524669")</f>
        <v>524669</v>
      </c>
    </row>
    <row r="18" spans="1:10">
      <c r="A18" s="3">
        <v>12</v>
      </c>
      <c r="B18" s="3">
        <v>5</v>
      </c>
      <c r="C18" s="3">
        <v>15</v>
      </c>
      <c r="D18" s="3" t="s">
        <v>18</v>
      </c>
      <c r="E18" s="3" t="s">
        <v>13</v>
      </c>
      <c r="F18" s="3">
        <v>2</v>
      </c>
      <c r="G18" s="3">
        <v>1</v>
      </c>
      <c r="H18" s="3">
        <v>1</v>
      </c>
      <c r="I18" s="3">
        <v>1.5</v>
      </c>
      <c r="J18" s="4" t="str">
        <f>HYPERLINK("http://141.218.60.56/~jnz1568/getInfo.php?workbook=12_05.xlsx&amp;sheet=E0&amp;row=18&amp;col=10&amp;number=524862&amp;sourceID=14","524862")</f>
        <v>524862</v>
      </c>
    </row>
    <row r="19" spans="1:10">
      <c r="A19" s="3">
        <v>12</v>
      </c>
      <c r="B19" s="3">
        <v>5</v>
      </c>
      <c r="C19" s="3">
        <v>16</v>
      </c>
      <c r="D19" s="3" t="s">
        <v>20</v>
      </c>
      <c r="E19" s="3" t="s">
        <v>17</v>
      </c>
      <c r="F19" s="3">
        <v>2</v>
      </c>
      <c r="G19" s="3">
        <v>0</v>
      </c>
      <c r="H19" s="3">
        <v>0</v>
      </c>
      <c r="I19" s="3">
        <v>0.5</v>
      </c>
      <c r="J19" s="4" t="str">
        <f>HYPERLINK("http://141.218.60.56/~jnz1568/getInfo.php?workbook=12_05.xlsx&amp;sheet=E0&amp;row=19&amp;col=10&amp;number=1210690&amp;sourceID=14","1210690")</f>
        <v>1210690</v>
      </c>
    </row>
    <row r="20" spans="1:10">
      <c r="A20" s="3">
        <v>12</v>
      </c>
      <c r="B20" s="3">
        <v>5</v>
      </c>
      <c r="C20" s="3">
        <v>17</v>
      </c>
      <c r="D20" s="3" t="s">
        <v>21</v>
      </c>
      <c r="E20" s="3" t="s">
        <v>13</v>
      </c>
      <c r="F20" s="3">
        <v>2</v>
      </c>
      <c r="G20" s="3">
        <v>1</v>
      </c>
      <c r="H20" s="3">
        <v>1</v>
      </c>
      <c r="I20" s="3">
        <v>0.5</v>
      </c>
      <c r="J20" s="4" t="str">
        <f>HYPERLINK("http://141.218.60.56/~jnz1568/getInfo.php?workbook=12_05.xlsx&amp;sheet=E0&amp;row=20&amp;col=10&amp;number=1408370&amp;sourceID=14","1408370")</f>
        <v>1408370</v>
      </c>
    </row>
    <row r="21" spans="1:10">
      <c r="A21" s="3">
        <v>12</v>
      </c>
      <c r="B21" s="3">
        <v>5</v>
      </c>
      <c r="C21" s="3">
        <v>18</v>
      </c>
      <c r="D21" s="3" t="s">
        <v>21</v>
      </c>
      <c r="E21" s="3" t="s">
        <v>22</v>
      </c>
      <c r="F21" s="3">
        <v>4</v>
      </c>
      <c r="G21" s="3">
        <v>2</v>
      </c>
      <c r="H21" s="3">
        <v>0</v>
      </c>
      <c r="I21" s="3">
        <v>0.5</v>
      </c>
      <c r="J21" s="4" t="str">
        <f>HYPERLINK("http://141.218.60.56/~jnz1568/getInfo.php?workbook=12_05.xlsx&amp;sheet=E0&amp;row=21&amp;col=10&amp;number=0&amp;sourceID=14","0")</f>
        <v>0</v>
      </c>
    </row>
    <row r="22" spans="1:10">
      <c r="A22" s="3">
        <v>12</v>
      </c>
      <c r="B22" s="3">
        <v>5</v>
      </c>
      <c r="C22" s="3">
        <v>19</v>
      </c>
      <c r="D22" s="3" t="s">
        <v>21</v>
      </c>
      <c r="E22" s="3" t="s">
        <v>15</v>
      </c>
      <c r="F22" s="3">
        <v>4</v>
      </c>
      <c r="G22" s="3">
        <v>1</v>
      </c>
      <c r="H22" s="3">
        <v>1</v>
      </c>
      <c r="I22" s="3">
        <v>0.5</v>
      </c>
      <c r="J22" s="4" t="str">
        <f>HYPERLINK("http://141.218.60.56/~jnz1568/getInfo.php?workbook=12_05.xlsx&amp;sheet=E0&amp;row=22&amp;col=10&amp;number=0&amp;sourceID=14","0")</f>
        <v>0</v>
      </c>
    </row>
    <row r="23" spans="1:10">
      <c r="A23" s="3">
        <v>12</v>
      </c>
      <c r="B23" s="3">
        <v>5</v>
      </c>
      <c r="C23" s="3">
        <v>20</v>
      </c>
      <c r="D23" s="3" t="s">
        <v>21</v>
      </c>
      <c r="E23" s="3" t="s">
        <v>17</v>
      </c>
      <c r="F23" s="3">
        <v>2</v>
      </c>
      <c r="G23" s="3">
        <v>0</v>
      </c>
      <c r="H23" s="3">
        <v>0</v>
      </c>
      <c r="I23" s="3">
        <v>0.5</v>
      </c>
      <c r="J23" s="4" t="str">
        <f>HYPERLINK("http://141.218.60.56/~jnz1568/getInfo.php?workbook=12_05.xlsx&amp;sheet=E0&amp;row=23&amp;col=10&amp;number=1460910&amp;sourceID=14","1460910")</f>
        <v>1460910</v>
      </c>
    </row>
    <row r="24" spans="1:10">
      <c r="A24" s="3">
        <v>12</v>
      </c>
      <c r="B24" s="3">
        <v>5</v>
      </c>
      <c r="C24" s="3">
        <v>21</v>
      </c>
      <c r="D24" s="3" t="s">
        <v>23</v>
      </c>
      <c r="E24" s="3" t="s">
        <v>13</v>
      </c>
      <c r="F24" s="3">
        <v>2</v>
      </c>
      <c r="G24" s="3">
        <v>1</v>
      </c>
      <c r="H24" s="3">
        <v>1</v>
      </c>
      <c r="I24" s="3">
        <v>0.5</v>
      </c>
      <c r="J24" s="4" t="str">
        <f>HYPERLINK("http://141.218.60.56/~jnz1568/getInfo.php?workbook=12_05.xlsx&amp;sheet=E0&amp;row=24&amp;col=10&amp;number=1549990&amp;sourceID=14","1549990")</f>
        <v>1549990</v>
      </c>
    </row>
    <row r="25" spans="1:10">
      <c r="A25" s="3">
        <v>12</v>
      </c>
      <c r="B25" s="3">
        <v>5</v>
      </c>
      <c r="C25" s="3">
        <v>22</v>
      </c>
      <c r="D25" s="3" t="s">
        <v>23</v>
      </c>
      <c r="E25" s="3" t="s">
        <v>17</v>
      </c>
      <c r="F25" s="3">
        <v>2</v>
      </c>
      <c r="G25" s="3">
        <v>0</v>
      </c>
      <c r="H25" s="3">
        <v>0</v>
      </c>
      <c r="I25" s="3">
        <v>0.5</v>
      </c>
      <c r="J25" s="4" t="str">
        <f>HYPERLINK("http://141.218.60.56/~jnz1568/getInfo.php?workbook=12_05.xlsx&amp;sheet=E0&amp;row=25&amp;col=10&amp;number=1556590&amp;sourceID=14","1556590")</f>
        <v>1556590</v>
      </c>
    </row>
    <row r="26" spans="1:10">
      <c r="A26" s="3">
        <v>12</v>
      </c>
      <c r="B26" s="3">
        <v>5</v>
      </c>
      <c r="C26" s="3">
        <v>23</v>
      </c>
      <c r="D26" s="3" t="s">
        <v>24</v>
      </c>
      <c r="E26" s="3" t="s">
        <v>15</v>
      </c>
      <c r="F26" s="3">
        <v>4</v>
      </c>
      <c r="G26" s="3">
        <v>1</v>
      </c>
      <c r="H26" s="3">
        <v>1</v>
      </c>
      <c r="I26" s="3">
        <v>0.5</v>
      </c>
      <c r="J26" s="4" t="str">
        <f>HYPERLINK("http://141.218.60.56/~jnz1568/getInfo.php?workbook=12_05.xlsx&amp;sheet=E0&amp;row=26&amp;col=10&amp;number=1587970&amp;sourceID=14","1587970")</f>
        <v>1587970</v>
      </c>
    </row>
    <row r="27" spans="1:10">
      <c r="A27" s="3">
        <v>12</v>
      </c>
      <c r="B27" s="3">
        <v>5</v>
      </c>
      <c r="C27" s="3">
        <v>24</v>
      </c>
      <c r="D27" s="3" t="s">
        <v>24</v>
      </c>
      <c r="E27" s="3" t="s">
        <v>13</v>
      </c>
      <c r="F27" s="3">
        <v>2</v>
      </c>
      <c r="G27" s="3">
        <v>1</v>
      </c>
      <c r="H27" s="3">
        <v>1</v>
      </c>
      <c r="I27" s="3">
        <v>0.5</v>
      </c>
      <c r="J27" s="4" t="str">
        <f>HYPERLINK("http://141.218.60.56/~jnz1568/getInfo.php?workbook=12_05.xlsx&amp;sheet=E0&amp;row=27&amp;col=10&amp;number=0&amp;sourceID=14","0")</f>
        <v>0</v>
      </c>
    </row>
    <row r="28" spans="1:10">
      <c r="A28" s="3">
        <v>12</v>
      </c>
      <c r="B28" s="3">
        <v>5</v>
      </c>
      <c r="C28" s="3">
        <v>25</v>
      </c>
      <c r="D28" s="3" t="s">
        <v>25</v>
      </c>
      <c r="E28" s="3" t="s">
        <v>22</v>
      </c>
      <c r="F28" s="3">
        <v>4</v>
      </c>
      <c r="G28" s="3">
        <v>2</v>
      </c>
      <c r="H28" s="3">
        <v>0</v>
      </c>
      <c r="I28" s="3">
        <v>0.5</v>
      </c>
      <c r="J28" s="4" t="str">
        <f>HYPERLINK("http://141.218.60.56/~jnz1568/getInfo.php?workbook=12_05.xlsx&amp;sheet=E0&amp;row=28&amp;col=10&amp;number=0&amp;sourceID=14","0")</f>
        <v>0</v>
      </c>
    </row>
    <row r="29" spans="1:10">
      <c r="A29" s="3">
        <v>12</v>
      </c>
      <c r="B29" s="3">
        <v>5</v>
      </c>
      <c r="C29" s="3">
        <v>26</v>
      </c>
      <c r="D29" s="3" t="s">
        <v>25</v>
      </c>
      <c r="E29" s="3" t="s">
        <v>13</v>
      </c>
      <c r="F29" s="3">
        <v>2</v>
      </c>
      <c r="G29" s="3">
        <v>1</v>
      </c>
      <c r="H29" s="3">
        <v>1</v>
      </c>
      <c r="I29" s="3">
        <v>0.5</v>
      </c>
      <c r="J29" s="4" t="str">
        <f>HYPERLINK("http://141.218.60.56/~jnz1568/getInfo.php?workbook=12_05.xlsx&amp;sheet=E0&amp;row=29&amp;col=10&amp;number=0&amp;sourceID=14","0")</f>
        <v>0</v>
      </c>
    </row>
    <row r="30" spans="1:10">
      <c r="A30" s="3">
        <v>12</v>
      </c>
      <c r="B30" s="3">
        <v>5</v>
      </c>
      <c r="C30" s="3">
        <v>27</v>
      </c>
      <c r="D30" s="3" t="s">
        <v>25</v>
      </c>
      <c r="E30" s="3" t="s">
        <v>15</v>
      </c>
      <c r="F30" s="3">
        <v>4</v>
      </c>
      <c r="G30" s="3">
        <v>1</v>
      </c>
      <c r="H30" s="3">
        <v>1</v>
      </c>
      <c r="I30" s="3">
        <v>0.5</v>
      </c>
      <c r="J30" s="4" t="str">
        <f>HYPERLINK("http://141.218.60.56/~jnz1568/getInfo.php?workbook=12_05.xlsx&amp;sheet=E0&amp;row=30&amp;col=10&amp;number=1717150&amp;sourceID=14","1717150")</f>
        <v>1717150</v>
      </c>
    </row>
    <row r="31" spans="1:10">
      <c r="A31" s="3">
        <v>12</v>
      </c>
      <c r="B31" s="3">
        <v>5</v>
      </c>
      <c r="C31" s="3">
        <v>28</v>
      </c>
      <c r="D31" s="3" t="s">
        <v>26</v>
      </c>
      <c r="E31" s="3" t="s">
        <v>17</v>
      </c>
      <c r="F31" s="3">
        <v>2</v>
      </c>
      <c r="G31" s="3">
        <v>0</v>
      </c>
      <c r="H31" s="3">
        <v>0</v>
      </c>
      <c r="I31" s="3">
        <v>0.5</v>
      </c>
      <c r="J31" s="4" t="str">
        <f>HYPERLINK("http://141.218.60.56/~jnz1568/getInfo.php?workbook=12_05.xlsx&amp;sheet=E0&amp;row=31&amp;col=10&amp;number=0&amp;sourceID=14","0")</f>
        <v>0</v>
      </c>
    </row>
    <row r="32" spans="1:10">
      <c r="A32" s="3">
        <v>12</v>
      </c>
      <c r="B32" s="3">
        <v>5</v>
      </c>
      <c r="C32" s="3">
        <v>29</v>
      </c>
      <c r="D32" s="3" t="s">
        <v>27</v>
      </c>
      <c r="E32" s="3" t="s">
        <v>13</v>
      </c>
      <c r="F32" s="3">
        <v>2</v>
      </c>
      <c r="G32" s="3">
        <v>1</v>
      </c>
      <c r="H32" s="3">
        <v>1</v>
      </c>
      <c r="I32" s="3">
        <v>0.5</v>
      </c>
      <c r="J32" s="4" t="str">
        <f>HYPERLINK("http://141.218.60.56/~jnz1568/getInfo.php?workbook=12_05.xlsx&amp;sheet=E0&amp;row=32&amp;col=10&amp;number=1753640&amp;sourceID=14","1753640")</f>
        <v>1753640</v>
      </c>
    </row>
    <row r="33" spans="1:10">
      <c r="A33" s="3">
        <v>12</v>
      </c>
      <c r="B33" s="3">
        <v>5</v>
      </c>
      <c r="C33" s="3">
        <v>30</v>
      </c>
      <c r="D33" s="3" t="s">
        <v>27</v>
      </c>
      <c r="E33" s="3" t="s">
        <v>17</v>
      </c>
      <c r="F33" s="3">
        <v>2</v>
      </c>
      <c r="G33" s="3">
        <v>0</v>
      </c>
      <c r="H33" s="3">
        <v>0</v>
      </c>
      <c r="I33" s="3">
        <v>0.5</v>
      </c>
      <c r="J33" s="4" t="str">
        <f>HYPERLINK("http://141.218.60.56/~jnz1568/getInfo.php?workbook=12_05.xlsx&amp;sheet=E0&amp;row=33&amp;col=10&amp;number=0&amp;sourceID=14","0")</f>
        <v>0</v>
      </c>
    </row>
    <row r="34" spans="1:10">
      <c r="A34" s="3">
        <v>12</v>
      </c>
      <c r="B34" s="3">
        <v>5</v>
      </c>
      <c r="C34" s="3">
        <v>31</v>
      </c>
      <c r="D34" s="3" t="s">
        <v>28</v>
      </c>
      <c r="E34" s="3" t="s">
        <v>16</v>
      </c>
      <c r="F34" s="3">
        <v>2</v>
      </c>
      <c r="G34" s="3">
        <v>2</v>
      </c>
      <c r="H34" s="3">
        <v>0</v>
      </c>
      <c r="I34" s="3">
        <v>1.5</v>
      </c>
      <c r="J34" s="4" t="str">
        <f>HYPERLINK("http://141.218.60.56/~jnz1568/getInfo.php?workbook=12_05.xlsx&amp;sheet=E0&amp;row=34&amp;col=10&amp;number=1335860&amp;sourceID=14","1335860")</f>
        <v>1335860</v>
      </c>
    </row>
    <row r="35" spans="1:10">
      <c r="A35" s="3">
        <v>12</v>
      </c>
      <c r="B35" s="3">
        <v>5</v>
      </c>
      <c r="C35" s="3">
        <v>32</v>
      </c>
      <c r="D35" s="3" t="s">
        <v>21</v>
      </c>
      <c r="E35" s="3" t="s">
        <v>13</v>
      </c>
      <c r="F35" s="3">
        <v>2</v>
      </c>
      <c r="G35" s="3">
        <v>1</v>
      </c>
      <c r="H35" s="3">
        <v>1</v>
      </c>
      <c r="I35" s="3">
        <v>1.5</v>
      </c>
      <c r="J35" s="4" t="str">
        <f>HYPERLINK("http://141.218.60.56/~jnz1568/getInfo.php?workbook=12_05.xlsx&amp;sheet=E0&amp;row=35&amp;col=10&amp;number=1409400&amp;sourceID=14","1409400")</f>
        <v>1409400</v>
      </c>
    </row>
    <row r="36" spans="1:10">
      <c r="A36" s="3">
        <v>12</v>
      </c>
      <c r="B36" s="3">
        <v>5</v>
      </c>
      <c r="C36" s="3">
        <v>33</v>
      </c>
      <c r="D36" s="3" t="s">
        <v>21</v>
      </c>
      <c r="E36" s="3" t="s">
        <v>22</v>
      </c>
      <c r="F36" s="3">
        <v>4</v>
      </c>
      <c r="G36" s="3">
        <v>2</v>
      </c>
      <c r="H36" s="3">
        <v>0</v>
      </c>
      <c r="I36" s="3">
        <v>1.5</v>
      </c>
      <c r="J36" s="4" t="str">
        <f>HYPERLINK("http://141.218.60.56/~jnz1568/getInfo.php?workbook=12_05.xlsx&amp;sheet=E0&amp;row=36&amp;col=10&amp;number=0&amp;sourceID=14","0")</f>
        <v>0</v>
      </c>
    </row>
    <row r="37" spans="1:10">
      <c r="A37" s="3">
        <v>12</v>
      </c>
      <c r="B37" s="3">
        <v>5</v>
      </c>
      <c r="C37" s="3">
        <v>34</v>
      </c>
      <c r="D37" s="3" t="s">
        <v>21</v>
      </c>
      <c r="E37" s="3" t="s">
        <v>19</v>
      </c>
      <c r="F37" s="3">
        <v>4</v>
      </c>
      <c r="G37" s="3">
        <v>0</v>
      </c>
      <c r="H37" s="3">
        <v>0</v>
      </c>
      <c r="I37" s="3">
        <v>1.5</v>
      </c>
      <c r="J37" s="4" t="str">
        <f>HYPERLINK("http://141.218.60.56/~jnz1568/getInfo.php?workbook=12_05.xlsx&amp;sheet=E0&amp;row=37&amp;col=10&amp;number=0&amp;sourceID=14","0")</f>
        <v>0</v>
      </c>
    </row>
    <row r="38" spans="1:10">
      <c r="A38" s="3">
        <v>12</v>
      </c>
      <c r="B38" s="3">
        <v>5</v>
      </c>
      <c r="C38" s="3">
        <v>35</v>
      </c>
      <c r="D38" s="3" t="s">
        <v>21</v>
      </c>
      <c r="E38" s="3" t="s">
        <v>15</v>
      </c>
      <c r="F38" s="3">
        <v>4</v>
      </c>
      <c r="G38" s="3">
        <v>1</v>
      </c>
      <c r="H38" s="3">
        <v>1</v>
      </c>
      <c r="I38" s="3">
        <v>1.5</v>
      </c>
      <c r="J38" s="4" t="str">
        <f>HYPERLINK("http://141.218.60.56/~jnz1568/getInfo.php?workbook=12_05.xlsx&amp;sheet=E0&amp;row=38&amp;col=10&amp;number=0&amp;sourceID=14","0")</f>
        <v>0</v>
      </c>
    </row>
    <row r="39" spans="1:10">
      <c r="A39" s="3">
        <v>12</v>
      </c>
      <c r="B39" s="3">
        <v>5</v>
      </c>
      <c r="C39" s="3">
        <v>36</v>
      </c>
      <c r="D39" s="3" t="s">
        <v>21</v>
      </c>
      <c r="E39" s="3" t="s">
        <v>16</v>
      </c>
      <c r="F39" s="3">
        <v>2</v>
      </c>
      <c r="G39" s="3">
        <v>2</v>
      </c>
      <c r="H39" s="3">
        <v>0</v>
      </c>
      <c r="I39" s="3">
        <v>1.5</v>
      </c>
      <c r="J39" s="4" t="str">
        <f>HYPERLINK("http://141.218.60.56/~jnz1568/getInfo.php?workbook=12_05.xlsx&amp;sheet=E0&amp;row=39&amp;col=10&amp;number=1440610&amp;sourceID=14","1440610")</f>
        <v>1440610</v>
      </c>
    </row>
    <row r="40" spans="1:10">
      <c r="A40" s="3">
        <v>12</v>
      </c>
      <c r="B40" s="3">
        <v>5</v>
      </c>
      <c r="C40" s="3">
        <v>37</v>
      </c>
      <c r="D40" s="3" t="s">
        <v>23</v>
      </c>
      <c r="E40" s="3" t="s">
        <v>13</v>
      </c>
      <c r="F40" s="3">
        <v>2</v>
      </c>
      <c r="G40" s="3">
        <v>1</v>
      </c>
      <c r="H40" s="3">
        <v>1</v>
      </c>
      <c r="I40" s="3">
        <v>1.5</v>
      </c>
      <c r="J40" s="4" t="str">
        <f>HYPERLINK("http://141.218.60.56/~jnz1568/getInfo.php?workbook=12_05.xlsx&amp;sheet=E0&amp;row=40&amp;col=10&amp;number=1550560&amp;sourceID=14","1550560")</f>
        <v>1550560</v>
      </c>
    </row>
    <row r="41" spans="1:10">
      <c r="A41" s="3">
        <v>12</v>
      </c>
      <c r="B41" s="3">
        <v>5</v>
      </c>
      <c r="C41" s="3">
        <v>38</v>
      </c>
      <c r="D41" s="3" t="s">
        <v>23</v>
      </c>
      <c r="E41" s="3" t="s">
        <v>16</v>
      </c>
      <c r="F41" s="3">
        <v>2</v>
      </c>
      <c r="G41" s="3">
        <v>2</v>
      </c>
      <c r="H41" s="3">
        <v>0</v>
      </c>
      <c r="I41" s="3">
        <v>1.5</v>
      </c>
      <c r="J41" s="4" t="str">
        <f>HYPERLINK("http://141.218.60.56/~jnz1568/getInfo.php?workbook=12_05.xlsx&amp;sheet=E0&amp;row=41&amp;col=10&amp;number=0&amp;sourceID=14","0")</f>
        <v>0</v>
      </c>
    </row>
    <row r="42" spans="1:10">
      <c r="A42" s="3">
        <v>12</v>
      </c>
      <c r="B42" s="3">
        <v>5</v>
      </c>
      <c r="C42" s="3">
        <v>39</v>
      </c>
      <c r="D42" s="3" t="s">
        <v>24</v>
      </c>
      <c r="E42" s="3" t="s">
        <v>15</v>
      </c>
      <c r="F42" s="3">
        <v>4</v>
      </c>
      <c r="G42" s="3">
        <v>1</v>
      </c>
      <c r="H42" s="3">
        <v>1</v>
      </c>
      <c r="I42" s="3">
        <v>1.5</v>
      </c>
      <c r="J42" s="4" t="str">
        <f>HYPERLINK("http://141.218.60.56/~jnz1568/getInfo.php?workbook=12_05.xlsx&amp;sheet=E0&amp;row=42&amp;col=10&amp;number=1589200&amp;sourceID=14","1589200")</f>
        <v>1589200</v>
      </c>
    </row>
    <row r="43" spans="1:10">
      <c r="A43" s="3">
        <v>12</v>
      </c>
      <c r="B43" s="3">
        <v>5</v>
      </c>
      <c r="C43" s="3">
        <v>40</v>
      </c>
      <c r="D43" s="3" t="s">
        <v>24</v>
      </c>
      <c r="E43" s="3" t="s">
        <v>13</v>
      </c>
      <c r="F43" s="3">
        <v>2</v>
      </c>
      <c r="G43" s="3">
        <v>1</v>
      </c>
      <c r="H43" s="3">
        <v>1</v>
      </c>
      <c r="I43" s="3">
        <v>1.5</v>
      </c>
      <c r="J43" s="4" t="str">
        <f>HYPERLINK("http://141.218.60.56/~jnz1568/getInfo.php?workbook=12_05.xlsx&amp;sheet=E0&amp;row=43&amp;col=10&amp;number=0&amp;sourceID=14","0")</f>
        <v>0</v>
      </c>
    </row>
    <row r="44" spans="1:10">
      <c r="A44" s="3">
        <v>12</v>
      </c>
      <c r="B44" s="3">
        <v>5</v>
      </c>
      <c r="C44" s="3">
        <v>41</v>
      </c>
      <c r="D44" s="3" t="s">
        <v>29</v>
      </c>
      <c r="E44" s="3" t="s">
        <v>16</v>
      </c>
      <c r="F44" s="3">
        <v>2</v>
      </c>
      <c r="G44" s="3">
        <v>2</v>
      </c>
      <c r="H44" s="3">
        <v>0</v>
      </c>
      <c r="I44" s="3">
        <v>1.5</v>
      </c>
      <c r="J44" s="4" t="str">
        <f>HYPERLINK("http://141.218.60.56/~jnz1568/getInfo.php?workbook=12_05.xlsx&amp;sheet=E0&amp;row=44&amp;col=10&amp;number=1638790&amp;sourceID=14","1638790")</f>
        <v>1638790</v>
      </c>
    </row>
    <row r="45" spans="1:10">
      <c r="A45" s="3">
        <v>12</v>
      </c>
      <c r="B45" s="3">
        <v>5</v>
      </c>
      <c r="C45" s="3">
        <v>42</v>
      </c>
      <c r="D45" s="3" t="s">
        <v>25</v>
      </c>
      <c r="E45" s="3" t="s">
        <v>30</v>
      </c>
      <c r="F45" s="3">
        <v>4</v>
      </c>
      <c r="G45" s="3">
        <v>3</v>
      </c>
      <c r="H45" s="3">
        <v>1</v>
      </c>
      <c r="I45" s="3">
        <v>1.5</v>
      </c>
      <c r="J45" s="4" t="str">
        <f>HYPERLINK("http://141.218.60.56/~jnz1568/getInfo.php?workbook=12_05.xlsx&amp;sheet=E0&amp;row=45&amp;col=10&amp;number=0&amp;sourceID=14","0")</f>
        <v>0</v>
      </c>
    </row>
    <row r="46" spans="1:10">
      <c r="A46" s="3">
        <v>12</v>
      </c>
      <c r="B46" s="3">
        <v>5</v>
      </c>
      <c r="C46" s="3">
        <v>43</v>
      </c>
      <c r="D46" s="3" t="s">
        <v>25</v>
      </c>
      <c r="E46" s="3" t="s">
        <v>13</v>
      </c>
      <c r="F46" s="3">
        <v>2</v>
      </c>
      <c r="G46" s="3">
        <v>1</v>
      </c>
      <c r="H46" s="3">
        <v>1</v>
      </c>
      <c r="I46" s="3">
        <v>1.5</v>
      </c>
      <c r="J46" s="4" t="str">
        <f>HYPERLINK("http://141.218.60.56/~jnz1568/getInfo.php?workbook=12_05.xlsx&amp;sheet=E0&amp;row=46&amp;col=10&amp;number=0&amp;sourceID=14","0")</f>
        <v>0</v>
      </c>
    </row>
    <row r="47" spans="1:10">
      <c r="A47" s="3">
        <v>12</v>
      </c>
      <c r="B47" s="3">
        <v>5</v>
      </c>
      <c r="C47" s="3">
        <v>44</v>
      </c>
      <c r="D47" s="3" t="s">
        <v>25</v>
      </c>
      <c r="E47" s="3" t="s">
        <v>22</v>
      </c>
      <c r="F47" s="3">
        <v>4</v>
      </c>
      <c r="G47" s="3">
        <v>2</v>
      </c>
      <c r="H47" s="3">
        <v>0</v>
      </c>
      <c r="I47" s="3">
        <v>1.5</v>
      </c>
      <c r="J47" s="4" t="str">
        <f>HYPERLINK("http://141.218.60.56/~jnz1568/getInfo.php?workbook=12_05.xlsx&amp;sheet=E0&amp;row=47&amp;col=10&amp;number=0&amp;sourceID=14","0")</f>
        <v>0</v>
      </c>
    </row>
    <row r="48" spans="1:10">
      <c r="A48" s="3">
        <v>12</v>
      </c>
      <c r="B48" s="3">
        <v>5</v>
      </c>
      <c r="C48" s="3">
        <v>45</v>
      </c>
      <c r="D48" s="3" t="s">
        <v>25</v>
      </c>
      <c r="E48" s="3" t="s">
        <v>15</v>
      </c>
      <c r="F48" s="3">
        <v>4</v>
      </c>
      <c r="G48" s="3">
        <v>1</v>
      </c>
      <c r="H48" s="3">
        <v>1</v>
      </c>
      <c r="I48" s="3">
        <v>1.5</v>
      </c>
      <c r="J48" s="4" t="str">
        <f>HYPERLINK("http://141.218.60.56/~jnz1568/getInfo.php?workbook=12_05.xlsx&amp;sheet=E0&amp;row=48&amp;col=10&amp;number=1716710&amp;sourceID=14","1716710")</f>
        <v>1716710</v>
      </c>
    </row>
    <row r="49" spans="1:10">
      <c r="A49" s="3">
        <v>12</v>
      </c>
      <c r="B49" s="3">
        <v>5</v>
      </c>
      <c r="C49" s="3">
        <v>46</v>
      </c>
      <c r="D49" s="3" t="s">
        <v>25</v>
      </c>
      <c r="E49" s="3" t="s">
        <v>16</v>
      </c>
      <c r="F49" s="3">
        <v>2</v>
      </c>
      <c r="G49" s="3">
        <v>2</v>
      </c>
      <c r="H49" s="3">
        <v>0</v>
      </c>
      <c r="I49" s="3">
        <v>1.5</v>
      </c>
      <c r="J49" s="4" t="str">
        <f>HYPERLINK("http://141.218.60.56/~jnz1568/getInfo.php?workbook=12_05.xlsx&amp;sheet=E0&amp;row=49&amp;col=10&amp;number=0&amp;sourceID=14","0")</f>
        <v>0</v>
      </c>
    </row>
    <row r="50" spans="1:10">
      <c r="A50" s="3">
        <v>12</v>
      </c>
      <c r="B50" s="3">
        <v>5</v>
      </c>
      <c r="C50" s="3">
        <v>47</v>
      </c>
      <c r="D50" s="3" t="s">
        <v>27</v>
      </c>
      <c r="E50" s="3" t="s">
        <v>16</v>
      </c>
      <c r="F50" s="3">
        <v>2</v>
      </c>
      <c r="G50" s="3">
        <v>2</v>
      </c>
      <c r="H50" s="3">
        <v>0</v>
      </c>
      <c r="I50" s="3">
        <v>1.5</v>
      </c>
      <c r="J50" s="4" t="str">
        <f>HYPERLINK("http://141.218.60.56/~jnz1568/getInfo.php?workbook=12_05.xlsx&amp;sheet=E0&amp;row=50&amp;col=10&amp;number=0&amp;sourceID=14","0")</f>
        <v>0</v>
      </c>
    </row>
    <row r="51" spans="1:10">
      <c r="A51" s="3">
        <v>12</v>
      </c>
      <c r="B51" s="3">
        <v>5</v>
      </c>
      <c r="C51" s="3">
        <v>48</v>
      </c>
      <c r="D51" s="3" t="s">
        <v>27</v>
      </c>
      <c r="E51" s="3" t="s">
        <v>13</v>
      </c>
      <c r="F51" s="3">
        <v>2</v>
      </c>
      <c r="G51" s="3">
        <v>1</v>
      </c>
      <c r="H51" s="3">
        <v>1</v>
      </c>
      <c r="I51" s="3">
        <v>1.5</v>
      </c>
      <c r="J51" s="4" t="str">
        <f>HYPERLINK("http://141.218.60.56/~jnz1568/getInfo.php?workbook=12_05.xlsx&amp;sheet=E0&amp;row=51&amp;col=10&amp;number=1754790&amp;sourceID=14","1754790")</f>
        <v>1754790</v>
      </c>
    </row>
    <row r="52" spans="1:10">
      <c r="A52" s="3">
        <v>12</v>
      </c>
      <c r="B52" s="3">
        <v>5</v>
      </c>
      <c r="C52" s="3">
        <v>49</v>
      </c>
      <c r="D52" s="3" t="s">
        <v>31</v>
      </c>
      <c r="E52" s="3" t="s">
        <v>16</v>
      </c>
      <c r="F52" s="3">
        <v>2</v>
      </c>
      <c r="G52" s="3">
        <v>2</v>
      </c>
      <c r="H52" s="3">
        <v>0</v>
      </c>
      <c r="I52" s="3">
        <v>1.5</v>
      </c>
      <c r="J52" s="4" t="str">
        <f>HYPERLINK("http://141.218.60.56/~jnz1568/getInfo.php?workbook=12_05.xlsx&amp;sheet=E0&amp;row=52&amp;col=10&amp;number=0&amp;sourceID=14","0")</f>
        <v>0</v>
      </c>
    </row>
    <row r="53" spans="1:10">
      <c r="A53" s="3">
        <v>12</v>
      </c>
      <c r="B53" s="3">
        <v>5</v>
      </c>
      <c r="C53" s="3">
        <v>50</v>
      </c>
      <c r="D53" s="3" t="s">
        <v>28</v>
      </c>
      <c r="E53" s="3" t="s">
        <v>16</v>
      </c>
      <c r="F53" s="3">
        <v>2</v>
      </c>
      <c r="G53" s="3">
        <v>2</v>
      </c>
      <c r="H53" s="3">
        <v>0</v>
      </c>
      <c r="I53" s="3">
        <v>2.5</v>
      </c>
      <c r="J53" s="4" t="str">
        <f>HYPERLINK("http://141.218.60.56/~jnz1568/getInfo.php?workbook=12_05.xlsx&amp;sheet=E0&amp;row=53&amp;col=10&amp;number=1336030&amp;sourceID=14","1336030")</f>
        <v>1336030</v>
      </c>
    </row>
    <row r="54" spans="1:10">
      <c r="A54" s="3">
        <v>12</v>
      </c>
      <c r="B54" s="3">
        <v>5</v>
      </c>
      <c r="C54" s="3">
        <v>51</v>
      </c>
      <c r="D54" s="3" t="s">
        <v>21</v>
      </c>
      <c r="E54" s="3" t="s">
        <v>22</v>
      </c>
      <c r="F54" s="3">
        <v>4</v>
      </c>
      <c r="G54" s="3">
        <v>2</v>
      </c>
      <c r="H54" s="3">
        <v>0</v>
      </c>
      <c r="I54" s="3">
        <v>2.5</v>
      </c>
      <c r="J54" s="4" t="str">
        <f>HYPERLINK("http://141.218.60.56/~jnz1568/getInfo.php?workbook=12_05.xlsx&amp;sheet=E0&amp;row=54&amp;col=10&amp;number=0&amp;sourceID=14","0")</f>
        <v>0</v>
      </c>
    </row>
    <row r="55" spans="1:10">
      <c r="A55" s="3">
        <v>12</v>
      </c>
      <c r="B55" s="3">
        <v>5</v>
      </c>
      <c r="C55" s="3">
        <v>52</v>
      </c>
      <c r="D55" s="3" t="s">
        <v>21</v>
      </c>
      <c r="E55" s="3" t="s">
        <v>15</v>
      </c>
      <c r="F55" s="3">
        <v>4</v>
      </c>
      <c r="G55" s="3">
        <v>1</v>
      </c>
      <c r="H55" s="3">
        <v>1</v>
      </c>
      <c r="I55" s="3">
        <v>2.5</v>
      </c>
      <c r="J55" s="4" t="str">
        <f>HYPERLINK("http://141.218.60.56/~jnz1568/getInfo.php?workbook=12_05.xlsx&amp;sheet=E0&amp;row=55&amp;col=10&amp;number=0&amp;sourceID=14","0")</f>
        <v>0</v>
      </c>
    </row>
    <row r="56" spans="1:10">
      <c r="A56" s="3">
        <v>12</v>
      </c>
      <c r="B56" s="3">
        <v>5</v>
      </c>
      <c r="C56" s="3">
        <v>53</v>
      </c>
      <c r="D56" s="3" t="s">
        <v>21</v>
      </c>
      <c r="E56" s="3" t="s">
        <v>16</v>
      </c>
      <c r="F56" s="3">
        <v>2</v>
      </c>
      <c r="G56" s="3">
        <v>2</v>
      </c>
      <c r="H56" s="3">
        <v>0</v>
      </c>
      <c r="I56" s="3">
        <v>2.5</v>
      </c>
      <c r="J56" s="4" t="str">
        <f>HYPERLINK("http://141.218.60.56/~jnz1568/getInfo.php?workbook=12_05.xlsx&amp;sheet=E0&amp;row=56&amp;col=10&amp;number=1442830&amp;sourceID=14","1442830")</f>
        <v>1442830</v>
      </c>
    </row>
    <row r="57" spans="1:10">
      <c r="A57" s="3">
        <v>12</v>
      </c>
      <c r="B57" s="3">
        <v>5</v>
      </c>
      <c r="C57" s="3">
        <v>54</v>
      </c>
      <c r="D57" s="3" t="s">
        <v>23</v>
      </c>
      <c r="E57" s="3" t="s">
        <v>16</v>
      </c>
      <c r="F57" s="3">
        <v>2</v>
      </c>
      <c r="G57" s="3">
        <v>2</v>
      </c>
      <c r="H57" s="3">
        <v>0</v>
      </c>
      <c r="I57" s="3">
        <v>2.5</v>
      </c>
      <c r="J57" s="4" t="str">
        <f>HYPERLINK("http://141.218.60.56/~jnz1568/getInfo.php?workbook=12_05.xlsx&amp;sheet=E0&amp;row=57&amp;col=10&amp;number=1548850&amp;sourceID=14","1548850")</f>
        <v>1548850</v>
      </c>
    </row>
    <row r="58" spans="1:10">
      <c r="A58" s="3">
        <v>12</v>
      </c>
      <c r="B58" s="3">
        <v>5</v>
      </c>
      <c r="C58" s="3">
        <v>55</v>
      </c>
      <c r="D58" s="3" t="s">
        <v>24</v>
      </c>
      <c r="E58" s="3" t="s">
        <v>15</v>
      </c>
      <c r="F58" s="3">
        <v>4</v>
      </c>
      <c r="G58" s="3">
        <v>1</v>
      </c>
      <c r="H58" s="3">
        <v>1</v>
      </c>
      <c r="I58" s="3">
        <v>2.5</v>
      </c>
      <c r="J58" s="4" t="str">
        <f>HYPERLINK("http://141.218.60.56/~jnz1568/getInfo.php?workbook=12_05.xlsx&amp;sheet=E0&amp;row=58&amp;col=10&amp;number=1591200&amp;sourceID=14","1591200")</f>
        <v>1591200</v>
      </c>
    </row>
    <row r="59" spans="1:10">
      <c r="A59" s="3">
        <v>12</v>
      </c>
      <c r="B59" s="3">
        <v>5</v>
      </c>
      <c r="C59" s="3">
        <v>56</v>
      </c>
      <c r="D59" s="3" t="s">
        <v>29</v>
      </c>
      <c r="E59" s="3" t="s">
        <v>16</v>
      </c>
      <c r="F59" s="3">
        <v>2</v>
      </c>
      <c r="G59" s="3">
        <v>2</v>
      </c>
      <c r="H59" s="3">
        <v>0</v>
      </c>
      <c r="I59" s="3">
        <v>2.5</v>
      </c>
      <c r="J59" s="4" t="str">
        <f>HYPERLINK("http://141.218.60.56/~jnz1568/getInfo.php?workbook=12_05.xlsx&amp;sheet=E0&amp;row=59&amp;col=10&amp;number=0&amp;sourceID=14","0")</f>
        <v>0</v>
      </c>
    </row>
    <row r="60" spans="1:10">
      <c r="A60" s="3">
        <v>12</v>
      </c>
      <c r="B60" s="3">
        <v>5</v>
      </c>
      <c r="C60" s="3">
        <v>57</v>
      </c>
      <c r="D60" s="3" t="s">
        <v>25</v>
      </c>
      <c r="E60" s="3" t="s">
        <v>30</v>
      </c>
      <c r="F60" s="3">
        <v>4</v>
      </c>
      <c r="G60" s="3">
        <v>3</v>
      </c>
      <c r="H60" s="3">
        <v>1</v>
      </c>
      <c r="I60" s="3">
        <v>2.5</v>
      </c>
      <c r="J60" s="4" t="str">
        <f>HYPERLINK("http://141.218.60.56/~jnz1568/getInfo.php?workbook=12_05.xlsx&amp;sheet=E0&amp;row=60&amp;col=10&amp;number=0&amp;sourceID=14","0")</f>
        <v>0</v>
      </c>
    </row>
    <row r="61" spans="1:10">
      <c r="A61" s="3">
        <v>12</v>
      </c>
      <c r="B61" s="3">
        <v>5</v>
      </c>
      <c r="C61" s="3">
        <v>58</v>
      </c>
      <c r="D61" s="3" t="s">
        <v>25</v>
      </c>
      <c r="E61" s="3" t="s">
        <v>22</v>
      </c>
      <c r="F61" s="3">
        <v>4</v>
      </c>
      <c r="G61" s="3">
        <v>2</v>
      </c>
      <c r="H61" s="3">
        <v>0</v>
      </c>
      <c r="I61" s="3">
        <v>2.5</v>
      </c>
      <c r="J61" s="4" t="str">
        <f>HYPERLINK("http://141.218.60.56/~jnz1568/getInfo.php?workbook=12_05.xlsx&amp;sheet=E0&amp;row=61&amp;col=10&amp;number=0&amp;sourceID=14","0")</f>
        <v>0</v>
      </c>
    </row>
    <row r="62" spans="1:10">
      <c r="A62" s="3">
        <v>12</v>
      </c>
      <c r="B62" s="3">
        <v>5</v>
      </c>
      <c r="C62" s="3">
        <v>59</v>
      </c>
      <c r="D62" s="3" t="s">
        <v>25</v>
      </c>
      <c r="E62" s="3" t="s">
        <v>32</v>
      </c>
      <c r="F62" s="3">
        <v>2</v>
      </c>
      <c r="G62" s="3">
        <v>3</v>
      </c>
      <c r="H62" s="3">
        <v>1</v>
      </c>
      <c r="I62" s="3">
        <v>2.5</v>
      </c>
      <c r="J62" s="4" t="str">
        <f>HYPERLINK("http://141.218.60.56/~jnz1568/getInfo.php?workbook=12_05.xlsx&amp;sheet=E0&amp;row=62&amp;col=10&amp;number=0&amp;sourceID=14","0")</f>
        <v>0</v>
      </c>
    </row>
    <row r="63" spans="1:10">
      <c r="A63" s="3">
        <v>12</v>
      </c>
      <c r="B63" s="3">
        <v>5</v>
      </c>
      <c r="C63" s="3">
        <v>60</v>
      </c>
      <c r="D63" s="3" t="s">
        <v>25</v>
      </c>
      <c r="E63" s="3" t="s">
        <v>15</v>
      </c>
      <c r="F63" s="3">
        <v>4</v>
      </c>
      <c r="G63" s="3">
        <v>1</v>
      </c>
      <c r="H63" s="3">
        <v>1</v>
      </c>
      <c r="I63" s="3">
        <v>2.5</v>
      </c>
      <c r="J63" s="4" t="str">
        <f>HYPERLINK("http://141.218.60.56/~jnz1568/getInfo.php?workbook=12_05.xlsx&amp;sheet=E0&amp;row=63&amp;col=10&amp;number=1715900&amp;sourceID=14","1715900")</f>
        <v>1715900</v>
      </c>
    </row>
    <row r="64" spans="1:10">
      <c r="A64" s="3">
        <v>12</v>
      </c>
      <c r="B64" s="3">
        <v>5</v>
      </c>
      <c r="C64" s="3">
        <v>61</v>
      </c>
      <c r="D64" s="3" t="s">
        <v>25</v>
      </c>
      <c r="E64" s="3" t="s">
        <v>16</v>
      </c>
      <c r="F64" s="3">
        <v>2</v>
      </c>
      <c r="G64" s="3">
        <v>2</v>
      </c>
      <c r="H64" s="3">
        <v>0</v>
      </c>
      <c r="I64" s="3">
        <v>2.5</v>
      </c>
      <c r="J64" s="4" t="str">
        <f>HYPERLINK("http://141.218.60.56/~jnz1568/getInfo.php?workbook=12_05.xlsx&amp;sheet=E0&amp;row=64&amp;col=10&amp;number=1703280&amp;sourceID=14","1703280")</f>
        <v>1703280</v>
      </c>
    </row>
    <row r="65" spans="1:10">
      <c r="A65" s="3">
        <v>12</v>
      </c>
      <c r="B65" s="3">
        <v>5</v>
      </c>
      <c r="C65" s="3">
        <v>62</v>
      </c>
      <c r="D65" s="3" t="s">
        <v>27</v>
      </c>
      <c r="E65" s="3" t="s">
        <v>16</v>
      </c>
      <c r="F65" s="3">
        <v>2</v>
      </c>
      <c r="G65" s="3">
        <v>2</v>
      </c>
      <c r="H65" s="3">
        <v>0</v>
      </c>
      <c r="I65" s="3">
        <v>2.5</v>
      </c>
      <c r="J65" s="4" t="str">
        <f>HYPERLINK("http://141.218.60.56/~jnz1568/getInfo.php?workbook=12_05.xlsx&amp;sheet=E0&amp;row=65&amp;col=10&amp;number=1733900&amp;sourceID=14","1733900")</f>
        <v>1733900</v>
      </c>
    </row>
    <row r="66" spans="1:10">
      <c r="A66" s="3">
        <v>12</v>
      </c>
      <c r="B66" s="3">
        <v>5</v>
      </c>
      <c r="C66" s="3">
        <v>63</v>
      </c>
      <c r="D66" s="3" t="s">
        <v>27</v>
      </c>
      <c r="E66" s="3" t="s">
        <v>32</v>
      </c>
      <c r="F66" s="3">
        <v>2</v>
      </c>
      <c r="G66" s="3">
        <v>3</v>
      </c>
      <c r="H66" s="3">
        <v>1</v>
      </c>
      <c r="I66" s="3">
        <v>2.5</v>
      </c>
      <c r="J66" s="4" t="str">
        <f>HYPERLINK("http://141.218.60.56/~jnz1568/getInfo.php?workbook=12_05.xlsx&amp;sheet=E0&amp;row=66&amp;col=10&amp;number=0&amp;sourceID=14","0")</f>
        <v>0</v>
      </c>
    </row>
    <row r="67" spans="1:10">
      <c r="A67" s="3">
        <v>12</v>
      </c>
      <c r="B67" s="3">
        <v>5</v>
      </c>
      <c r="C67" s="3">
        <v>64</v>
      </c>
      <c r="D67" s="3" t="s">
        <v>31</v>
      </c>
      <c r="E67" s="3" t="s">
        <v>16</v>
      </c>
      <c r="F67" s="3">
        <v>2</v>
      </c>
      <c r="G67" s="3">
        <v>2</v>
      </c>
      <c r="H67" s="3">
        <v>0</v>
      </c>
      <c r="I67" s="3">
        <v>2.5</v>
      </c>
      <c r="J67" s="4" t="str">
        <f>HYPERLINK("http://141.218.60.56/~jnz1568/getInfo.php?workbook=12_05.xlsx&amp;sheet=E0&amp;row=67&amp;col=10&amp;number=0&amp;sourceID=14","0")</f>
        <v>0</v>
      </c>
    </row>
    <row r="68" spans="1:10">
      <c r="A68" s="3">
        <v>12</v>
      </c>
      <c r="B68" s="3">
        <v>5</v>
      </c>
      <c r="C68" s="3">
        <v>65</v>
      </c>
      <c r="D68" s="3" t="s">
        <v>21</v>
      </c>
      <c r="E68" s="3" t="s">
        <v>22</v>
      </c>
      <c r="F68" s="3">
        <v>4</v>
      </c>
      <c r="G68" s="3">
        <v>2</v>
      </c>
      <c r="H68" s="3">
        <v>0</v>
      </c>
      <c r="I68" s="3">
        <v>3.5</v>
      </c>
      <c r="J68" s="4" t="str">
        <f>HYPERLINK("http://141.218.60.56/~jnz1568/getInfo.php?workbook=12_05.xlsx&amp;sheet=E0&amp;row=68&amp;col=10&amp;number=0&amp;sourceID=14","0")</f>
        <v>0</v>
      </c>
    </row>
    <row r="69" spans="1:10">
      <c r="A69" s="3">
        <v>12</v>
      </c>
      <c r="B69" s="3">
        <v>5</v>
      </c>
      <c r="C69" s="3">
        <v>66</v>
      </c>
      <c r="D69" s="3" t="s">
        <v>25</v>
      </c>
      <c r="E69" s="3" t="s">
        <v>30</v>
      </c>
      <c r="F69" s="3">
        <v>4</v>
      </c>
      <c r="G69" s="3">
        <v>3</v>
      </c>
      <c r="H69" s="3">
        <v>1</v>
      </c>
      <c r="I69" s="3">
        <v>3.5</v>
      </c>
      <c r="J69" s="4" t="str">
        <f>HYPERLINK("http://141.218.60.56/~jnz1568/getInfo.php?workbook=12_05.xlsx&amp;sheet=E0&amp;row=69&amp;col=10&amp;number=0&amp;sourceID=14","0")</f>
        <v>0</v>
      </c>
    </row>
    <row r="70" spans="1:10">
      <c r="A70" s="3">
        <v>12</v>
      </c>
      <c r="B70" s="3">
        <v>5</v>
      </c>
      <c r="C70" s="3">
        <v>67</v>
      </c>
      <c r="D70" s="3" t="s">
        <v>25</v>
      </c>
      <c r="E70" s="3" t="s">
        <v>22</v>
      </c>
      <c r="F70" s="3">
        <v>4</v>
      </c>
      <c r="G70" s="3">
        <v>2</v>
      </c>
      <c r="H70" s="3">
        <v>0</v>
      </c>
      <c r="I70" s="3">
        <v>3.5</v>
      </c>
      <c r="J70" s="4" t="str">
        <f>HYPERLINK("http://141.218.60.56/~jnz1568/getInfo.php?workbook=12_05.xlsx&amp;sheet=E0&amp;row=70&amp;col=10&amp;number=0&amp;sourceID=14","0")</f>
        <v>0</v>
      </c>
    </row>
    <row r="71" spans="1:10">
      <c r="A71" s="3">
        <v>12</v>
      </c>
      <c r="B71" s="3">
        <v>5</v>
      </c>
      <c r="C71" s="3">
        <v>68</v>
      </c>
      <c r="D71" s="3" t="s">
        <v>25</v>
      </c>
      <c r="E71" s="3" t="s">
        <v>32</v>
      </c>
      <c r="F71" s="3">
        <v>2</v>
      </c>
      <c r="G71" s="3">
        <v>3</v>
      </c>
      <c r="H71" s="3">
        <v>1</v>
      </c>
      <c r="I71" s="3">
        <v>3.5</v>
      </c>
      <c r="J71" s="4" t="str">
        <f>HYPERLINK("http://141.218.60.56/~jnz1568/getInfo.php?workbook=12_05.xlsx&amp;sheet=E0&amp;row=71&amp;col=10&amp;number=1702010&amp;sourceID=14","1702010")</f>
        <v>1702010</v>
      </c>
    </row>
    <row r="72" spans="1:10">
      <c r="A72" s="3">
        <v>12</v>
      </c>
      <c r="B72" s="3">
        <v>5</v>
      </c>
      <c r="C72" s="3">
        <v>69</v>
      </c>
      <c r="D72" s="3" t="s">
        <v>27</v>
      </c>
      <c r="E72" s="3" t="s">
        <v>33</v>
      </c>
      <c r="F72" s="3">
        <v>2</v>
      </c>
      <c r="G72" s="3">
        <v>4</v>
      </c>
      <c r="H72" s="3">
        <v>0</v>
      </c>
      <c r="I72" s="3">
        <v>3.5</v>
      </c>
      <c r="J72" s="4" t="str">
        <f>HYPERLINK("http://141.218.60.56/~jnz1568/getInfo.php?workbook=12_05.xlsx&amp;sheet=E0&amp;row=72&amp;col=10&amp;number=0&amp;sourceID=14","0")</f>
        <v>0</v>
      </c>
    </row>
    <row r="73" spans="1:10">
      <c r="A73" s="3">
        <v>12</v>
      </c>
      <c r="B73" s="3">
        <v>5</v>
      </c>
      <c r="C73" s="3">
        <v>70</v>
      </c>
      <c r="D73" s="3" t="s">
        <v>27</v>
      </c>
      <c r="E73" s="3" t="s">
        <v>32</v>
      </c>
      <c r="F73" s="3">
        <v>2</v>
      </c>
      <c r="G73" s="3">
        <v>3</v>
      </c>
      <c r="H73" s="3">
        <v>1</v>
      </c>
      <c r="I73" s="3">
        <v>3.5</v>
      </c>
      <c r="J73" s="4" t="str">
        <f>HYPERLINK("http://141.218.60.56/~jnz1568/getInfo.php?workbook=12_05.xlsx&amp;sheet=E0&amp;row=73&amp;col=10&amp;number=1752130&amp;sourceID=14","1752130")</f>
        <v>1752130</v>
      </c>
    </row>
    <row r="74" spans="1:10">
      <c r="A74" s="3">
        <v>12</v>
      </c>
      <c r="B74" s="3">
        <v>5</v>
      </c>
      <c r="C74" s="3">
        <v>71</v>
      </c>
      <c r="D74" s="3" t="s">
        <v>25</v>
      </c>
      <c r="E74" s="3" t="s">
        <v>30</v>
      </c>
      <c r="F74" s="3">
        <v>4</v>
      </c>
      <c r="G74" s="3">
        <v>3</v>
      </c>
      <c r="H74" s="3">
        <v>1</v>
      </c>
      <c r="I74" s="3">
        <v>4.5</v>
      </c>
      <c r="J74" s="4" t="str">
        <f>HYPERLINK("http://141.218.60.56/~jnz1568/getInfo.php?workbook=12_05.xlsx&amp;sheet=E0&amp;row=74&amp;col=10&amp;number=0&amp;sourceID=14","0")</f>
        <v>0</v>
      </c>
    </row>
    <row r="75" spans="1:10">
      <c r="A75" s="3">
        <v>12</v>
      </c>
      <c r="B75" s="3">
        <v>5</v>
      </c>
      <c r="C75" s="3">
        <v>72</v>
      </c>
      <c r="D75" s="3" t="s">
        <v>27</v>
      </c>
      <c r="E75" s="3" t="s">
        <v>33</v>
      </c>
      <c r="F75" s="3">
        <v>2</v>
      </c>
      <c r="G75" s="3">
        <v>4</v>
      </c>
      <c r="H75" s="3">
        <v>0</v>
      </c>
      <c r="I75" s="3">
        <v>4.5</v>
      </c>
      <c r="J75" s="4" t="str">
        <f>HYPERLINK("http://141.218.60.56/~jnz1568/getInfo.php?workbook=12_05.xlsx&amp;sheet=E0&amp;row=75&amp;col=10&amp;number=0&amp;sourceID=14","0")</f>
        <v>0</v>
      </c>
    </row>
    <row r="76" spans="1:10">
      <c r="A76" s="3">
        <v>12</v>
      </c>
      <c r="B76" s="3">
        <v>5</v>
      </c>
      <c r="C76" s="3">
        <v>73</v>
      </c>
      <c r="D76" s="3" t="s">
        <v>34</v>
      </c>
      <c r="E76" s="3" t="s">
        <v>13</v>
      </c>
      <c r="F76" s="3">
        <v>2</v>
      </c>
      <c r="G76" s="3">
        <v>1</v>
      </c>
      <c r="H76" s="3">
        <v>1</v>
      </c>
      <c r="I76" s="3">
        <v>0.5</v>
      </c>
      <c r="J76" s="4" t="str">
        <f>HYPERLINK("http://141.218.60.56/~jnz1568/getInfo.php?workbook=12_05.xlsx&amp;sheet=E0&amp;row=76&amp;col=10&amp;number=0&amp;sourceID=14","0")</f>
        <v>0</v>
      </c>
    </row>
    <row r="77" spans="1:10">
      <c r="A77" s="3">
        <v>12</v>
      </c>
      <c r="B77" s="3">
        <v>5</v>
      </c>
      <c r="C77" s="3">
        <v>74</v>
      </c>
      <c r="D77" s="3" t="s">
        <v>35</v>
      </c>
      <c r="E77" s="3" t="s">
        <v>15</v>
      </c>
      <c r="F77" s="3">
        <v>4</v>
      </c>
      <c r="G77" s="3">
        <v>1</v>
      </c>
      <c r="H77" s="3">
        <v>1</v>
      </c>
      <c r="I77" s="3">
        <v>0.5</v>
      </c>
      <c r="J77" s="4" t="str">
        <f>HYPERLINK("http://141.218.60.56/~jnz1568/getInfo.php?workbook=12_05.xlsx&amp;sheet=E0&amp;row=77&amp;col=10&amp;number=1351390&amp;sourceID=14","1351390")</f>
        <v>1351390</v>
      </c>
    </row>
    <row r="78" spans="1:10">
      <c r="A78" s="3">
        <v>12</v>
      </c>
      <c r="B78" s="3">
        <v>5</v>
      </c>
      <c r="C78" s="3">
        <v>75</v>
      </c>
      <c r="D78" s="3" t="s">
        <v>35</v>
      </c>
      <c r="E78" s="3" t="s">
        <v>13</v>
      </c>
      <c r="F78" s="3">
        <v>2</v>
      </c>
      <c r="G78" s="3">
        <v>1</v>
      </c>
      <c r="H78" s="3">
        <v>1</v>
      </c>
      <c r="I78" s="3">
        <v>0.5</v>
      </c>
      <c r="J78" s="4" t="str">
        <f>HYPERLINK("http://141.218.60.56/~jnz1568/getInfo.php?workbook=12_05.xlsx&amp;sheet=E0&amp;row=78&amp;col=10&amp;number=1381450&amp;sourceID=14","1381450")</f>
        <v>1381450</v>
      </c>
    </row>
    <row r="79" spans="1:10">
      <c r="A79" s="3">
        <v>12</v>
      </c>
      <c r="B79" s="3">
        <v>5</v>
      </c>
      <c r="C79" s="3">
        <v>76</v>
      </c>
      <c r="D79" s="3" t="s">
        <v>36</v>
      </c>
      <c r="E79" s="3" t="s">
        <v>22</v>
      </c>
      <c r="F79" s="3">
        <v>4</v>
      </c>
      <c r="G79" s="3">
        <v>2</v>
      </c>
      <c r="H79" s="3">
        <v>0</v>
      </c>
      <c r="I79" s="3">
        <v>0.5</v>
      </c>
      <c r="J79" s="4" t="str">
        <f>HYPERLINK("http://141.218.60.56/~jnz1568/getInfo.php?workbook=12_05.xlsx&amp;sheet=E0&amp;row=79&amp;col=10&amp;number=0&amp;sourceID=14","0")</f>
        <v>0</v>
      </c>
    </row>
    <row r="80" spans="1:10">
      <c r="A80" s="3">
        <v>12</v>
      </c>
      <c r="B80" s="3">
        <v>5</v>
      </c>
      <c r="C80" s="3">
        <v>77</v>
      </c>
      <c r="D80" s="3" t="s">
        <v>36</v>
      </c>
      <c r="E80" s="3" t="s">
        <v>15</v>
      </c>
      <c r="F80" s="3">
        <v>4</v>
      </c>
      <c r="G80" s="3">
        <v>1</v>
      </c>
      <c r="H80" s="3">
        <v>1</v>
      </c>
      <c r="I80" s="3">
        <v>0.5</v>
      </c>
      <c r="J80" s="4" t="str">
        <f>HYPERLINK("http://141.218.60.56/~jnz1568/getInfo.php?workbook=12_05.xlsx&amp;sheet=E0&amp;row=80&amp;col=10&amp;number=1484910&amp;sourceID=14","1484910")</f>
        <v>1484910</v>
      </c>
    </row>
    <row r="81" spans="1:10">
      <c r="A81" s="3">
        <v>12</v>
      </c>
      <c r="B81" s="3">
        <v>5</v>
      </c>
      <c r="C81" s="3">
        <v>78</v>
      </c>
      <c r="D81" s="3" t="s">
        <v>37</v>
      </c>
      <c r="E81" s="3" t="s">
        <v>13</v>
      </c>
      <c r="F81" s="3">
        <v>2</v>
      </c>
      <c r="G81" s="3">
        <v>1</v>
      </c>
      <c r="H81" s="3">
        <v>1</v>
      </c>
      <c r="I81" s="3">
        <v>0.5</v>
      </c>
      <c r="J81" s="4" t="str">
        <f>HYPERLINK("http://141.218.60.56/~jnz1568/getInfo.php?workbook=12_05.xlsx&amp;sheet=E0&amp;row=81&amp;col=10&amp;number=1486970&amp;sourceID=14","1486970")</f>
        <v>1486970</v>
      </c>
    </row>
    <row r="82" spans="1:10">
      <c r="A82" s="3">
        <v>12</v>
      </c>
      <c r="B82" s="3">
        <v>5</v>
      </c>
      <c r="C82" s="3">
        <v>79</v>
      </c>
      <c r="D82" s="3" t="s">
        <v>36</v>
      </c>
      <c r="E82" s="3" t="s">
        <v>13</v>
      </c>
      <c r="F82" s="3">
        <v>2</v>
      </c>
      <c r="G82" s="3">
        <v>1</v>
      </c>
      <c r="H82" s="3">
        <v>1</v>
      </c>
      <c r="I82" s="3">
        <v>0.5</v>
      </c>
      <c r="J82" s="4" t="str">
        <f>HYPERLINK("http://141.218.60.56/~jnz1568/getInfo.php?workbook=12_05.xlsx&amp;sheet=E0&amp;row=82&amp;col=10&amp;number=1514260&amp;sourceID=14","1514260")</f>
        <v>1514260</v>
      </c>
    </row>
    <row r="83" spans="1:10">
      <c r="A83" s="3">
        <v>12</v>
      </c>
      <c r="B83" s="3">
        <v>5</v>
      </c>
      <c r="C83" s="3">
        <v>80</v>
      </c>
      <c r="D83" s="3" t="s">
        <v>38</v>
      </c>
      <c r="E83" s="3" t="s">
        <v>13</v>
      </c>
      <c r="F83" s="3">
        <v>2</v>
      </c>
      <c r="G83" s="3">
        <v>1</v>
      </c>
      <c r="H83" s="3">
        <v>1</v>
      </c>
      <c r="I83" s="3">
        <v>0.5</v>
      </c>
      <c r="J83" s="4" t="str">
        <f>HYPERLINK("http://141.218.60.56/~jnz1568/getInfo.php?workbook=12_05.xlsx&amp;sheet=E0&amp;row=83&amp;col=10&amp;number=1610670&amp;sourceID=14","1610670")</f>
        <v>1610670</v>
      </c>
    </row>
    <row r="84" spans="1:10">
      <c r="A84" s="3">
        <v>12</v>
      </c>
      <c r="B84" s="3">
        <v>5</v>
      </c>
      <c r="C84" s="3">
        <v>81</v>
      </c>
      <c r="D84" s="3" t="s">
        <v>39</v>
      </c>
      <c r="E84" s="3" t="s">
        <v>17</v>
      </c>
      <c r="F84" s="3">
        <v>2</v>
      </c>
      <c r="G84" s="3">
        <v>0</v>
      </c>
      <c r="H84" s="3">
        <v>0</v>
      </c>
      <c r="I84" s="3">
        <v>0.5</v>
      </c>
      <c r="J84" s="4" t="str">
        <f>HYPERLINK("http://141.218.60.56/~jnz1568/getInfo.php?workbook=12_05.xlsx&amp;sheet=E0&amp;row=84&amp;col=10&amp;number=0&amp;sourceID=14","0")</f>
        <v>0</v>
      </c>
    </row>
    <row r="85" spans="1:10">
      <c r="A85" s="3">
        <v>12</v>
      </c>
      <c r="B85" s="3">
        <v>5</v>
      </c>
      <c r="C85" s="3">
        <v>82</v>
      </c>
      <c r="D85" s="3" t="s">
        <v>39</v>
      </c>
      <c r="E85" s="3" t="s">
        <v>22</v>
      </c>
      <c r="F85" s="3">
        <v>4</v>
      </c>
      <c r="G85" s="3">
        <v>2</v>
      </c>
      <c r="H85" s="3">
        <v>0</v>
      </c>
      <c r="I85" s="3">
        <v>0.5</v>
      </c>
      <c r="J85" s="4" t="str">
        <f>HYPERLINK("http://141.218.60.56/~jnz1568/getInfo.php?workbook=12_05.xlsx&amp;sheet=E0&amp;row=85&amp;col=10&amp;number=0&amp;sourceID=14","0")</f>
        <v>0</v>
      </c>
    </row>
    <row r="86" spans="1:10">
      <c r="A86" s="3">
        <v>12</v>
      </c>
      <c r="B86" s="3">
        <v>5</v>
      </c>
      <c r="C86" s="3">
        <v>83</v>
      </c>
      <c r="D86" s="3" t="s">
        <v>39</v>
      </c>
      <c r="E86" s="3" t="s">
        <v>15</v>
      </c>
      <c r="F86" s="3">
        <v>4</v>
      </c>
      <c r="G86" s="3">
        <v>1</v>
      </c>
      <c r="H86" s="3">
        <v>1</v>
      </c>
      <c r="I86" s="3">
        <v>0.5</v>
      </c>
      <c r="J86" s="4" t="str">
        <f>HYPERLINK("http://141.218.60.56/~jnz1568/getInfo.php?workbook=12_05.xlsx&amp;sheet=E0&amp;row=86&amp;col=10&amp;number=0&amp;sourceID=14","0")</f>
        <v>0</v>
      </c>
    </row>
    <row r="87" spans="1:10">
      <c r="A87" s="3">
        <v>12</v>
      </c>
      <c r="B87" s="3">
        <v>5</v>
      </c>
      <c r="C87" s="3">
        <v>84</v>
      </c>
      <c r="D87" s="3" t="s">
        <v>39</v>
      </c>
      <c r="E87" s="3" t="s">
        <v>13</v>
      </c>
      <c r="F87" s="3">
        <v>2</v>
      </c>
      <c r="G87" s="3">
        <v>1</v>
      </c>
      <c r="H87" s="3">
        <v>1</v>
      </c>
      <c r="I87" s="3">
        <v>0.5</v>
      </c>
      <c r="J87" s="4" t="str">
        <f>HYPERLINK("http://141.218.60.56/~jnz1568/getInfo.php?workbook=12_05.xlsx&amp;sheet=E0&amp;row=87&amp;col=10&amp;number=0&amp;sourceID=14","0")</f>
        <v>0</v>
      </c>
    </row>
    <row r="88" spans="1:10">
      <c r="A88" s="3">
        <v>12</v>
      </c>
      <c r="B88" s="3">
        <v>5</v>
      </c>
      <c r="C88" s="3">
        <v>85</v>
      </c>
      <c r="D88" s="3" t="s">
        <v>40</v>
      </c>
      <c r="E88" s="3" t="s">
        <v>13</v>
      </c>
      <c r="F88" s="3">
        <v>2</v>
      </c>
      <c r="G88" s="3">
        <v>1</v>
      </c>
      <c r="H88" s="3">
        <v>1</v>
      </c>
      <c r="I88" s="3">
        <v>0.5</v>
      </c>
      <c r="J88" s="4" t="str">
        <f>HYPERLINK("http://141.218.60.56/~jnz1568/getInfo.php?workbook=12_05.xlsx&amp;sheet=E0&amp;row=88&amp;col=10&amp;number=0&amp;sourceID=14","0")</f>
        <v>0</v>
      </c>
    </row>
    <row r="89" spans="1:10">
      <c r="A89" s="3">
        <v>12</v>
      </c>
      <c r="B89" s="3">
        <v>5</v>
      </c>
      <c r="C89" s="3">
        <v>86</v>
      </c>
      <c r="D89" s="3" t="s">
        <v>41</v>
      </c>
      <c r="E89" s="3" t="s">
        <v>13</v>
      </c>
      <c r="F89" s="3">
        <v>2</v>
      </c>
      <c r="G89" s="3">
        <v>1</v>
      </c>
      <c r="H89" s="3">
        <v>1</v>
      </c>
      <c r="I89" s="3">
        <v>0.5</v>
      </c>
      <c r="J89" s="4" t="str">
        <f>HYPERLINK("http://141.218.60.56/~jnz1568/getInfo.php?workbook=12_05.xlsx&amp;sheet=E0&amp;row=89&amp;col=10&amp;number=0&amp;sourceID=14","0")</f>
        <v>0</v>
      </c>
    </row>
    <row r="90" spans="1:10">
      <c r="A90" s="3">
        <v>12</v>
      </c>
      <c r="B90" s="3">
        <v>5</v>
      </c>
      <c r="C90" s="3">
        <v>87</v>
      </c>
      <c r="D90" s="3" t="s">
        <v>34</v>
      </c>
      <c r="E90" s="3" t="s">
        <v>13</v>
      </c>
      <c r="F90" s="3">
        <v>2</v>
      </c>
      <c r="G90" s="3">
        <v>1</v>
      </c>
      <c r="H90" s="3">
        <v>1</v>
      </c>
      <c r="I90" s="3">
        <v>1.5</v>
      </c>
      <c r="J90" s="4" t="str">
        <f>HYPERLINK("http://141.218.60.56/~jnz1568/getInfo.php?workbook=12_05.xlsx&amp;sheet=E0&amp;row=90&amp;col=10&amp;number=0&amp;sourceID=14","0")</f>
        <v>0</v>
      </c>
    </row>
    <row r="91" spans="1:10">
      <c r="A91" s="3">
        <v>12</v>
      </c>
      <c r="B91" s="3">
        <v>5</v>
      </c>
      <c r="C91" s="3">
        <v>88</v>
      </c>
      <c r="D91" s="3" t="s">
        <v>35</v>
      </c>
      <c r="E91" s="3" t="s">
        <v>15</v>
      </c>
      <c r="F91" s="3">
        <v>4</v>
      </c>
      <c r="G91" s="3">
        <v>1</v>
      </c>
      <c r="H91" s="3">
        <v>1</v>
      </c>
      <c r="I91" s="3">
        <v>1.5</v>
      </c>
      <c r="J91" s="4" t="str">
        <f>HYPERLINK("http://141.218.60.56/~jnz1568/getInfo.php?workbook=12_05.xlsx&amp;sheet=E0&amp;row=91&amp;col=10&amp;number=1352530&amp;sourceID=14","1352530")</f>
        <v>1352530</v>
      </c>
    </row>
    <row r="92" spans="1:10">
      <c r="A92" s="3">
        <v>12</v>
      </c>
      <c r="B92" s="3">
        <v>5</v>
      </c>
      <c r="C92" s="3">
        <v>89</v>
      </c>
      <c r="D92" s="3" t="s">
        <v>35</v>
      </c>
      <c r="E92" s="3" t="s">
        <v>13</v>
      </c>
      <c r="F92" s="3">
        <v>2</v>
      </c>
      <c r="G92" s="3">
        <v>1</v>
      </c>
      <c r="H92" s="3">
        <v>1</v>
      </c>
      <c r="I92" s="3">
        <v>1.5</v>
      </c>
      <c r="J92" s="4" t="str">
        <f>HYPERLINK("http://141.218.60.56/~jnz1568/getInfo.php?workbook=12_05.xlsx&amp;sheet=E0&amp;row=92&amp;col=10&amp;number=1383760&amp;sourceID=14","1383760")</f>
        <v>1383760</v>
      </c>
    </row>
    <row r="93" spans="1:10">
      <c r="A93" s="3">
        <v>12</v>
      </c>
      <c r="B93" s="3">
        <v>5</v>
      </c>
      <c r="C93" s="3">
        <v>90</v>
      </c>
      <c r="D93" s="3" t="s">
        <v>36</v>
      </c>
      <c r="E93" s="3" t="s">
        <v>30</v>
      </c>
      <c r="F93" s="3">
        <v>4</v>
      </c>
      <c r="G93" s="3">
        <v>3</v>
      </c>
      <c r="H93" s="3">
        <v>1</v>
      </c>
      <c r="I93" s="3">
        <v>1.5</v>
      </c>
      <c r="J93" s="4" t="str">
        <f>HYPERLINK("http://141.218.60.56/~jnz1568/getInfo.php?workbook=12_05.xlsx&amp;sheet=E0&amp;row=93&amp;col=10&amp;number=0&amp;sourceID=14","0")</f>
        <v>0</v>
      </c>
    </row>
    <row r="94" spans="1:10">
      <c r="A94" s="3">
        <v>12</v>
      </c>
      <c r="B94" s="3">
        <v>5</v>
      </c>
      <c r="C94" s="3">
        <v>91</v>
      </c>
      <c r="D94" s="3" t="s">
        <v>36</v>
      </c>
      <c r="E94" s="3" t="s">
        <v>22</v>
      </c>
      <c r="F94" s="3">
        <v>4</v>
      </c>
      <c r="G94" s="3">
        <v>2</v>
      </c>
      <c r="H94" s="3">
        <v>0</v>
      </c>
      <c r="I94" s="3">
        <v>1.5</v>
      </c>
      <c r="J94" s="4" t="str">
        <f>HYPERLINK("http://141.218.60.56/~jnz1568/getInfo.php?workbook=12_05.xlsx&amp;sheet=E0&amp;row=94&amp;col=10&amp;number=1476260&amp;sourceID=14","1476260")</f>
        <v>1476260</v>
      </c>
    </row>
    <row r="95" spans="1:10">
      <c r="A95" s="3">
        <v>12</v>
      </c>
      <c r="B95" s="3">
        <v>5</v>
      </c>
      <c r="C95" s="3">
        <v>92</v>
      </c>
      <c r="D95" s="3" t="s">
        <v>36</v>
      </c>
      <c r="E95" s="3" t="s">
        <v>16</v>
      </c>
      <c r="F95" s="3">
        <v>2</v>
      </c>
      <c r="G95" s="3">
        <v>2</v>
      </c>
      <c r="H95" s="3">
        <v>0</v>
      </c>
      <c r="I95" s="3">
        <v>1.5</v>
      </c>
      <c r="J95" s="4" t="str">
        <f>HYPERLINK("http://141.218.60.56/~jnz1568/getInfo.php?workbook=12_05.xlsx&amp;sheet=E0&amp;row=95&amp;col=10&amp;number=1478340&amp;sourceID=14","1478340")</f>
        <v>1478340</v>
      </c>
    </row>
    <row r="96" spans="1:10">
      <c r="A96" s="3">
        <v>12</v>
      </c>
      <c r="B96" s="3">
        <v>5</v>
      </c>
      <c r="C96" s="3">
        <v>93</v>
      </c>
      <c r="D96" s="3" t="s">
        <v>36</v>
      </c>
      <c r="E96" s="3" t="s">
        <v>15</v>
      </c>
      <c r="F96" s="3">
        <v>4</v>
      </c>
      <c r="G96" s="3">
        <v>1</v>
      </c>
      <c r="H96" s="3">
        <v>1</v>
      </c>
      <c r="I96" s="3">
        <v>1.5</v>
      </c>
      <c r="J96" s="4" t="str">
        <f>HYPERLINK("http://141.218.60.56/~jnz1568/getInfo.php?workbook=12_05.xlsx&amp;sheet=E0&amp;row=96&amp;col=10&amp;number=1484420&amp;sourceID=14","1484420")</f>
        <v>1484420</v>
      </c>
    </row>
    <row r="97" spans="1:10">
      <c r="A97" s="3">
        <v>12</v>
      </c>
      <c r="B97" s="3">
        <v>5</v>
      </c>
      <c r="C97" s="3">
        <v>94</v>
      </c>
      <c r="D97" s="3" t="s">
        <v>37</v>
      </c>
      <c r="E97" s="3" t="s">
        <v>13</v>
      </c>
      <c r="F97" s="3">
        <v>2</v>
      </c>
      <c r="G97" s="3">
        <v>1</v>
      </c>
      <c r="H97" s="3">
        <v>1</v>
      </c>
      <c r="I97" s="3">
        <v>1.5</v>
      </c>
      <c r="J97" s="4" t="str">
        <f>HYPERLINK("http://141.218.60.56/~jnz1568/getInfo.php?workbook=12_05.xlsx&amp;sheet=E0&amp;row=97&amp;col=10&amp;number=0&amp;sourceID=14","0")</f>
        <v>0</v>
      </c>
    </row>
    <row r="98" spans="1:10">
      <c r="A98" s="3">
        <v>12</v>
      </c>
      <c r="B98" s="3">
        <v>5</v>
      </c>
      <c r="C98" s="3">
        <v>95</v>
      </c>
      <c r="D98" s="3" t="s">
        <v>36</v>
      </c>
      <c r="E98" s="3" t="s">
        <v>13</v>
      </c>
      <c r="F98" s="3">
        <v>2</v>
      </c>
      <c r="G98" s="3">
        <v>1</v>
      </c>
      <c r="H98" s="3">
        <v>1</v>
      </c>
      <c r="I98" s="3">
        <v>1.5</v>
      </c>
      <c r="J98" s="4" t="str">
        <f>HYPERLINK("http://141.218.60.56/~jnz1568/getInfo.php?workbook=12_05.xlsx&amp;sheet=E0&amp;row=98&amp;col=10&amp;number=1513100&amp;sourceID=14","1513100")</f>
        <v>1513100</v>
      </c>
    </row>
    <row r="99" spans="1:10">
      <c r="A99" s="3">
        <v>12</v>
      </c>
      <c r="B99" s="3">
        <v>5</v>
      </c>
      <c r="C99" s="3">
        <v>96</v>
      </c>
      <c r="D99" s="3" t="s">
        <v>38</v>
      </c>
      <c r="E99" s="3" t="s">
        <v>16</v>
      </c>
      <c r="F99" s="3">
        <v>2</v>
      </c>
      <c r="G99" s="3">
        <v>2</v>
      </c>
      <c r="H99" s="3">
        <v>0</v>
      </c>
      <c r="I99" s="3">
        <v>1.5</v>
      </c>
      <c r="J99" s="4" t="str">
        <f>HYPERLINK("http://141.218.60.56/~jnz1568/getInfo.php?workbook=12_05.xlsx&amp;sheet=E0&amp;row=99&amp;col=10&amp;number=1607850&amp;sourceID=14","1607850")</f>
        <v>1607850</v>
      </c>
    </row>
    <row r="100" spans="1:10">
      <c r="A100" s="3">
        <v>12</v>
      </c>
      <c r="B100" s="3">
        <v>5</v>
      </c>
      <c r="C100" s="3">
        <v>97</v>
      </c>
      <c r="D100" s="3" t="s">
        <v>38</v>
      </c>
      <c r="E100" s="3" t="s">
        <v>13</v>
      </c>
      <c r="F100" s="3">
        <v>2</v>
      </c>
      <c r="G100" s="3">
        <v>1</v>
      </c>
      <c r="H100" s="3">
        <v>1</v>
      </c>
      <c r="I100" s="3">
        <v>1.5</v>
      </c>
      <c r="J100" s="4" t="str">
        <f>HYPERLINK("http://141.218.60.56/~jnz1568/getInfo.php?workbook=12_05.xlsx&amp;sheet=E0&amp;row=100&amp;col=10&amp;number=0&amp;sourceID=14","0")</f>
        <v>0</v>
      </c>
    </row>
    <row r="101" spans="1:10">
      <c r="A101" s="3">
        <v>12</v>
      </c>
      <c r="B101" s="3">
        <v>5</v>
      </c>
      <c r="C101" s="3">
        <v>98</v>
      </c>
      <c r="D101" s="3" t="s">
        <v>39</v>
      </c>
      <c r="E101" s="3" t="s">
        <v>22</v>
      </c>
      <c r="F101" s="3">
        <v>4</v>
      </c>
      <c r="G101" s="3">
        <v>2</v>
      </c>
      <c r="H101" s="3">
        <v>0</v>
      </c>
      <c r="I101" s="3">
        <v>1.5</v>
      </c>
      <c r="J101" s="4" t="str">
        <f>HYPERLINK("http://141.218.60.56/~jnz1568/getInfo.php?workbook=12_05.xlsx&amp;sheet=E0&amp;row=101&amp;col=10&amp;number=0&amp;sourceID=14","0")</f>
        <v>0</v>
      </c>
    </row>
    <row r="102" spans="1:10">
      <c r="A102" s="3">
        <v>12</v>
      </c>
      <c r="B102" s="3">
        <v>5</v>
      </c>
      <c r="C102" s="3">
        <v>99</v>
      </c>
      <c r="D102" s="3" t="s">
        <v>39</v>
      </c>
      <c r="E102" s="3" t="s">
        <v>15</v>
      </c>
      <c r="F102" s="3">
        <v>4</v>
      </c>
      <c r="G102" s="3">
        <v>1</v>
      </c>
      <c r="H102" s="3">
        <v>1</v>
      </c>
      <c r="I102" s="3">
        <v>1.5</v>
      </c>
      <c r="J102" s="4" t="str">
        <f>HYPERLINK("http://141.218.60.56/~jnz1568/getInfo.php?workbook=12_05.xlsx&amp;sheet=E0&amp;row=102&amp;col=10&amp;number=0&amp;sourceID=14","0")</f>
        <v>0</v>
      </c>
    </row>
    <row r="103" spans="1:10">
      <c r="A103" s="3">
        <v>12</v>
      </c>
      <c r="B103" s="3">
        <v>5</v>
      </c>
      <c r="C103" s="3">
        <v>100</v>
      </c>
      <c r="D103" s="3" t="s">
        <v>39</v>
      </c>
      <c r="E103" s="3" t="s">
        <v>16</v>
      </c>
      <c r="F103" s="3">
        <v>2</v>
      </c>
      <c r="G103" s="3">
        <v>2</v>
      </c>
      <c r="H103" s="3">
        <v>0</v>
      </c>
      <c r="I103" s="3">
        <v>1.5</v>
      </c>
      <c r="J103" s="4" t="str">
        <f>HYPERLINK("http://141.218.60.56/~jnz1568/getInfo.php?workbook=12_05.xlsx&amp;sheet=E0&amp;row=103&amp;col=10&amp;number=0&amp;sourceID=14","0")</f>
        <v>0</v>
      </c>
    </row>
    <row r="104" spans="1:10">
      <c r="A104" s="3">
        <v>12</v>
      </c>
      <c r="B104" s="3">
        <v>5</v>
      </c>
      <c r="C104" s="3">
        <v>101</v>
      </c>
      <c r="D104" s="3" t="s">
        <v>39</v>
      </c>
      <c r="E104" s="3" t="s">
        <v>19</v>
      </c>
      <c r="F104" s="3">
        <v>4</v>
      </c>
      <c r="G104" s="3">
        <v>0</v>
      </c>
      <c r="H104" s="3">
        <v>0</v>
      </c>
      <c r="I104" s="3">
        <v>1.5</v>
      </c>
      <c r="J104" s="4" t="str">
        <f>HYPERLINK("http://141.218.60.56/~jnz1568/getInfo.php?workbook=12_05.xlsx&amp;sheet=E0&amp;row=104&amp;col=10&amp;number=1674020&amp;sourceID=14","1674020")</f>
        <v>1674020</v>
      </c>
    </row>
    <row r="105" spans="1:10">
      <c r="A105" s="3">
        <v>12</v>
      </c>
      <c r="B105" s="3">
        <v>5</v>
      </c>
      <c r="C105" s="3">
        <v>102</v>
      </c>
      <c r="D105" s="3" t="s">
        <v>39</v>
      </c>
      <c r="E105" s="3" t="s">
        <v>13</v>
      </c>
      <c r="F105" s="3">
        <v>2</v>
      </c>
      <c r="G105" s="3">
        <v>1</v>
      </c>
      <c r="H105" s="3">
        <v>1</v>
      </c>
      <c r="I105" s="3">
        <v>1.5</v>
      </c>
      <c r="J105" s="4" t="str">
        <f>HYPERLINK("http://141.218.60.56/~jnz1568/getInfo.php?workbook=12_05.xlsx&amp;sheet=E0&amp;row=105&amp;col=10&amp;number=0&amp;sourceID=14","0")</f>
        <v>0</v>
      </c>
    </row>
    <row r="106" spans="1:10">
      <c r="A106" s="3">
        <v>12</v>
      </c>
      <c r="B106" s="3">
        <v>5</v>
      </c>
      <c r="C106" s="3">
        <v>103</v>
      </c>
      <c r="D106" s="3" t="s">
        <v>40</v>
      </c>
      <c r="E106" s="3" t="s">
        <v>16</v>
      </c>
      <c r="F106" s="3">
        <v>2</v>
      </c>
      <c r="G106" s="3">
        <v>2</v>
      </c>
      <c r="H106" s="3">
        <v>0</v>
      </c>
      <c r="I106" s="3">
        <v>1.5</v>
      </c>
      <c r="J106" s="4" t="str">
        <f>HYPERLINK("http://141.218.60.56/~jnz1568/getInfo.php?workbook=12_05.xlsx&amp;sheet=E0&amp;row=106&amp;col=10&amp;number=0&amp;sourceID=14","0")</f>
        <v>0</v>
      </c>
    </row>
    <row r="107" spans="1:10">
      <c r="A107" s="3">
        <v>12</v>
      </c>
      <c r="B107" s="3">
        <v>5</v>
      </c>
      <c r="C107" s="3">
        <v>104</v>
      </c>
      <c r="D107" s="3" t="s">
        <v>40</v>
      </c>
      <c r="E107" s="3" t="s">
        <v>13</v>
      </c>
      <c r="F107" s="3">
        <v>2</v>
      </c>
      <c r="G107" s="3">
        <v>1</v>
      </c>
      <c r="H107" s="3">
        <v>1</v>
      </c>
      <c r="I107" s="3">
        <v>1.5</v>
      </c>
      <c r="J107" s="4" t="str">
        <f>HYPERLINK("http://141.218.60.56/~jnz1568/getInfo.php?workbook=12_05.xlsx&amp;sheet=E0&amp;row=107&amp;col=10&amp;number=0&amp;sourceID=14","0")</f>
        <v>0</v>
      </c>
    </row>
    <row r="108" spans="1:10">
      <c r="A108" s="3">
        <v>12</v>
      </c>
      <c r="B108" s="3">
        <v>5</v>
      </c>
      <c r="C108" s="3">
        <v>105</v>
      </c>
      <c r="D108" s="3" t="s">
        <v>41</v>
      </c>
      <c r="E108" s="3" t="s">
        <v>13</v>
      </c>
      <c r="F108" s="3">
        <v>2</v>
      </c>
      <c r="G108" s="3">
        <v>1</v>
      </c>
      <c r="H108" s="3">
        <v>1</v>
      </c>
      <c r="I108" s="3">
        <v>1.5</v>
      </c>
      <c r="J108" s="4" t="str">
        <f>HYPERLINK("http://141.218.60.56/~jnz1568/getInfo.php?workbook=12_05.xlsx&amp;sheet=E0&amp;row=108&amp;col=10&amp;number=0&amp;sourceID=14","0")</f>
        <v>0</v>
      </c>
    </row>
    <row r="109" spans="1:10">
      <c r="A109" s="3">
        <v>12</v>
      </c>
      <c r="B109" s="3">
        <v>5</v>
      </c>
      <c r="C109" s="3">
        <v>106</v>
      </c>
      <c r="D109" s="3" t="s">
        <v>35</v>
      </c>
      <c r="E109" s="3" t="s">
        <v>15</v>
      </c>
      <c r="F109" s="3">
        <v>4</v>
      </c>
      <c r="G109" s="3">
        <v>1</v>
      </c>
      <c r="H109" s="3">
        <v>1</v>
      </c>
      <c r="I109" s="3">
        <v>2.5</v>
      </c>
      <c r="J109" s="4" t="str">
        <f>HYPERLINK("http://141.218.60.56/~jnz1568/getInfo.php?workbook=12_05.xlsx&amp;sheet=E0&amp;row=109&amp;col=10&amp;number=1354550&amp;sourceID=14","1354550")</f>
        <v>1354550</v>
      </c>
    </row>
    <row r="110" spans="1:10">
      <c r="A110" s="3">
        <v>12</v>
      </c>
      <c r="B110" s="3">
        <v>5</v>
      </c>
      <c r="C110" s="3">
        <v>107</v>
      </c>
      <c r="D110" s="3" t="s">
        <v>36</v>
      </c>
      <c r="E110" s="3" t="s">
        <v>30</v>
      </c>
      <c r="F110" s="3">
        <v>4</v>
      </c>
      <c r="G110" s="3">
        <v>3</v>
      </c>
      <c r="H110" s="3">
        <v>1</v>
      </c>
      <c r="I110" s="3">
        <v>2.5</v>
      </c>
      <c r="J110" s="4" t="str">
        <f>HYPERLINK("http://141.218.60.56/~jnz1568/getInfo.php?workbook=12_05.xlsx&amp;sheet=E0&amp;row=110&amp;col=10&amp;number=0&amp;sourceID=14","0")</f>
        <v>0</v>
      </c>
    </row>
    <row r="111" spans="1:10">
      <c r="A111" s="3">
        <v>12</v>
      </c>
      <c r="B111" s="3">
        <v>5</v>
      </c>
      <c r="C111" s="3">
        <v>108</v>
      </c>
      <c r="D111" s="3" t="s">
        <v>36</v>
      </c>
      <c r="E111" s="3" t="s">
        <v>22</v>
      </c>
      <c r="F111" s="3">
        <v>4</v>
      </c>
      <c r="G111" s="3">
        <v>2</v>
      </c>
      <c r="H111" s="3">
        <v>0</v>
      </c>
      <c r="I111" s="3">
        <v>2.5</v>
      </c>
      <c r="J111" s="4" t="str">
        <f>HYPERLINK("http://141.218.60.56/~jnz1568/getInfo.php?workbook=12_05.xlsx&amp;sheet=E0&amp;row=111&amp;col=10&amp;number=1476590&amp;sourceID=14","1476590")</f>
        <v>1476590</v>
      </c>
    </row>
    <row r="112" spans="1:10">
      <c r="A112" s="3">
        <v>12</v>
      </c>
      <c r="B112" s="3">
        <v>5</v>
      </c>
      <c r="C112" s="3">
        <v>109</v>
      </c>
      <c r="D112" s="3" t="s">
        <v>36</v>
      </c>
      <c r="E112" s="3" t="s">
        <v>16</v>
      </c>
      <c r="F112" s="3">
        <v>2</v>
      </c>
      <c r="G112" s="3">
        <v>2</v>
      </c>
      <c r="H112" s="3">
        <v>0</v>
      </c>
      <c r="I112" s="3">
        <v>2.5</v>
      </c>
      <c r="J112" s="4" t="str">
        <f>HYPERLINK("http://141.218.60.56/~jnz1568/getInfo.php?workbook=12_05.xlsx&amp;sheet=E0&amp;row=112&amp;col=10&amp;number=1478690&amp;sourceID=14","1478690")</f>
        <v>1478690</v>
      </c>
    </row>
    <row r="113" spans="1:10">
      <c r="A113" s="3">
        <v>12</v>
      </c>
      <c r="B113" s="3">
        <v>5</v>
      </c>
      <c r="C113" s="3">
        <v>110</v>
      </c>
      <c r="D113" s="3" t="s">
        <v>36</v>
      </c>
      <c r="E113" s="3" t="s">
        <v>15</v>
      </c>
      <c r="F113" s="3">
        <v>4</v>
      </c>
      <c r="G113" s="3">
        <v>1</v>
      </c>
      <c r="H113" s="3">
        <v>1</v>
      </c>
      <c r="I113" s="3">
        <v>2.5</v>
      </c>
      <c r="J113" s="4" t="str">
        <f>HYPERLINK("http://141.218.60.56/~jnz1568/getInfo.php?workbook=12_05.xlsx&amp;sheet=E0&amp;row=113&amp;col=10&amp;number=1483690&amp;sourceID=14","1483690")</f>
        <v>1483690</v>
      </c>
    </row>
    <row r="114" spans="1:10">
      <c r="A114" s="3">
        <v>12</v>
      </c>
      <c r="B114" s="3">
        <v>5</v>
      </c>
      <c r="C114" s="3">
        <v>111</v>
      </c>
      <c r="D114" s="3" t="s">
        <v>36</v>
      </c>
      <c r="E114" s="3" t="s">
        <v>32</v>
      </c>
      <c r="F114" s="3">
        <v>2</v>
      </c>
      <c r="G114" s="3">
        <v>3</v>
      </c>
      <c r="H114" s="3">
        <v>1</v>
      </c>
      <c r="I114" s="3">
        <v>2.5</v>
      </c>
      <c r="J114" s="4" t="str">
        <f>HYPERLINK("http://141.218.60.56/~jnz1568/getInfo.php?workbook=12_05.xlsx&amp;sheet=E0&amp;row=114&amp;col=10&amp;number=1504990&amp;sourceID=14","1504990")</f>
        <v>1504990</v>
      </c>
    </row>
    <row r="115" spans="1:10">
      <c r="A115" s="3">
        <v>12</v>
      </c>
      <c r="B115" s="3">
        <v>5</v>
      </c>
      <c r="C115" s="3">
        <v>112</v>
      </c>
      <c r="D115" s="3" t="s">
        <v>38</v>
      </c>
      <c r="E115" s="3" t="s">
        <v>32</v>
      </c>
      <c r="F115" s="3">
        <v>2</v>
      </c>
      <c r="G115" s="3">
        <v>3</v>
      </c>
      <c r="H115" s="3">
        <v>1</v>
      </c>
      <c r="I115" s="3">
        <v>2.5</v>
      </c>
      <c r="J115" s="4" t="str">
        <f>HYPERLINK("http://141.218.60.56/~jnz1568/getInfo.php?workbook=12_05.xlsx&amp;sheet=E0&amp;row=115&amp;col=10&amp;number=1597480&amp;sourceID=14","1597480")</f>
        <v>1597480</v>
      </c>
    </row>
    <row r="116" spans="1:10">
      <c r="A116" s="3">
        <v>12</v>
      </c>
      <c r="B116" s="3">
        <v>5</v>
      </c>
      <c r="C116" s="3">
        <v>113</v>
      </c>
      <c r="D116" s="3" t="s">
        <v>38</v>
      </c>
      <c r="E116" s="3" t="s">
        <v>16</v>
      </c>
      <c r="F116" s="3">
        <v>2</v>
      </c>
      <c r="G116" s="3">
        <v>2</v>
      </c>
      <c r="H116" s="3">
        <v>0</v>
      </c>
      <c r="I116" s="3">
        <v>2.5</v>
      </c>
      <c r="J116" s="4" t="str">
        <f>HYPERLINK("http://141.218.60.56/~jnz1568/getInfo.php?workbook=12_05.xlsx&amp;sheet=E0&amp;row=116&amp;col=10&amp;number=1608210&amp;sourceID=14","1608210")</f>
        <v>1608210</v>
      </c>
    </row>
    <row r="117" spans="1:10">
      <c r="A117" s="3">
        <v>12</v>
      </c>
      <c r="B117" s="3">
        <v>5</v>
      </c>
      <c r="C117" s="3">
        <v>114</v>
      </c>
      <c r="D117" s="3" t="s">
        <v>39</v>
      </c>
      <c r="E117" s="3" t="s">
        <v>22</v>
      </c>
      <c r="F117" s="3">
        <v>4</v>
      </c>
      <c r="G117" s="3">
        <v>2</v>
      </c>
      <c r="H117" s="3">
        <v>0</v>
      </c>
      <c r="I117" s="3">
        <v>2.5</v>
      </c>
      <c r="J117" s="4" t="str">
        <f>HYPERLINK("http://141.218.60.56/~jnz1568/getInfo.php?workbook=12_05.xlsx&amp;sheet=E0&amp;row=117&amp;col=10&amp;number=0&amp;sourceID=14","0")</f>
        <v>0</v>
      </c>
    </row>
    <row r="118" spans="1:10">
      <c r="A118" s="3">
        <v>12</v>
      </c>
      <c r="B118" s="3">
        <v>5</v>
      </c>
      <c r="C118" s="3">
        <v>115</v>
      </c>
      <c r="D118" s="3" t="s">
        <v>39</v>
      </c>
      <c r="E118" s="3" t="s">
        <v>15</v>
      </c>
      <c r="F118" s="3">
        <v>4</v>
      </c>
      <c r="G118" s="3">
        <v>1</v>
      </c>
      <c r="H118" s="3">
        <v>1</v>
      </c>
      <c r="I118" s="3">
        <v>2.5</v>
      </c>
      <c r="J118" s="4" t="str">
        <f>HYPERLINK("http://141.218.60.56/~jnz1568/getInfo.php?workbook=12_05.xlsx&amp;sheet=E0&amp;row=118&amp;col=10&amp;number=1652310&amp;sourceID=14","1652310")</f>
        <v>1652310</v>
      </c>
    </row>
    <row r="119" spans="1:10">
      <c r="A119" s="3">
        <v>12</v>
      </c>
      <c r="B119" s="3">
        <v>5</v>
      </c>
      <c r="C119" s="3">
        <v>116</v>
      </c>
      <c r="D119" s="3" t="s">
        <v>39</v>
      </c>
      <c r="E119" s="3" t="s">
        <v>16</v>
      </c>
      <c r="F119" s="3">
        <v>2</v>
      </c>
      <c r="G119" s="3">
        <v>2</v>
      </c>
      <c r="H119" s="3">
        <v>0</v>
      </c>
      <c r="I119" s="3">
        <v>2.5</v>
      </c>
      <c r="J119" s="4" t="str">
        <f>HYPERLINK("http://141.218.60.56/~jnz1568/getInfo.php?workbook=12_05.xlsx&amp;sheet=E0&amp;row=119&amp;col=10&amp;number=0&amp;sourceID=14","0")</f>
        <v>0</v>
      </c>
    </row>
    <row r="120" spans="1:10">
      <c r="A120" s="3">
        <v>12</v>
      </c>
      <c r="B120" s="3">
        <v>5</v>
      </c>
      <c r="C120" s="3">
        <v>117</v>
      </c>
      <c r="D120" s="3" t="s">
        <v>40</v>
      </c>
      <c r="E120" s="3" t="s">
        <v>32</v>
      </c>
      <c r="F120" s="3">
        <v>2</v>
      </c>
      <c r="G120" s="3">
        <v>3</v>
      </c>
      <c r="H120" s="3">
        <v>1</v>
      </c>
      <c r="I120" s="3">
        <v>2.5</v>
      </c>
      <c r="J120" s="4" t="str">
        <f>HYPERLINK("http://141.218.60.56/~jnz1568/getInfo.php?workbook=12_05.xlsx&amp;sheet=E0&amp;row=120&amp;col=10&amp;number=1690460&amp;sourceID=14","1690460")</f>
        <v>1690460</v>
      </c>
    </row>
    <row r="121" spans="1:10">
      <c r="A121" s="3">
        <v>12</v>
      </c>
      <c r="B121" s="3">
        <v>5</v>
      </c>
      <c r="C121" s="3">
        <v>118</v>
      </c>
      <c r="D121" s="3" t="s">
        <v>40</v>
      </c>
      <c r="E121" s="3" t="s">
        <v>16</v>
      </c>
      <c r="F121" s="3">
        <v>2</v>
      </c>
      <c r="G121" s="3">
        <v>2</v>
      </c>
      <c r="H121" s="3">
        <v>0</v>
      </c>
      <c r="I121" s="3">
        <v>2.5</v>
      </c>
      <c r="J121" s="4" t="str">
        <f>HYPERLINK("http://141.218.60.56/~jnz1568/getInfo.php?workbook=12_05.xlsx&amp;sheet=E0&amp;row=121&amp;col=10&amp;number=0&amp;sourceID=14","0")</f>
        <v>0</v>
      </c>
    </row>
    <row r="122" spans="1:10">
      <c r="A122" s="3">
        <v>12</v>
      </c>
      <c r="B122" s="3">
        <v>5</v>
      </c>
      <c r="C122" s="3">
        <v>119</v>
      </c>
      <c r="D122" s="3" t="s">
        <v>36</v>
      </c>
      <c r="E122" s="3" t="s">
        <v>30</v>
      </c>
      <c r="F122" s="3">
        <v>4</v>
      </c>
      <c r="G122" s="3">
        <v>3</v>
      </c>
      <c r="H122" s="3">
        <v>1</v>
      </c>
      <c r="I122" s="3">
        <v>3.5</v>
      </c>
      <c r="J122" s="4" t="str">
        <f>HYPERLINK("http://141.218.60.56/~jnz1568/getInfo.php?workbook=12_05.xlsx&amp;sheet=E0&amp;row=122&amp;col=10&amp;number=0&amp;sourceID=14","0")</f>
        <v>0</v>
      </c>
    </row>
    <row r="123" spans="1:10">
      <c r="A123" s="3">
        <v>12</v>
      </c>
      <c r="B123" s="3">
        <v>5</v>
      </c>
      <c r="C123" s="3">
        <v>120</v>
      </c>
      <c r="D123" s="3" t="s">
        <v>36</v>
      </c>
      <c r="E123" s="3" t="s">
        <v>22</v>
      </c>
      <c r="F123" s="3">
        <v>4</v>
      </c>
      <c r="G123" s="3">
        <v>2</v>
      </c>
      <c r="H123" s="3">
        <v>0</v>
      </c>
      <c r="I123" s="3">
        <v>3.5</v>
      </c>
      <c r="J123" s="4" t="str">
        <f>HYPERLINK("http://141.218.60.56/~jnz1568/getInfo.php?workbook=12_05.xlsx&amp;sheet=E0&amp;row=123&amp;col=10&amp;number=1477410&amp;sourceID=14","1477410")</f>
        <v>1477410</v>
      </c>
    </row>
    <row r="124" spans="1:10">
      <c r="A124" s="3">
        <v>12</v>
      </c>
      <c r="B124" s="3">
        <v>5</v>
      </c>
      <c r="C124" s="3">
        <v>121</v>
      </c>
      <c r="D124" s="3" t="s">
        <v>36</v>
      </c>
      <c r="E124" s="3" t="s">
        <v>32</v>
      </c>
      <c r="F124" s="3">
        <v>2</v>
      </c>
      <c r="G124" s="3">
        <v>3</v>
      </c>
      <c r="H124" s="3">
        <v>1</v>
      </c>
      <c r="I124" s="3">
        <v>3.5</v>
      </c>
      <c r="J124" s="4" t="str">
        <f>HYPERLINK("http://141.218.60.56/~jnz1568/getInfo.php?workbook=12_05.xlsx&amp;sheet=E0&amp;row=124&amp;col=10&amp;number=1507040&amp;sourceID=14","1507040")</f>
        <v>1507040</v>
      </c>
    </row>
    <row r="125" spans="1:10">
      <c r="A125" s="3">
        <v>12</v>
      </c>
      <c r="B125" s="3">
        <v>5</v>
      </c>
      <c r="C125" s="3">
        <v>122</v>
      </c>
      <c r="D125" s="3" t="s">
        <v>38</v>
      </c>
      <c r="E125" s="3" t="s">
        <v>32</v>
      </c>
      <c r="F125" s="3">
        <v>2</v>
      </c>
      <c r="G125" s="3">
        <v>3</v>
      </c>
      <c r="H125" s="3">
        <v>1</v>
      </c>
      <c r="I125" s="3">
        <v>3.5</v>
      </c>
      <c r="J125" s="4" t="str">
        <f>HYPERLINK("http://141.218.60.56/~jnz1568/getInfo.php?workbook=12_05.xlsx&amp;sheet=E0&amp;row=125&amp;col=10&amp;number=0&amp;sourceID=14","0")</f>
        <v>0</v>
      </c>
    </row>
    <row r="126" spans="1:10">
      <c r="A126" s="3">
        <v>12</v>
      </c>
      <c r="B126" s="3">
        <v>5</v>
      </c>
      <c r="C126" s="3">
        <v>123</v>
      </c>
      <c r="D126" s="3" t="s">
        <v>39</v>
      </c>
      <c r="E126" s="3" t="s">
        <v>22</v>
      </c>
      <c r="F126" s="3">
        <v>4</v>
      </c>
      <c r="G126" s="3">
        <v>2</v>
      </c>
      <c r="H126" s="3">
        <v>0</v>
      </c>
      <c r="I126" s="3">
        <v>3.5</v>
      </c>
      <c r="J126" s="4" t="str">
        <f>HYPERLINK("http://141.218.60.56/~jnz1568/getInfo.php?workbook=12_05.xlsx&amp;sheet=E0&amp;row=126&amp;col=10&amp;number=1646280&amp;sourceID=14","1646280")</f>
        <v>1646280</v>
      </c>
    </row>
    <row r="127" spans="1:10">
      <c r="A127" s="3">
        <v>12</v>
      </c>
      <c r="B127" s="3">
        <v>5</v>
      </c>
      <c r="C127" s="3">
        <v>124</v>
      </c>
      <c r="D127" s="3" t="s">
        <v>40</v>
      </c>
      <c r="E127" s="3" t="s">
        <v>32</v>
      </c>
      <c r="F127" s="3">
        <v>2</v>
      </c>
      <c r="G127" s="3">
        <v>3</v>
      </c>
      <c r="H127" s="3">
        <v>1</v>
      </c>
      <c r="I127" s="3">
        <v>3.5</v>
      </c>
      <c r="J127" s="4" t="str">
        <f>HYPERLINK("http://141.218.60.56/~jnz1568/getInfo.php?workbook=12_05.xlsx&amp;sheet=E0&amp;row=127&amp;col=10&amp;number=1691060&amp;sourceID=14","1691060")</f>
        <v>1691060</v>
      </c>
    </row>
    <row r="128" spans="1:10">
      <c r="A128" s="3">
        <v>12</v>
      </c>
      <c r="B128" s="3">
        <v>5</v>
      </c>
      <c r="C128" s="3">
        <v>125</v>
      </c>
      <c r="D128" s="3" t="s">
        <v>36</v>
      </c>
      <c r="E128" s="3" t="s">
        <v>30</v>
      </c>
      <c r="F128" s="3">
        <v>4</v>
      </c>
      <c r="G128" s="3">
        <v>3</v>
      </c>
      <c r="H128" s="3">
        <v>1</v>
      </c>
      <c r="I128" s="3">
        <v>4.5</v>
      </c>
      <c r="J128" s="4" t="str">
        <f>HYPERLINK("http://141.218.60.56/~jnz1568/getInfo.php?workbook=12_05.xlsx&amp;sheet=E0&amp;row=128&amp;col=10&amp;number=0&amp;sourceID=14","0")</f>
        <v>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57"/>
  <sheetViews>
    <sheetView workbookViewId="0"/>
  </sheetViews>
  <sheetFormatPr defaultRowHeight="15"/>
  <cols>
    <col min="1" max="1" width="3.7109375" customWidth="1"/>
    <col min="2" max="2" width="2.7109375" customWidth="1"/>
    <col min="3" max="3" width="4.7109375" customWidth="1"/>
    <col min="4" max="4" width="4.7109375" customWidth="1"/>
    <col min="5" max="5" width="11.7109375" customWidth="1"/>
    <col min="6" max="6" width="13.7109375" customWidth="1"/>
    <col min="7" max="7" width="10.7109375" customWidth="1"/>
  </cols>
  <sheetData>
    <row r="1" spans="1:7">
      <c r="A1" s="1" t="s">
        <v>42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43</v>
      </c>
      <c r="D3" s="2" t="s">
        <v>4</v>
      </c>
      <c r="E3" s="2" t="s">
        <v>44</v>
      </c>
      <c r="F3" s="2" t="s">
        <v>45</v>
      </c>
      <c r="G3" s="2" t="s">
        <v>46</v>
      </c>
    </row>
    <row r="4" spans="1:7">
      <c r="A4" s="3">
        <v>12</v>
      </c>
      <c r="B4" s="3">
        <v>5</v>
      </c>
      <c r="C4" s="3">
        <v>2</v>
      </c>
      <c r="D4" s="3">
        <v>1</v>
      </c>
      <c r="E4" s="3">
        <v>30284.732</v>
      </c>
      <c r="F4" s="4" t="str">
        <f>HYPERLINK("http://141.218.60.56/~jnz1568/getInfo.php?workbook=12_05.xlsx&amp;sheet=A0&amp;row=4&amp;col=6&amp;number=0.31&amp;sourceID=14","0.31")</f>
        <v>0.31</v>
      </c>
      <c r="G4" s="4" t="str">
        <f>HYPERLINK("http://141.218.60.56/~jnz1568/getInfo.php?workbook=12_05.xlsx&amp;sheet=A0&amp;row=4&amp;col=7&amp;number=0&amp;sourceID=14","0")</f>
        <v>0</v>
      </c>
    </row>
    <row r="5" spans="1:7">
      <c r="A5" s="3">
        <v>12</v>
      </c>
      <c r="B5" s="3">
        <v>5</v>
      </c>
      <c r="C5" s="3">
        <v>3</v>
      </c>
      <c r="D5" s="3">
        <v>1</v>
      </c>
      <c r="E5" s="3">
        <v>769.356</v>
      </c>
      <c r="F5" s="4" t="str">
        <f>HYPERLINK("http://141.218.60.56/~jnz1568/getInfo.php?workbook=12_05.xlsx&amp;sheet=A0&amp;row=5&amp;col=6&amp;number=72900&amp;sourceID=14","72900")</f>
        <v>72900</v>
      </c>
      <c r="G5" s="4" t="str">
        <f>HYPERLINK("http://141.218.60.56/~jnz1568/getInfo.php?workbook=12_05.xlsx&amp;sheet=A0&amp;row=5&amp;col=7&amp;number=0&amp;sourceID=14","0")</f>
        <v>0</v>
      </c>
    </row>
    <row r="6" spans="1:7">
      <c r="A6" s="3">
        <v>12</v>
      </c>
      <c r="B6" s="3">
        <v>5</v>
      </c>
      <c r="C6" s="3">
        <v>4</v>
      </c>
      <c r="D6" s="3">
        <v>1</v>
      </c>
      <c r="E6" s="3">
        <v>762.662</v>
      </c>
      <c r="F6" s="4" t="str">
        <f>HYPERLINK("http://141.218.60.56/~jnz1568/getInfo.php?workbook=12_05.xlsx&amp;sheet=A0&amp;row=6&amp;col=6&amp;number=1710&amp;sourceID=14","1710")</f>
        <v>1710</v>
      </c>
      <c r="G6" s="4" t="str">
        <f>HYPERLINK("http://141.218.60.56/~jnz1568/getInfo.php?workbook=12_05.xlsx&amp;sheet=A0&amp;row=6&amp;col=7&amp;number=0&amp;sourceID=14","0")</f>
        <v>0</v>
      </c>
    </row>
    <row r="7" spans="1:7">
      <c r="A7" s="3">
        <v>12</v>
      </c>
      <c r="B7" s="3">
        <v>5</v>
      </c>
      <c r="C7" s="3">
        <v>6</v>
      </c>
      <c r="D7" s="3">
        <v>1</v>
      </c>
      <c r="E7" s="3">
        <v>430.455</v>
      </c>
      <c r="F7" s="4" t="str">
        <f>HYPERLINK("http://141.218.60.56/~jnz1568/getInfo.php?workbook=12_05.xlsx&amp;sheet=A0&amp;row=7&amp;col=6&amp;number=1360000000&amp;sourceID=14","1360000000")</f>
        <v>1360000000</v>
      </c>
      <c r="G7" s="4" t="str">
        <f>HYPERLINK("http://141.218.60.56/~jnz1568/getInfo.php?workbook=12_05.xlsx&amp;sheet=A0&amp;row=7&amp;col=7&amp;number=0&amp;sourceID=14","0")</f>
        <v>0</v>
      </c>
    </row>
    <row r="8" spans="1:7">
      <c r="A8" s="3">
        <v>12</v>
      </c>
      <c r="B8" s="3">
        <v>5</v>
      </c>
      <c r="C8" s="3">
        <v>8</v>
      </c>
      <c r="D8" s="3">
        <v>1</v>
      </c>
      <c r="E8" s="3">
        <v>335.231</v>
      </c>
      <c r="F8" s="4" t="str">
        <f>HYPERLINK("http://141.218.60.56/~jnz1568/getInfo.php?workbook=12_05.xlsx&amp;sheet=A0&amp;row=8&amp;col=6&amp;number=3040000000&amp;sourceID=14","3040000000")</f>
        <v>3040000000</v>
      </c>
      <c r="G8" s="4" t="str">
        <f>HYPERLINK("http://141.218.60.56/~jnz1568/getInfo.php?workbook=12_05.xlsx&amp;sheet=A0&amp;row=8&amp;col=7&amp;number=0&amp;sourceID=14","0")</f>
        <v>0</v>
      </c>
    </row>
    <row r="9" spans="1:7">
      <c r="A9" s="3">
        <v>12</v>
      </c>
      <c r="B9" s="3">
        <v>5</v>
      </c>
      <c r="C9" s="3">
        <v>9</v>
      </c>
      <c r="D9" s="3">
        <v>1</v>
      </c>
      <c r="E9" s="3">
        <v>313.744</v>
      </c>
      <c r="F9" s="4" t="str">
        <f>HYPERLINK("http://141.218.60.56/~jnz1568/getInfo.php?workbook=12_05.xlsx&amp;sheet=A0&amp;row=9&amp;col=6&amp;number=7960000000&amp;sourceID=14","7960000000")</f>
        <v>7960000000</v>
      </c>
      <c r="G9" s="4" t="str">
        <f>HYPERLINK("http://141.218.60.56/~jnz1568/getInfo.php?workbook=12_05.xlsx&amp;sheet=A0&amp;row=9&amp;col=7&amp;number=0&amp;sourceID=14","0")</f>
        <v>0</v>
      </c>
    </row>
    <row r="10" spans="1:7">
      <c r="A10" s="3">
        <v>12</v>
      </c>
      <c r="B10" s="3">
        <v>5</v>
      </c>
      <c r="C10" s="3">
        <v>10</v>
      </c>
      <c r="D10" s="3">
        <v>1</v>
      </c>
      <c r="E10" s="3">
        <v>311.773</v>
      </c>
      <c r="F10" s="4" t="str">
        <f>HYPERLINK("http://141.218.60.56/~jnz1568/getInfo.php?workbook=12_05.xlsx&amp;sheet=A0&amp;row=10&amp;col=6&amp;number=2200000000&amp;sourceID=14","2200000000")</f>
        <v>2200000000</v>
      </c>
      <c r="G10" s="4" t="str">
        <f>HYPERLINK("http://141.218.60.56/~jnz1568/getInfo.php?workbook=12_05.xlsx&amp;sheet=A0&amp;row=10&amp;col=7&amp;number=0&amp;sourceID=14","0")</f>
        <v>0</v>
      </c>
    </row>
    <row r="11" spans="1:7">
      <c r="A11" s="3">
        <v>12</v>
      </c>
      <c r="B11" s="3">
        <v>5</v>
      </c>
      <c r="C11" s="3">
        <v>3</v>
      </c>
      <c r="D11" s="3">
        <v>2</v>
      </c>
      <c r="E11" s="3">
        <v>789.411</v>
      </c>
      <c r="F11" s="4" t="str">
        <f>HYPERLINK("http://141.218.60.56/~jnz1568/getInfo.php?workbook=12_05.xlsx&amp;sheet=A0&amp;row=11&amp;col=6&amp;number=59600&amp;sourceID=14","59600")</f>
        <v>59600</v>
      </c>
      <c r="G11" s="4" t="str">
        <f>HYPERLINK("http://141.218.60.56/~jnz1568/getInfo.php?workbook=12_05.xlsx&amp;sheet=A0&amp;row=11&amp;col=7&amp;number=0&amp;sourceID=14","0")</f>
        <v>0</v>
      </c>
    </row>
    <row r="12" spans="1:7">
      <c r="A12" s="3">
        <v>12</v>
      </c>
      <c r="B12" s="3">
        <v>5</v>
      </c>
      <c r="C12" s="3">
        <v>4</v>
      </c>
      <c r="D12" s="3">
        <v>2</v>
      </c>
      <c r="E12" s="3">
        <v>782.364</v>
      </c>
      <c r="F12" s="4" t="str">
        <f>HYPERLINK("http://141.218.60.56/~jnz1568/getInfo.php?workbook=12_05.xlsx&amp;sheet=A0&amp;row=12&amp;col=6&amp;number=16100&amp;sourceID=14","16100")</f>
        <v>16100</v>
      </c>
      <c r="G12" s="4" t="str">
        <f>HYPERLINK("http://141.218.60.56/~jnz1568/getInfo.php?workbook=12_05.xlsx&amp;sheet=A0&amp;row=12&amp;col=7&amp;number=0&amp;sourceID=14","0")</f>
        <v>0</v>
      </c>
    </row>
    <row r="13" spans="1:7">
      <c r="A13" s="3">
        <v>12</v>
      </c>
      <c r="B13" s="3">
        <v>5</v>
      </c>
      <c r="C13" s="3">
        <v>5</v>
      </c>
      <c r="D13" s="3">
        <v>2</v>
      </c>
      <c r="E13" s="3">
        <v>772.262</v>
      </c>
      <c r="F13" s="4" t="str">
        <f>HYPERLINK("http://141.218.60.56/~jnz1568/getInfo.php?workbook=12_05.xlsx&amp;sheet=A0&amp;row=13&amp;col=6&amp;number=56700&amp;sourceID=14","56700")</f>
        <v>56700</v>
      </c>
      <c r="G13" s="4" t="str">
        <f>HYPERLINK("http://141.218.60.56/~jnz1568/getInfo.php?workbook=12_05.xlsx&amp;sheet=A0&amp;row=13&amp;col=7&amp;number=0&amp;sourceID=14","0")</f>
        <v>0</v>
      </c>
    </row>
    <row r="14" spans="1:7">
      <c r="A14" s="3">
        <v>12</v>
      </c>
      <c r="B14" s="3">
        <v>5</v>
      </c>
      <c r="C14" s="3">
        <v>6</v>
      </c>
      <c r="D14" s="3">
        <v>2</v>
      </c>
      <c r="E14" s="3">
        <v>436.661</v>
      </c>
      <c r="F14" s="4" t="str">
        <f>HYPERLINK("http://141.218.60.56/~jnz1568/getInfo.php?workbook=12_05.xlsx&amp;sheet=A0&amp;row=14&amp;col=6&amp;number=234000000&amp;sourceID=14","234000000")</f>
        <v>234000000</v>
      </c>
      <c r="G14" s="4" t="str">
        <f>HYPERLINK("http://141.218.60.56/~jnz1568/getInfo.php?workbook=12_05.xlsx&amp;sheet=A0&amp;row=14&amp;col=7&amp;number=0&amp;sourceID=14","0")</f>
        <v>0</v>
      </c>
    </row>
    <row r="15" spans="1:7">
      <c r="A15" s="3">
        <v>12</v>
      </c>
      <c r="B15" s="3">
        <v>5</v>
      </c>
      <c r="C15" s="3">
        <v>7</v>
      </c>
      <c r="D15" s="3">
        <v>2</v>
      </c>
      <c r="E15" s="3">
        <v>436.734</v>
      </c>
      <c r="F15" s="4" t="str">
        <f>HYPERLINK("http://141.218.60.56/~jnz1568/getInfo.php?workbook=12_05.xlsx&amp;sheet=A0&amp;row=15&amp;col=6&amp;number=1590000000&amp;sourceID=14","1590000000")</f>
        <v>1590000000</v>
      </c>
      <c r="G15" s="4" t="str">
        <f>HYPERLINK("http://141.218.60.56/~jnz1568/getInfo.php?workbook=12_05.xlsx&amp;sheet=A0&amp;row=15&amp;col=7&amp;number=0&amp;sourceID=14","0")</f>
        <v>0</v>
      </c>
    </row>
    <row r="16" spans="1:7">
      <c r="A16" s="3">
        <v>12</v>
      </c>
      <c r="B16" s="3">
        <v>5</v>
      </c>
      <c r="C16" s="3">
        <v>8</v>
      </c>
      <c r="D16" s="3">
        <v>2</v>
      </c>
      <c r="E16" s="3">
        <v>338.984</v>
      </c>
      <c r="F16" s="4" t="str">
        <f>HYPERLINK("http://141.218.60.56/~jnz1568/getInfo.php?workbook=12_05.xlsx&amp;sheet=A0&amp;row=16&amp;col=6&amp;number=4100000000&amp;sourceID=14","4100000000")</f>
        <v>4100000000</v>
      </c>
      <c r="G16" s="4" t="str">
        <f>HYPERLINK("http://141.218.60.56/~jnz1568/getInfo.php?workbook=12_05.xlsx&amp;sheet=A0&amp;row=16&amp;col=7&amp;number=0&amp;sourceID=14","0")</f>
        <v>0</v>
      </c>
    </row>
    <row r="17" spans="1:7">
      <c r="A17" s="3">
        <v>12</v>
      </c>
      <c r="B17" s="3">
        <v>5</v>
      </c>
      <c r="C17" s="3">
        <v>9</v>
      </c>
      <c r="D17" s="3">
        <v>2</v>
      </c>
      <c r="E17" s="3">
        <v>317.028</v>
      </c>
      <c r="F17" s="4" t="str">
        <f>HYPERLINK("http://141.218.60.56/~jnz1568/getInfo.php?workbook=12_05.xlsx&amp;sheet=A0&amp;row=17&amp;col=6&amp;number=5680000000&amp;sourceID=14","5680000000")</f>
        <v>5680000000</v>
      </c>
      <c r="G17" s="4" t="str">
        <f>HYPERLINK("http://141.218.60.56/~jnz1568/getInfo.php?workbook=12_05.xlsx&amp;sheet=A0&amp;row=17&amp;col=7&amp;number=0&amp;sourceID=14","0")</f>
        <v>0</v>
      </c>
    </row>
    <row r="18" spans="1:7">
      <c r="A18" s="3">
        <v>12</v>
      </c>
      <c r="B18" s="3">
        <v>5</v>
      </c>
      <c r="C18" s="3">
        <v>10</v>
      </c>
      <c r="D18" s="3">
        <v>2</v>
      </c>
      <c r="E18" s="3">
        <v>315.016</v>
      </c>
      <c r="F18" s="4" t="str">
        <f>HYPERLINK("http://141.218.60.56/~jnz1568/getInfo.php?workbook=12_05.xlsx&amp;sheet=A0&amp;row=18&amp;col=6&amp;number=11500000000&amp;sourceID=14","11500000000")</f>
        <v>11500000000</v>
      </c>
      <c r="G18" s="4" t="str">
        <f>HYPERLINK("http://141.218.60.56/~jnz1568/getInfo.php?workbook=12_05.xlsx&amp;sheet=A0&amp;row=18&amp;col=7&amp;number=0&amp;sourceID=14","0")</f>
        <v>0</v>
      </c>
    </row>
    <row r="19" spans="1:7">
      <c r="A19" s="3">
        <v>12</v>
      </c>
      <c r="B19" s="3">
        <v>5</v>
      </c>
      <c r="C19" s="3">
        <v>11</v>
      </c>
      <c r="D19" s="3">
        <v>3</v>
      </c>
      <c r="E19" s="3">
        <v>352.46</v>
      </c>
      <c r="F19" s="4" t="str">
        <f>HYPERLINK("http://141.218.60.56/~jnz1568/getInfo.php?workbook=12_05.xlsx&amp;sheet=A0&amp;row=19&amp;col=6&amp;number=2090000000&amp;sourceID=14","2090000000")</f>
        <v>2090000000</v>
      </c>
      <c r="G19" s="4" t="str">
        <f>HYPERLINK("http://141.218.60.56/~jnz1568/getInfo.php?workbook=12_05.xlsx&amp;sheet=A0&amp;row=19&amp;col=7&amp;number=0&amp;sourceID=14","0")</f>
        <v>0</v>
      </c>
    </row>
    <row r="20" spans="1:7">
      <c r="A20" s="3">
        <v>12</v>
      </c>
      <c r="B20" s="3">
        <v>5</v>
      </c>
      <c r="C20" s="3">
        <v>11</v>
      </c>
      <c r="D20" s="3">
        <v>4</v>
      </c>
      <c r="E20" s="3">
        <v>353.883</v>
      </c>
      <c r="F20" s="4" t="str">
        <f>HYPERLINK("http://141.218.60.56/~jnz1568/getInfo.php?workbook=12_05.xlsx&amp;sheet=A0&amp;row=20&amp;col=6&amp;number=4180000000&amp;sourceID=14","4180000000")</f>
        <v>4180000000</v>
      </c>
      <c r="G20" s="4" t="str">
        <f>HYPERLINK("http://141.218.60.56/~jnz1568/getInfo.php?workbook=12_05.xlsx&amp;sheet=A0&amp;row=20&amp;col=7&amp;number=0&amp;sourceID=14","0")</f>
        <v>0</v>
      </c>
    </row>
    <row r="21" spans="1:7">
      <c r="A21" s="3">
        <v>12</v>
      </c>
      <c r="B21" s="3">
        <v>5</v>
      </c>
      <c r="C21" s="3">
        <v>11</v>
      </c>
      <c r="D21" s="3">
        <v>5</v>
      </c>
      <c r="E21" s="3">
        <v>355.989</v>
      </c>
      <c r="F21" s="4" t="str">
        <f>HYPERLINK("http://141.218.60.56/~jnz1568/getInfo.php?workbook=12_05.xlsx&amp;sheet=A0&amp;row=21&amp;col=6&amp;number=6270000000&amp;sourceID=14","6270000000")</f>
        <v>6270000000</v>
      </c>
      <c r="G21" s="4" t="str">
        <f>HYPERLINK("http://141.218.60.56/~jnz1568/getInfo.php?workbook=12_05.xlsx&amp;sheet=A0&amp;row=21&amp;col=7&amp;number=0&amp;sourceID=14","0")</f>
        <v>0</v>
      </c>
    </row>
    <row r="22" spans="1:7">
      <c r="A22" s="3">
        <v>12</v>
      </c>
      <c r="B22" s="3">
        <v>5</v>
      </c>
      <c r="C22" s="3">
        <v>12</v>
      </c>
      <c r="D22" s="3">
        <v>6</v>
      </c>
      <c r="E22" s="3">
        <v>428.219</v>
      </c>
      <c r="F22" s="4" t="str">
        <f>HYPERLINK("http://141.218.60.56/~jnz1568/getInfo.php?workbook=12_05.xlsx&amp;sheet=A0&amp;row=22&amp;col=6&amp;number=2940000000&amp;sourceID=14","2940000000")</f>
        <v>2940000000</v>
      </c>
      <c r="G22" s="4" t="str">
        <f>HYPERLINK("http://141.218.60.56/~jnz1568/getInfo.php?workbook=12_05.xlsx&amp;sheet=A0&amp;row=22&amp;col=7&amp;number=0&amp;sourceID=14","0")</f>
        <v>0</v>
      </c>
    </row>
    <row r="23" spans="1:7">
      <c r="A23" s="3">
        <v>12</v>
      </c>
      <c r="B23" s="3">
        <v>5</v>
      </c>
      <c r="C23" s="3">
        <v>13</v>
      </c>
      <c r="D23" s="3">
        <v>6</v>
      </c>
      <c r="E23" s="3">
        <v>428.382</v>
      </c>
      <c r="F23" s="4" t="str">
        <f>HYPERLINK("http://141.218.60.56/~jnz1568/getInfo.php?workbook=12_05.xlsx&amp;sheet=A0&amp;row=23&amp;col=6&amp;number=254000000&amp;sourceID=14","254000000")</f>
        <v>254000000</v>
      </c>
      <c r="G23" s="4" t="str">
        <f>HYPERLINK("http://141.218.60.56/~jnz1568/getInfo.php?workbook=12_05.xlsx&amp;sheet=A0&amp;row=23&amp;col=7&amp;number=0&amp;sourceID=14","0")</f>
        <v>0</v>
      </c>
    </row>
    <row r="24" spans="1:7">
      <c r="A24" s="3">
        <v>12</v>
      </c>
      <c r="B24" s="3">
        <v>5</v>
      </c>
      <c r="C24" s="3">
        <v>14</v>
      </c>
      <c r="D24" s="3">
        <v>6</v>
      </c>
      <c r="E24" s="3">
        <v>342.049</v>
      </c>
      <c r="F24" s="4" t="str">
        <f>HYPERLINK("http://141.218.60.56/~jnz1568/getInfo.php?workbook=12_05.xlsx&amp;sheet=A0&amp;row=24&amp;col=6&amp;number=5840000000&amp;sourceID=14","5840000000")</f>
        <v>5840000000</v>
      </c>
      <c r="G24" s="4" t="str">
        <f>HYPERLINK("http://141.218.60.56/~jnz1568/getInfo.php?workbook=12_05.xlsx&amp;sheet=A0&amp;row=24&amp;col=7&amp;number=0&amp;sourceID=14","0")</f>
        <v>0</v>
      </c>
    </row>
    <row r="25" spans="1:7">
      <c r="A25" s="3">
        <v>12</v>
      </c>
      <c r="B25" s="3">
        <v>5</v>
      </c>
      <c r="C25" s="3">
        <v>15</v>
      </c>
      <c r="D25" s="3">
        <v>6</v>
      </c>
      <c r="E25" s="3">
        <v>341.824</v>
      </c>
      <c r="F25" s="4" t="str">
        <f>HYPERLINK("http://141.218.60.56/~jnz1568/getInfo.php?workbook=12_05.xlsx&amp;sheet=A0&amp;row=25&amp;col=6&amp;number=652000000&amp;sourceID=14","652000000")</f>
        <v>652000000</v>
      </c>
      <c r="G25" s="4" t="str">
        <f>HYPERLINK("http://141.218.60.56/~jnz1568/getInfo.php?workbook=12_05.xlsx&amp;sheet=A0&amp;row=25&amp;col=7&amp;number=0&amp;sourceID=14","0")</f>
        <v>0</v>
      </c>
    </row>
    <row r="26" spans="1:7">
      <c r="A26" s="3">
        <v>12</v>
      </c>
      <c r="B26" s="3">
        <v>5</v>
      </c>
      <c r="C26" s="3">
        <v>12</v>
      </c>
      <c r="D26" s="3">
        <v>7</v>
      </c>
      <c r="E26" s="3">
        <v>428.149</v>
      </c>
      <c r="F26" s="4" t="str">
        <f>HYPERLINK("http://141.218.60.56/~jnz1568/getInfo.php?workbook=12_05.xlsx&amp;sheet=A0&amp;row=26&amp;col=6&amp;number=411000000&amp;sourceID=14","411000000")</f>
        <v>411000000</v>
      </c>
      <c r="G26" s="4" t="str">
        <f>HYPERLINK("http://141.218.60.56/~jnz1568/getInfo.php?workbook=12_05.xlsx&amp;sheet=A0&amp;row=26&amp;col=7&amp;number=0&amp;sourceID=14","0")</f>
        <v>0</v>
      </c>
    </row>
    <row r="27" spans="1:7">
      <c r="A27" s="3">
        <v>12</v>
      </c>
      <c r="B27" s="3">
        <v>5</v>
      </c>
      <c r="C27" s="3">
        <v>13</v>
      </c>
      <c r="D27" s="3">
        <v>7</v>
      </c>
      <c r="E27" s="3">
        <v>428.312</v>
      </c>
      <c r="F27" s="4" t="str">
        <f>HYPERLINK("http://141.218.60.56/~jnz1568/getInfo.php?workbook=12_05.xlsx&amp;sheet=A0&amp;row=27&amp;col=6&amp;number=3160000000&amp;sourceID=14","3160000000")</f>
        <v>3160000000</v>
      </c>
      <c r="G27" s="4" t="str">
        <f>HYPERLINK("http://141.218.60.56/~jnz1568/getInfo.php?workbook=12_05.xlsx&amp;sheet=A0&amp;row=27&amp;col=7&amp;number=0&amp;sourceID=14","0")</f>
        <v>0</v>
      </c>
    </row>
    <row r="28" spans="1:7">
      <c r="A28" s="3">
        <v>12</v>
      </c>
      <c r="B28" s="3">
        <v>5</v>
      </c>
      <c r="C28" s="3">
        <v>15</v>
      </c>
      <c r="D28" s="3">
        <v>7</v>
      </c>
      <c r="E28" s="3">
        <v>341.779</v>
      </c>
      <c r="F28" s="4" t="str">
        <f>HYPERLINK("http://141.218.60.56/~jnz1568/getInfo.php?workbook=12_05.xlsx&amp;sheet=A0&amp;row=28&amp;col=6&amp;number=4990000000&amp;sourceID=14","4990000000")</f>
        <v>4990000000</v>
      </c>
      <c r="G28" s="4" t="str">
        <f>HYPERLINK("http://141.218.60.56/~jnz1568/getInfo.php?workbook=12_05.xlsx&amp;sheet=A0&amp;row=28&amp;col=7&amp;number=0&amp;sourceID=14","0")</f>
        <v>0</v>
      </c>
    </row>
    <row r="29" spans="1:7">
      <c r="A29" s="3">
        <v>12</v>
      </c>
      <c r="B29" s="3">
        <v>5</v>
      </c>
      <c r="C29" s="3">
        <v>14</v>
      </c>
      <c r="D29" s="3">
        <v>8</v>
      </c>
      <c r="E29" s="3">
        <v>441.761</v>
      </c>
      <c r="F29" s="4" t="str">
        <f>HYPERLINK("http://141.218.60.56/~jnz1568/getInfo.php?workbook=12_05.xlsx&amp;sheet=A0&amp;row=29&amp;col=6&amp;number=765000000&amp;sourceID=14","765000000")</f>
        <v>765000000</v>
      </c>
      <c r="G29" s="4" t="str">
        <f>HYPERLINK("http://141.218.60.56/~jnz1568/getInfo.php?workbook=12_05.xlsx&amp;sheet=A0&amp;row=29&amp;col=7&amp;number=0&amp;sourceID=14","0")</f>
        <v>0</v>
      </c>
    </row>
    <row r="30" spans="1:7">
      <c r="A30" s="3">
        <v>12</v>
      </c>
      <c r="B30" s="3">
        <v>5</v>
      </c>
      <c r="C30" s="3">
        <v>15</v>
      </c>
      <c r="D30" s="3">
        <v>8</v>
      </c>
      <c r="E30" s="3">
        <v>441.385</v>
      </c>
      <c r="F30" s="4" t="str">
        <f>HYPERLINK("http://141.218.60.56/~jnz1568/getInfo.php?workbook=12_05.xlsx&amp;sheet=A0&amp;row=30&amp;col=6&amp;number=1160000000&amp;sourceID=14","1160000000")</f>
        <v>1160000000</v>
      </c>
      <c r="G30" s="4" t="str">
        <f>HYPERLINK("http://141.218.60.56/~jnz1568/getInfo.php?workbook=12_05.xlsx&amp;sheet=A0&amp;row=30&amp;col=7&amp;number=0&amp;sourceID=14","0")</f>
        <v>0</v>
      </c>
    </row>
    <row r="31" spans="1:7">
      <c r="A31" s="3">
        <v>12</v>
      </c>
      <c r="B31" s="3">
        <v>5</v>
      </c>
      <c r="C31" s="3">
        <v>12</v>
      </c>
      <c r="D31" s="3">
        <v>9</v>
      </c>
      <c r="E31" s="3">
        <v>679.779</v>
      </c>
      <c r="F31" s="4" t="str">
        <f>HYPERLINK("http://141.218.60.56/~jnz1568/getInfo.php?workbook=12_05.xlsx&amp;sheet=A0&amp;row=31&amp;col=6&amp;number=669000000&amp;sourceID=14","669000000")</f>
        <v>669000000</v>
      </c>
      <c r="G31" s="4" t="str">
        <f>HYPERLINK("http://141.218.60.56/~jnz1568/getInfo.php?workbook=12_05.xlsx&amp;sheet=A0&amp;row=31&amp;col=7&amp;number=0&amp;sourceID=14","0")</f>
        <v>0</v>
      </c>
    </row>
    <row r="32" spans="1:7">
      <c r="A32" s="3">
        <v>12</v>
      </c>
      <c r="B32" s="3">
        <v>5</v>
      </c>
      <c r="C32" s="3">
        <v>14</v>
      </c>
      <c r="D32" s="3">
        <v>9</v>
      </c>
      <c r="E32" s="3">
        <v>485.586</v>
      </c>
      <c r="F32" s="4" t="str">
        <f>HYPERLINK("http://141.218.60.56/~jnz1568/getInfo.php?workbook=12_05.xlsx&amp;sheet=A0&amp;row=32&amp;col=6&amp;number=2510000000&amp;sourceID=14","2510000000")</f>
        <v>2510000000</v>
      </c>
      <c r="G32" s="4" t="str">
        <f>HYPERLINK("http://141.218.60.56/~jnz1568/getInfo.php?workbook=12_05.xlsx&amp;sheet=A0&amp;row=32&amp;col=7&amp;number=0&amp;sourceID=14","0")</f>
        <v>0</v>
      </c>
    </row>
    <row r="33" spans="1:7">
      <c r="A33" s="3">
        <v>12</v>
      </c>
      <c r="B33" s="3">
        <v>5</v>
      </c>
      <c r="C33" s="3">
        <v>15</v>
      </c>
      <c r="D33" s="3">
        <v>9</v>
      </c>
      <c r="E33" s="3">
        <v>485.132</v>
      </c>
      <c r="F33" s="4" t="str">
        <f>HYPERLINK("http://141.218.60.56/~jnz1568/getInfo.php?workbook=12_05.xlsx&amp;sheet=A0&amp;row=33&amp;col=6&amp;number=353000000&amp;sourceID=14","353000000")</f>
        <v>353000000</v>
      </c>
      <c r="G33" s="4" t="str">
        <f>HYPERLINK("http://141.218.60.56/~jnz1568/getInfo.php?workbook=12_05.xlsx&amp;sheet=A0&amp;row=33&amp;col=7&amp;number=0&amp;sourceID=14","0")</f>
        <v>0</v>
      </c>
    </row>
    <row r="34" spans="1:7">
      <c r="A34" s="3">
        <v>12</v>
      </c>
      <c r="B34" s="3">
        <v>5</v>
      </c>
      <c r="C34" s="3">
        <v>12</v>
      </c>
      <c r="D34" s="3">
        <v>10</v>
      </c>
      <c r="E34" s="3">
        <v>689.219</v>
      </c>
      <c r="F34" s="4" t="str">
        <f>HYPERLINK("http://141.218.60.56/~jnz1568/getInfo.php?workbook=12_05.xlsx&amp;sheet=A0&amp;row=34&amp;col=6&amp;number=114000000&amp;sourceID=14","114000000")</f>
        <v>114000000</v>
      </c>
      <c r="G34" s="4" t="str">
        <f>HYPERLINK("http://141.218.60.56/~jnz1568/getInfo.php?workbook=12_05.xlsx&amp;sheet=A0&amp;row=34&amp;col=7&amp;number=0&amp;sourceID=14","0")</f>
        <v>0</v>
      </c>
    </row>
    <row r="35" spans="1:7">
      <c r="A35" s="3">
        <v>12</v>
      </c>
      <c r="B35" s="3">
        <v>5</v>
      </c>
      <c r="C35" s="3">
        <v>13</v>
      </c>
      <c r="D35" s="3">
        <v>10</v>
      </c>
      <c r="E35" s="3">
        <v>689.642</v>
      </c>
      <c r="F35" s="4" t="str">
        <f>HYPERLINK("http://141.218.60.56/~jnz1568/getInfo.php?workbook=12_05.xlsx&amp;sheet=A0&amp;row=35&amp;col=6&amp;number=777000000&amp;sourceID=14","777000000")</f>
        <v>777000000</v>
      </c>
      <c r="G35" s="4" t="str">
        <f>HYPERLINK("http://141.218.60.56/~jnz1568/getInfo.php?workbook=12_05.xlsx&amp;sheet=A0&amp;row=35&amp;col=7&amp;number=0&amp;sourceID=14","0")</f>
        <v>0</v>
      </c>
    </row>
    <row r="36" spans="1:7">
      <c r="A36" s="3">
        <v>12</v>
      </c>
      <c r="B36" s="3">
        <v>5</v>
      </c>
      <c r="C36" s="3">
        <v>14</v>
      </c>
      <c r="D36" s="3">
        <v>10</v>
      </c>
      <c r="E36" s="3">
        <v>490.384</v>
      </c>
      <c r="F36" s="4" t="str">
        <f>HYPERLINK("http://141.218.60.56/~jnz1568/getInfo.php?workbook=12_05.xlsx&amp;sheet=A0&amp;row=36&amp;col=6&amp;number=1070000000&amp;sourceID=14","1070000000")</f>
        <v>1070000000</v>
      </c>
      <c r="G36" s="4" t="str">
        <f>HYPERLINK("http://141.218.60.56/~jnz1568/getInfo.php?workbook=12_05.xlsx&amp;sheet=A0&amp;row=36&amp;col=7&amp;number=0&amp;sourceID=14","0")</f>
        <v>0</v>
      </c>
    </row>
    <row r="37" spans="1:7">
      <c r="A37" s="3">
        <v>12</v>
      </c>
      <c r="B37" s="3">
        <v>5</v>
      </c>
      <c r="C37" s="3">
        <v>15</v>
      </c>
      <c r="D37" s="3">
        <v>10</v>
      </c>
      <c r="E37" s="3">
        <v>489.921</v>
      </c>
      <c r="F37" s="4" t="str">
        <f>HYPERLINK("http://141.218.60.56/~jnz1568/getInfo.php?workbook=12_05.xlsx&amp;sheet=A0&amp;row=37&amp;col=6&amp;number=2910000000&amp;sourceID=14","2910000000")</f>
        <v>2910000000</v>
      </c>
      <c r="G37" s="4" t="str">
        <f>HYPERLINK("http://141.218.60.56/~jnz1568/getInfo.php?workbook=12_05.xlsx&amp;sheet=A0&amp;row=37&amp;col=7&amp;number=0&amp;sourceID=14","0")</f>
        <v>0</v>
      </c>
    </row>
    <row r="38" spans="1:7">
      <c r="A38" s="3">
        <v>12</v>
      </c>
      <c r="B38" s="3">
        <v>5</v>
      </c>
      <c r="C38" s="3">
        <v>16</v>
      </c>
      <c r="D38" s="3">
        <v>1</v>
      </c>
      <c r="E38" s="3">
        <v>82.598</v>
      </c>
      <c r="F38" s="4" t="str">
        <f>HYPERLINK("http://141.218.60.56/~jnz1568/getInfo.php?workbook=12_05.xlsx&amp;sheet=A0&amp;row=38&amp;col=6&amp;number=20410000000&amp;sourceID=14","20410000000")</f>
        <v>20410000000</v>
      </c>
      <c r="G38" s="4" t="str">
        <f>HYPERLINK("http://141.218.60.56/~jnz1568/getInfo.php?workbook=12_05.xlsx&amp;sheet=A0&amp;row=38&amp;col=7&amp;number=0&amp;sourceID=14","0")</f>
        <v>0</v>
      </c>
    </row>
    <row r="39" spans="1:7">
      <c r="A39" s="3">
        <v>12</v>
      </c>
      <c r="B39" s="3">
        <v>5</v>
      </c>
      <c r="C39" s="3">
        <v>17</v>
      </c>
      <c r="D39" s="3">
        <v>1</v>
      </c>
      <c r="E39" s="3">
        <v>71.004</v>
      </c>
      <c r="F39" s="4" t="str">
        <f>HYPERLINK("http://141.218.60.56/~jnz1568/getInfo.php?workbook=12_05.xlsx&amp;sheet=A0&amp;row=39&amp;col=6&amp;number=63730000000&amp;sourceID=14","63730000000")</f>
        <v>63730000000</v>
      </c>
      <c r="G39" s="4" t="str">
        <f>HYPERLINK("http://141.218.60.56/~jnz1568/getInfo.php?workbook=12_05.xlsx&amp;sheet=A0&amp;row=39&amp;col=7&amp;number=0&amp;sourceID=14","0")</f>
        <v>0</v>
      </c>
    </row>
    <row r="40" spans="1:7">
      <c r="A40" s="3">
        <v>12</v>
      </c>
      <c r="B40" s="3">
        <v>5</v>
      </c>
      <c r="C40" s="3">
        <v>18</v>
      </c>
      <c r="D40" s="3">
        <v>1</v>
      </c>
      <c r="E40" s="3">
        <v>-71.389</v>
      </c>
      <c r="F40" s="4" t="str">
        <f>HYPERLINK("http://141.218.60.56/~jnz1568/getInfo.php?workbook=12_05.xlsx&amp;sheet=A0&amp;row=40&amp;col=6&amp;number=25160000000&amp;sourceID=14","25160000000")</f>
        <v>25160000000</v>
      </c>
      <c r="G40" s="4" t="str">
        <f>HYPERLINK("http://141.218.60.56/~jnz1568/getInfo.php?workbook=12_05.xlsx&amp;sheet=A0&amp;row=40&amp;col=7&amp;number=0&amp;sourceID=14","0")</f>
        <v>0</v>
      </c>
    </row>
    <row r="41" spans="1:7">
      <c r="A41" s="3">
        <v>12</v>
      </c>
      <c r="B41" s="3">
        <v>5</v>
      </c>
      <c r="C41" s="3">
        <v>19</v>
      </c>
      <c r="D41" s="3">
        <v>1</v>
      </c>
      <c r="E41" s="3">
        <v>-70.388</v>
      </c>
      <c r="F41" s="4" t="str">
        <f>HYPERLINK("http://141.218.60.56/~jnz1568/getInfo.php?workbook=12_05.xlsx&amp;sheet=A0&amp;row=41&amp;col=6&amp;number=104700000&amp;sourceID=14","104700000")</f>
        <v>104700000</v>
      </c>
      <c r="G41" s="4" t="str">
        <f>HYPERLINK("http://141.218.60.56/~jnz1568/getInfo.php?workbook=12_05.xlsx&amp;sheet=A0&amp;row=41&amp;col=7&amp;number=0&amp;sourceID=14","0")</f>
        <v>0</v>
      </c>
    </row>
    <row r="42" spans="1:7">
      <c r="A42" s="3">
        <v>12</v>
      </c>
      <c r="B42" s="3">
        <v>5</v>
      </c>
      <c r="C42" s="3">
        <v>20</v>
      </c>
      <c r="D42" s="3">
        <v>1</v>
      </c>
      <c r="E42" s="3">
        <v>68.451</v>
      </c>
      <c r="F42" s="4" t="str">
        <f>HYPERLINK("http://141.218.60.56/~jnz1568/getInfo.php?workbook=12_05.xlsx&amp;sheet=A0&amp;row=42&amp;col=6&amp;number=59410000000&amp;sourceID=14","59410000000")</f>
        <v>59410000000</v>
      </c>
      <c r="G42" s="4" t="str">
        <f>HYPERLINK("http://141.218.60.56/~jnz1568/getInfo.php?workbook=12_05.xlsx&amp;sheet=A0&amp;row=42&amp;col=7&amp;number=0&amp;sourceID=14","0")</f>
        <v>0</v>
      </c>
    </row>
    <row r="43" spans="1:7">
      <c r="A43" s="3">
        <v>12</v>
      </c>
      <c r="B43" s="3">
        <v>5</v>
      </c>
      <c r="C43" s="3">
        <v>21</v>
      </c>
      <c r="D43" s="3">
        <v>1</v>
      </c>
      <c r="E43" s="3">
        <v>64.517</v>
      </c>
      <c r="F43" s="4" t="str">
        <f>HYPERLINK("http://141.218.60.56/~jnz1568/getInfo.php?workbook=12_05.xlsx&amp;sheet=A0&amp;row=43&amp;col=6&amp;number=41220000000&amp;sourceID=14","41220000000")</f>
        <v>41220000000</v>
      </c>
      <c r="G43" s="4" t="str">
        <f>HYPERLINK("http://141.218.60.56/~jnz1568/getInfo.php?workbook=12_05.xlsx&amp;sheet=A0&amp;row=43&amp;col=7&amp;number=0&amp;sourceID=14","0")</f>
        <v>0</v>
      </c>
    </row>
    <row r="44" spans="1:7">
      <c r="A44" s="3">
        <v>12</v>
      </c>
      <c r="B44" s="3">
        <v>5</v>
      </c>
      <c r="C44" s="3">
        <v>22</v>
      </c>
      <c r="D44" s="3">
        <v>1</v>
      </c>
      <c r="E44" s="3">
        <v>64.243</v>
      </c>
      <c r="F44" s="4" t="str">
        <f>HYPERLINK("http://141.218.60.56/~jnz1568/getInfo.php?workbook=12_05.xlsx&amp;sheet=A0&amp;row=44&amp;col=6&amp;number=6088000000&amp;sourceID=14","6088000000")</f>
        <v>6088000000</v>
      </c>
      <c r="G44" s="4" t="str">
        <f>HYPERLINK("http://141.218.60.56/~jnz1568/getInfo.php?workbook=12_05.xlsx&amp;sheet=A0&amp;row=44&amp;col=7&amp;number=0&amp;sourceID=14","0")</f>
        <v>0</v>
      </c>
    </row>
    <row r="45" spans="1:7">
      <c r="A45" s="3">
        <v>12</v>
      </c>
      <c r="B45" s="3">
        <v>5</v>
      </c>
      <c r="C45" s="3">
        <v>23</v>
      </c>
      <c r="D45" s="3">
        <v>1</v>
      </c>
      <c r="E45" s="3">
        <v>62.974</v>
      </c>
      <c r="F45" s="4" t="str">
        <f>HYPERLINK("http://141.218.60.56/~jnz1568/getInfo.php?workbook=12_05.xlsx&amp;sheet=A0&amp;row=45&amp;col=6&amp;number=39600000&amp;sourceID=14","39600000")</f>
        <v>39600000</v>
      </c>
      <c r="G45" s="4" t="str">
        <f>HYPERLINK("http://141.218.60.56/~jnz1568/getInfo.php?workbook=12_05.xlsx&amp;sheet=A0&amp;row=45&amp;col=7&amp;number=0&amp;sourceID=14","0")</f>
        <v>0</v>
      </c>
    </row>
    <row r="46" spans="1:7">
      <c r="A46" s="3">
        <v>12</v>
      </c>
      <c r="B46" s="3">
        <v>5</v>
      </c>
      <c r="C46" s="3">
        <v>24</v>
      </c>
      <c r="D46" s="3">
        <v>1</v>
      </c>
      <c r="E46" s="3">
        <v>-61.888</v>
      </c>
      <c r="F46" s="4" t="str">
        <f>HYPERLINK("http://141.218.60.56/~jnz1568/getInfo.php?workbook=12_05.xlsx&amp;sheet=A0&amp;row=46&amp;col=6&amp;number=14640000000&amp;sourceID=14","14640000000")</f>
        <v>14640000000</v>
      </c>
      <c r="G46" s="4" t="str">
        <f>HYPERLINK("http://141.218.60.56/~jnz1568/getInfo.php?workbook=12_05.xlsx&amp;sheet=A0&amp;row=46&amp;col=7&amp;number=0&amp;sourceID=14","0")</f>
        <v>0</v>
      </c>
    </row>
    <row r="47" spans="1:7">
      <c r="A47" s="3">
        <v>12</v>
      </c>
      <c r="B47" s="3">
        <v>5</v>
      </c>
      <c r="C47" s="3">
        <v>25</v>
      </c>
      <c r="D47" s="3">
        <v>1</v>
      </c>
      <c r="E47" s="3">
        <v>-59.011</v>
      </c>
      <c r="F47" s="4" t="str">
        <f>HYPERLINK("http://141.218.60.56/~jnz1568/getInfo.php?workbook=12_05.xlsx&amp;sheet=A0&amp;row=47&amp;col=6&amp;number=1243000000&amp;sourceID=14","1243000000")</f>
        <v>1243000000</v>
      </c>
      <c r="G47" s="4" t="str">
        <f>HYPERLINK("http://141.218.60.56/~jnz1568/getInfo.php?workbook=12_05.xlsx&amp;sheet=A0&amp;row=47&amp;col=7&amp;number=0&amp;sourceID=14","0")</f>
        <v>0</v>
      </c>
    </row>
    <row r="48" spans="1:7">
      <c r="A48" s="3">
        <v>12</v>
      </c>
      <c r="B48" s="3">
        <v>5</v>
      </c>
      <c r="C48" s="3">
        <v>26</v>
      </c>
      <c r="D48" s="3">
        <v>1</v>
      </c>
      <c r="E48" s="3">
        <v>-58.935</v>
      </c>
      <c r="F48" s="4" t="str">
        <f>HYPERLINK("http://141.218.60.56/~jnz1568/getInfo.php?workbook=12_05.xlsx&amp;sheet=A0&amp;row=48&amp;col=6&amp;number=3217000000&amp;sourceID=14","3217000000")</f>
        <v>3217000000</v>
      </c>
      <c r="G48" s="4" t="str">
        <f>HYPERLINK("http://141.218.60.56/~jnz1568/getInfo.php?workbook=12_05.xlsx&amp;sheet=A0&amp;row=48&amp;col=7&amp;number=0&amp;sourceID=14","0")</f>
        <v>0</v>
      </c>
    </row>
    <row r="49" spans="1:7">
      <c r="A49" s="3">
        <v>12</v>
      </c>
      <c r="B49" s="3">
        <v>5</v>
      </c>
      <c r="C49" s="3">
        <v>27</v>
      </c>
      <c r="D49" s="3">
        <v>1</v>
      </c>
      <c r="E49" s="3">
        <v>58.236</v>
      </c>
      <c r="F49" s="4" t="str">
        <f>HYPERLINK("http://141.218.60.56/~jnz1568/getInfo.php?workbook=12_05.xlsx&amp;sheet=A0&amp;row=49&amp;col=6&amp;number=801900&amp;sourceID=14","801900")</f>
        <v>801900</v>
      </c>
      <c r="G49" s="4" t="str">
        <f>HYPERLINK("http://141.218.60.56/~jnz1568/getInfo.php?workbook=12_05.xlsx&amp;sheet=A0&amp;row=49&amp;col=7&amp;number=0&amp;sourceID=14","0")</f>
        <v>0</v>
      </c>
    </row>
    <row r="50" spans="1:7">
      <c r="A50" s="3">
        <v>12</v>
      </c>
      <c r="B50" s="3">
        <v>5</v>
      </c>
      <c r="C50" s="3">
        <v>28</v>
      </c>
      <c r="D50" s="3">
        <v>1</v>
      </c>
      <c r="E50" s="3">
        <v>-57.767</v>
      </c>
      <c r="F50" s="4" t="str">
        <f>HYPERLINK("http://141.218.60.56/~jnz1568/getInfo.php?workbook=12_05.xlsx&amp;sheet=A0&amp;row=50&amp;col=6&amp;number=1907000000&amp;sourceID=14","1907000000")</f>
        <v>1907000000</v>
      </c>
      <c r="G50" s="4" t="str">
        <f>HYPERLINK("http://141.218.60.56/~jnz1568/getInfo.php?workbook=12_05.xlsx&amp;sheet=A0&amp;row=50&amp;col=7&amp;number=0&amp;sourceID=14","0")</f>
        <v>0</v>
      </c>
    </row>
    <row r="51" spans="1:7">
      <c r="A51" s="3">
        <v>12</v>
      </c>
      <c r="B51" s="3">
        <v>5</v>
      </c>
      <c r="C51" s="3">
        <v>29</v>
      </c>
      <c r="D51" s="3">
        <v>1</v>
      </c>
      <c r="E51" s="3">
        <v>57.024</v>
      </c>
      <c r="F51" s="4" t="str">
        <f>HYPERLINK("http://141.218.60.56/~jnz1568/getInfo.php?workbook=12_05.xlsx&amp;sheet=A0&amp;row=51&amp;col=6&amp;number=8110000000&amp;sourceID=14","8110000000")</f>
        <v>8110000000</v>
      </c>
      <c r="G51" s="4" t="str">
        <f>HYPERLINK("http://141.218.60.56/~jnz1568/getInfo.php?workbook=12_05.xlsx&amp;sheet=A0&amp;row=51&amp;col=7&amp;number=0&amp;sourceID=14","0")</f>
        <v>0</v>
      </c>
    </row>
    <row r="52" spans="1:7">
      <c r="A52" s="3">
        <v>12</v>
      </c>
      <c r="B52" s="3">
        <v>5</v>
      </c>
      <c r="C52" s="3">
        <v>30</v>
      </c>
      <c r="D52" s="3">
        <v>1</v>
      </c>
      <c r="E52" s="3">
        <v>-56.154</v>
      </c>
      <c r="F52" s="4" t="str">
        <f>HYPERLINK("http://141.218.60.56/~jnz1568/getInfo.php?workbook=12_05.xlsx&amp;sheet=A0&amp;row=52&amp;col=6&amp;number=2963000000&amp;sourceID=14","2963000000")</f>
        <v>2963000000</v>
      </c>
      <c r="G52" s="4" t="str">
        <f>HYPERLINK("http://141.218.60.56/~jnz1568/getInfo.php?workbook=12_05.xlsx&amp;sheet=A0&amp;row=52&amp;col=7&amp;number=0&amp;sourceID=14","0")</f>
        <v>0</v>
      </c>
    </row>
    <row r="53" spans="1:7">
      <c r="A53" s="3">
        <v>12</v>
      </c>
      <c r="B53" s="3">
        <v>5</v>
      </c>
      <c r="C53" s="3">
        <v>16</v>
      </c>
      <c r="D53" s="3">
        <v>14</v>
      </c>
      <c r="E53" s="3">
        <v>145.768</v>
      </c>
      <c r="F53" s="4" t="str">
        <f>HYPERLINK("http://141.218.60.56/~jnz1568/getInfo.php?workbook=12_05.xlsx&amp;sheet=A0&amp;row=53&amp;col=6&amp;number=1662000&amp;sourceID=14","1662000")</f>
        <v>1662000</v>
      </c>
      <c r="G53" s="4" t="str">
        <f>HYPERLINK("http://141.218.60.56/~jnz1568/getInfo.php?workbook=12_05.xlsx&amp;sheet=A0&amp;row=53&amp;col=7&amp;number=0&amp;sourceID=14","0")</f>
        <v>0</v>
      </c>
    </row>
    <row r="54" spans="1:7">
      <c r="A54" s="3">
        <v>12</v>
      </c>
      <c r="B54" s="3">
        <v>5</v>
      </c>
      <c r="C54" s="3">
        <v>17</v>
      </c>
      <c r="D54" s="3">
        <v>14</v>
      </c>
      <c r="E54" s="3">
        <v>113.161</v>
      </c>
      <c r="F54" s="4" t="str">
        <f>HYPERLINK("http://141.218.60.56/~jnz1568/getInfo.php?workbook=12_05.xlsx&amp;sheet=A0&amp;row=54&amp;col=6&amp;number=732600&amp;sourceID=14","732600")</f>
        <v>732600</v>
      </c>
      <c r="G54" s="4" t="str">
        <f>HYPERLINK("http://141.218.60.56/~jnz1568/getInfo.php?workbook=12_05.xlsx&amp;sheet=A0&amp;row=54&amp;col=7&amp;number=0&amp;sourceID=14","0")</f>
        <v>0</v>
      </c>
    </row>
    <row r="55" spans="1:7">
      <c r="A55" s="3">
        <v>12</v>
      </c>
      <c r="B55" s="3">
        <v>5</v>
      </c>
      <c r="C55" s="3">
        <v>18</v>
      </c>
      <c r="D55" s="3">
        <v>14</v>
      </c>
      <c r="E55" s="3">
        <v>-114.138</v>
      </c>
      <c r="F55" s="4" t="str">
        <f>HYPERLINK("http://141.218.60.56/~jnz1568/getInfo.php?workbook=12_05.xlsx&amp;sheet=A0&amp;row=55&amp;col=6&amp;number=526900&amp;sourceID=14","526900")</f>
        <v>526900</v>
      </c>
      <c r="G55" s="4" t="str">
        <f>HYPERLINK("http://141.218.60.56/~jnz1568/getInfo.php?workbook=12_05.xlsx&amp;sheet=A0&amp;row=55&amp;col=7&amp;number=0&amp;sourceID=14","0")</f>
        <v>0</v>
      </c>
    </row>
    <row r="56" spans="1:7">
      <c r="A56" s="3">
        <v>12</v>
      </c>
      <c r="B56" s="3">
        <v>5</v>
      </c>
      <c r="C56" s="3">
        <v>19</v>
      </c>
      <c r="D56" s="3">
        <v>14</v>
      </c>
      <c r="E56" s="3">
        <v>-111.601</v>
      </c>
      <c r="F56" s="4" t="str">
        <f>HYPERLINK("http://141.218.60.56/~jnz1568/getInfo.php?workbook=12_05.xlsx&amp;sheet=A0&amp;row=56&amp;col=6&amp;number=316000&amp;sourceID=14","316000")</f>
        <v>316000</v>
      </c>
      <c r="G56" s="4" t="str">
        <f>HYPERLINK("http://141.218.60.56/~jnz1568/getInfo.php?workbook=12_05.xlsx&amp;sheet=A0&amp;row=56&amp;col=7&amp;number=0&amp;sourceID=14","0")</f>
        <v>0</v>
      </c>
    </row>
    <row r="57" spans="1:7">
      <c r="A57" s="3">
        <v>12</v>
      </c>
      <c r="B57" s="3">
        <v>5</v>
      </c>
      <c r="C57" s="3">
        <v>20</v>
      </c>
      <c r="D57" s="3">
        <v>14</v>
      </c>
      <c r="E57" s="3">
        <v>106.81</v>
      </c>
      <c r="F57" s="4" t="str">
        <f>HYPERLINK("http://141.218.60.56/~jnz1568/getInfo.php?workbook=12_05.xlsx&amp;sheet=A0&amp;row=57&amp;col=6&amp;number=708500000&amp;sourceID=14","708500000")</f>
        <v>708500000</v>
      </c>
      <c r="G57" s="4" t="str">
        <f>HYPERLINK("http://141.218.60.56/~jnz1568/getInfo.php?workbook=12_05.xlsx&amp;sheet=A0&amp;row=57&amp;col=7&amp;number=0&amp;sourceID=14","0")</f>
        <v>0</v>
      </c>
    </row>
    <row r="58" spans="1:7">
      <c r="A58" s="3">
        <v>12</v>
      </c>
      <c r="B58" s="3">
        <v>5</v>
      </c>
      <c r="C58" s="3">
        <v>21</v>
      </c>
      <c r="D58" s="3">
        <v>14</v>
      </c>
      <c r="E58" s="3">
        <v>97.531</v>
      </c>
      <c r="F58" s="4" t="str">
        <f>HYPERLINK("http://141.218.60.56/~jnz1568/getInfo.php?workbook=12_05.xlsx&amp;sheet=A0&amp;row=58&amp;col=6&amp;number=2420000000&amp;sourceID=14","2420000000")</f>
        <v>2420000000</v>
      </c>
      <c r="G58" s="4" t="str">
        <f>HYPERLINK("http://141.218.60.56/~jnz1568/getInfo.php?workbook=12_05.xlsx&amp;sheet=A0&amp;row=58&amp;col=7&amp;number=0&amp;sourceID=14","0")</f>
        <v>0</v>
      </c>
    </row>
    <row r="59" spans="1:7">
      <c r="A59" s="3">
        <v>12</v>
      </c>
      <c r="B59" s="3">
        <v>5</v>
      </c>
      <c r="C59" s="3">
        <v>22</v>
      </c>
      <c r="D59" s="3">
        <v>14</v>
      </c>
      <c r="E59" s="3">
        <v>96.907</v>
      </c>
      <c r="F59" s="4" t="str">
        <f>HYPERLINK("http://141.218.60.56/~jnz1568/getInfo.php?workbook=12_05.xlsx&amp;sheet=A0&amp;row=59&amp;col=6&amp;number=36670000&amp;sourceID=14","36670000")</f>
        <v>36670000</v>
      </c>
      <c r="G59" s="4" t="str">
        <f>HYPERLINK("http://141.218.60.56/~jnz1568/getInfo.php?workbook=12_05.xlsx&amp;sheet=A0&amp;row=59&amp;col=7&amp;number=0&amp;sourceID=14","0")</f>
        <v>0</v>
      </c>
    </row>
    <row r="60" spans="1:7">
      <c r="A60" s="3">
        <v>12</v>
      </c>
      <c r="B60" s="3">
        <v>5</v>
      </c>
      <c r="C60" s="3">
        <v>23</v>
      </c>
      <c r="D60" s="3">
        <v>14</v>
      </c>
      <c r="E60" s="3">
        <v>94.047</v>
      </c>
      <c r="F60" s="4" t="str">
        <f>HYPERLINK("http://141.218.60.56/~jnz1568/getInfo.php?workbook=12_05.xlsx&amp;sheet=A0&amp;row=60&amp;col=6&amp;number=1434000&amp;sourceID=14","1434000")</f>
        <v>1434000</v>
      </c>
      <c r="G60" s="4" t="str">
        <f>HYPERLINK("http://141.218.60.56/~jnz1568/getInfo.php?workbook=12_05.xlsx&amp;sheet=A0&amp;row=60&amp;col=7&amp;number=0&amp;sourceID=14","0")</f>
        <v>0</v>
      </c>
    </row>
    <row r="61" spans="1:7">
      <c r="A61" s="3">
        <v>12</v>
      </c>
      <c r="B61" s="3">
        <v>5</v>
      </c>
      <c r="C61" s="3">
        <v>24</v>
      </c>
      <c r="D61" s="3">
        <v>14</v>
      </c>
      <c r="E61" s="3">
        <v>-91.645</v>
      </c>
      <c r="F61" s="4" t="str">
        <f>HYPERLINK("http://141.218.60.56/~jnz1568/getInfo.php?workbook=12_05.xlsx&amp;sheet=A0&amp;row=61&amp;col=6&amp;number=10270000000&amp;sourceID=14","10270000000")</f>
        <v>10270000000</v>
      </c>
      <c r="G61" s="4" t="str">
        <f>HYPERLINK("http://141.218.60.56/~jnz1568/getInfo.php?workbook=12_05.xlsx&amp;sheet=A0&amp;row=61&amp;col=7&amp;number=0&amp;sourceID=14","0")</f>
        <v>0</v>
      </c>
    </row>
    <row r="62" spans="1:7">
      <c r="A62" s="3">
        <v>12</v>
      </c>
      <c r="B62" s="3">
        <v>5</v>
      </c>
      <c r="C62" s="3">
        <v>25</v>
      </c>
      <c r="D62" s="3">
        <v>14</v>
      </c>
      <c r="E62" s="3">
        <v>-85.473</v>
      </c>
      <c r="F62" s="4" t="str">
        <f>HYPERLINK("http://141.218.60.56/~jnz1568/getInfo.php?workbook=12_05.xlsx&amp;sheet=A0&amp;row=62&amp;col=6&amp;number=18320000000&amp;sourceID=14","18320000000")</f>
        <v>18320000000</v>
      </c>
      <c r="G62" s="4" t="str">
        <f>HYPERLINK("http://141.218.60.56/~jnz1568/getInfo.php?workbook=12_05.xlsx&amp;sheet=A0&amp;row=62&amp;col=7&amp;number=0&amp;sourceID=14","0")</f>
        <v>0</v>
      </c>
    </row>
    <row r="63" spans="1:7">
      <c r="A63" s="3">
        <v>12</v>
      </c>
      <c r="B63" s="3">
        <v>5</v>
      </c>
      <c r="C63" s="3">
        <v>26</v>
      </c>
      <c r="D63" s="3">
        <v>14</v>
      </c>
      <c r="E63" s="3">
        <v>-85.314</v>
      </c>
      <c r="F63" s="4" t="str">
        <f>HYPERLINK("http://141.218.60.56/~jnz1568/getInfo.php?workbook=12_05.xlsx&amp;sheet=A0&amp;row=63&amp;col=6&amp;number=47440000000&amp;sourceID=14","47440000000")</f>
        <v>47440000000</v>
      </c>
      <c r="G63" s="4" t="str">
        <f>HYPERLINK("http://141.218.60.56/~jnz1568/getInfo.php?workbook=12_05.xlsx&amp;sheet=A0&amp;row=63&amp;col=7&amp;number=0&amp;sourceID=14","0")</f>
        <v>0</v>
      </c>
    </row>
    <row r="64" spans="1:7">
      <c r="A64" s="3">
        <v>12</v>
      </c>
      <c r="B64" s="3">
        <v>5</v>
      </c>
      <c r="C64" s="3">
        <v>27</v>
      </c>
      <c r="D64" s="3">
        <v>14</v>
      </c>
      <c r="E64" s="3">
        <v>83.859</v>
      </c>
      <c r="F64" s="4" t="str">
        <f>HYPERLINK("http://141.218.60.56/~jnz1568/getInfo.php?workbook=12_05.xlsx&amp;sheet=A0&amp;row=64&amp;col=6&amp;number=8415000&amp;sourceID=14","8415000")</f>
        <v>8415000</v>
      </c>
      <c r="G64" s="4" t="str">
        <f>HYPERLINK("http://141.218.60.56/~jnz1568/getInfo.php?workbook=12_05.xlsx&amp;sheet=A0&amp;row=64&amp;col=7&amp;number=0&amp;sourceID=14","0")</f>
        <v>0</v>
      </c>
    </row>
    <row r="65" spans="1:7">
      <c r="A65" s="3">
        <v>12</v>
      </c>
      <c r="B65" s="3">
        <v>5</v>
      </c>
      <c r="C65" s="3">
        <v>28</v>
      </c>
      <c r="D65" s="3">
        <v>14</v>
      </c>
      <c r="E65" s="3">
        <v>-82.888</v>
      </c>
      <c r="F65" s="4" t="str">
        <f>HYPERLINK("http://141.218.60.56/~jnz1568/getInfo.php?workbook=12_05.xlsx&amp;sheet=A0&amp;row=65&amp;col=6&amp;number=41590000000&amp;sourceID=14","41590000000")</f>
        <v>41590000000</v>
      </c>
      <c r="G65" s="4" t="str">
        <f>HYPERLINK("http://141.218.60.56/~jnz1568/getInfo.php?workbook=12_05.xlsx&amp;sheet=A0&amp;row=65&amp;col=7&amp;number=0&amp;sourceID=14","0")</f>
        <v>0</v>
      </c>
    </row>
    <row r="66" spans="1:7">
      <c r="A66" s="3">
        <v>12</v>
      </c>
      <c r="B66" s="3">
        <v>5</v>
      </c>
      <c r="C66" s="3">
        <v>29</v>
      </c>
      <c r="D66" s="3">
        <v>14</v>
      </c>
      <c r="E66" s="3">
        <v>81.369</v>
      </c>
      <c r="F66" s="4" t="str">
        <f>HYPERLINK("http://141.218.60.56/~jnz1568/getInfo.php?workbook=12_05.xlsx&amp;sheet=A0&amp;row=66&amp;col=6&amp;number=155500000000&amp;sourceID=14","155500000000")</f>
        <v>155500000000</v>
      </c>
      <c r="G66" s="4" t="str">
        <f>HYPERLINK("http://141.218.60.56/~jnz1568/getInfo.php?workbook=12_05.xlsx&amp;sheet=A0&amp;row=66&amp;col=7&amp;number=0&amp;sourceID=14","0")</f>
        <v>0</v>
      </c>
    </row>
    <row r="67" spans="1:7">
      <c r="A67" s="3">
        <v>12</v>
      </c>
      <c r="B67" s="3">
        <v>5</v>
      </c>
      <c r="C67" s="3">
        <v>30</v>
      </c>
      <c r="D67" s="3">
        <v>14</v>
      </c>
      <c r="E67" s="3">
        <v>-79.607</v>
      </c>
      <c r="F67" s="4" t="str">
        <f>HYPERLINK("http://141.218.60.56/~jnz1568/getInfo.php?workbook=12_05.xlsx&amp;sheet=A0&amp;row=67&amp;col=6&amp;number=40880000000&amp;sourceID=14","40880000000")</f>
        <v>40880000000</v>
      </c>
      <c r="G67" s="4" t="str">
        <f>HYPERLINK("http://141.218.60.56/~jnz1568/getInfo.php?workbook=12_05.xlsx&amp;sheet=A0&amp;row=67&amp;col=7&amp;number=0&amp;sourceID=14","0")</f>
        <v>0</v>
      </c>
    </row>
    <row r="68" spans="1:7">
      <c r="A68" s="3">
        <v>12</v>
      </c>
      <c r="B68" s="3">
        <v>5</v>
      </c>
      <c r="C68" s="3">
        <v>31</v>
      </c>
      <c r="D68" s="3">
        <v>1</v>
      </c>
      <c r="E68" s="3">
        <v>74.858</v>
      </c>
      <c r="F68" s="4" t="str">
        <f>HYPERLINK("http://141.218.60.56/~jnz1568/getInfo.php?workbook=12_05.xlsx&amp;sheet=A0&amp;row=68&amp;col=6&amp;number=315200000000&amp;sourceID=14","315200000000")</f>
        <v>315200000000</v>
      </c>
      <c r="G68" s="4" t="str">
        <f>HYPERLINK("http://141.218.60.56/~jnz1568/getInfo.php?workbook=12_05.xlsx&amp;sheet=A0&amp;row=68&amp;col=7&amp;number=0&amp;sourceID=14","0")</f>
        <v>0</v>
      </c>
    </row>
    <row r="69" spans="1:7">
      <c r="A69" s="3">
        <v>12</v>
      </c>
      <c r="B69" s="3">
        <v>5</v>
      </c>
      <c r="C69" s="3">
        <v>32</v>
      </c>
      <c r="D69" s="3">
        <v>1</v>
      </c>
      <c r="E69" s="3">
        <v>70.952</v>
      </c>
      <c r="F69" s="4" t="str">
        <f>HYPERLINK("http://141.218.60.56/~jnz1568/getInfo.php?workbook=12_05.xlsx&amp;sheet=A0&amp;row=69&amp;col=6&amp;number=18690000000&amp;sourceID=14","18690000000")</f>
        <v>18690000000</v>
      </c>
      <c r="G69" s="4" t="str">
        <f>HYPERLINK("http://141.218.60.56/~jnz1568/getInfo.php?workbook=12_05.xlsx&amp;sheet=A0&amp;row=69&amp;col=7&amp;number=0&amp;sourceID=14","0")</f>
        <v>0</v>
      </c>
    </row>
    <row r="70" spans="1:7">
      <c r="A70" s="3">
        <v>12</v>
      </c>
      <c r="B70" s="3">
        <v>5</v>
      </c>
      <c r="C70" s="3">
        <v>33</v>
      </c>
      <c r="D70" s="3">
        <v>1</v>
      </c>
      <c r="E70" s="3">
        <v>-71.362</v>
      </c>
      <c r="F70" s="4" t="str">
        <f>HYPERLINK("http://141.218.60.56/~jnz1568/getInfo.php?workbook=12_05.xlsx&amp;sheet=A0&amp;row=70&amp;col=6&amp;number=6153000000&amp;sourceID=14","6153000000")</f>
        <v>6153000000</v>
      </c>
      <c r="G70" s="4" t="str">
        <f>HYPERLINK("http://141.218.60.56/~jnz1568/getInfo.php?workbook=12_05.xlsx&amp;sheet=A0&amp;row=70&amp;col=7&amp;number=0&amp;sourceID=14","0")</f>
        <v>0</v>
      </c>
    </row>
    <row r="71" spans="1:7">
      <c r="A71" s="3">
        <v>12</v>
      </c>
      <c r="B71" s="3">
        <v>5</v>
      </c>
      <c r="C71" s="3">
        <v>34</v>
      </c>
      <c r="D71" s="3">
        <v>1</v>
      </c>
      <c r="E71" s="3">
        <v>-70.757</v>
      </c>
      <c r="F71" s="4" t="str">
        <f>HYPERLINK("http://141.218.60.56/~jnz1568/getInfo.php?workbook=12_05.xlsx&amp;sheet=A0&amp;row=71&amp;col=6&amp;number=151100000&amp;sourceID=14","151100000")</f>
        <v>151100000</v>
      </c>
      <c r="G71" s="4" t="str">
        <f>HYPERLINK("http://141.218.60.56/~jnz1568/getInfo.php?workbook=12_05.xlsx&amp;sheet=A0&amp;row=71&amp;col=7&amp;number=0&amp;sourceID=14","0")</f>
        <v>0</v>
      </c>
    </row>
    <row r="72" spans="1:7">
      <c r="A72" s="3">
        <v>12</v>
      </c>
      <c r="B72" s="3">
        <v>5</v>
      </c>
      <c r="C72" s="3">
        <v>35</v>
      </c>
      <c r="D72" s="3">
        <v>1</v>
      </c>
      <c r="E72" s="3">
        <v>-70.344</v>
      </c>
      <c r="F72" s="4" t="str">
        <f>HYPERLINK("http://141.218.60.56/~jnz1568/getInfo.php?workbook=12_05.xlsx&amp;sheet=A0&amp;row=72&amp;col=6&amp;number=28460000&amp;sourceID=14","28460000")</f>
        <v>28460000</v>
      </c>
      <c r="G72" s="4" t="str">
        <f>HYPERLINK("http://141.218.60.56/~jnz1568/getInfo.php?workbook=12_05.xlsx&amp;sheet=A0&amp;row=72&amp;col=7&amp;number=0&amp;sourceID=14","0")</f>
        <v>0</v>
      </c>
    </row>
    <row r="73" spans="1:7">
      <c r="A73" s="3">
        <v>12</v>
      </c>
      <c r="B73" s="3">
        <v>5</v>
      </c>
      <c r="C73" s="3">
        <v>36</v>
      </c>
      <c r="D73" s="3">
        <v>1</v>
      </c>
      <c r="E73" s="3">
        <v>69.415</v>
      </c>
      <c r="F73" s="4" t="str">
        <f>HYPERLINK("http://141.218.60.56/~jnz1568/getInfo.php?workbook=12_05.xlsx&amp;sheet=A0&amp;row=73&amp;col=6&amp;number=132600000000&amp;sourceID=14","132600000000")</f>
        <v>132600000000</v>
      </c>
      <c r="G73" s="4" t="str">
        <f>HYPERLINK("http://141.218.60.56/~jnz1568/getInfo.php?workbook=12_05.xlsx&amp;sheet=A0&amp;row=73&amp;col=7&amp;number=0&amp;sourceID=14","0")</f>
        <v>0</v>
      </c>
    </row>
    <row r="74" spans="1:7">
      <c r="A74" s="3">
        <v>12</v>
      </c>
      <c r="B74" s="3">
        <v>5</v>
      </c>
      <c r="C74" s="3">
        <v>37</v>
      </c>
      <c r="D74" s="3">
        <v>1</v>
      </c>
      <c r="E74" s="3">
        <v>64.493</v>
      </c>
      <c r="F74" s="4" t="str">
        <f>HYPERLINK("http://141.218.60.56/~jnz1568/getInfo.php?workbook=12_05.xlsx&amp;sheet=A0&amp;row=74&amp;col=6&amp;number=979600000&amp;sourceID=14","979600000")</f>
        <v>979600000</v>
      </c>
      <c r="G74" s="4" t="str">
        <f>HYPERLINK("http://141.218.60.56/~jnz1568/getInfo.php?workbook=12_05.xlsx&amp;sheet=A0&amp;row=74&amp;col=7&amp;number=0&amp;sourceID=14","0")</f>
        <v>0</v>
      </c>
    </row>
    <row r="75" spans="1:7">
      <c r="A75" s="3">
        <v>12</v>
      </c>
      <c r="B75" s="3">
        <v>5</v>
      </c>
      <c r="C75" s="3">
        <v>38</v>
      </c>
      <c r="D75" s="3">
        <v>1</v>
      </c>
      <c r="E75" s="3">
        <v>-64.5</v>
      </c>
      <c r="F75" s="4" t="str">
        <f>HYPERLINK("http://141.218.60.56/~jnz1568/getInfo.php?workbook=12_05.xlsx&amp;sheet=A0&amp;row=75&amp;col=6&amp;number=22150000000&amp;sourceID=14","22150000000")</f>
        <v>22150000000</v>
      </c>
      <c r="G75" s="4" t="str">
        <f>HYPERLINK("http://141.218.60.56/~jnz1568/getInfo.php?workbook=12_05.xlsx&amp;sheet=A0&amp;row=75&amp;col=7&amp;number=0&amp;sourceID=14","0")</f>
        <v>0</v>
      </c>
    </row>
    <row r="76" spans="1:7">
      <c r="A76" s="3">
        <v>12</v>
      </c>
      <c r="B76" s="3">
        <v>5</v>
      </c>
      <c r="C76" s="3">
        <v>39</v>
      </c>
      <c r="D76" s="3">
        <v>1</v>
      </c>
      <c r="E76" s="3">
        <v>62.925</v>
      </c>
      <c r="F76" s="4" t="str">
        <f>HYPERLINK("http://141.218.60.56/~jnz1568/getInfo.php?workbook=12_05.xlsx&amp;sheet=A0&amp;row=76&amp;col=6&amp;number=1073000&amp;sourceID=14","1073000")</f>
        <v>1073000</v>
      </c>
      <c r="G76" s="4" t="str">
        <f>HYPERLINK("http://141.218.60.56/~jnz1568/getInfo.php?workbook=12_05.xlsx&amp;sheet=A0&amp;row=76&amp;col=7&amp;number=0&amp;sourceID=14","0")</f>
        <v>0</v>
      </c>
    </row>
    <row r="77" spans="1:7">
      <c r="A77" s="3">
        <v>12</v>
      </c>
      <c r="B77" s="3">
        <v>5</v>
      </c>
      <c r="C77" s="3">
        <v>40</v>
      </c>
      <c r="D77" s="3">
        <v>1</v>
      </c>
      <c r="E77" s="3">
        <v>-61.811</v>
      </c>
      <c r="F77" s="4" t="str">
        <f>HYPERLINK("http://141.218.60.56/~jnz1568/getInfo.php?workbook=12_05.xlsx&amp;sheet=A0&amp;row=77&amp;col=6&amp;number=4026000000&amp;sourceID=14","4026000000")</f>
        <v>4026000000</v>
      </c>
      <c r="G77" s="4" t="str">
        <f>HYPERLINK("http://141.218.60.56/~jnz1568/getInfo.php?workbook=12_05.xlsx&amp;sheet=A0&amp;row=77&amp;col=7&amp;number=0&amp;sourceID=14","0")</f>
        <v>0</v>
      </c>
    </row>
    <row r="78" spans="1:7">
      <c r="A78" s="3">
        <v>12</v>
      </c>
      <c r="B78" s="3">
        <v>5</v>
      </c>
      <c r="C78" s="3">
        <v>41</v>
      </c>
      <c r="D78" s="3">
        <v>1</v>
      </c>
      <c r="E78" s="3">
        <v>61.021</v>
      </c>
      <c r="F78" s="4" t="str">
        <f>HYPERLINK("http://141.218.60.56/~jnz1568/getInfo.php?workbook=12_05.xlsx&amp;sheet=A0&amp;row=78&amp;col=6&amp;number=2917000000&amp;sourceID=14","2917000000")</f>
        <v>2917000000</v>
      </c>
      <c r="G78" s="4" t="str">
        <f>HYPERLINK("http://141.218.60.56/~jnz1568/getInfo.php?workbook=12_05.xlsx&amp;sheet=A0&amp;row=78&amp;col=7&amp;number=0&amp;sourceID=14","0")</f>
        <v>0</v>
      </c>
    </row>
    <row r="79" spans="1:7">
      <c r="A79" s="3">
        <v>12</v>
      </c>
      <c r="B79" s="3">
        <v>5</v>
      </c>
      <c r="C79" s="3">
        <v>42</v>
      </c>
      <c r="D79" s="3">
        <v>1</v>
      </c>
      <c r="E79" s="3">
        <v>-59.416</v>
      </c>
      <c r="F79" s="4" t="str">
        <f>HYPERLINK("http://141.218.60.56/~jnz1568/getInfo.php?workbook=12_05.xlsx&amp;sheet=A0&amp;row=79&amp;col=6&amp;number=15060000&amp;sourceID=14","15060000")</f>
        <v>15060000</v>
      </c>
      <c r="G79" s="4" t="str">
        <f>HYPERLINK("http://141.218.60.56/~jnz1568/getInfo.php?workbook=12_05.xlsx&amp;sheet=A0&amp;row=79&amp;col=7&amp;number=0&amp;sourceID=14","0")</f>
        <v>0</v>
      </c>
    </row>
    <row r="80" spans="1:7">
      <c r="A80" s="3">
        <v>12</v>
      </c>
      <c r="B80" s="3">
        <v>5</v>
      </c>
      <c r="C80" s="3">
        <v>43</v>
      </c>
      <c r="D80" s="3">
        <v>1</v>
      </c>
      <c r="E80" s="3">
        <v>-59.036</v>
      </c>
      <c r="F80" s="4" t="str">
        <f>HYPERLINK("http://141.218.60.56/~jnz1568/getInfo.php?workbook=12_05.xlsx&amp;sheet=A0&amp;row=80&amp;col=6&amp;number=1070000000&amp;sourceID=14","1070000000")</f>
        <v>1070000000</v>
      </c>
      <c r="G80" s="4" t="str">
        <f>HYPERLINK("http://141.218.60.56/~jnz1568/getInfo.php?workbook=12_05.xlsx&amp;sheet=A0&amp;row=80&amp;col=7&amp;number=0&amp;sourceID=14","0")</f>
        <v>0</v>
      </c>
    </row>
    <row r="81" spans="1:7">
      <c r="A81" s="3">
        <v>12</v>
      </c>
      <c r="B81" s="3">
        <v>5</v>
      </c>
      <c r="C81" s="3">
        <v>44</v>
      </c>
      <c r="D81" s="3">
        <v>1</v>
      </c>
      <c r="E81" s="3">
        <v>-58.971</v>
      </c>
      <c r="F81" s="4" t="str">
        <f>HYPERLINK("http://141.218.60.56/~jnz1568/getInfo.php?workbook=12_05.xlsx&amp;sheet=A0&amp;row=81&amp;col=6&amp;number=229300000&amp;sourceID=14","229300000")</f>
        <v>229300000</v>
      </c>
      <c r="G81" s="4" t="str">
        <f>HYPERLINK("http://141.218.60.56/~jnz1568/getInfo.php?workbook=12_05.xlsx&amp;sheet=A0&amp;row=81&amp;col=7&amp;number=0&amp;sourceID=14","0")</f>
        <v>0</v>
      </c>
    </row>
    <row r="82" spans="1:7">
      <c r="A82" s="3">
        <v>12</v>
      </c>
      <c r="B82" s="3">
        <v>5</v>
      </c>
      <c r="C82" s="3">
        <v>45</v>
      </c>
      <c r="D82" s="3">
        <v>1</v>
      </c>
      <c r="E82" s="3">
        <v>58.251</v>
      </c>
      <c r="F82" s="4" t="str">
        <f>HYPERLINK("http://141.218.60.56/~jnz1568/getInfo.php?workbook=12_05.xlsx&amp;sheet=A0&amp;row=82&amp;col=6&amp;number=24800&amp;sourceID=14","24800")</f>
        <v>24800</v>
      </c>
      <c r="G82" s="4" t="str">
        <f>HYPERLINK("http://141.218.60.56/~jnz1568/getInfo.php?workbook=12_05.xlsx&amp;sheet=A0&amp;row=82&amp;col=7&amp;number=0&amp;sourceID=14","0")</f>
        <v>0</v>
      </c>
    </row>
    <row r="83" spans="1:7">
      <c r="A83" s="3">
        <v>12</v>
      </c>
      <c r="B83" s="3">
        <v>5</v>
      </c>
      <c r="C83" s="3">
        <v>46</v>
      </c>
      <c r="D83" s="3">
        <v>1</v>
      </c>
      <c r="E83" s="3">
        <v>-57.595</v>
      </c>
      <c r="F83" s="4" t="str">
        <f>HYPERLINK("http://141.218.60.56/~jnz1568/getInfo.php?workbook=12_05.xlsx&amp;sheet=A0&amp;row=83&amp;col=6&amp;number=15700000000&amp;sourceID=14","15700000000")</f>
        <v>15700000000</v>
      </c>
      <c r="G83" s="4" t="str">
        <f>HYPERLINK("http://141.218.60.56/~jnz1568/getInfo.php?workbook=12_05.xlsx&amp;sheet=A0&amp;row=83&amp;col=7&amp;number=0&amp;sourceID=14","0")</f>
        <v>0</v>
      </c>
    </row>
    <row r="84" spans="1:7">
      <c r="A84" s="3">
        <v>12</v>
      </c>
      <c r="B84" s="3">
        <v>5</v>
      </c>
      <c r="C84" s="3">
        <v>47</v>
      </c>
      <c r="D84" s="3">
        <v>1</v>
      </c>
      <c r="E84" s="3">
        <v>-57.032</v>
      </c>
      <c r="F84" s="4" t="str">
        <f>HYPERLINK("http://141.218.60.56/~jnz1568/getInfo.php?workbook=12_05.xlsx&amp;sheet=A0&amp;row=84&amp;col=6&amp;number=7750000000&amp;sourceID=14","7750000000")</f>
        <v>7750000000</v>
      </c>
      <c r="G84" s="4" t="str">
        <f>HYPERLINK("http://141.218.60.56/~jnz1568/getInfo.php?workbook=12_05.xlsx&amp;sheet=A0&amp;row=84&amp;col=7&amp;number=0&amp;sourceID=14","0")</f>
        <v>0</v>
      </c>
    </row>
    <row r="85" spans="1:7">
      <c r="A85" s="3">
        <v>12</v>
      </c>
      <c r="B85" s="3">
        <v>5</v>
      </c>
      <c r="C85" s="3">
        <v>48</v>
      </c>
      <c r="D85" s="3">
        <v>1</v>
      </c>
      <c r="E85" s="3">
        <v>56.987</v>
      </c>
      <c r="F85" s="4" t="str">
        <f>HYPERLINK("http://141.218.60.56/~jnz1568/getInfo.php?workbook=12_05.xlsx&amp;sheet=A0&amp;row=85&amp;col=6&amp;number=1783000000&amp;sourceID=14","1783000000")</f>
        <v>1783000000</v>
      </c>
      <c r="G85" s="4" t="str">
        <f>HYPERLINK("http://141.218.60.56/~jnz1568/getInfo.php?workbook=12_05.xlsx&amp;sheet=A0&amp;row=85&amp;col=7&amp;number=0&amp;sourceID=14","0")</f>
        <v>0</v>
      </c>
    </row>
    <row r="86" spans="1:7">
      <c r="A86" s="3">
        <v>12</v>
      </c>
      <c r="B86" s="3">
        <v>5</v>
      </c>
      <c r="C86" s="3">
        <v>49</v>
      </c>
      <c r="D86" s="3">
        <v>1</v>
      </c>
      <c r="E86" s="3">
        <v>-54.089</v>
      </c>
      <c r="F86" s="4" t="str">
        <f>HYPERLINK("http://141.218.60.56/~jnz1568/getInfo.php?workbook=12_05.xlsx&amp;sheet=A0&amp;row=86&amp;col=6&amp;number=2450000000&amp;sourceID=14","2450000000")</f>
        <v>2450000000</v>
      </c>
      <c r="G86" s="4" t="str">
        <f>HYPERLINK("http://141.218.60.56/~jnz1568/getInfo.php?workbook=12_05.xlsx&amp;sheet=A0&amp;row=86&amp;col=7&amp;number=0&amp;sourceID=14","0")</f>
        <v>0</v>
      </c>
    </row>
    <row r="87" spans="1:7">
      <c r="A87" s="3">
        <v>12</v>
      </c>
      <c r="B87" s="3">
        <v>5</v>
      </c>
      <c r="C87" s="3">
        <v>31</v>
      </c>
      <c r="D87" s="3">
        <v>14</v>
      </c>
      <c r="E87" s="3">
        <v>123.276</v>
      </c>
      <c r="F87" s="4" t="str">
        <f>HYPERLINK("http://141.218.60.56/~jnz1568/getInfo.php?workbook=12_05.xlsx&amp;sheet=A0&amp;row=87&amp;col=6&amp;number=872700&amp;sourceID=14","872700")</f>
        <v>872700</v>
      </c>
      <c r="G87" s="4" t="str">
        <f>HYPERLINK("http://141.218.60.56/~jnz1568/getInfo.php?workbook=12_05.xlsx&amp;sheet=A0&amp;row=87&amp;col=7&amp;number=0&amp;sourceID=14","0")</f>
        <v>0</v>
      </c>
    </row>
    <row r="88" spans="1:7">
      <c r="A88" s="3">
        <v>12</v>
      </c>
      <c r="B88" s="3">
        <v>5</v>
      </c>
      <c r="C88" s="3">
        <v>32</v>
      </c>
      <c r="D88" s="3">
        <v>14</v>
      </c>
      <c r="E88" s="3">
        <v>113.029</v>
      </c>
      <c r="F88" s="4" t="str">
        <f>HYPERLINK("http://141.218.60.56/~jnz1568/getInfo.php?workbook=12_05.xlsx&amp;sheet=A0&amp;row=88&amp;col=6&amp;number=149500&amp;sourceID=14","149500")</f>
        <v>149500</v>
      </c>
      <c r="G88" s="4" t="str">
        <f>HYPERLINK("http://141.218.60.56/~jnz1568/getInfo.php?workbook=12_05.xlsx&amp;sheet=A0&amp;row=88&amp;col=7&amp;number=0&amp;sourceID=14","0")</f>
        <v>0</v>
      </c>
    </row>
    <row r="89" spans="1:7">
      <c r="A89" s="3">
        <v>12</v>
      </c>
      <c r="B89" s="3">
        <v>5</v>
      </c>
      <c r="C89" s="3">
        <v>33</v>
      </c>
      <c r="D89" s="3">
        <v>14</v>
      </c>
      <c r="E89" s="3">
        <v>-114.071</v>
      </c>
      <c r="F89" s="4" t="str">
        <f>HYPERLINK("http://141.218.60.56/~jnz1568/getInfo.php?workbook=12_05.xlsx&amp;sheet=A0&amp;row=89&amp;col=6&amp;number=162300&amp;sourceID=14","162300")</f>
        <v>162300</v>
      </c>
      <c r="G89" s="4" t="str">
        <f>HYPERLINK("http://141.218.60.56/~jnz1568/getInfo.php?workbook=12_05.xlsx&amp;sheet=A0&amp;row=89&amp;col=7&amp;number=0&amp;sourceID=14","0")</f>
        <v>0</v>
      </c>
    </row>
    <row r="90" spans="1:7">
      <c r="A90" s="3">
        <v>12</v>
      </c>
      <c r="B90" s="3">
        <v>5</v>
      </c>
      <c r="C90" s="3">
        <v>34</v>
      </c>
      <c r="D90" s="3">
        <v>14</v>
      </c>
      <c r="E90" s="3">
        <v>-112.533</v>
      </c>
      <c r="F90" s="4" t="str">
        <f>HYPERLINK("http://141.218.60.56/~jnz1568/getInfo.php?workbook=12_05.xlsx&amp;sheet=A0&amp;row=90&amp;col=6&amp;number=19760&amp;sourceID=14","19760")</f>
        <v>19760</v>
      </c>
      <c r="G90" s="4" t="str">
        <f>HYPERLINK("http://141.218.60.56/~jnz1568/getInfo.php?workbook=12_05.xlsx&amp;sheet=A0&amp;row=90&amp;col=7&amp;number=0&amp;sourceID=14","0")</f>
        <v>0</v>
      </c>
    </row>
    <row r="91" spans="1:7">
      <c r="A91" s="3">
        <v>12</v>
      </c>
      <c r="B91" s="3">
        <v>5</v>
      </c>
      <c r="C91" s="3">
        <v>35</v>
      </c>
      <c r="D91" s="3">
        <v>14</v>
      </c>
      <c r="E91" s="3">
        <v>-111.492</v>
      </c>
      <c r="F91" s="4" t="str">
        <f>HYPERLINK("http://141.218.60.56/~jnz1568/getInfo.php?workbook=12_05.xlsx&amp;sheet=A0&amp;row=91&amp;col=6&amp;number=20500&amp;sourceID=14","20500")</f>
        <v>20500</v>
      </c>
      <c r="G91" s="4" t="str">
        <f>HYPERLINK("http://141.218.60.56/~jnz1568/getInfo.php?workbook=12_05.xlsx&amp;sheet=A0&amp;row=91&amp;col=7&amp;number=0&amp;sourceID=14","0")</f>
        <v>0</v>
      </c>
    </row>
    <row r="92" spans="1:7">
      <c r="A92" s="3">
        <v>12</v>
      </c>
      <c r="B92" s="3">
        <v>5</v>
      </c>
      <c r="C92" s="3">
        <v>36</v>
      </c>
      <c r="D92" s="3">
        <v>14</v>
      </c>
      <c r="E92" s="3">
        <v>109.178</v>
      </c>
      <c r="F92" s="4" t="str">
        <f>HYPERLINK("http://141.218.60.56/~jnz1568/getInfo.php?workbook=12_05.xlsx&amp;sheet=A0&amp;row=92&amp;col=6&amp;number=43620000&amp;sourceID=14","43620000")</f>
        <v>43620000</v>
      </c>
      <c r="G92" s="4" t="str">
        <f>HYPERLINK("http://141.218.60.56/~jnz1568/getInfo.php?workbook=12_05.xlsx&amp;sheet=A0&amp;row=92&amp;col=7&amp;number=0&amp;sourceID=14","0")</f>
        <v>0</v>
      </c>
    </row>
    <row r="93" spans="1:7">
      <c r="A93" s="3">
        <v>12</v>
      </c>
      <c r="B93" s="3">
        <v>5</v>
      </c>
      <c r="C93" s="3">
        <v>37</v>
      </c>
      <c r="D93" s="3">
        <v>14</v>
      </c>
      <c r="E93" s="3">
        <v>97.476</v>
      </c>
      <c r="F93" s="4" t="str">
        <f>HYPERLINK("http://141.218.60.56/~jnz1568/getInfo.php?workbook=12_05.xlsx&amp;sheet=A0&amp;row=93&amp;col=6&amp;number=563000000&amp;sourceID=14","563000000")</f>
        <v>563000000</v>
      </c>
      <c r="G93" s="4" t="str">
        <f>HYPERLINK("http://141.218.60.56/~jnz1568/getInfo.php?workbook=12_05.xlsx&amp;sheet=A0&amp;row=93&amp;col=7&amp;number=0&amp;sourceID=14","0")</f>
        <v>0</v>
      </c>
    </row>
    <row r="94" spans="1:7">
      <c r="A94" s="3">
        <v>12</v>
      </c>
      <c r="B94" s="3">
        <v>5</v>
      </c>
      <c r="C94" s="3">
        <v>38</v>
      </c>
      <c r="D94" s="3">
        <v>14</v>
      </c>
      <c r="E94" s="3">
        <v>-97.492</v>
      </c>
      <c r="F94" s="4" t="str">
        <f>HYPERLINK("http://141.218.60.56/~jnz1568/getInfo.php?workbook=12_05.xlsx&amp;sheet=A0&amp;row=94&amp;col=6&amp;number=72740000&amp;sourceID=14","72740000")</f>
        <v>72740000</v>
      </c>
      <c r="G94" s="4" t="str">
        <f>HYPERLINK("http://141.218.60.56/~jnz1568/getInfo.php?workbook=12_05.xlsx&amp;sheet=A0&amp;row=94&amp;col=7&amp;number=0&amp;sourceID=14","0")</f>
        <v>0</v>
      </c>
    </row>
    <row r="95" spans="1:7">
      <c r="A95" s="3">
        <v>12</v>
      </c>
      <c r="B95" s="3">
        <v>5</v>
      </c>
      <c r="C95" s="3">
        <v>39</v>
      </c>
      <c r="D95" s="3">
        <v>14</v>
      </c>
      <c r="E95" s="3">
        <v>93.938</v>
      </c>
      <c r="F95" s="4" t="str">
        <f>HYPERLINK("http://141.218.60.56/~jnz1568/getInfo.php?workbook=12_05.xlsx&amp;sheet=A0&amp;row=95&amp;col=6&amp;number=41030&amp;sourceID=14","41030")</f>
        <v>41030</v>
      </c>
      <c r="G95" s="4" t="str">
        <f>HYPERLINK("http://141.218.60.56/~jnz1568/getInfo.php?workbook=12_05.xlsx&amp;sheet=A0&amp;row=95&amp;col=7&amp;number=0&amp;sourceID=14","0")</f>
        <v>0</v>
      </c>
    </row>
    <row r="96" spans="1:7">
      <c r="A96" s="3">
        <v>12</v>
      </c>
      <c r="B96" s="3">
        <v>5</v>
      </c>
      <c r="C96" s="3">
        <v>40</v>
      </c>
      <c r="D96" s="3">
        <v>14</v>
      </c>
      <c r="E96" s="3">
        <v>-91.475</v>
      </c>
      <c r="F96" s="4" t="str">
        <f>HYPERLINK("http://141.218.60.56/~jnz1568/getInfo.php?workbook=12_05.xlsx&amp;sheet=A0&amp;row=96&amp;col=6&amp;number=3325000000&amp;sourceID=14","3325000000")</f>
        <v>3325000000</v>
      </c>
      <c r="G96" s="4" t="str">
        <f>HYPERLINK("http://141.218.60.56/~jnz1568/getInfo.php?workbook=12_05.xlsx&amp;sheet=A0&amp;row=96&amp;col=7&amp;number=0&amp;sourceID=14","0")</f>
        <v>0</v>
      </c>
    </row>
    <row r="97" spans="1:7">
      <c r="A97" s="3">
        <v>12</v>
      </c>
      <c r="B97" s="3">
        <v>5</v>
      </c>
      <c r="C97" s="3">
        <v>41</v>
      </c>
      <c r="D97" s="3">
        <v>14</v>
      </c>
      <c r="E97" s="3">
        <v>89.757</v>
      </c>
      <c r="F97" s="4" t="str">
        <f>HYPERLINK("http://141.218.60.56/~jnz1568/getInfo.php?workbook=12_05.xlsx&amp;sheet=A0&amp;row=97&amp;col=6&amp;number=8304000000&amp;sourceID=14","8304000000")</f>
        <v>8304000000</v>
      </c>
      <c r="G97" s="4" t="str">
        <f>HYPERLINK("http://141.218.60.56/~jnz1568/getInfo.php?workbook=12_05.xlsx&amp;sheet=A0&amp;row=97&amp;col=7&amp;number=0&amp;sourceID=14","0")</f>
        <v>0</v>
      </c>
    </row>
    <row r="98" spans="1:7">
      <c r="A98" s="3">
        <v>12</v>
      </c>
      <c r="B98" s="3">
        <v>5</v>
      </c>
      <c r="C98" s="3">
        <v>42</v>
      </c>
      <c r="D98" s="3">
        <v>14</v>
      </c>
      <c r="E98" s="3">
        <v>-86.327</v>
      </c>
      <c r="F98" s="4" t="str">
        <f>HYPERLINK("http://141.218.60.56/~jnz1568/getInfo.php?workbook=12_05.xlsx&amp;sheet=A0&amp;row=98&amp;col=6&amp;number=510000&amp;sourceID=14","510000")</f>
        <v>510000</v>
      </c>
      <c r="G98" s="4" t="str">
        <f>HYPERLINK("http://141.218.60.56/~jnz1568/getInfo.php?workbook=12_05.xlsx&amp;sheet=A0&amp;row=98&amp;col=7&amp;number=0&amp;sourceID=14","0")</f>
        <v>0</v>
      </c>
    </row>
    <row r="99" spans="1:7">
      <c r="A99" s="3">
        <v>12</v>
      </c>
      <c r="B99" s="3">
        <v>5</v>
      </c>
      <c r="C99" s="3">
        <v>43</v>
      </c>
      <c r="D99" s="3">
        <v>14</v>
      </c>
      <c r="E99" s="3">
        <v>-85.526</v>
      </c>
      <c r="F99" s="4" t="str">
        <f>HYPERLINK("http://141.218.60.56/~jnz1568/getInfo.php?workbook=12_05.xlsx&amp;sheet=A0&amp;row=99&amp;col=6&amp;number=12670000000&amp;sourceID=14","12670000000")</f>
        <v>12670000000</v>
      </c>
      <c r="G99" s="4" t="str">
        <f>HYPERLINK("http://141.218.60.56/~jnz1568/getInfo.php?workbook=12_05.xlsx&amp;sheet=A0&amp;row=99&amp;col=7&amp;number=0&amp;sourceID=14","0")</f>
        <v>0</v>
      </c>
    </row>
    <row r="100" spans="1:7">
      <c r="A100" s="3">
        <v>12</v>
      </c>
      <c r="B100" s="3">
        <v>5</v>
      </c>
      <c r="C100" s="3">
        <v>44</v>
      </c>
      <c r="D100" s="3">
        <v>14</v>
      </c>
      <c r="E100" s="3">
        <v>-85.39</v>
      </c>
      <c r="F100" s="4" t="str">
        <f>HYPERLINK("http://141.218.60.56/~jnz1568/getInfo.php?workbook=12_05.xlsx&amp;sheet=A0&amp;row=100&amp;col=6&amp;number=3203000000&amp;sourceID=14","3203000000")</f>
        <v>3203000000</v>
      </c>
      <c r="G100" s="4" t="str">
        <f>HYPERLINK("http://141.218.60.56/~jnz1568/getInfo.php?workbook=12_05.xlsx&amp;sheet=A0&amp;row=100&amp;col=7&amp;number=0&amp;sourceID=14","0")</f>
        <v>0</v>
      </c>
    </row>
    <row r="101" spans="1:7">
      <c r="A101" s="3">
        <v>12</v>
      </c>
      <c r="B101" s="3">
        <v>5</v>
      </c>
      <c r="C101" s="3">
        <v>45</v>
      </c>
      <c r="D101" s="3">
        <v>14</v>
      </c>
      <c r="E101" s="3">
        <v>83.89</v>
      </c>
      <c r="F101" s="4" t="str">
        <f>HYPERLINK("http://141.218.60.56/~jnz1568/getInfo.php?workbook=12_05.xlsx&amp;sheet=A0&amp;row=101&amp;col=6&amp;number=13030000&amp;sourceID=14","13030000")</f>
        <v>13030000</v>
      </c>
      <c r="G101" s="4" t="str">
        <f>HYPERLINK("http://141.218.60.56/~jnz1568/getInfo.php?workbook=12_05.xlsx&amp;sheet=A0&amp;row=101&amp;col=7&amp;number=0&amp;sourceID=14","0")</f>
        <v>0</v>
      </c>
    </row>
    <row r="102" spans="1:7">
      <c r="A102" s="3">
        <v>12</v>
      </c>
      <c r="B102" s="3">
        <v>5</v>
      </c>
      <c r="C102" s="3">
        <v>46</v>
      </c>
      <c r="D102" s="3">
        <v>14</v>
      </c>
      <c r="E102" s="3">
        <v>-82.535</v>
      </c>
      <c r="F102" s="4" t="str">
        <f>HYPERLINK("http://141.218.60.56/~jnz1568/getInfo.php?workbook=12_05.xlsx&amp;sheet=A0&amp;row=102&amp;col=6&amp;number=116800000000&amp;sourceID=14","116800000000")</f>
        <v>116800000000</v>
      </c>
      <c r="G102" s="4" t="str">
        <f>HYPERLINK("http://141.218.60.56/~jnz1568/getInfo.php?workbook=12_05.xlsx&amp;sheet=A0&amp;row=102&amp;col=7&amp;number=0&amp;sourceID=14","0")</f>
        <v>0</v>
      </c>
    </row>
    <row r="103" spans="1:7">
      <c r="A103" s="3">
        <v>12</v>
      </c>
      <c r="B103" s="3">
        <v>5</v>
      </c>
      <c r="C103" s="3">
        <v>47</v>
      </c>
      <c r="D103" s="3">
        <v>14</v>
      </c>
      <c r="E103" s="3">
        <v>-81.384</v>
      </c>
      <c r="F103" s="4" t="str">
        <f>HYPERLINK("http://141.218.60.56/~jnz1568/getInfo.php?workbook=12_05.xlsx&amp;sheet=A0&amp;row=103&amp;col=6&amp;number=162200000000&amp;sourceID=14","162200000000")</f>
        <v>162200000000</v>
      </c>
      <c r="G103" s="4" t="str">
        <f>HYPERLINK("http://141.218.60.56/~jnz1568/getInfo.php?workbook=12_05.xlsx&amp;sheet=A0&amp;row=103&amp;col=7&amp;number=0&amp;sourceID=14","0")</f>
        <v>0</v>
      </c>
    </row>
    <row r="104" spans="1:7">
      <c r="A104" s="3">
        <v>12</v>
      </c>
      <c r="B104" s="3">
        <v>5</v>
      </c>
      <c r="C104" s="3">
        <v>48</v>
      </c>
      <c r="D104" s="3">
        <v>14</v>
      </c>
      <c r="E104" s="3">
        <v>81.293</v>
      </c>
      <c r="F104" s="4" t="str">
        <f>HYPERLINK("http://141.218.60.56/~jnz1568/getInfo.php?workbook=12_05.xlsx&amp;sheet=A0&amp;row=104&amp;col=6&amp;number=35300000000&amp;sourceID=14","35300000000")</f>
        <v>35300000000</v>
      </c>
      <c r="G104" s="4" t="str">
        <f>HYPERLINK("http://141.218.60.56/~jnz1568/getInfo.php?workbook=12_05.xlsx&amp;sheet=A0&amp;row=104&amp;col=7&amp;number=0&amp;sourceID=14","0")</f>
        <v>0</v>
      </c>
    </row>
    <row r="105" spans="1:7">
      <c r="A105" s="3">
        <v>12</v>
      </c>
      <c r="B105" s="3">
        <v>5</v>
      </c>
      <c r="C105" s="3">
        <v>49</v>
      </c>
      <c r="D105" s="3">
        <v>14</v>
      </c>
      <c r="E105" s="3">
        <v>-75.519</v>
      </c>
      <c r="F105" s="4" t="str">
        <f>HYPERLINK("http://141.218.60.56/~jnz1568/getInfo.php?workbook=12_05.xlsx&amp;sheet=A0&amp;row=105&amp;col=6&amp;number=225600000000&amp;sourceID=14","225600000000")</f>
        <v>225600000000</v>
      </c>
      <c r="G105" s="4" t="str">
        <f>HYPERLINK("http://141.218.60.56/~jnz1568/getInfo.php?workbook=12_05.xlsx&amp;sheet=A0&amp;row=105&amp;col=7&amp;number=0&amp;sourceID=14","0")</f>
        <v>0</v>
      </c>
    </row>
    <row r="106" spans="1:7">
      <c r="A106" s="3">
        <v>12</v>
      </c>
      <c r="B106" s="3">
        <v>5</v>
      </c>
      <c r="C106" s="3">
        <v>16</v>
      </c>
      <c r="D106" s="3">
        <v>2</v>
      </c>
      <c r="E106" s="3">
        <v>82.824</v>
      </c>
      <c r="F106" s="4" t="str">
        <f>HYPERLINK("http://141.218.60.56/~jnz1568/getInfo.php?workbook=12_05.xlsx&amp;sheet=A0&amp;row=106&amp;col=6&amp;number=41330000000&amp;sourceID=14","41330000000")</f>
        <v>41330000000</v>
      </c>
      <c r="G106" s="4" t="str">
        <f>HYPERLINK("http://141.218.60.56/~jnz1568/getInfo.php?workbook=12_05.xlsx&amp;sheet=A0&amp;row=106&amp;col=7&amp;number=0&amp;sourceID=14","0")</f>
        <v>0</v>
      </c>
    </row>
    <row r="107" spans="1:7">
      <c r="A107" s="3">
        <v>12</v>
      </c>
      <c r="B107" s="3">
        <v>5</v>
      </c>
      <c r="C107" s="3">
        <v>17</v>
      </c>
      <c r="D107" s="3">
        <v>2</v>
      </c>
      <c r="E107" s="3">
        <v>71.171</v>
      </c>
      <c r="F107" s="4" t="str">
        <f>HYPERLINK("http://141.218.60.56/~jnz1568/getInfo.php?workbook=12_05.xlsx&amp;sheet=A0&amp;row=107&amp;col=6&amp;number=27600000000&amp;sourceID=14","27600000000")</f>
        <v>27600000000</v>
      </c>
      <c r="G107" s="4" t="str">
        <f>HYPERLINK("http://141.218.60.56/~jnz1568/getInfo.php?workbook=12_05.xlsx&amp;sheet=A0&amp;row=107&amp;col=7&amp;number=0&amp;sourceID=14","0")</f>
        <v>0</v>
      </c>
    </row>
    <row r="108" spans="1:7">
      <c r="A108" s="3">
        <v>12</v>
      </c>
      <c r="B108" s="3">
        <v>5</v>
      </c>
      <c r="C108" s="3">
        <v>18</v>
      </c>
      <c r="D108" s="3">
        <v>2</v>
      </c>
      <c r="E108" s="3">
        <v>-71.557</v>
      </c>
      <c r="F108" s="4" t="str">
        <f>HYPERLINK("http://141.218.60.56/~jnz1568/getInfo.php?workbook=12_05.xlsx&amp;sheet=A0&amp;row=108&amp;col=6&amp;number=10830000000&amp;sourceID=14","10830000000")</f>
        <v>10830000000</v>
      </c>
      <c r="G108" s="4" t="str">
        <f>HYPERLINK("http://141.218.60.56/~jnz1568/getInfo.php?workbook=12_05.xlsx&amp;sheet=A0&amp;row=108&amp;col=7&amp;number=0&amp;sourceID=14","0")</f>
        <v>0</v>
      </c>
    </row>
    <row r="109" spans="1:7">
      <c r="A109" s="3">
        <v>12</v>
      </c>
      <c r="B109" s="3">
        <v>5</v>
      </c>
      <c r="C109" s="3">
        <v>19</v>
      </c>
      <c r="D109" s="3">
        <v>2</v>
      </c>
      <c r="E109" s="3">
        <v>-70.552</v>
      </c>
      <c r="F109" s="4" t="str">
        <f>HYPERLINK("http://141.218.60.56/~jnz1568/getInfo.php?workbook=12_05.xlsx&amp;sheet=A0&amp;row=109&amp;col=6&amp;number=42220000&amp;sourceID=14","42220000")</f>
        <v>42220000</v>
      </c>
      <c r="G109" s="4" t="str">
        <f>HYPERLINK("http://141.218.60.56/~jnz1568/getInfo.php?workbook=12_05.xlsx&amp;sheet=A0&amp;row=109&amp;col=7&amp;number=0&amp;sourceID=14","0")</f>
        <v>0</v>
      </c>
    </row>
    <row r="110" spans="1:7">
      <c r="A110" s="3">
        <v>12</v>
      </c>
      <c r="B110" s="3">
        <v>5</v>
      </c>
      <c r="C110" s="3">
        <v>20</v>
      </c>
      <c r="D110" s="3">
        <v>2</v>
      </c>
      <c r="E110" s="3">
        <v>68.606</v>
      </c>
      <c r="F110" s="4" t="str">
        <f>HYPERLINK("http://141.218.60.56/~jnz1568/getInfo.php?workbook=12_05.xlsx&amp;sheet=A0&amp;row=110&amp;col=6&amp;number=126400000000&amp;sourceID=14","126400000000")</f>
        <v>126400000000</v>
      </c>
      <c r="G110" s="4" t="str">
        <f>HYPERLINK("http://141.218.60.56/~jnz1568/getInfo.php?workbook=12_05.xlsx&amp;sheet=A0&amp;row=110&amp;col=7&amp;number=0&amp;sourceID=14","0")</f>
        <v>0</v>
      </c>
    </row>
    <row r="111" spans="1:7">
      <c r="A111" s="3">
        <v>12</v>
      </c>
      <c r="B111" s="3">
        <v>5</v>
      </c>
      <c r="C111" s="3">
        <v>21</v>
      </c>
      <c r="D111" s="3">
        <v>2</v>
      </c>
      <c r="E111" s="3">
        <v>64.654</v>
      </c>
      <c r="F111" s="4" t="str">
        <f>HYPERLINK("http://141.218.60.56/~jnz1568/getInfo.php?workbook=12_05.xlsx&amp;sheet=A0&amp;row=111&amp;col=6&amp;number=23490000000&amp;sourceID=14","23490000000")</f>
        <v>23490000000</v>
      </c>
      <c r="G111" s="4" t="str">
        <f>HYPERLINK("http://141.218.60.56/~jnz1568/getInfo.php?workbook=12_05.xlsx&amp;sheet=A0&amp;row=111&amp;col=7&amp;number=0&amp;sourceID=14","0")</f>
        <v>0</v>
      </c>
    </row>
    <row r="112" spans="1:7">
      <c r="A112" s="3">
        <v>12</v>
      </c>
      <c r="B112" s="3">
        <v>5</v>
      </c>
      <c r="C112" s="3">
        <v>22</v>
      </c>
      <c r="D112" s="3">
        <v>2</v>
      </c>
      <c r="E112" s="3">
        <v>64.38</v>
      </c>
      <c r="F112" s="4" t="str">
        <f>HYPERLINK("http://141.218.60.56/~jnz1568/getInfo.php?workbook=12_05.xlsx&amp;sheet=A0&amp;row=112&amp;col=6&amp;number=11390000000&amp;sourceID=14","11390000000")</f>
        <v>11390000000</v>
      </c>
      <c r="G112" s="4" t="str">
        <f>HYPERLINK("http://141.218.60.56/~jnz1568/getInfo.php?workbook=12_05.xlsx&amp;sheet=A0&amp;row=112&amp;col=7&amp;number=0&amp;sourceID=14","0")</f>
        <v>0</v>
      </c>
    </row>
    <row r="113" spans="1:7">
      <c r="A113" s="3">
        <v>12</v>
      </c>
      <c r="B113" s="3">
        <v>5</v>
      </c>
      <c r="C113" s="3">
        <v>23</v>
      </c>
      <c r="D113" s="3">
        <v>2</v>
      </c>
      <c r="E113" s="3">
        <v>63.105</v>
      </c>
      <c r="F113" s="4" t="str">
        <f>HYPERLINK("http://141.218.60.56/~jnz1568/getInfo.php?workbook=12_05.xlsx&amp;sheet=A0&amp;row=113&amp;col=6&amp;number=2394000&amp;sourceID=14","2394000")</f>
        <v>2394000</v>
      </c>
      <c r="G113" s="4" t="str">
        <f>HYPERLINK("http://141.218.60.56/~jnz1568/getInfo.php?workbook=12_05.xlsx&amp;sheet=A0&amp;row=113&amp;col=7&amp;number=0&amp;sourceID=14","0")</f>
        <v>0</v>
      </c>
    </row>
    <row r="114" spans="1:7">
      <c r="A114" s="3">
        <v>12</v>
      </c>
      <c r="B114" s="3">
        <v>5</v>
      </c>
      <c r="C114" s="3">
        <v>24</v>
      </c>
      <c r="D114" s="3">
        <v>2</v>
      </c>
      <c r="E114" s="3">
        <v>-62.015</v>
      </c>
      <c r="F114" s="4" t="str">
        <f>HYPERLINK("http://141.218.60.56/~jnz1568/getInfo.php?workbook=12_05.xlsx&amp;sheet=A0&amp;row=114&amp;col=6&amp;number=7319000000&amp;sourceID=14","7319000000")</f>
        <v>7319000000</v>
      </c>
      <c r="G114" s="4" t="str">
        <f>HYPERLINK("http://141.218.60.56/~jnz1568/getInfo.php?workbook=12_05.xlsx&amp;sheet=A0&amp;row=114&amp;col=7&amp;number=0&amp;sourceID=14","0")</f>
        <v>0</v>
      </c>
    </row>
    <row r="115" spans="1:7">
      <c r="A115" s="3">
        <v>12</v>
      </c>
      <c r="B115" s="3">
        <v>5</v>
      </c>
      <c r="C115" s="3">
        <v>25</v>
      </c>
      <c r="D115" s="3">
        <v>2</v>
      </c>
      <c r="E115" s="3">
        <v>-59.126</v>
      </c>
      <c r="F115" s="4" t="str">
        <f>HYPERLINK("http://141.218.60.56/~jnz1568/getInfo.php?workbook=12_05.xlsx&amp;sheet=A0&amp;row=115&amp;col=6&amp;number=576600000&amp;sourceID=14","576600000")</f>
        <v>576600000</v>
      </c>
      <c r="G115" s="4" t="str">
        <f>HYPERLINK("http://141.218.60.56/~jnz1568/getInfo.php?workbook=12_05.xlsx&amp;sheet=A0&amp;row=115&amp;col=7&amp;number=0&amp;sourceID=14","0")</f>
        <v>0</v>
      </c>
    </row>
    <row r="116" spans="1:7">
      <c r="A116" s="3">
        <v>12</v>
      </c>
      <c r="B116" s="3">
        <v>5</v>
      </c>
      <c r="C116" s="3">
        <v>26</v>
      </c>
      <c r="D116" s="3">
        <v>2</v>
      </c>
      <c r="E116" s="3">
        <v>-59.05</v>
      </c>
      <c r="F116" s="4" t="str">
        <f>HYPERLINK("http://141.218.60.56/~jnz1568/getInfo.php?workbook=12_05.xlsx&amp;sheet=A0&amp;row=116&amp;col=6&amp;number=1468000000&amp;sourceID=14","1468000000")</f>
        <v>1468000000</v>
      </c>
      <c r="G116" s="4" t="str">
        <f>HYPERLINK("http://141.218.60.56/~jnz1568/getInfo.php?workbook=12_05.xlsx&amp;sheet=A0&amp;row=116&amp;col=7&amp;number=0&amp;sourceID=14","0")</f>
        <v>0</v>
      </c>
    </row>
    <row r="117" spans="1:7">
      <c r="A117" s="3">
        <v>12</v>
      </c>
      <c r="B117" s="3">
        <v>5</v>
      </c>
      <c r="C117" s="3">
        <v>27</v>
      </c>
      <c r="D117" s="3">
        <v>2</v>
      </c>
      <c r="E117" s="3">
        <v>58.348</v>
      </c>
      <c r="F117" s="4" t="str">
        <f>HYPERLINK("http://141.218.60.56/~jnz1568/getInfo.php?workbook=12_05.xlsx&amp;sheet=A0&amp;row=117&amp;col=6&amp;number=13350000&amp;sourceID=14","13350000")</f>
        <v>13350000</v>
      </c>
      <c r="G117" s="4" t="str">
        <f>HYPERLINK("http://141.218.60.56/~jnz1568/getInfo.php?workbook=12_05.xlsx&amp;sheet=A0&amp;row=117&amp;col=7&amp;number=0&amp;sourceID=14","0")</f>
        <v>0</v>
      </c>
    </row>
    <row r="118" spans="1:7">
      <c r="A118" s="3">
        <v>12</v>
      </c>
      <c r="B118" s="3">
        <v>5</v>
      </c>
      <c r="C118" s="3">
        <v>28</v>
      </c>
      <c r="D118" s="3">
        <v>2</v>
      </c>
      <c r="E118" s="3">
        <v>-57.877</v>
      </c>
      <c r="F118" s="4" t="str">
        <f>HYPERLINK("http://141.218.60.56/~jnz1568/getInfo.php?workbook=12_05.xlsx&amp;sheet=A0&amp;row=118&amp;col=6&amp;number=4173000000&amp;sourceID=14","4173000000")</f>
        <v>4173000000</v>
      </c>
      <c r="G118" s="4" t="str">
        <f>HYPERLINK("http://141.218.60.56/~jnz1568/getInfo.php?workbook=12_05.xlsx&amp;sheet=A0&amp;row=118&amp;col=7&amp;number=0&amp;sourceID=14","0")</f>
        <v>0</v>
      </c>
    </row>
    <row r="119" spans="1:7">
      <c r="A119" s="3">
        <v>12</v>
      </c>
      <c r="B119" s="3">
        <v>5</v>
      </c>
      <c r="C119" s="3">
        <v>29</v>
      </c>
      <c r="D119" s="3">
        <v>2</v>
      </c>
      <c r="E119" s="3">
        <v>57.132</v>
      </c>
      <c r="F119" s="4" t="str">
        <f>HYPERLINK("http://141.218.60.56/~jnz1568/getInfo.php?workbook=12_05.xlsx&amp;sheet=A0&amp;row=119&amp;col=6&amp;number=3959000000&amp;sourceID=14","3959000000")</f>
        <v>3959000000</v>
      </c>
      <c r="G119" s="4" t="str">
        <f>HYPERLINK("http://141.218.60.56/~jnz1568/getInfo.php?workbook=12_05.xlsx&amp;sheet=A0&amp;row=119&amp;col=7&amp;number=0&amp;sourceID=14","0")</f>
        <v>0</v>
      </c>
    </row>
    <row r="120" spans="1:7">
      <c r="A120" s="3">
        <v>12</v>
      </c>
      <c r="B120" s="3">
        <v>5</v>
      </c>
      <c r="C120" s="3">
        <v>30</v>
      </c>
      <c r="D120" s="3">
        <v>2</v>
      </c>
      <c r="E120" s="3">
        <v>-56.258</v>
      </c>
      <c r="F120" s="4" t="str">
        <f>HYPERLINK("http://141.218.60.56/~jnz1568/getInfo.php?workbook=12_05.xlsx&amp;sheet=A0&amp;row=120&amp;col=6&amp;number=6554000000&amp;sourceID=14","6554000000")</f>
        <v>6554000000</v>
      </c>
      <c r="G120" s="4" t="str">
        <f>HYPERLINK("http://141.218.60.56/~jnz1568/getInfo.php?workbook=12_05.xlsx&amp;sheet=A0&amp;row=120&amp;col=7&amp;number=0&amp;sourceID=14","0")</f>
        <v>0</v>
      </c>
    </row>
    <row r="121" spans="1:7">
      <c r="A121" s="3">
        <v>12</v>
      </c>
      <c r="B121" s="3">
        <v>5</v>
      </c>
      <c r="C121" s="3">
        <v>16</v>
      </c>
      <c r="D121" s="3">
        <v>11</v>
      </c>
      <c r="E121" s="3">
        <v>125.472</v>
      </c>
      <c r="F121" s="4" t="str">
        <f>HYPERLINK("http://141.218.60.56/~jnz1568/getInfo.php?workbook=12_05.xlsx&amp;sheet=A0&amp;row=121&amp;col=6&amp;number=7369&amp;sourceID=14","7369")</f>
        <v>7369</v>
      </c>
      <c r="G121" s="4" t="str">
        <f>HYPERLINK("http://141.218.60.56/~jnz1568/getInfo.php?workbook=12_05.xlsx&amp;sheet=A0&amp;row=121&amp;col=7&amp;number=0&amp;sourceID=14","0")</f>
        <v>0</v>
      </c>
    </row>
    <row r="122" spans="1:7">
      <c r="A122" s="3">
        <v>12</v>
      </c>
      <c r="B122" s="3">
        <v>5</v>
      </c>
      <c r="C122" s="3">
        <v>17</v>
      </c>
      <c r="D122" s="3">
        <v>11</v>
      </c>
      <c r="E122" s="3">
        <v>100.536</v>
      </c>
      <c r="F122" s="4" t="str">
        <f>HYPERLINK("http://141.218.60.56/~jnz1568/getInfo.php?workbook=12_05.xlsx&amp;sheet=A0&amp;row=122&amp;col=6&amp;number=3929&amp;sourceID=14","3929")</f>
        <v>3929</v>
      </c>
      <c r="G122" s="4" t="str">
        <f>HYPERLINK("http://141.218.60.56/~jnz1568/getInfo.php?workbook=12_05.xlsx&amp;sheet=A0&amp;row=122&amp;col=7&amp;number=0&amp;sourceID=14","0")</f>
        <v>0</v>
      </c>
    </row>
    <row r="123" spans="1:7">
      <c r="A123" s="3">
        <v>12</v>
      </c>
      <c r="B123" s="3">
        <v>5</v>
      </c>
      <c r="C123" s="3">
        <v>18</v>
      </c>
      <c r="D123" s="3">
        <v>11</v>
      </c>
      <c r="E123" s="3">
        <v>-101.299</v>
      </c>
      <c r="F123" s="4" t="str">
        <f>HYPERLINK("http://141.218.60.56/~jnz1568/getInfo.php?workbook=12_05.xlsx&amp;sheet=A0&amp;row=123&amp;col=6&amp;number=111400&amp;sourceID=14","111400")</f>
        <v>111400</v>
      </c>
      <c r="G123" s="4" t="str">
        <f>HYPERLINK("http://141.218.60.56/~jnz1568/getInfo.php?workbook=12_05.xlsx&amp;sheet=A0&amp;row=123&amp;col=7&amp;number=0&amp;sourceID=14","0")</f>
        <v>0</v>
      </c>
    </row>
    <row r="124" spans="1:7">
      <c r="A124" s="3">
        <v>12</v>
      </c>
      <c r="B124" s="3">
        <v>5</v>
      </c>
      <c r="C124" s="3">
        <v>19</v>
      </c>
      <c r="D124" s="3">
        <v>11</v>
      </c>
      <c r="E124" s="3">
        <v>-99.296</v>
      </c>
      <c r="F124" s="4" t="str">
        <f>HYPERLINK("http://141.218.60.56/~jnz1568/getInfo.php?workbook=12_05.xlsx&amp;sheet=A0&amp;row=124&amp;col=6&amp;number=356300000&amp;sourceID=14","356300000")</f>
        <v>356300000</v>
      </c>
      <c r="G124" s="4" t="str">
        <f>HYPERLINK("http://141.218.60.56/~jnz1568/getInfo.php?workbook=12_05.xlsx&amp;sheet=A0&amp;row=124&amp;col=7&amp;number=0&amp;sourceID=14","0")</f>
        <v>0</v>
      </c>
    </row>
    <row r="125" spans="1:7">
      <c r="A125" s="3">
        <v>12</v>
      </c>
      <c r="B125" s="3">
        <v>5</v>
      </c>
      <c r="C125" s="3">
        <v>20</v>
      </c>
      <c r="D125" s="3">
        <v>11</v>
      </c>
      <c r="E125" s="3">
        <v>95.492</v>
      </c>
      <c r="F125" s="4" t="str">
        <f>HYPERLINK("http://141.218.60.56/~jnz1568/getInfo.php?workbook=12_05.xlsx&amp;sheet=A0&amp;row=125&amp;col=6&amp;number=415300&amp;sourceID=14","415300")</f>
        <v>415300</v>
      </c>
      <c r="G125" s="4" t="str">
        <f>HYPERLINK("http://141.218.60.56/~jnz1568/getInfo.php?workbook=12_05.xlsx&amp;sheet=A0&amp;row=125&amp;col=7&amp;number=0&amp;sourceID=14","0")</f>
        <v>0</v>
      </c>
    </row>
    <row r="126" spans="1:7">
      <c r="A126" s="3">
        <v>12</v>
      </c>
      <c r="B126" s="3">
        <v>5</v>
      </c>
      <c r="C126" s="3">
        <v>21</v>
      </c>
      <c r="D126" s="3">
        <v>11</v>
      </c>
      <c r="E126" s="3">
        <v>88.006</v>
      </c>
      <c r="F126" s="4" t="str">
        <f>HYPERLINK("http://141.218.60.56/~jnz1568/getInfo.php?workbook=12_05.xlsx&amp;sheet=A0&amp;row=126&amp;col=6&amp;number=3917000&amp;sourceID=14","3917000")</f>
        <v>3917000</v>
      </c>
      <c r="G126" s="4" t="str">
        <f>HYPERLINK("http://141.218.60.56/~jnz1568/getInfo.php?workbook=12_05.xlsx&amp;sheet=A0&amp;row=126&amp;col=7&amp;number=0&amp;sourceID=14","0")</f>
        <v>0</v>
      </c>
    </row>
    <row r="127" spans="1:7">
      <c r="A127" s="3">
        <v>12</v>
      </c>
      <c r="B127" s="3">
        <v>5</v>
      </c>
      <c r="C127" s="3">
        <v>22</v>
      </c>
      <c r="D127" s="3">
        <v>11</v>
      </c>
      <c r="E127" s="3">
        <v>87.498</v>
      </c>
      <c r="F127" s="4" t="str">
        <f>HYPERLINK("http://141.218.60.56/~jnz1568/getInfo.php?workbook=12_05.xlsx&amp;sheet=A0&amp;row=127&amp;col=6&amp;number=19150000&amp;sourceID=14","19150000")</f>
        <v>19150000</v>
      </c>
      <c r="G127" s="4" t="str">
        <f>HYPERLINK("http://141.218.60.56/~jnz1568/getInfo.php?workbook=12_05.xlsx&amp;sheet=A0&amp;row=127&amp;col=7&amp;number=0&amp;sourceID=14","0")</f>
        <v>0</v>
      </c>
    </row>
    <row r="128" spans="1:7">
      <c r="A128" s="3">
        <v>12</v>
      </c>
      <c r="B128" s="3">
        <v>5</v>
      </c>
      <c r="C128" s="3">
        <v>23</v>
      </c>
      <c r="D128" s="3">
        <v>11</v>
      </c>
      <c r="E128" s="3">
        <v>85.159</v>
      </c>
      <c r="F128" s="4" t="str">
        <f>HYPERLINK("http://141.218.60.56/~jnz1568/getInfo.php?workbook=12_05.xlsx&amp;sheet=A0&amp;row=128&amp;col=6&amp;number=34930000000&amp;sourceID=14","34930000000")</f>
        <v>34930000000</v>
      </c>
      <c r="G128" s="4" t="str">
        <f>HYPERLINK("http://141.218.60.56/~jnz1568/getInfo.php?workbook=12_05.xlsx&amp;sheet=A0&amp;row=128&amp;col=7&amp;number=0&amp;sourceID=14","0")</f>
        <v>0</v>
      </c>
    </row>
    <row r="129" spans="1:7">
      <c r="A129" s="3">
        <v>12</v>
      </c>
      <c r="B129" s="3">
        <v>5</v>
      </c>
      <c r="C129" s="3">
        <v>24</v>
      </c>
      <c r="D129" s="3">
        <v>11</v>
      </c>
      <c r="E129" s="3">
        <v>-83.181</v>
      </c>
      <c r="F129" s="4" t="str">
        <f>HYPERLINK("http://141.218.60.56/~jnz1568/getInfo.php?workbook=12_05.xlsx&amp;sheet=A0&amp;row=129&amp;col=6&amp;number=3533000&amp;sourceID=14","3533000")</f>
        <v>3533000</v>
      </c>
      <c r="G129" s="4" t="str">
        <f>HYPERLINK("http://141.218.60.56/~jnz1568/getInfo.php?workbook=12_05.xlsx&amp;sheet=A0&amp;row=129&amp;col=7&amp;number=0&amp;sourceID=14","0")</f>
        <v>0</v>
      </c>
    </row>
    <row r="130" spans="1:7">
      <c r="A130" s="3">
        <v>12</v>
      </c>
      <c r="B130" s="3">
        <v>5</v>
      </c>
      <c r="C130" s="3">
        <v>25</v>
      </c>
      <c r="D130" s="3">
        <v>11</v>
      </c>
      <c r="E130" s="3">
        <v>-78.064</v>
      </c>
      <c r="F130" s="4" t="str">
        <f>HYPERLINK("http://141.218.60.56/~jnz1568/getInfo.php?workbook=12_05.xlsx&amp;sheet=A0&amp;row=130&amp;col=6&amp;number=821300000&amp;sourceID=14","821300000")</f>
        <v>821300000</v>
      </c>
      <c r="G130" s="4" t="str">
        <f>HYPERLINK("http://141.218.60.56/~jnz1568/getInfo.php?workbook=12_05.xlsx&amp;sheet=A0&amp;row=130&amp;col=7&amp;number=0&amp;sourceID=14","0")</f>
        <v>0</v>
      </c>
    </row>
    <row r="131" spans="1:7">
      <c r="A131" s="3">
        <v>12</v>
      </c>
      <c r="B131" s="3">
        <v>5</v>
      </c>
      <c r="C131" s="3">
        <v>26</v>
      </c>
      <c r="D131" s="3">
        <v>11</v>
      </c>
      <c r="E131" s="3">
        <v>-77.931</v>
      </c>
      <c r="F131" s="4" t="str">
        <f>HYPERLINK("http://141.218.60.56/~jnz1568/getInfo.php?workbook=12_05.xlsx&amp;sheet=A0&amp;row=131&amp;col=6&amp;number=60740000&amp;sourceID=14","60740000")</f>
        <v>60740000</v>
      </c>
      <c r="G131" s="4" t="str">
        <f>HYPERLINK("http://141.218.60.56/~jnz1568/getInfo.php?workbook=12_05.xlsx&amp;sheet=A0&amp;row=131&amp;col=7&amp;number=0&amp;sourceID=14","0")</f>
        <v>0</v>
      </c>
    </row>
    <row r="132" spans="1:7">
      <c r="A132" s="3">
        <v>12</v>
      </c>
      <c r="B132" s="3">
        <v>5</v>
      </c>
      <c r="C132" s="3">
        <v>27</v>
      </c>
      <c r="D132" s="3">
        <v>11</v>
      </c>
      <c r="E132" s="3">
        <v>76.72</v>
      </c>
      <c r="F132" s="4" t="str">
        <f>HYPERLINK("http://141.218.60.56/~jnz1568/getInfo.php?workbook=12_05.xlsx&amp;sheet=A0&amp;row=132&amp;col=6&amp;number=542600000000&amp;sourceID=14","542600000000")</f>
        <v>542600000000</v>
      </c>
      <c r="G132" s="4" t="str">
        <f>HYPERLINK("http://141.218.60.56/~jnz1568/getInfo.php?workbook=12_05.xlsx&amp;sheet=A0&amp;row=132&amp;col=7&amp;number=0&amp;sourceID=14","0")</f>
        <v>0</v>
      </c>
    </row>
    <row r="133" spans="1:7">
      <c r="A133" s="3">
        <v>12</v>
      </c>
      <c r="B133" s="3">
        <v>5</v>
      </c>
      <c r="C133" s="3">
        <v>28</v>
      </c>
      <c r="D133" s="3">
        <v>11</v>
      </c>
      <c r="E133" s="3">
        <v>-75.902</v>
      </c>
      <c r="F133" s="4" t="str">
        <f>HYPERLINK("http://141.218.60.56/~jnz1568/getInfo.php?workbook=12_05.xlsx&amp;sheet=A0&amp;row=133&amp;col=6&amp;number=98980000&amp;sourceID=14","98980000")</f>
        <v>98980000</v>
      </c>
      <c r="G133" s="4" t="str">
        <f>HYPERLINK("http://141.218.60.56/~jnz1568/getInfo.php?workbook=12_05.xlsx&amp;sheet=A0&amp;row=133&amp;col=7&amp;number=0&amp;sourceID=14","0")</f>
        <v>0</v>
      </c>
    </row>
    <row r="134" spans="1:7">
      <c r="A134" s="3">
        <v>12</v>
      </c>
      <c r="B134" s="3">
        <v>5</v>
      </c>
      <c r="C134" s="3">
        <v>29</v>
      </c>
      <c r="D134" s="3">
        <v>11</v>
      </c>
      <c r="E134" s="3">
        <v>74.63</v>
      </c>
      <c r="F134" s="4" t="str">
        <f>HYPERLINK("http://141.218.60.56/~jnz1568/getInfo.php?workbook=12_05.xlsx&amp;sheet=A0&amp;row=134&amp;col=6&amp;number=33980000&amp;sourceID=14","33980000")</f>
        <v>33980000</v>
      </c>
      <c r="G134" s="4" t="str">
        <f>HYPERLINK("http://141.218.60.56/~jnz1568/getInfo.php?workbook=12_05.xlsx&amp;sheet=A0&amp;row=134&amp;col=7&amp;number=0&amp;sourceID=14","0")</f>
        <v>0</v>
      </c>
    </row>
    <row r="135" spans="1:7">
      <c r="A135" s="3">
        <v>12</v>
      </c>
      <c r="B135" s="3">
        <v>5</v>
      </c>
      <c r="C135" s="3">
        <v>30</v>
      </c>
      <c r="D135" s="3">
        <v>11</v>
      </c>
      <c r="E135" s="3">
        <v>-73.141</v>
      </c>
      <c r="F135" s="4" t="str">
        <f>HYPERLINK("http://141.218.60.56/~jnz1568/getInfo.php?workbook=12_05.xlsx&amp;sheet=A0&amp;row=135&amp;col=6&amp;number=70110000&amp;sourceID=14","70110000")</f>
        <v>70110000</v>
      </c>
      <c r="G135" s="4" t="str">
        <f>HYPERLINK("http://141.218.60.56/~jnz1568/getInfo.php?workbook=12_05.xlsx&amp;sheet=A0&amp;row=135&amp;col=7&amp;number=0&amp;sourceID=14","0")</f>
        <v>0</v>
      </c>
    </row>
    <row r="136" spans="1:7">
      <c r="A136" s="3">
        <v>12</v>
      </c>
      <c r="B136" s="3">
        <v>5</v>
      </c>
      <c r="C136" s="3">
        <v>16</v>
      </c>
      <c r="D136" s="3">
        <v>12</v>
      </c>
      <c r="E136" s="3">
        <v>134.255</v>
      </c>
      <c r="F136" s="4" t="str">
        <f>HYPERLINK("http://141.218.60.56/~jnz1568/getInfo.php?workbook=12_05.xlsx&amp;sheet=A0&amp;row=136&amp;col=6&amp;number=13550&amp;sourceID=14","13550")</f>
        <v>13550</v>
      </c>
      <c r="G136" s="4" t="str">
        <f>HYPERLINK("http://141.218.60.56/~jnz1568/getInfo.php?workbook=12_05.xlsx&amp;sheet=A0&amp;row=136&amp;col=7&amp;number=0&amp;sourceID=14","0")</f>
        <v>0</v>
      </c>
    </row>
    <row r="137" spans="1:7">
      <c r="A137" s="3">
        <v>12</v>
      </c>
      <c r="B137" s="3">
        <v>5</v>
      </c>
      <c r="C137" s="3">
        <v>17</v>
      </c>
      <c r="D137" s="3">
        <v>12</v>
      </c>
      <c r="E137" s="3">
        <v>106.098</v>
      </c>
      <c r="F137" s="4" t="str">
        <f>HYPERLINK("http://141.218.60.56/~jnz1568/getInfo.php?workbook=12_05.xlsx&amp;sheet=A0&amp;row=137&amp;col=6&amp;number=531400000&amp;sourceID=14","531400000")</f>
        <v>531400000</v>
      </c>
      <c r="G137" s="4" t="str">
        <f>HYPERLINK("http://141.218.60.56/~jnz1568/getInfo.php?workbook=12_05.xlsx&amp;sheet=A0&amp;row=137&amp;col=7&amp;number=0&amp;sourceID=14","0")</f>
        <v>0</v>
      </c>
    </row>
    <row r="138" spans="1:7">
      <c r="A138" s="3">
        <v>12</v>
      </c>
      <c r="B138" s="3">
        <v>5</v>
      </c>
      <c r="C138" s="3">
        <v>18</v>
      </c>
      <c r="D138" s="3">
        <v>12</v>
      </c>
      <c r="E138" s="3">
        <v>-106.956</v>
      </c>
      <c r="F138" s="4" t="str">
        <f>HYPERLINK("http://141.218.60.56/~jnz1568/getInfo.php?workbook=12_05.xlsx&amp;sheet=A0&amp;row=138&amp;col=6&amp;number=210600000&amp;sourceID=14","210600000")</f>
        <v>210600000</v>
      </c>
      <c r="G138" s="4" t="str">
        <f>HYPERLINK("http://141.218.60.56/~jnz1568/getInfo.php?workbook=12_05.xlsx&amp;sheet=A0&amp;row=138&amp;col=7&amp;number=0&amp;sourceID=14","0")</f>
        <v>0</v>
      </c>
    </row>
    <row r="139" spans="1:7">
      <c r="A139" s="3">
        <v>12</v>
      </c>
      <c r="B139" s="3">
        <v>5</v>
      </c>
      <c r="C139" s="3">
        <v>19</v>
      </c>
      <c r="D139" s="3">
        <v>12</v>
      </c>
      <c r="E139" s="3">
        <v>-104.725</v>
      </c>
      <c r="F139" s="4" t="str">
        <f>HYPERLINK("http://141.218.60.56/~jnz1568/getInfo.php?workbook=12_05.xlsx&amp;sheet=A0&amp;row=139&amp;col=6&amp;number=165900&amp;sourceID=14","165900")</f>
        <v>165900</v>
      </c>
      <c r="G139" s="4" t="str">
        <f>HYPERLINK("http://141.218.60.56/~jnz1568/getInfo.php?workbook=12_05.xlsx&amp;sheet=A0&amp;row=139&amp;col=7&amp;number=0&amp;sourceID=14","0")</f>
        <v>0</v>
      </c>
    </row>
    <row r="140" spans="1:7">
      <c r="A140" s="3">
        <v>12</v>
      </c>
      <c r="B140" s="3">
        <v>5</v>
      </c>
      <c r="C140" s="3">
        <v>20</v>
      </c>
      <c r="D140" s="3">
        <v>12</v>
      </c>
      <c r="E140" s="3">
        <v>100.496</v>
      </c>
      <c r="F140" s="4" t="str">
        <f>HYPERLINK("http://141.218.60.56/~jnz1568/getInfo.php?workbook=12_05.xlsx&amp;sheet=A0&amp;row=140&amp;col=6&amp;number=1435000&amp;sourceID=14","1435000")</f>
        <v>1435000</v>
      </c>
      <c r="G140" s="4" t="str">
        <f>HYPERLINK("http://141.218.60.56/~jnz1568/getInfo.php?workbook=12_05.xlsx&amp;sheet=A0&amp;row=140&amp;col=7&amp;number=0&amp;sourceID=14","0")</f>
        <v>0</v>
      </c>
    </row>
    <row r="141" spans="1:7">
      <c r="A141" s="3">
        <v>12</v>
      </c>
      <c r="B141" s="3">
        <v>5</v>
      </c>
      <c r="C141" s="3">
        <v>21</v>
      </c>
      <c r="D141" s="3">
        <v>12</v>
      </c>
      <c r="E141" s="3">
        <v>92.238</v>
      </c>
      <c r="F141" s="4" t="str">
        <f>HYPERLINK("http://141.218.60.56/~jnz1568/getInfo.php?workbook=12_05.xlsx&amp;sheet=A0&amp;row=141&amp;col=6&amp;number=10890000000&amp;sourceID=14","10890000000")</f>
        <v>10890000000</v>
      </c>
      <c r="G141" s="4" t="str">
        <f>HYPERLINK("http://141.218.60.56/~jnz1568/getInfo.php?workbook=12_05.xlsx&amp;sheet=A0&amp;row=141&amp;col=7&amp;number=0&amp;sourceID=14","0")</f>
        <v>0</v>
      </c>
    </row>
    <row r="142" spans="1:7">
      <c r="A142" s="3">
        <v>12</v>
      </c>
      <c r="B142" s="3">
        <v>5</v>
      </c>
      <c r="C142" s="3">
        <v>22</v>
      </c>
      <c r="D142" s="3">
        <v>12</v>
      </c>
      <c r="E142" s="3">
        <v>91.68</v>
      </c>
      <c r="F142" s="4" t="str">
        <f>HYPERLINK("http://141.218.60.56/~jnz1568/getInfo.php?workbook=12_05.xlsx&amp;sheet=A0&amp;row=142&amp;col=6&amp;number=10560000&amp;sourceID=14","10560000")</f>
        <v>10560000</v>
      </c>
      <c r="G142" s="4" t="str">
        <f>HYPERLINK("http://141.218.60.56/~jnz1568/getInfo.php?workbook=12_05.xlsx&amp;sheet=A0&amp;row=142&amp;col=7&amp;number=0&amp;sourceID=14","0")</f>
        <v>0</v>
      </c>
    </row>
    <row r="143" spans="1:7">
      <c r="A143" s="3">
        <v>12</v>
      </c>
      <c r="B143" s="3">
        <v>5</v>
      </c>
      <c r="C143" s="3">
        <v>23</v>
      </c>
      <c r="D143" s="3">
        <v>12</v>
      </c>
      <c r="E143" s="3">
        <v>89.116</v>
      </c>
      <c r="F143" s="4" t="str">
        <f>HYPERLINK("http://141.218.60.56/~jnz1568/getInfo.php?workbook=12_05.xlsx&amp;sheet=A0&amp;row=143&amp;col=6&amp;number=4773000&amp;sourceID=14","4773000")</f>
        <v>4773000</v>
      </c>
      <c r="G143" s="4" t="str">
        <f>HYPERLINK("http://141.218.60.56/~jnz1568/getInfo.php?workbook=12_05.xlsx&amp;sheet=A0&amp;row=143&amp;col=7&amp;number=0&amp;sourceID=14","0")</f>
        <v>0</v>
      </c>
    </row>
    <row r="144" spans="1:7">
      <c r="A144" s="3">
        <v>12</v>
      </c>
      <c r="B144" s="3">
        <v>5</v>
      </c>
      <c r="C144" s="3">
        <v>24</v>
      </c>
      <c r="D144" s="3">
        <v>12</v>
      </c>
      <c r="E144" s="3">
        <v>-86.957</v>
      </c>
      <c r="F144" s="4" t="str">
        <f>HYPERLINK("http://141.218.60.56/~jnz1568/getInfo.php?workbook=12_05.xlsx&amp;sheet=A0&amp;row=144&amp;col=6&amp;number=36070000000&amp;sourceID=14","36070000000")</f>
        <v>36070000000</v>
      </c>
      <c r="G144" s="4" t="str">
        <f>HYPERLINK("http://141.218.60.56/~jnz1568/getInfo.php?workbook=12_05.xlsx&amp;sheet=A0&amp;row=144&amp;col=7&amp;number=0&amp;sourceID=14","0")</f>
        <v>0</v>
      </c>
    </row>
    <row r="145" spans="1:7">
      <c r="A145" s="3">
        <v>12</v>
      </c>
      <c r="B145" s="3">
        <v>5</v>
      </c>
      <c r="C145" s="3">
        <v>25</v>
      </c>
      <c r="D145" s="3">
        <v>12</v>
      </c>
      <c r="E145" s="3">
        <v>-81.381</v>
      </c>
      <c r="F145" s="4" t="str">
        <f>HYPERLINK("http://141.218.60.56/~jnz1568/getInfo.php?workbook=12_05.xlsx&amp;sheet=A0&amp;row=145&amp;col=6&amp;number=6524000000&amp;sourceID=14","6524000000")</f>
        <v>6524000000</v>
      </c>
      <c r="G145" s="4" t="str">
        <f>HYPERLINK("http://141.218.60.56/~jnz1568/getInfo.php?workbook=12_05.xlsx&amp;sheet=A0&amp;row=145&amp;col=7&amp;number=0&amp;sourceID=14","0")</f>
        <v>0</v>
      </c>
    </row>
    <row r="146" spans="1:7">
      <c r="A146" s="3">
        <v>12</v>
      </c>
      <c r="B146" s="3">
        <v>5</v>
      </c>
      <c r="C146" s="3">
        <v>26</v>
      </c>
      <c r="D146" s="3">
        <v>12</v>
      </c>
      <c r="E146" s="3">
        <v>-81.237</v>
      </c>
      <c r="F146" s="4" t="str">
        <f>HYPERLINK("http://141.218.60.56/~jnz1568/getInfo.php?workbook=12_05.xlsx&amp;sheet=A0&amp;row=146&amp;col=6&amp;number=14660000000&amp;sourceID=14","14660000000")</f>
        <v>14660000000</v>
      </c>
      <c r="G146" s="4" t="str">
        <f>HYPERLINK("http://141.218.60.56/~jnz1568/getInfo.php?workbook=12_05.xlsx&amp;sheet=A0&amp;row=146&amp;col=7&amp;number=0&amp;sourceID=14","0")</f>
        <v>0</v>
      </c>
    </row>
    <row r="147" spans="1:7">
      <c r="A147" s="3">
        <v>12</v>
      </c>
      <c r="B147" s="3">
        <v>5</v>
      </c>
      <c r="C147" s="3">
        <v>27</v>
      </c>
      <c r="D147" s="3">
        <v>12</v>
      </c>
      <c r="E147" s="3">
        <v>79.916</v>
      </c>
      <c r="F147" s="4" t="str">
        <f>HYPERLINK("http://141.218.60.56/~jnz1568/getInfo.php?workbook=12_05.xlsx&amp;sheet=A0&amp;row=147&amp;col=6&amp;number=25130000&amp;sourceID=14","25130000")</f>
        <v>25130000</v>
      </c>
      <c r="G147" s="4" t="str">
        <f>HYPERLINK("http://141.218.60.56/~jnz1568/getInfo.php?workbook=12_05.xlsx&amp;sheet=A0&amp;row=147&amp;col=7&amp;number=0&amp;sourceID=14","0")</f>
        <v>0</v>
      </c>
    </row>
    <row r="148" spans="1:7">
      <c r="A148" s="3">
        <v>12</v>
      </c>
      <c r="B148" s="3">
        <v>5</v>
      </c>
      <c r="C148" s="3">
        <v>28</v>
      </c>
      <c r="D148" s="3">
        <v>12</v>
      </c>
      <c r="E148" s="3">
        <v>-79.034</v>
      </c>
      <c r="F148" s="4" t="str">
        <f>HYPERLINK("http://141.218.60.56/~jnz1568/getInfo.php?workbook=12_05.xlsx&amp;sheet=A0&amp;row=148&amp;col=6&amp;number=24870000&amp;sourceID=14","24870000")</f>
        <v>24870000</v>
      </c>
      <c r="G148" s="4" t="str">
        <f>HYPERLINK("http://141.218.60.56/~jnz1568/getInfo.php?workbook=12_05.xlsx&amp;sheet=A0&amp;row=148&amp;col=7&amp;number=0&amp;sourceID=14","0")</f>
        <v>0</v>
      </c>
    </row>
    <row r="149" spans="1:7">
      <c r="A149" s="3">
        <v>12</v>
      </c>
      <c r="B149" s="3">
        <v>5</v>
      </c>
      <c r="C149" s="3">
        <v>29</v>
      </c>
      <c r="D149" s="3">
        <v>12</v>
      </c>
      <c r="E149" s="3">
        <v>77.652</v>
      </c>
      <c r="F149" s="4" t="str">
        <f>HYPERLINK("http://141.218.60.56/~jnz1568/getInfo.php?workbook=12_05.xlsx&amp;sheet=A0&amp;row=149&amp;col=6&amp;number=103900000000&amp;sourceID=14","103900000000")</f>
        <v>103900000000</v>
      </c>
      <c r="G149" s="4" t="str">
        <f>HYPERLINK("http://141.218.60.56/~jnz1568/getInfo.php?workbook=12_05.xlsx&amp;sheet=A0&amp;row=149&amp;col=7&amp;number=0&amp;sourceID=14","0")</f>
        <v>0</v>
      </c>
    </row>
    <row r="150" spans="1:7">
      <c r="A150" s="3">
        <v>12</v>
      </c>
      <c r="B150" s="3">
        <v>5</v>
      </c>
      <c r="C150" s="3">
        <v>30</v>
      </c>
      <c r="D150" s="3">
        <v>12</v>
      </c>
      <c r="E150" s="3">
        <v>-76.045</v>
      </c>
      <c r="F150" s="4" t="str">
        <f>HYPERLINK("http://141.218.60.56/~jnz1568/getInfo.php?workbook=12_05.xlsx&amp;sheet=A0&amp;row=150&amp;col=6&amp;number=226400000&amp;sourceID=14","226400000")</f>
        <v>226400000</v>
      </c>
      <c r="G150" s="4" t="str">
        <f>HYPERLINK("http://141.218.60.56/~jnz1568/getInfo.php?workbook=12_05.xlsx&amp;sheet=A0&amp;row=150&amp;col=7&amp;number=0&amp;sourceID=14","0")</f>
        <v>0</v>
      </c>
    </row>
    <row r="151" spans="1:7">
      <c r="A151" s="3">
        <v>12</v>
      </c>
      <c r="B151" s="3">
        <v>5</v>
      </c>
      <c r="C151" s="3">
        <v>16</v>
      </c>
      <c r="D151" s="3">
        <v>15</v>
      </c>
      <c r="E151" s="3">
        <v>145.809</v>
      </c>
      <c r="F151" s="4" t="str">
        <f>HYPERLINK("http://141.218.60.56/~jnz1568/getInfo.php?workbook=12_05.xlsx&amp;sheet=A0&amp;row=151&amp;col=6&amp;number=3428000&amp;sourceID=14","3428000")</f>
        <v>3428000</v>
      </c>
      <c r="G151" s="4" t="str">
        <f>HYPERLINK("http://141.218.60.56/~jnz1568/getInfo.php?workbook=12_05.xlsx&amp;sheet=A0&amp;row=151&amp;col=7&amp;number=0&amp;sourceID=14","0")</f>
        <v>0</v>
      </c>
    </row>
    <row r="152" spans="1:7">
      <c r="A152" s="3">
        <v>12</v>
      </c>
      <c r="B152" s="3">
        <v>5</v>
      </c>
      <c r="C152" s="3">
        <v>17</v>
      </c>
      <c r="D152" s="3">
        <v>15</v>
      </c>
      <c r="E152" s="3">
        <v>113.185</v>
      </c>
      <c r="F152" s="4" t="str">
        <f>HYPERLINK("http://141.218.60.56/~jnz1568/getInfo.php?workbook=12_05.xlsx&amp;sheet=A0&amp;row=152&amp;col=6&amp;number=906900&amp;sourceID=14","906900")</f>
        <v>906900</v>
      </c>
      <c r="G152" s="4" t="str">
        <f>HYPERLINK("http://141.218.60.56/~jnz1568/getInfo.php?workbook=12_05.xlsx&amp;sheet=A0&amp;row=152&amp;col=7&amp;number=0&amp;sourceID=14","0")</f>
        <v>0</v>
      </c>
    </row>
    <row r="153" spans="1:7">
      <c r="A153" s="3">
        <v>12</v>
      </c>
      <c r="B153" s="3">
        <v>5</v>
      </c>
      <c r="C153" s="3">
        <v>18</v>
      </c>
      <c r="D153" s="3">
        <v>15</v>
      </c>
      <c r="E153" s="3">
        <v>-114.163</v>
      </c>
      <c r="F153" s="4" t="str">
        <f>HYPERLINK("http://141.218.60.56/~jnz1568/getInfo.php?workbook=12_05.xlsx&amp;sheet=A0&amp;row=153&amp;col=6&amp;number=567000&amp;sourceID=14","567000")</f>
        <v>567000</v>
      </c>
      <c r="G153" s="4" t="str">
        <f>HYPERLINK("http://141.218.60.56/~jnz1568/getInfo.php?workbook=12_05.xlsx&amp;sheet=A0&amp;row=153&amp;col=7&amp;number=0&amp;sourceID=14","0")</f>
        <v>0</v>
      </c>
    </row>
    <row r="154" spans="1:7">
      <c r="A154" s="3">
        <v>12</v>
      </c>
      <c r="B154" s="3">
        <v>5</v>
      </c>
      <c r="C154" s="3">
        <v>19</v>
      </c>
      <c r="D154" s="3">
        <v>15</v>
      </c>
      <c r="E154" s="3">
        <v>-111.625</v>
      </c>
      <c r="F154" s="4" t="str">
        <f>HYPERLINK("http://141.218.60.56/~jnz1568/getInfo.php?workbook=12_05.xlsx&amp;sheet=A0&amp;row=154&amp;col=6&amp;number=517300&amp;sourceID=14","517300")</f>
        <v>517300</v>
      </c>
      <c r="G154" s="4" t="str">
        <f>HYPERLINK("http://141.218.60.56/~jnz1568/getInfo.php?workbook=12_05.xlsx&amp;sheet=A0&amp;row=154&amp;col=7&amp;number=0&amp;sourceID=14","0")</f>
        <v>0</v>
      </c>
    </row>
    <row r="155" spans="1:7">
      <c r="A155" s="3">
        <v>12</v>
      </c>
      <c r="B155" s="3">
        <v>5</v>
      </c>
      <c r="C155" s="3">
        <v>20</v>
      </c>
      <c r="D155" s="3">
        <v>15</v>
      </c>
      <c r="E155" s="3">
        <v>106.832</v>
      </c>
      <c r="F155" s="4" t="str">
        <f>HYPERLINK("http://141.218.60.56/~jnz1568/getInfo.php?workbook=12_05.xlsx&amp;sheet=A0&amp;row=155&amp;col=6&amp;number=1428000000&amp;sourceID=14","1428000000")</f>
        <v>1428000000</v>
      </c>
      <c r="G155" s="4" t="str">
        <f>HYPERLINK("http://141.218.60.56/~jnz1568/getInfo.php?workbook=12_05.xlsx&amp;sheet=A0&amp;row=155&amp;col=7&amp;number=0&amp;sourceID=14","0")</f>
        <v>0</v>
      </c>
    </row>
    <row r="156" spans="1:7">
      <c r="A156" s="3">
        <v>12</v>
      </c>
      <c r="B156" s="3">
        <v>5</v>
      </c>
      <c r="C156" s="3">
        <v>21</v>
      </c>
      <c r="D156" s="3">
        <v>15</v>
      </c>
      <c r="E156" s="3">
        <v>97.549</v>
      </c>
      <c r="F156" s="4" t="str">
        <f>HYPERLINK("http://141.218.60.56/~jnz1568/getInfo.php?workbook=12_05.xlsx&amp;sheet=A0&amp;row=156&amp;col=6&amp;number=1000000000&amp;sourceID=14","1000000000")</f>
        <v>1000000000</v>
      </c>
      <c r="G156" s="4" t="str">
        <f>HYPERLINK("http://141.218.60.56/~jnz1568/getInfo.php?workbook=12_05.xlsx&amp;sheet=A0&amp;row=156&amp;col=7&amp;number=0&amp;sourceID=14","0")</f>
        <v>0</v>
      </c>
    </row>
    <row r="157" spans="1:7">
      <c r="A157" s="3">
        <v>12</v>
      </c>
      <c r="B157" s="3">
        <v>5</v>
      </c>
      <c r="C157" s="3">
        <v>22</v>
      </c>
      <c r="D157" s="3">
        <v>15</v>
      </c>
      <c r="E157" s="3">
        <v>96.925</v>
      </c>
      <c r="F157" s="4" t="str">
        <f>HYPERLINK("http://141.218.60.56/~jnz1568/getInfo.php?workbook=12_05.xlsx&amp;sheet=A0&amp;row=157&amp;col=6&amp;number=17950000&amp;sourceID=14","17950000")</f>
        <v>17950000</v>
      </c>
      <c r="G157" s="4" t="str">
        <f>HYPERLINK("http://141.218.60.56/~jnz1568/getInfo.php?workbook=12_05.xlsx&amp;sheet=A0&amp;row=157&amp;col=7&amp;number=0&amp;sourceID=14","0")</f>
        <v>0</v>
      </c>
    </row>
    <row r="158" spans="1:7">
      <c r="A158" s="3">
        <v>12</v>
      </c>
      <c r="B158" s="3">
        <v>5</v>
      </c>
      <c r="C158" s="3">
        <v>23</v>
      </c>
      <c r="D158" s="3">
        <v>15</v>
      </c>
      <c r="E158" s="3">
        <v>94.064</v>
      </c>
      <c r="F158" s="4" t="str">
        <f>HYPERLINK("http://141.218.60.56/~jnz1568/getInfo.php?workbook=12_05.xlsx&amp;sheet=A0&amp;row=158&amp;col=6&amp;number=2852000&amp;sourceID=14","2852000")</f>
        <v>2852000</v>
      </c>
      <c r="G158" s="4" t="str">
        <f>HYPERLINK("http://141.218.60.56/~jnz1568/getInfo.php?workbook=12_05.xlsx&amp;sheet=A0&amp;row=158&amp;col=7&amp;number=0&amp;sourceID=14","0")</f>
        <v>0</v>
      </c>
    </row>
    <row r="159" spans="1:7">
      <c r="A159" s="3">
        <v>12</v>
      </c>
      <c r="B159" s="3">
        <v>5</v>
      </c>
      <c r="C159" s="3">
        <v>24</v>
      </c>
      <c r="D159" s="3">
        <v>15</v>
      </c>
      <c r="E159" s="3">
        <v>-91.661</v>
      </c>
      <c r="F159" s="4" t="str">
        <f>HYPERLINK("http://141.218.60.56/~jnz1568/getInfo.php?workbook=12_05.xlsx&amp;sheet=A0&amp;row=159&amp;col=6&amp;number=4822000000&amp;sourceID=14","4822000000")</f>
        <v>4822000000</v>
      </c>
      <c r="G159" s="4" t="str">
        <f>HYPERLINK("http://141.218.60.56/~jnz1568/getInfo.php?workbook=12_05.xlsx&amp;sheet=A0&amp;row=159&amp;col=7&amp;number=0&amp;sourceID=14","0")</f>
        <v>0</v>
      </c>
    </row>
    <row r="160" spans="1:7">
      <c r="A160" s="3">
        <v>12</v>
      </c>
      <c r="B160" s="3">
        <v>5</v>
      </c>
      <c r="C160" s="3">
        <v>25</v>
      </c>
      <c r="D160" s="3">
        <v>15</v>
      </c>
      <c r="E160" s="3">
        <v>-85.487</v>
      </c>
      <c r="F160" s="4" t="str">
        <f>HYPERLINK("http://141.218.60.56/~jnz1568/getInfo.php?workbook=12_05.xlsx&amp;sheet=A0&amp;row=160&amp;col=6&amp;number=8850000000&amp;sourceID=14","8850000000")</f>
        <v>8850000000</v>
      </c>
      <c r="G160" s="4" t="str">
        <f>HYPERLINK("http://141.218.60.56/~jnz1568/getInfo.php?workbook=12_05.xlsx&amp;sheet=A0&amp;row=160&amp;col=7&amp;number=0&amp;sourceID=14","0")</f>
        <v>0</v>
      </c>
    </row>
    <row r="161" spans="1:7">
      <c r="A161" s="3">
        <v>12</v>
      </c>
      <c r="B161" s="3">
        <v>5</v>
      </c>
      <c r="C161" s="3">
        <v>26</v>
      </c>
      <c r="D161" s="3">
        <v>15</v>
      </c>
      <c r="E161" s="3">
        <v>-85.328</v>
      </c>
      <c r="F161" s="4" t="str">
        <f>HYPERLINK("http://141.218.60.56/~jnz1568/getInfo.php?workbook=12_05.xlsx&amp;sheet=A0&amp;row=161&amp;col=6&amp;number=22740000000&amp;sourceID=14","22740000000")</f>
        <v>22740000000</v>
      </c>
      <c r="G161" s="4" t="str">
        <f>HYPERLINK("http://141.218.60.56/~jnz1568/getInfo.php?workbook=12_05.xlsx&amp;sheet=A0&amp;row=161&amp;col=7&amp;number=0&amp;sourceID=14","0")</f>
        <v>0</v>
      </c>
    </row>
    <row r="162" spans="1:7">
      <c r="A162" s="3">
        <v>12</v>
      </c>
      <c r="B162" s="3">
        <v>5</v>
      </c>
      <c r="C162" s="3">
        <v>27</v>
      </c>
      <c r="D162" s="3">
        <v>15</v>
      </c>
      <c r="E162" s="3">
        <v>83.873</v>
      </c>
      <c r="F162" s="4" t="str">
        <f>HYPERLINK("http://141.218.60.56/~jnz1568/getInfo.php?workbook=12_05.xlsx&amp;sheet=A0&amp;row=162&amp;col=6&amp;number=2811000&amp;sourceID=14","2811000")</f>
        <v>2811000</v>
      </c>
      <c r="G162" s="4" t="str">
        <f>HYPERLINK("http://141.218.60.56/~jnz1568/getInfo.php?workbook=12_05.xlsx&amp;sheet=A0&amp;row=162&amp;col=7&amp;number=0&amp;sourceID=14","0")</f>
        <v>0</v>
      </c>
    </row>
    <row r="163" spans="1:7">
      <c r="A163" s="3">
        <v>12</v>
      </c>
      <c r="B163" s="3">
        <v>5</v>
      </c>
      <c r="C163" s="3">
        <v>28</v>
      </c>
      <c r="D163" s="3">
        <v>15</v>
      </c>
      <c r="E163" s="3">
        <v>-82.901</v>
      </c>
      <c r="F163" s="4" t="str">
        <f>HYPERLINK("http://141.218.60.56/~jnz1568/getInfo.php?workbook=12_05.xlsx&amp;sheet=A0&amp;row=163&amp;col=6&amp;number=82800000000&amp;sourceID=14","82800000000")</f>
        <v>82800000000</v>
      </c>
      <c r="G163" s="4" t="str">
        <f>HYPERLINK("http://141.218.60.56/~jnz1568/getInfo.php?workbook=12_05.xlsx&amp;sheet=A0&amp;row=163&amp;col=7&amp;number=0&amp;sourceID=14","0")</f>
        <v>0</v>
      </c>
    </row>
    <row r="164" spans="1:7">
      <c r="A164" s="3">
        <v>12</v>
      </c>
      <c r="B164" s="3">
        <v>5</v>
      </c>
      <c r="C164" s="3">
        <v>29</v>
      </c>
      <c r="D164" s="3">
        <v>15</v>
      </c>
      <c r="E164" s="3">
        <v>81.382</v>
      </c>
      <c r="F164" s="4" t="str">
        <f>HYPERLINK("http://141.218.60.56/~jnz1568/getInfo.php?workbook=12_05.xlsx&amp;sheet=A0&amp;row=164&amp;col=6&amp;number=69780000000&amp;sourceID=14","69780000000")</f>
        <v>69780000000</v>
      </c>
      <c r="G164" s="4" t="str">
        <f>HYPERLINK("http://141.218.60.56/~jnz1568/getInfo.php?workbook=12_05.xlsx&amp;sheet=A0&amp;row=164&amp;col=7&amp;number=0&amp;sourceID=14","0")</f>
        <v>0</v>
      </c>
    </row>
    <row r="165" spans="1:7">
      <c r="A165" s="3">
        <v>12</v>
      </c>
      <c r="B165" s="3">
        <v>5</v>
      </c>
      <c r="C165" s="3">
        <v>30</v>
      </c>
      <c r="D165" s="3">
        <v>15</v>
      </c>
      <c r="E165" s="3">
        <v>-79.619</v>
      </c>
      <c r="F165" s="4" t="str">
        <f>HYPERLINK("http://141.218.60.56/~jnz1568/getInfo.php?workbook=12_05.xlsx&amp;sheet=A0&amp;row=165&amp;col=6&amp;number=93130000000&amp;sourceID=14","93130000000")</f>
        <v>93130000000</v>
      </c>
      <c r="G165" s="4" t="str">
        <f>HYPERLINK("http://141.218.60.56/~jnz1568/getInfo.php?workbook=12_05.xlsx&amp;sheet=A0&amp;row=165&amp;col=7&amp;number=0&amp;sourceID=14","0")</f>
        <v>0</v>
      </c>
    </row>
    <row r="166" spans="1:7">
      <c r="A166" s="3">
        <v>12</v>
      </c>
      <c r="B166" s="3">
        <v>5</v>
      </c>
      <c r="C166" s="3">
        <v>31</v>
      </c>
      <c r="D166" s="3">
        <v>2</v>
      </c>
      <c r="E166" s="3">
        <v>75.044</v>
      </c>
      <c r="F166" s="4" t="str">
        <f>HYPERLINK("http://141.218.60.56/~jnz1568/getInfo.php?workbook=12_05.xlsx&amp;sheet=A0&amp;row=166&amp;col=6&amp;number=62960000000&amp;sourceID=14","62960000000")</f>
        <v>62960000000</v>
      </c>
      <c r="G166" s="4" t="str">
        <f>HYPERLINK("http://141.218.60.56/~jnz1568/getInfo.php?workbook=12_05.xlsx&amp;sheet=A0&amp;row=166&amp;col=7&amp;number=0&amp;sourceID=14","0")</f>
        <v>0</v>
      </c>
    </row>
    <row r="167" spans="1:7">
      <c r="A167" s="3">
        <v>12</v>
      </c>
      <c r="B167" s="3">
        <v>5</v>
      </c>
      <c r="C167" s="3">
        <v>32</v>
      </c>
      <c r="D167" s="3">
        <v>2</v>
      </c>
      <c r="E167" s="3">
        <v>71.119</v>
      </c>
      <c r="F167" s="4" t="str">
        <f>HYPERLINK("http://141.218.60.56/~jnz1568/getInfo.php?workbook=12_05.xlsx&amp;sheet=A0&amp;row=167&amp;col=6&amp;number=76350000000&amp;sourceID=14","76350000000")</f>
        <v>76350000000</v>
      </c>
      <c r="G167" s="4" t="str">
        <f>HYPERLINK("http://141.218.60.56/~jnz1568/getInfo.php?workbook=12_05.xlsx&amp;sheet=A0&amp;row=167&amp;col=7&amp;number=0&amp;sourceID=14","0")</f>
        <v>0</v>
      </c>
    </row>
    <row r="168" spans="1:7">
      <c r="A168" s="3">
        <v>12</v>
      </c>
      <c r="B168" s="3">
        <v>5</v>
      </c>
      <c r="C168" s="3">
        <v>33</v>
      </c>
      <c r="D168" s="3">
        <v>2</v>
      </c>
      <c r="E168" s="3">
        <v>-71.531</v>
      </c>
      <c r="F168" s="4" t="str">
        <f>HYPERLINK("http://141.218.60.56/~jnz1568/getInfo.php?workbook=12_05.xlsx&amp;sheet=A0&amp;row=168&amp;col=6&amp;number=24640000000&amp;sourceID=14","24640000000")</f>
        <v>24640000000</v>
      </c>
      <c r="G168" s="4" t="str">
        <f>HYPERLINK("http://141.218.60.56/~jnz1568/getInfo.php?workbook=12_05.xlsx&amp;sheet=A0&amp;row=168&amp;col=7&amp;number=0&amp;sourceID=14","0")</f>
        <v>0</v>
      </c>
    </row>
    <row r="169" spans="1:7">
      <c r="A169" s="3">
        <v>12</v>
      </c>
      <c r="B169" s="3">
        <v>5</v>
      </c>
      <c r="C169" s="3">
        <v>34</v>
      </c>
      <c r="D169" s="3">
        <v>2</v>
      </c>
      <c r="E169" s="3">
        <v>-70.923</v>
      </c>
      <c r="F169" s="4" t="str">
        <f>HYPERLINK("http://141.218.60.56/~jnz1568/getInfo.php?workbook=12_05.xlsx&amp;sheet=A0&amp;row=169&amp;col=6&amp;number=567400000&amp;sourceID=14","567400000")</f>
        <v>567400000</v>
      </c>
      <c r="G169" s="4" t="str">
        <f>HYPERLINK("http://141.218.60.56/~jnz1568/getInfo.php?workbook=12_05.xlsx&amp;sheet=A0&amp;row=169&amp;col=7&amp;number=0&amp;sourceID=14","0")</f>
        <v>0</v>
      </c>
    </row>
    <row r="170" spans="1:7">
      <c r="A170" s="3">
        <v>12</v>
      </c>
      <c r="B170" s="3">
        <v>5</v>
      </c>
      <c r="C170" s="3">
        <v>35</v>
      </c>
      <c r="D170" s="3">
        <v>2</v>
      </c>
      <c r="E170" s="3">
        <v>-70.508</v>
      </c>
      <c r="F170" s="4" t="str">
        <f>HYPERLINK("http://141.218.60.56/~jnz1568/getInfo.php?workbook=12_05.xlsx&amp;sheet=A0&amp;row=170&amp;col=6&amp;number=78660000&amp;sourceID=14","78660000")</f>
        <v>78660000</v>
      </c>
      <c r="G170" s="4" t="str">
        <f>HYPERLINK("http://141.218.60.56/~jnz1568/getInfo.php?workbook=12_05.xlsx&amp;sheet=A0&amp;row=170&amp;col=7&amp;number=0&amp;sourceID=14","0")</f>
        <v>0</v>
      </c>
    </row>
    <row r="171" spans="1:7">
      <c r="A171" s="3">
        <v>12</v>
      </c>
      <c r="B171" s="3">
        <v>5</v>
      </c>
      <c r="C171" s="3">
        <v>36</v>
      </c>
      <c r="D171" s="3">
        <v>2</v>
      </c>
      <c r="E171" s="3">
        <v>69.575</v>
      </c>
      <c r="F171" s="4" t="str">
        <f>HYPERLINK("http://141.218.60.56/~jnz1568/getInfo.php?workbook=12_05.xlsx&amp;sheet=A0&amp;row=171&amp;col=6&amp;number=30130000000&amp;sourceID=14","30130000000")</f>
        <v>30130000000</v>
      </c>
      <c r="G171" s="4" t="str">
        <f>HYPERLINK("http://141.218.60.56/~jnz1568/getInfo.php?workbook=12_05.xlsx&amp;sheet=A0&amp;row=171&amp;col=7&amp;number=0&amp;sourceID=14","0")</f>
        <v>0</v>
      </c>
    </row>
    <row r="172" spans="1:7">
      <c r="A172" s="3">
        <v>12</v>
      </c>
      <c r="B172" s="3">
        <v>5</v>
      </c>
      <c r="C172" s="3">
        <v>37</v>
      </c>
      <c r="D172" s="3">
        <v>2</v>
      </c>
      <c r="E172" s="3">
        <v>64.631</v>
      </c>
      <c r="F172" s="4" t="str">
        <f>HYPERLINK("http://141.218.60.56/~jnz1568/getInfo.php?workbook=12_05.xlsx&amp;sheet=A0&amp;row=172&amp;col=6&amp;number=53400000000&amp;sourceID=14","53400000000")</f>
        <v>53400000000</v>
      </c>
      <c r="G172" s="4" t="str">
        <f>HYPERLINK("http://141.218.60.56/~jnz1568/getInfo.php?workbook=12_05.xlsx&amp;sheet=A0&amp;row=172&amp;col=7&amp;number=0&amp;sourceID=14","0")</f>
        <v>0</v>
      </c>
    </row>
    <row r="173" spans="1:7">
      <c r="A173" s="3">
        <v>12</v>
      </c>
      <c r="B173" s="3">
        <v>5</v>
      </c>
      <c r="C173" s="3">
        <v>38</v>
      </c>
      <c r="D173" s="3">
        <v>2</v>
      </c>
      <c r="E173" s="3">
        <v>-64.638</v>
      </c>
      <c r="F173" s="4" t="str">
        <f>HYPERLINK("http://141.218.60.56/~jnz1568/getInfo.php?workbook=12_05.xlsx&amp;sheet=A0&amp;row=173&amp;col=6&amp;number=4960000000&amp;sourceID=14","4960000000")</f>
        <v>4960000000</v>
      </c>
      <c r="G173" s="4" t="str">
        <f>HYPERLINK("http://141.218.60.56/~jnz1568/getInfo.php?workbook=12_05.xlsx&amp;sheet=A0&amp;row=173&amp;col=7&amp;number=0&amp;sourceID=14","0")</f>
        <v>0</v>
      </c>
    </row>
    <row r="174" spans="1:7">
      <c r="A174" s="3">
        <v>12</v>
      </c>
      <c r="B174" s="3">
        <v>5</v>
      </c>
      <c r="C174" s="3">
        <v>39</v>
      </c>
      <c r="D174" s="3">
        <v>2</v>
      </c>
      <c r="E174" s="3">
        <v>63.056</v>
      </c>
      <c r="F174" s="4" t="str">
        <f>HYPERLINK("http://141.218.60.56/~jnz1568/getInfo.php?workbook=12_05.xlsx&amp;sheet=A0&amp;row=174&amp;col=6&amp;number=33080000&amp;sourceID=14","33080000")</f>
        <v>33080000</v>
      </c>
      <c r="G174" s="4" t="str">
        <f>HYPERLINK("http://141.218.60.56/~jnz1568/getInfo.php?workbook=12_05.xlsx&amp;sheet=A0&amp;row=174&amp;col=7&amp;number=0&amp;sourceID=14","0")</f>
        <v>0</v>
      </c>
    </row>
    <row r="175" spans="1:7">
      <c r="A175" s="3">
        <v>12</v>
      </c>
      <c r="B175" s="3">
        <v>5</v>
      </c>
      <c r="C175" s="3">
        <v>40</v>
      </c>
      <c r="D175" s="3">
        <v>2</v>
      </c>
      <c r="E175" s="3">
        <v>-61.937</v>
      </c>
      <c r="F175" s="4" t="str">
        <f>HYPERLINK("http://141.218.60.56/~jnz1568/getInfo.php?workbook=12_05.xlsx&amp;sheet=A0&amp;row=175&amp;col=6&amp;number=17440000000&amp;sourceID=14","17440000000")</f>
        <v>17440000000</v>
      </c>
      <c r="G175" s="4" t="str">
        <f>HYPERLINK("http://141.218.60.56/~jnz1568/getInfo.php?workbook=12_05.xlsx&amp;sheet=A0&amp;row=175&amp;col=7&amp;number=0&amp;sourceID=14","0")</f>
        <v>0</v>
      </c>
    </row>
    <row r="176" spans="1:7">
      <c r="A176" s="3">
        <v>12</v>
      </c>
      <c r="B176" s="3">
        <v>5</v>
      </c>
      <c r="C176" s="3">
        <v>41</v>
      </c>
      <c r="D176" s="3">
        <v>2</v>
      </c>
      <c r="E176" s="3">
        <v>61.144</v>
      </c>
      <c r="F176" s="4" t="str">
        <f>HYPERLINK("http://141.218.60.56/~jnz1568/getInfo.php?workbook=12_05.xlsx&amp;sheet=A0&amp;row=176&amp;col=6&amp;number=1129000000&amp;sourceID=14","1129000000")</f>
        <v>1129000000</v>
      </c>
      <c r="G176" s="4" t="str">
        <f>HYPERLINK("http://141.218.60.56/~jnz1568/getInfo.php?workbook=12_05.xlsx&amp;sheet=A0&amp;row=176&amp;col=7&amp;number=0&amp;sourceID=14","0")</f>
        <v>0</v>
      </c>
    </row>
    <row r="177" spans="1:7">
      <c r="A177" s="3">
        <v>12</v>
      </c>
      <c r="B177" s="3">
        <v>5</v>
      </c>
      <c r="C177" s="3">
        <v>42</v>
      </c>
      <c r="D177" s="3">
        <v>2</v>
      </c>
      <c r="E177" s="3">
        <v>-59.533</v>
      </c>
      <c r="F177" s="4" t="str">
        <f>HYPERLINK("http://141.218.60.56/~jnz1568/getInfo.php?workbook=12_05.xlsx&amp;sheet=A0&amp;row=177&amp;col=6&amp;number=791400&amp;sourceID=14","791400")</f>
        <v>791400</v>
      </c>
      <c r="G177" s="4" t="str">
        <f>HYPERLINK("http://141.218.60.56/~jnz1568/getInfo.php?workbook=12_05.xlsx&amp;sheet=A0&amp;row=177&amp;col=7&amp;number=0&amp;sourceID=14","0")</f>
        <v>0</v>
      </c>
    </row>
    <row r="178" spans="1:7">
      <c r="A178" s="3">
        <v>12</v>
      </c>
      <c r="B178" s="3">
        <v>5</v>
      </c>
      <c r="C178" s="3">
        <v>43</v>
      </c>
      <c r="D178" s="3">
        <v>2</v>
      </c>
      <c r="E178" s="3">
        <v>-59.151</v>
      </c>
      <c r="F178" s="4" t="str">
        <f>HYPERLINK("http://141.218.60.56/~jnz1568/getInfo.php?workbook=12_05.xlsx&amp;sheet=A0&amp;row=178&amp;col=6&amp;number=3916000000&amp;sourceID=14","3916000000")</f>
        <v>3916000000</v>
      </c>
      <c r="G178" s="4" t="str">
        <f>HYPERLINK("http://141.218.60.56/~jnz1568/getInfo.php?workbook=12_05.xlsx&amp;sheet=A0&amp;row=178&amp;col=7&amp;number=0&amp;sourceID=14","0")</f>
        <v>0</v>
      </c>
    </row>
    <row r="179" spans="1:7">
      <c r="A179" s="3">
        <v>12</v>
      </c>
      <c r="B179" s="3">
        <v>5</v>
      </c>
      <c r="C179" s="3">
        <v>44</v>
      </c>
      <c r="D179" s="3">
        <v>2</v>
      </c>
      <c r="E179" s="3">
        <v>-59.086</v>
      </c>
      <c r="F179" s="4" t="str">
        <f>HYPERLINK("http://141.218.60.56/~jnz1568/getInfo.php?workbook=12_05.xlsx&amp;sheet=A0&amp;row=179&amp;col=6&amp;number=1017000000&amp;sourceID=14","1017000000")</f>
        <v>1017000000</v>
      </c>
      <c r="G179" s="4" t="str">
        <f>HYPERLINK("http://141.218.60.56/~jnz1568/getInfo.php?workbook=12_05.xlsx&amp;sheet=A0&amp;row=179&amp;col=7&amp;number=0&amp;sourceID=14","0")</f>
        <v>0</v>
      </c>
    </row>
    <row r="180" spans="1:7">
      <c r="A180" s="3">
        <v>12</v>
      </c>
      <c r="B180" s="3">
        <v>5</v>
      </c>
      <c r="C180" s="3">
        <v>45</v>
      </c>
      <c r="D180" s="3">
        <v>2</v>
      </c>
      <c r="E180" s="3">
        <v>58.363</v>
      </c>
      <c r="F180" s="4" t="str">
        <f>HYPERLINK("http://141.218.60.56/~jnz1568/getInfo.php?workbook=12_05.xlsx&amp;sheet=A0&amp;row=180&amp;col=6&amp;number=5780000&amp;sourceID=14","5780000")</f>
        <v>5780000</v>
      </c>
      <c r="G180" s="4" t="str">
        <f>HYPERLINK("http://141.218.60.56/~jnz1568/getInfo.php?workbook=12_05.xlsx&amp;sheet=A0&amp;row=180&amp;col=7&amp;number=0&amp;sourceID=14","0")</f>
        <v>0</v>
      </c>
    </row>
    <row r="181" spans="1:7">
      <c r="A181" s="3">
        <v>12</v>
      </c>
      <c r="B181" s="3">
        <v>5</v>
      </c>
      <c r="C181" s="3">
        <v>46</v>
      </c>
      <c r="D181" s="3">
        <v>2</v>
      </c>
      <c r="E181" s="3">
        <v>-57.705</v>
      </c>
      <c r="F181" s="4" t="str">
        <f>HYPERLINK("http://141.218.60.56/~jnz1568/getInfo.php?workbook=12_05.xlsx&amp;sheet=A0&amp;row=181&amp;col=6&amp;number=3064000000&amp;sourceID=14","3064000000")</f>
        <v>3064000000</v>
      </c>
      <c r="G181" s="4" t="str">
        <f>HYPERLINK("http://141.218.60.56/~jnz1568/getInfo.php?workbook=12_05.xlsx&amp;sheet=A0&amp;row=181&amp;col=7&amp;number=0&amp;sourceID=14","0")</f>
        <v>0</v>
      </c>
    </row>
    <row r="182" spans="1:7">
      <c r="A182" s="3">
        <v>12</v>
      </c>
      <c r="B182" s="3">
        <v>5</v>
      </c>
      <c r="C182" s="3">
        <v>47</v>
      </c>
      <c r="D182" s="3">
        <v>2</v>
      </c>
      <c r="E182" s="3">
        <v>-57.14</v>
      </c>
      <c r="F182" s="4" t="str">
        <f>HYPERLINK("http://141.218.60.56/~jnz1568/getInfo.php?workbook=12_05.xlsx&amp;sheet=A0&amp;row=182&amp;col=6&amp;number=1506000000&amp;sourceID=14","1506000000")</f>
        <v>1506000000</v>
      </c>
      <c r="G182" s="4" t="str">
        <f>HYPERLINK("http://141.218.60.56/~jnz1568/getInfo.php?workbook=12_05.xlsx&amp;sheet=A0&amp;row=182&amp;col=7&amp;number=0&amp;sourceID=14","0")</f>
        <v>0</v>
      </c>
    </row>
    <row r="183" spans="1:7">
      <c r="A183" s="3">
        <v>12</v>
      </c>
      <c r="B183" s="3">
        <v>5</v>
      </c>
      <c r="C183" s="3">
        <v>48</v>
      </c>
      <c r="D183" s="3">
        <v>2</v>
      </c>
      <c r="E183" s="3">
        <v>57.094</v>
      </c>
      <c r="F183" s="4" t="str">
        <f>HYPERLINK("http://141.218.60.56/~jnz1568/getInfo.php?workbook=12_05.xlsx&amp;sheet=A0&amp;row=183&amp;col=6&amp;number=10680000000&amp;sourceID=14","10680000000")</f>
        <v>10680000000</v>
      </c>
      <c r="G183" s="4" t="str">
        <f>HYPERLINK("http://141.218.60.56/~jnz1568/getInfo.php?workbook=12_05.xlsx&amp;sheet=A0&amp;row=183&amp;col=7&amp;number=0&amp;sourceID=14","0")</f>
        <v>0</v>
      </c>
    </row>
    <row r="184" spans="1:7">
      <c r="A184" s="3">
        <v>12</v>
      </c>
      <c r="B184" s="3">
        <v>5</v>
      </c>
      <c r="C184" s="3">
        <v>49</v>
      </c>
      <c r="D184" s="3">
        <v>2</v>
      </c>
      <c r="E184" s="3">
        <v>-54.185</v>
      </c>
      <c r="F184" s="4" t="str">
        <f>HYPERLINK("http://141.218.60.56/~jnz1568/getInfo.php?workbook=12_05.xlsx&amp;sheet=A0&amp;row=184&amp;col=6&amp;number=518000000&amp;sourceID=14","518000000")</f>
        <v>518000000</v>
      </c>
      <c r="G184" s="4" t="str">
        <f>HYPERLINK("http://141.218.60.56/~jnz1568/getInfo.php?workbook=12_05.xlsx&amp;sheet=A0&amp;row=184&amp;col=7&amp;number=0&amp;sourceID=14","0")</f>
        <v>0</v>
      </c>
    </row>
    <row r="185" spans="1:7">
      <c r="A185" s="3">
        <v>12</v>
      </c>
      <c r="B185" s="3">
        <v>5</v>
      </c>
      <c r="C185" s="3">
        <v>31</v>
      </c>
      <c r="D185" s="3">
        <v>11</v>
      </c>
      <c r="E185" s="3">
        <v>108.441</v>
      </c>
      <c r="F185" s="4" t="str">
        <f>HYPERLINK("http://141.218.60.56/~jnz1568/getInfo.php?workbook=12_05.xlsx&amp;sheet=A0&amp;row=185&amp;col=6&amp;number=2369&amp;sourceID=14","2369")</f>
        <v>2369</v>
      </c>
      <c r="G185" s="4" t="str">
        <f>HYPERLINK("http://141.218.60.56/~jnz1568/getInfo.php?workbook=12_05.xlsx&amp;sheet=A0&amp;row=185&amp;col=7&amp;number=0&amp;sourceID=14","0")</f>
        <v>0</v>
      </c>
    </row>
    <row r="186" spans="1:7">
      <c r="A186" s="3">
        <v>12</v>
      </c>
      <c r="B186" s="3">
        <v>5</v>
      </c>
      <c r="C186" s="3">
        <v>32</v>
      </c>
      <c r="D186" s="3">
        <v>11</v>
      </c>
      <c r="E186" s="3">
        <v>100.432</v>
      </c>
      <c r="F186" s="4" t="str">
        <f>HYPERLINK("http://141.218.60.56/~jnz1568/getInfo.php?workbook=12_05.xlsx&amp;sheet=A0&amp;row=186&amp;col=6&amp;number=546&amp;sourceID=14","546")</f>
        <v>546</v>
      </c>
      <c r="G186" s="4" t="str">
        <f>HYPERLINK("http://141.218.60.56/~jnz1568/getInfo.php?workbook=12_05.xlsx&amp;sheet=A0&amp;row=186&amp;col=7&amp;number=0&amp;sourceID=14","0")</f>
        <v>0</v>
      </c>
    </row>
    <row r="187" spans="1:7">
      <c r="A187" s="3">
        <v>12</v>
      </c>
      <c r="B187" s="3">
        <v>5</v>
      </c>
      <c r="C187" s="3">
        <v>33</v>
      </c>
      <c r="D187" s="3">
        <v>11</v>
      </c>
      <c r="E187" s="3">
        <v>-101.246</v>
      </c>
      <c r="F187" s="4" t="str">
        <f>HYPERLINK("http://141.218.60.56/~jnz1568/getInfo.php?workbook=12_05.xlsx&amp;sheet=A0&amp;row=187&amp;col=6&amp;number=481500&amp;sourceID=14","481500")</f>
        <v>481500</v>
      </c>
      <c r="G187" s="4" t="str">
        <f>HYPERLINK("http://141.218.60.56/~jnz1568/getInfo.php?workbook=12_05.xlsx&amp;sheet=A0&amp;row=187&amp;col=7&amp;number=0&amp;sourceID=14","0")</f>
        <v>0</v>
      </c>
    </row>
    <row r="188" spans="1:7">
      <c r="A188" s="3">
        <v>12</v>
      </c>
      <c r="B188" s="3">
        <v>5</v>
      </c>
      <c r="C188" s="3">
        <v>34</v>
      </c>
      <c r="D188" s="3">
        <v>11</v>
      </c>
      <c r="E188" s="3">
        <v>-100.033</v>
      </c>
      <c r="F188" s="4" t="str">
        <f>HYPERLINK("http://141.218.60.56/~jnz1568/getInfo.php?workbook=12_05.xlsx&amp;sheet=A0&amp;row=188&amp;col=6&amp;number=4103000&amp;sourceID=14","4103000")</f>
        <v>4103000</v>
      </c>
      <c r="G188" s="4" t="str">
        <f>HYPERLINK("http://141.218.60.56/~jnz1568/getInfo.php?workbook=12_05.xlsx&amp;sheet=A0&amp;row=188&amp;col=7&amp;number=0&amp;sourceID=14","0")</f>
        <v>0</v>
      </c>
    </row>
    <row r="189" spans="1:7">
      <c r="A189" s="3">
        <v>12</v>
      </c>
      <c r="B189" s="3">
        <v>5</v>
      </c>
      <c r="C189" s="3">
        <v>35</v>
      </c>
      <c r="D189" s="3">
        <v>11</v>
      </c>
      <c r="E189" s="3">
        <v>-99.209</v>
      </c>
      <c r="F189" s="4" t="str">
        <f>HYPERLINK("http://141.218.60.56/~jnz1568/getInfo.php?workbook=12_05.xlsx&amp;sheet=A0&amp;row=189&amp;col=6&amp;number=356600000&amp;sourceID=14","356600000")</f>
        <v>356600000</v>
      </c>
      <c r="G189" s="4" t="str">
        <f>HYPERLINK("http://141.218.60.56/~jnz1568/getInfo.php?workbook=12_05.xlsx&amp;sheet=A0&amp;row=189&amp;col=7&amp;number=0&amp;sourceID=14","0")</f>
        <v>0</v>
      </c>
    </row>
    <row r="190" spans="1:7">
      <c r="A190" s="3">
        <v>12</v>
      </c>
      <c r="B190" s="3">
        <v>5</v>
      </c>
      <c r="C190" s="3">
        <v>36</v>
      </c>
      <c r="D190" s="3">
        <v>11</v>
      </c>
      <c r="E190" s="3">
        <v>97.38</v>
      </c>
      <c r="F190" s="4" t="str">
        <f>HYPERLINK("http://141.218.60.56/~jnz1568/getInfo.php?workbook=12_05.xlsx&amp;sheet=A0&amp;row=190&amp;col=6&amp;number=250600&amp;sourceID=14","250600")</f>
        <v>250600</v>
      </c>
      <c r="G190" s="4" t="str">
        <f>HYPERLINK("http://141.218.60.56/~jnz1568/getInfo.php?workbook=12_05.xlsx&amp;sheet=A0&amp;row=190&amp;col=7&amp;number=0&amp;sourceID=14","0")</f>
        <v>0</v>
      </c>
    </row>
    <row r="191" spans="1:7">
      <c r="A191" s="3">
        <v>12</v>
      </c>
      <c r="B191" s="3">
        <v>5</v>
      </c>
      <c r="C191" s="3">
        <v>37</v>
      </c>
      <c r="D191" s="3">
        <v>11</v>
      </c>
      <c r="E191" s="3">
        <v>87.962</v>
      </c>
      <c r="F191" s="4" t="str">
        <f>HYPERLINK("http://141.218.60.56/~jnz1568/getInfo.php?workbook=12_05.xlsx&amp;sheet=A0&amp;row=191&amp;col=6&amp;number=6800000&amp;sourceID=14","6800000")</f>
        <v>6800000</v>
      </c>
      <c r="G191" s="4" t="str">
        <f>HYPERLINK("http://141.218.60.56/~jnz1568/getInfo.php?workbook=12_05.xlsx&amp;sheet=A0&amp;row=191&amp;col=7&amp;number=0&amp;sourceID=14","0")</f>
        <v>0</v>
      </c>
    </row>
    <row r="192" spans="1:7">
      <c r="A192" s="3">
        <v>12</v>
      </c>
      <c r="B192" s="3">
        <v>5</v>
      </c>
      <c r="C192" s="3">
        <v>38</v>
      </c>
      <c r="D192" s="3">
        <v>11</v>
      </c>
      <c r="E192" s="3">
        <v>-87.969</v>
      </c>
      <c r="F192" s="4" t="str">
        <f>HYPERLINK("http://141.218.60.56/~jnz1568/getInfo.php?workbook=12_05.xlsx&amp;sheet=A0&amp;row=192&amp;col=6&amp;number=665000&amp;sourceID=14","665000")</f>
        <v>665000</v>
      </c>
      <c r="G192" s="4" t="str">
        <f>HYPERLINK("http://141.218.60.56/~jnz1568/getInfo.php?workbook=12_05.xlsx&amp;sheet=A0&amp;row=192&amp;col=7&amp;number=0&amp;sourceID=14","0")</f>
        <v>0</v>
      </c>
    </row>
    <row r="193" spans="1:7">
      <c r="A193" s="3">
        <v>12</v>
      </c>
      <c r="B193" s="3">
        <v>5</v>
      </c>
      <c r="C193" s="3">
        <v>39</v>
      </c>
      <c r="D193" s="3">
        <v>11</v>
      </c>
      <c r="E193" s="3">
        <v>85.07</v>
      </c>
      <c r="F193" s="4" t="str">
        <f>HYPERLINK("http://141.218.60.56/~jnz1568/getInfo.php?workbook=12_05.xlsx&amp;sheet=A0&amp;row=193&amp;col=6&amp;number=35140000000&amp;sourceID=14","35140000000")</f>
        <v>35140000000</v>
      </c>
      <c r="G193" s="4" t="str">
        <f>HYPERLINK("http://141.218.60.56/~jnz1568/getInfo.php?workbook=12_05.xlsx&amp;sheet=A0&amp;row=193&amp;col=7&amp;number=0&amp;sourceID=14","0")</f>
        <v>0</v>
      </c>
    </row>
    <row r="194" spans="1:7">
      <c r="A194" s="3">
        <v>12</v>
      </c>
      <c r="B194" s="3">
        <v>5</v>
      </c>
      <c r="C194" s="3">
        <v>40</v>
      </c>
      <c r="D194" s="3">
        <v>11</v>
      </c>
      <c r="E194" s="3">
        <v>-83.04</v>
      </c>
      <c r="F194" s="4" t="str">
        <f>HYPERLINK("http://141.218.60.56/~jnz1568/getInfo.php?workbook=12_05.xlsx&amp;sheet=A0&amp;row=194&amp;col=6&amp;number=6194000&amp;sourceID=14","6194000")</f>
        <v>6194000</v>
      </c>
      <c r="G194" s="4" t="str">
        <f>HYPERLINK("http://141.218.60.56/~jnz1568/getInfo.php?workbook=12_05.xlsx&amp;sheet=A0&amp;row=194&amp;col=7&amp;number=0&amp;sourceID=14","0")</f>
        <v>0</v>
      </c>
    </row>
    <row r="195" spans="1:7">
      <c r="A195" s="3">
        <v>12</v>
      </c>
      <c r="B195" s="3">
        <v>5</v>
      </c>
      <c r="C195" s="3">
        <v>41</v>
      </c>
      <c r="D195" s="3">
        <v>11</v>
      </c>
      <c r="E195" s="3">
        <v>81.627</v>
      </c>
      <c r="F195" s="4" t="str">
        <f>HYPERLINK("http://141.218.60.56/~jnz1568/getInfo.php?workbook=12_05.xlsx&amp;sheet=A0&amp;row=195&amp;col=6&amp;number=5785000&amp;sourceID=14","5785000")</f>
        <v>5785000</v>
      </c>
      <c r="G195" s="4" t="str">
        <f>HYPERLINK("http://141.218.60.56/~jnz1568/getInfo.php?workbook=12_05.xlsx&amp;sheet=A0&amp;row=195&amp;col=7&amp;number=0&amp;sourceID=14","0")</f>
        <v>0</v>
      </c>
    </row>
    <row r="196" spans="1:7">
      <c r="A196" s="3">
        <v>12</v>
      </c>
      <c r="B196" s="3">
        <v>5</v>
      </c>
      <c r="C196" s="3">
        <v>42</v>
      </c>
      <c r="D196" s="3">
        <v>11</v>
      </c>
      <c r="E196" s="3">
        <v>-78.776</v>
      </c>
      <c r="F196" s="4" t="str">
        <f>HYPERLINK("http://141.218.60.56/~jnz1568/getInfo.php?workbook=12_05.xlsx&amp;sheet=A0&amp;row=196&amp;col=6&amp;number=4124000&amp;sourceID=14","4124000")</f>
        <v>4124000</v>
      </c>
      <c r="G196" s="4" t="str">
        <f>HYPERLINK("http://141.218.60.56/~jnz1568/getInfo.php?workbook=12_05.xlsx&amp;sheet=A0&amp;row=196&amp;col=7&amp;number=0&amp;sourceID=14","0")</f>
        <v>0</v>
      </c>
    </row>
    <row r="197" spans="1:7">
      <c r="A197" s="3">
        <v>12</v>
      </c>
      <c r="B197" s="3">
        <v>5</v>
      </c>
      <c r="C197" s="3">
        <v>43</v>
      </c>
      <c r="D197" s="3">
        <v>11</v>
      </c>
      <c r="E197" s="3">
        <v>-78.108</v>
      </c>
      <c r="F197" s="4" t="str">
        <f>HYPERLINK("http://141.218.60.56/~jnz1568/getInfo.php?workbook=12_05.xlsx&amp;sheet=A0&amp;row=197&amp;col=6&amp;number=1332000000&amp;sourceID=14","1332000000")</f>
        <v>1332000000</v>
      </c>
      <c r="G197" s="4" t="str">
        <f>HYPERLINK("http://141.218.60.56/~jnz1568/getInfo.php?workbook=12_05.xlsx&amp;sheet=A0&amp;row=197&amp;col=7&amp;number=0&amp;sourceID=14","0")</f>
        <v>0</v>
      </c>
    </row>
    <row r="198" spans="1:7">
      <c r="A198" s="3">
        <v>12</v>
      </c>
      <c r="B198" s="3">
        <v>5</v>
      </c>
      <c r="C198" s="3">
        <v>44</v>
      </c>
      <c r="D198" s="3">
        <v>11</v>
      </c>
      <c r="E198" s="3">
        <v>-77.995</v>
      </c>
      <c r="F198" s="4" t="str">
        <f>HYPERLINK("http://141.218.60.56/~jnz1568/getInfo.php?workbook=12_05.xlsx&amp;sheet=A0&amp;row=198&amp;col=6&amp;number=1744000000&amp;sourceID=14","1744000000")</f>
        <v>1744000000</v>
      </c>
      <c r="G198" s="4" t="str">
        <f>HYPERLINK("http://141.218.60.56/~jnz1568/getInfo.php?workbook=12_05.xlsx&amp;sheet=A0&amp;row=198&amp;col=7&amp;number=0&amp;sourceID=14","0")</f>
        <v>0</v>
      </c>
    </row>
    <row r="199" spans="1:7">
      <c r="A199" s="3">
        <v>12</v>
      </c>
      <c r="B199" s="3">
        <v>5</v>
      </c>
      <c r="C199" s="3">
        <v>45</v>
      </c>
      <c r="D199" s="3">
        <v>11</v>
      </c>
      <c r="E199" s="3">
        <v>76.746</v>
      </c>
      <c r="F199" s="4" t="str">
        <f>HYPERLINK("http://141.218.60.56/~jnz1568/getInfo.php?workbook=12_05.xlsx&amp;sheet=A0&amp;row=199&amp;col=6&amp;number=538800000000&amp;sourceID=14","538800000000")</f>
        <v>538800000000</v>
      </c>
      <c r="G199" s="4" t="str">
        <f>HYPERLINK("http://141.218.60.56/~jnz1568/getInfo.php?workbook=12_05.xlsx&amp;sheet=A0&amp;row=199&amp;col=7&amp;number=0&amp;sourceID=14","0")</f>
        <v>0</v>
      </c>
    </row>
    <row r="200" spans="1:7">
      <c r="A200" s="3">
        <v>12</v>
      </c>
      <c r="B200" s="3">
        <v>5</v>
      </c>
      <c r="C200" s="3">
        <v>46</v>
      </c>
      <c r="D200" s="3">
        <v>11</v>
      </c>
      <c r="E200" s="3">
        <v>-75.606</v>
      </c>
      <c r="F200" s="4" t="str">
        <f>HYPERLINK("http://141.218.60.56/~jnz1568/getInfo.php?workbook=12_05.xlsx&amp;sheet=A0&amp;row=200&amp;col=6&amp;number=4560000&amp;sourceID=14","4560000")</f>
        <v>4560000</v>
      </c>
      <c r="G200" s="4" t="str">
        <f>HYPERLINK("http://141.218.60.56/~jnz1568/getInfo.php?workbook=12_05.xlsx&amp;sheet=A0&amp;row=200&amp;col=7&amp;number=0&amp;sourceID=14","0")</f>
        <v>0</v>
      </c>
    </row>
    <row r="201" spans="1:7">
      <c r="A201" s="3">
        <v>12</v>
      </c>
      <c r="B201" s="3">
        <v>5</v>
      </c>
      <c r="C201" s="3">
        <v>47</v>
      </c>
      <c r="D201" s="3">
        <v>11</v>
      </c>
      <c r="E201" s="3">
        <v>-74.639</v>
      </c>
      <c r="F201" s="4" t="str">
        <f>HYPERLINK("http://141.218.60.56/~jnz1568/getInfo.php?workbook=12_05.xlsx&amp;sheet=A0&amp;row=201&amp;col=6&amp;number=24580000&amp;sourceID=14","24580000")</f>
        <v>24580000</v>
      </c>
      <c r="G201" s="4" t="str">
        <f>HYPERLINK("http://141.218.60.56/~jnz1568/getInfo.php?workbook=12_05.xlsx&amp;sheet=A0&amp;row=201&amp;col=7&amp;number=0&amp;sourceID=14","0")</f>
        <v>0</v>
      </c>
    </row>
    <row r="202" spans="1:7">
      <c r="A202" s="3">
        <v>12</v>
      </c>
      <c r="B202" s="3">
        <v>5</v>
      </c>
      <c r="C202" s="3">
        <v>48</v>
      </c>
      <c r="D202" s="3">
        <v>11</v>
      </c>
      <c r="E202" s="3">
        <v>74.566</v>
      </c>
      <c r="F202" s="4" t="str">
        <f>HYPERLINK("http://141.218.60.56/~jnz1568/getInfo.php?workbook=12_05.xlsx&amp;sheet=A0&amp;row=202&amp;col=6&amp;number=94210000&amp;sourceID=14","94210000")</f>
        <v>94210000</v>
      </c>
      <c r="G202" s="4" t="str">
        <f>HYPERLINK("http://141.218.60.56/~jnz1568/getInfo.php?workbook=12_05.xlsx&amp;sheet=A0&amp;row=202&amp;col=7&amp;number=0&amp;sourceID=14","0")</f>
        <v>0</v>
      </c>
    </row>
    <row r="203" spans="1:7">
      <c r="A203" s="3">
        <v>12</v>
      </c>
      <c r="B203" s="3">
        <v>5</v>
      </c>
      <c r="C203" s="3">
        <v>49</v>
      </c>
      <c r="D203" s="3">
        <v>11</v>
      </c>
      <c r="E203" s="3">
        <v>-69.676</v>
      </c>
      <c r="F203" s="4" t="str">
        <f>HYPERLINK("http://141.218.60.56/~jnz1568/getInfo.php?workbook=12_05.xlsx&amp;sheet=A0&amp;row=203&amp;col=6&amp;number=73320&amp;sourceID=14","73320")</f>
        <v>73320</v>
      </c>
      <c r="G203" s="4" t="str">
        <f>HYPERLINK("http://141.218.60.56/~jnz1568/getInfo.php?workbook=12_05.xlsx&amp;sheet=A0&amp;row=203&amp;col=7&amp;number=0&amp;sourceID=14","0")</f>
        <v>0</v>
      </c>
    </row>
    <row r="204" spans="1:7">
      <c r="A204" s="3">
        <v>12</v>
      </c>
      <c r="B204" s="3">
        <v>5</v>
      </c>
      <c r="C204" s="3">
        <v>31</v>
      </c>
      <c r="D204" s="3">
        <v>12</v>
      </c>
      <c r="E204" s="3">
        <v>114.94</v>
      </c>
      <c r="F204" s="4" t="str">
        <f>HYPERLINK("http://141.218.60.56/~jnz1568/getInfo.php?workbook=12_05.xlsx&amp;sheet=A0&amp;row=204&amp;col=6&amp;number=7202000&amp;sourceID=14","7202000")</f>
        <v>7202000</v>
      </c>
      <c r="G204" s="4" t="str">
        <f>HYPERLINK("http://141.218.60.56/~jnz1568/getInfo.php?workbook=12_05.xlsx&amp;sheet=A0&amp;row=204&amp;col=7&amp;number=0&amp;sourceID=14","0")</f>
        <v>0</v>
      </c>
    </row>
    <row r="205" spans="1:7">
      <c r="A205" s="3">
        <v>12</v>
      </c>
      <c r="B205" s="3">
        <v>5</v>
      </c>
      <c r="C205" s="3">
        <v>32</v>
      </c>
      <c r="D205" s="3">
        <v>12</v>
      </c>
      <c r="E205" s="3">
        <v>105.982</v>
      </c>
      <c r="F205" s="4" t="str">
        <f>HYPERLINK("http://141.218.60.56/~jnz1568/getInfo.php?workbook=12_05.xlsx&amp;sheet=A0&amp;row=205&amp;col=6&amp;number=45350000&amp;sourceID=14","45350000")</f>
        <v>45350000</v>
      </c>
      <c r="G205" s="4" t="str">
        <f>HYPERLINK("http://141.218.60.56/~jnz1568/getInfo.php?workbook=12_05.xlsx&amp;sheet=A0&amp;row=205&amp;col=7&amp;number=0&amp;sourceID=14","0")</f>
        <v>0</v>
      </c>
    </row>
    <row r="206" spans="1:7">
      <c r="A206" s="3">
        <v>12</v>
      </c>
      <c r="B206" s="3">
        <v>5</v>
      </c>
      <c r="C206" s="3">
        <v>33</v>
      </c>
      <c r="D206" s="3">
        <v>12</v>
      </c>
      <c r="E206" s="3">
        <v>-106.897</v>
      </c>
      <c r="F206" s="4" t="str">
        <f>HYPERLINK("http://141.218.60.56/~jnz1568/getInfo.php?workbook=12_05.xlsx&amp;sheet=A0&amp;row=206&amp;col=6&amp;number=12770000&amp;sourceID=14","12770000")</f>
        <v>12770000</v>
      </c>
      <c r="G206" s="4" t="str">
        <f>HYPERLINK("http://141.218.60.56/~jnz1568/getInfo.php?workbook=12_05.xlsx&amp;sheet=A0&amp;row=206&amp;col=7&amp;number=0&amp;sourceID=14","0")</f>
        <v>0</v>
      </c>
    </row>
    <row r="207" spans="1:7">
      <c r="A207" s="3">
        <v>12</v>
      </c>
      <c r="B207" s="3">
        <v>5</v>
      </c>
      <c r="C207" s="3">
        <v>34</v>
      </c>
      <c r="D207" s="3">
        <v>12</v>
      </c>
      <c r="E207" s="3">
        <v>-105.545</v>
      </c>
      <c r="F207" s="4" t="str">
        <f>HYPERLINK("http://141.218.60.56/~jnz1568/getInfo.php?workbook=12_05.xlsx&amp;sheet=A0&amp;row=207&amp;col=6&amp;number=385100&amp;sourceID=14","385100")</f>
        <v>385100</v>
      </c>
      <c r="G207" s="4" t="str">
        <f>HYPERLINK("http://141.218.60.56/~jnz1568/getInfo.php?workbook=12_05.xlsx&amp;sheet=A0&amp;row=207&amp;col=7&amp;number=0&amp;sourceID=14","0")</f>
        <v>0</v>
      </c>
    </row>
    <row r="208" spans="1:7">
      <c r="A208" s="3">
        <v>12</v>
      </c>
      <c r="B208" s="3">
        <v>5</v>
      </c>
      <c r="C208" s="3">
        <v>35</v>
      </c>
      <c r="D208" s="3">
        <v>12</v>
      </c>
      <c r="E208" s="3">
        <v>-104.629</v>
      </c>
      <c r="F208" s="4" t="str">
        <f>HYPERLINK("http://141.218.60.56/~jnz1568/getInfo.php?workbook=12_05.xlsx&amp;sheet=A0&amp;row=208&amp;col=6&amp;number=424500&amp;sourceID=14","424500")</f>
        <v>424500</v>
      </c>
      <c r="G208" s="4" t="str">
        <f>HYPERLINK("http://141.218.60.56/~jnz1568/getInfo.php?workbook=12_05.xlsx&amp;sheet=A0&amp;row=208&amp;col=7&amp;number=0&amp;sourceID=14","0")</f>
        <v>0</v>
      </c>
    </row>
    <row r="209" spans="1:7">
      <c r="A209" s="3">
        <v>12</v>
      </c>
      <c r="B209" s="3">
        <v>5</v>
      </c>
      <c r="C209" s="3">
        <v>36</v>
      </c>
      <c r="D209" s="3">
        <v>12</v>
      </c>
      <c r="E209" s="3">
        <v>102.588</v>
      </c>
      <c r="F209" s="4" t="str">
        <f>HYPERLINK("http://141.218.60.56/~jnz1568/getInfo.php?workbook=12_05.xlsx&amp;sheet=A0&amp;row=209&amp;col=6&amp;number=725700000&amp;sourceID=14","725700000")</f>
        <v>725700000</v>
      </c>
      <c r="G209" s="4" t="str">
        <f>HYPERLINK("http://141.218.60.56/~jnz1568/getInfo.php?workbook=12_05.xlsx&amp;sheet=A0&amp;row=209&amp;col=7&amp;number=0&amp;sourceID=14","0")</f>
        <v>0</v>
      </c>
    </row>
    <row r="210" spans="1:7">
      <c r="A210" s="3">
        <v>12</v>
      </c>
      <c r="B210" s="3">
        <v>5</v>
      </c>
      <c r="C210" s="3">
        <v>37</v>
      </c>
      <c r="D210" s="3">
        <v>12</v>
      </c>
      <c r="E210" s="3">
        <v>92.19</v>
      </c>
      <c r="F210" s="4" t="str">
        <f>HYPERLINK("http://141.218.60.56/~jnz1568/getInfo.php?workbook=12_05.xlsx&amp;sheet=A0&amp;row=210&amp;col=6&amp;number=649400000&amp;sourceID=14","649400000")</f>
        <v>649400000</v>
      </c>
      <c r="G210" s="4" t="str">
        <f>HYPERLINK("http://141.218.60.56/~jnz1568/getInfo.php?workbook=12_05.xlsx&amp;sheet=A0&amp;row=210&amp;col=7&amp;number=0&amp;sourceID=14","0")</f>
        <v>0</v>
      </c>
    </row>
    <row r="211" spans="1:7">
      <c r="A211" s="3">
        <v>12</v>
      </c>
      <c r="B211" s="3">
        <v>5</v>
      </c>
      <c r="C211" s="3">
        <v>38</v>
      </c>
      <c r="D211" s="3">
        <v>12</v>
      </c>
      <c r="E211" s="3">
        <v>-92.203</v>
      </c>
      <c r="F211" s="4" t="str">
        <f>HYPERLINK("http://141.218.60.56/~jnz1568/getInfo.php?workbook=12_05.xlsx&amp;sheet=A0&amp;row=211&amp;col=6&amp;number=224100000&amp;sourceID=14","224100000")</f>
        <v>224100000</v>
      </c>
      <c r="G211" s="4" t="str">
        <f>HYPERLINK("http://141.218.60.56/~jnz1568/getInfo.php?workbook=12_05.xlsx&amp;sheet=A0&amp;row=211&amp;col=7&amp;number=0&amp;sourceID=14","0")</f>
        <v>0</v>
      </c>
    </row>
    <row r="212" spans="1:7">
      <c r="A212" s="3">
        <v>12</v>
      </c>
      <c r="B212" s="3">
        <v>5</v>
      </c>
      <c r="C212" s="3">
        <v>39</v>
      </c>
      <c r="D212" s="3">
        <v>12</v>
      </c>
      <c r="E212" s="3">
        <v>89.019</v>
      </c>
      <c r="F212" s="4" t="str">
        <f>HYPERLINK("http://141.218.60.56/~jnz1568/getInfo.php?workbook=12_05.xlsx&amp;sheet=A0&amp;row=212&amp;col=6&amp;number=11650000&amp;sourceID=14","11650000")</f>
        <v>11650000</v>
      </c>
      <c r="G212" s="4" t="str">
        <f>HYPERLINK("http://141.218.60.56/~jnz1568/getInfo.php?workbook=12_05.xlsx&amp;sheet=A0&amp;row=212&amp;col=7&amp;number=0&amp;sourceID=14","0")</f>
        <v>0</v>
      </c>
    </row>
    <row r="213" spans="1:7">
      <c r="A213" s="3">
        <v>12</v>
      </c>
      <c r="B213" s="3">
        <v>5</v>
      </c>
      <c r="C213" s="3">
        <v>40</v>
      </c>
      <c r="D213" s="3">
        <v>12</v>
      </c>
      <c r="E213" s="3">
        <v>-86.804</v>
      </c>
      <c r="F213" s="4" t="str">
        <f>HYPERLINK("http://141.218.60.56/~jnz1568/getInfo.php?workbook=12_05.xlsx&amp;sheet=A0&amp;row=213&amp;col=6&amp;number=1805000000&amp;sourceID=14","1805000000")</f>
        <v>1805000000</v>
      </c>
      <c r="G213" s="4" t="str">
        <f>HYPERLINK("http://141.218.60.56/~jnz1568/getInfo.php?workbook=12_05.xlsx&amp;sheet=A0&amp;row=213&amp;col=7&amp;number=0&amp;sourceID=14","0")</f>
        <v>0</v>
      </c>
    </row>
    <row r="214" spans="1:7">
      <c r="A214" s="3">
        <v>12</v>
      </c>
      <c r="B214" s="3">
        <v>5</v>
      </c>
      <c r="C214" s="3">
        <v>41</v>
      </c>
      <c r="D214" s="3">
        <v>12</v>
      </c>
      <c r="E214" s="3">
        <v>85.255</v>
      </c>
      <c r="F214" s="4" t="str">
        <f>HYPERLINK("http://141.218.60.56/~jnz1568/getInfo.php?workbook=12_05.xlsx&amp;sheet=A0&amp;row=214&amp;col=6&amp;number=44060000000&amp;sourceID=14","44060000000")</f>
        <v>44060000000</v>
      </c>
      <c r="G214" s="4" t="str">
        <f>HYPERLINK("http://141.218.60.56/~jnz1568/getInfo.php?workbook=12_05.xlsx&amp;sheet=A0&amp;row=214&amp;col=7&amp;number=0&amp;sourceID=14","0")</f>
        <v>0</v>
      </c>
    </row>
    <row r="215" spans="1:7">
      <c r="A215" s="3">
        <v>12</v>
      </c>
      <c r="B215" s="3">
        <v>5</v>
      </c>
      <c r="C215" s="3">
        <v>42</v>
      </c>
      <c r="D215" s="3">
        <v>12</v>
      </c>
      <c r="E215" s="3">
        <v>-82.154</v>
      </c>
      <c r="F215" s="4" t="str">
        <f>HYPERLINK("http://141.218.60.56/~jnz1568/getInfo.php?workbook=12_05.xlsx&amp;sheet=A0&amp;row=215&amp;col=6&amp;number=97240000&amp;sourceID=14","97240000")</f>
        <v>97240000</v>
      </c>
      <c r="G215" s="4" t="str">
        <f>HYPERLINK("http://141.218.60.56/~jnz1568/getInfo.php?workbook=12_05.xlsx&amp;sheet=A0&amp;row=215&amp;col=7&amp;number=0&amp;sourceID=14","0")</f>
        <v>0</v>
      </c>
    </row>
    <row r="216" spans="1:7">
      <c r="A216" s="3">
        <v>12</v>
      </c>
      <c r="B216" s="3">
        <v>5</v>
      </c>
      <c r="C216" s="3">
        <v>43</v>
      </c>
      <c r="D216" s="3">
        <v>12</v>
      </c>
      <c r="E216" s="3">
        <v>-81.428</v>
      </c>
      <c r="F216" s="4" t="str">
        <f>HYPERLINK("http://141.218.60.56/~jnz1568/getInfo.php?workbook=12_05.xlsx&amp;sheet=A0&amp;row=216&amp;col=6&amp;number=4140000000&amp;sourceID=14","4140000000")</f>
        <v>4140000000</v>
      </c>
      <c r="G216" s="4" t="str">
        <f>HYPERLINK("http://141.218.60.56/~jnz1568/getInfo.php?workbook=12_05.xlsx&amp;sheet=A0&amp;row=216&amp;col=7&amp;number=0&amp;sourceID=14","0")</f>
        <v>0</v>
      </c>
    </row>
    <row r="217" spans="1:7">
      <c r="A217" s="3">
        <v>12</v>
      </c>
      <c r="B217" s="3">
        <v>5</v>
      </c>
      <c r="C217" s="3">
        <v>44</v>
      </c>
      <c r="D217" s="3">
        <v>12</v>
      </c>
      <c r="E217" s="3">
        <v>-81.306</v>
      </c>
      <c r="F217" s="4" t="str">
        <f>HYPERLINK("http://141.218.60.56/~jnz1568/getInfo.php?workbook=12_05.xlsx&amp;sheet=A0&amp;row=217&amp;col=6&amp;number=1571000000&amp;sourceID=14","1571000000")</f>
        <v>1571000000</v>
      </c>
      <c r="G217" s="4" t="str">
        <f>HYPERLINK("http://141.218.60.56/~jnz1568/getInfo.php?workbook=12_05.xlsx&amp;sheet=A0&amp;row=217&amp;col=7&amp;number=0&amp;sourceID=14","0")</f>
        <v>0</v>
      </c>
    </row>
    <row r="218" spans="1:7">
      <c r="A218" s="3">
        <v>12</v>
      </c>
      <c r="B218" s="3">
        <v>5</v>
      </c>
      <c r="C218" s="3">
        <v>45</v>
      </c>
      <c r="D218" s="3">
        <v>12</v>
      </c>
      <c r="E218" s="3">
        <v>79.944</v>
      </c>
      <c r="F218" s="4" t="str">
        <f>HYPERLINK("http://141.218.60.56/~jnz1568/getInfo.php?workbook=12_05.xlsx&amp;sheet=A0&amp;row=218&amp;col=6&amp;number=3780&amp;sourceID=14","3780")</f>
        <v>3780</v>
      </c>
      <c r="G218" s="4" t="str">
        <f>HYPERLINK("http://141.218.60.56/~jnz1568/getInfo.php?workbook=12_05.xlsx&amp;sheet=A0&amp;row=218&amp;col=7&amp;number=0&amp;sourceID=14","0")</f>
        <v>0</v>
      </c>
    </row>
    <row r="219" spans="1:7">
      <c r="A219" s="3">
        <v>12</v>
      </c>
      <c r="B219" s="3">
        <v>5</v>
      </c>
      <c r="C219" s="3">
        <v>46</v>
      </c>
      <c r="D219" s="3">
        <v>12</v>
      </c>
      <c r="E219" s="3">
        <v>-78.713</v>
      </c>
      <c r="F219" s="4" t="str">
        <f>HYPERLINK("http://141.218.60.56/~jnz1568/getInfo.php?workbook=12_05.xlsx&amp;sheet=A0&amp;row=219&amp;col=6&amp;number=161400000000&amp;sourceID=14","161400000000")</f>
        <v>161400000000</v>
      </c>
      <c r="G219" s="4" t="str">
        <f>HYPERLINK("http://141.218.60.56/~jnz1568/getInfo.php?workbook=12_05.xlsx&amp;sheet=A0&amp;row=219&amp;col=7&amp;number=0&amp;sourceID=14","0")</f>
        <v>0</v>
      </c>
    </row>
    <row r="220" spans="1:7">
      <c r="A220" s="3">
        <v>12</v>
      </c>
      <c r="B220" s="3">
        <v>5</v>
      </c>
      <c r="C220" s="3">
        <v>47</v>
      </c>
      <c r="D220" s="3">
        <v>12</v>
      </c>
      <c r="E220" s="3">
        <v>-77.665</v>
      </c>
      <c r="F220" s="4" t="str">
        <f>HYPERLINK("http://141.218.60.56/~jnz1568/getInfo.php?workbook=12_05.xlsx&amp;sheet=A0&amp;row=220&amp;col=6&amp;number=150000000000&amp;sourceID=14","150000000000")</f>
        <v>150000000000</v>
      </c>
      <c r="G220" s="4" t="str">
        <f>HYPERLINK("http://141.218.60.56/~jnz1568/getInfo.php?workbook=12_05.xlsx&amp;sheet=A0&amp;row=220&amp;col=7&amp;number=0&amp;sourceID=14","0")</f>
        <v>0</v>
      </c>
    </row>
    <row r="221" spans="1:7">
      <c r="A221" s="3">
        <v>12</v>
      </c>
      <c r="B221" s="3">
        <v>5</v>
      </c>
      <c r="C221" s="3">
        <v>48</v>
      </c>
      <c r="D221" s="3">
        <v>12</v>
      </c>
      <c r="E221" s="3">
        <v>77.583</v>
      </c>
      <c r="F221" s="4" t="str">
        <f>HYPERLINK("http://141.218.60.56/~jnz1568/getInfo.php?workbook=12_05.xlsx&amp;sheet=A0&amp;row=221&amp;col=6&amp;number=8454000000&amp;sourceID=14","8454000000")</f>
        <v>8454000000</v>
      </c>
      <c r="G221" s="4" t="str">
        <f>HYPERLINK("http://141.218.60.56/~jnz1568/getInfo.php?workbook=12_05.xlsx&amp;sheet=A0&amp;row=221&amp;col=7&amp;number=0&amp;sourceID=14","0")</f>
        <v>0</v>
      </c>
    </row>
    <row r="222" spans="1:7">
      <c r="A222" s="3">
        <v>12</v>
      </c>
      <c r="B222" s="3">
        <v>5</v>
      </c>
      <c r="C222" s="3">
        <v>49</v>
      </c>
      <c r="D222" s="3">
        <v>12</v>
      </c>
      <c r="E222" s="3">
        <v>-72.307</v>
      </c>
      <c r="F222" s="4" t="str">
        <f>HYPERLINK("http://141.218.60.56/~jnz1568/getInfo.php?workbook=12_05.xlsx&amp;sheet=A0&amp;row=222&amp;col=6&amp;number=6345000000&amp;sourceID=14","6345000000")</f>
        <v>6345000000</v>
      </c>
      <c r="G222" s="4" t="str">
        <f>HYPERLINK("http://141.218.60.56/~jnz1568/getInfo.php?workbook=12_05.xlsx&amp;sheet=A0&amp;row=222&amp;col=7&amp;number=0&amp;sourceID=14","0")</f>
        <v>0</v>
      </c>
    </row>
    <row r="223" spans="1:7">
      <c r="A223" s="3">
        <v>12</v>
      </c>
      <c r="B223" s="3">
        <v>5</v>
      </c>
      <c r="C223" s="3">
        <v>31</v>
      </c>
      <c r="D223" s="3">
        <v>15</v>
      </c>
      <c r="E223" s="3">
        <v>123.305</v>
      </c>
      <c r="F223" s="4" t="str">
        <f>HYPERLINK("http://141.218.60.56/~jnz1568/getInfo.php?workbook=12_05.xlsx&amp;sheet=A0&amp;row=223&amp;col=6&amp;number=176000&amp;sourceID=14","176000")</f>
        <v>176000</v>
      </c>
      <c r="G223" s="4" t="str">
        <f>HYPERLINK("http://141.218.60.56/~jnz1568/getInfo.php?workbook=12_05.xlsx&amp;sheet=A0&amp;row=223&amp;col=7&amp;number=0&amp;sourceID=14","0")</f>
        <v>0</v>
      </c>
    </row>
    <row r="224" spans="1:7">
      <c r="A224" s="3">
        <v>12</v>
      </c>
      <c r="B224" s="3">
        <v>5</v>
      </c>
      <c r="C224" s="3">
        <v>32</v>
      </c>
      <c r="D224" s="3">
        <v>15</v>
      </c>
      <c r="E224" s="3">
        <v>113.054</v>
      </c>
      <c r="F224" s="4" t="str">
        <f>HYPERLINK("http://141.218.60.56/~jnz1568/getInfo.php?workbook=12_05.xlsx&amp;sheet=A0&amp;row=224&amp;col=6&amp;number=2927000&amp;sourceID=14","2927000")</f>
        <v>2927000</v>
      </c>
      <c r="G224" s="4" t="str">
        <f>HYPERLINK("http://141.218.60.56/~jnz1568/getInfo.php?workbook=12_05.xlsx&amp;sheet=A0&amp;row=224&amp;col=7&amp;number=0&amp;sourceID=14","0")</f>
        <v>0</v>
      </c>
    </row>
    <row r="225" spans="1:7">
      <c r="A225" s="3">
        <v>12</v>
      </c>
      <c r="B225" s="3">
        <v>5</v>
      </c>
      <c r="C225" s="3">
        <v>33</v>
      </c>
      <c r="D225" s="3">
        <v>15</v>
      </c>
      <c r="E225" s="3">
        <v>-114.095</v>
      </c>
      <c r="F225" s="4" t="str">
        <f>HYPERLINK("http://141.218.60.56/~jnz1568/getInfo.php?workbook=12_05.xlsx&amp;sheet=A0&amp;row=225&amp;col=6&amp;number=1118000&amp;sourceID=14","1118000")</f>
        <v>1118000</v>
      </c>
      <c r="G225" s="4" t="str">
        <f>HYPERLINK("http://141.218.60.56/~jnz1568/getInfo.php?workbook=12_05.xlsx&amp;sheet=A0&amp;row=225&amp;col=7&amp;number=0&amp;sourceID=14","0")</f>
        <v>0</v>
      </c>
    </row>
    <row r="226" spans="1:7">
      <c r="A226" s="3">
        <v>12</v>
      </c>
      <c r="B226" s="3">
        <v>5</v>
      </c>
      <c r="C226" s="3">
        <v>34</v>
      </c>
      <c r="D226" s="3">
        <v>15</v>
      </c>
      <c r="E226" s="3">
        <v>-112.557</v>
      </c>
      <c r="F226" s="4" t="str">
        <f>HYPERLINK("http://141.218.60.56/~jnz1568/getInfo.php?workbook=12_05.xlsx&amp;sheet=A0&amp;row=226&amp;col=6&amp;number=137900&amp;sourceID=14","137900")</f>
        <v>137900</v>
      </c>
      <c r="G226" s="4" t="str">
        <f>HYPERLINK("http://141.218.60.56/~jnz1568/getInfo.php?workbook=12_05.xlsx&amp;sheet=A0&amp;row=226&amp;col=7&amp;number=0&amp;sourceID=14","0")</f>
        <v>0</v>
      </c>
    </row>
    <row r="227" spans="1:7">
      <c r="A227" s="3">
        <v>12</v>
      </c>
      <c r="B227" s="3">
        <v>5</v>
      </c>
      <c r="C227" s="3">
        <v>35</v>
      </c>
      <c r="D227" s="3">
        <v>15</v>
      </c>
      <c r="E227" s="3">
        <v>-111.515</v>
      </c>
      <c r="F227" s="4" t="str">
        <f>HYPERLINK("http://141.218.60.56/~jnz1568/getInfo.php?workbook=12_05.xlsx&amp;sheet=A0&amp;row=227&amp;col=6&amp;number=24400&amp;sourceID=14","24400")</f>
        <v>24400</v>
      </c>
      <c r="G227" s="4" t="str">
        <f>HYPERLINK("http://141.218.60.56/~jnz1568/getInfo.php?workbook=12_05.xlsx&amp;sheet=A0&amp;row=227&amp;col=7&amp;number=0&amp;sourceID=14","0")</f>
        <v>0</v>
      </c>
    </row>
    <row r="228" spans="1:7">
      <c r="A228" s="3">
        <v>12</v>
      </c>
      <c r="B228" s="3">
        <v>5</v>
      </c>
      <c r="C228" s="3">
        <v>36</v>
      </c>
      <c r="D228" s="3">
        <v>15</v>
      </c>
      <c r="E228" s="3">
        <v>109.201</v>
      </c>
      <c r="F228" s="4" t="str">
        <f>HYPERLINK("http://141.218.60.56/~jnz1568/getInfo.php?workbook=12_05.xlsx&amp;sheet=A0&amp;row=228&amp;col=6&amp;number=4784000&amp;sourceID=14","4784000")</f>
        <v>4784000</v>
      </c>
      <c r="G228" s="4" t="str">
        <f>HYPERLINK("http://141.218.60.56/~jnz1568/getInfo.php?workbook=12_05.xlsx&amp;sheet=A0&amp;row=228&amp;col=7&amp;number=0&amp;sourceID=14","0")</f>
        <v>0</v>
      </c>
    </row>
    <row r="229" spans="1:7">
      <c r="A229" s="3">
        <v>12</v>
      </c>
      <c r="B229" s="3">
        <v>5</v>
      </c>
      <c r="C229" s="3">
        <v>37</v>
      </c>
      <c r="D229" s="3">
        <v>15</v>
      </c>
      <c r="E229" s="3">
        <v>97.495</v>
      </c>
      <c r="F229" s="4" t="str">
        <f>HYPERLINK("http://141.218.60.56/~jnz1568/getInfo.php?workbook=12_05.xlsx&amp;sheet=A0&amp;row=229&amp;col=6&amp;number=2144000000&amp;sourceID=14","2144000000")</f>
        <v>2144000000</v>
      </c>
      <c r="G229" s="4" t="str">
        <f>HYPERLINK("http://141.218.60.56/~jnz1568/getInfo.php?workbook=12_05.xlsx&amp;sheet=A0&amp;row=229&amp;col=7&amp;number=0&amp;sourceID=14","0")</f>
        <v>0</v>
      </c>
    </row>
    <row r="230" spans="1:7">
      <c r="A230" s="3">
        <v>12</v>
      </c>
      <c r="B230" s="3">
        <v>5</v>
      </c>
      <c r="C230" s="3">
        <v>38</v>
      </c>
      <c r="D230" s="3">
        <v>15</v>
      </c>
      <c r="E230" s="3">
        <v>-97.51</v>
      </c>
      <c r="F230" s="4" t="str">
        <f>HYPERLINK("http://141.218.60.56/~jnz1568/getInfo.php?workbook=12_05.xlsx&amp;sheet=A0&amp;row=230&amp;col=6&amp;number=822000000&amp;sourceID=14","822000000")</f>
        <v>822000000</v>
      </c>
      <c r="G230" s="4" t="str">
        <f>HYPERLINK("http://141.218.60.56/~jnz1568/getInfo.php?workbook=12_05.xlsx&amp;sheet=A0&amp;row=230&amp;col=7&amp;number=0&amp;sourceID=14","0")</f>
        <v>0</v>
      </c>
    </row>
    <row r="231" spans="1:7">
      <c r="A231" s="3">
        <v>12</v>
      </c>
      <c r="B231" s="3">
        <v>5</v>
      </c>
      <c r="C231" s="3">
        <v>39</v>
      </c>
      <c r="D231" s="3">
        <v>15</v>
      </c>
      <c r="E231" s="3">
        <v>93.955</v>
      </c>
      <c r="F231" s="4" t="str">
        <f>HYPERLINK("http://141.218.60.56/~jnz1568/getInfo.php?workbook=12_05.xlsx&amp;sheet=A0&amp;row=231&amp;col=6&amp;number=1078&amp;sourceID=14","1078")</f>
        <v>1078</v>
      </c>
      <c r="G231" s="4" t="str">
        <f>HYPERLINK("http://141.218.60.56/~jnz1568/getInfo.php?workbook=12_05.xlsx&amp;sheet=A0&amp;row=231&amp;col=7&amp;number=0&amp;sourceID=14","0")</f>
        <v>0</v>
      </c>
    </row>
    <row r="232" spans="1:7">
      <c r="A232" s="3">
        <v>12</v>
      </c>
      <c r="B232" s="3">
        <v>5</v>
      </c>
      <c r="C232" s="3">
        <v>40</v>
      </c>
      <c r="D232" s="3">
        <v>15</v>
      </c>
      <c r="E232" s="3">
        <v>-91.491</v>
      </c>
      <c r="F232" s="4" t="str">
        <f>HYPERLINK("http://141.218.60.56/~jnz1568/getInfo.php?workbook=12_05.xlsx&amp;sheet=A0&amp;row=232&amp;col=6&amp;number=13120000000&amp;sourceID=14","13120000000")</f>
        <v>13120000000</v>
      </c>
      <c r="G232" s="4" t="str">
        <f>HYPERLINK("http://141.218.60.56/~jnz1568/getInfo.php?workbook=12_05.xlsx&amp;sheet=A0&amp;row=232&amp;col=7&amp;number=0&amp;sourceID=14","0")</f>
        <v>0</v>
      </c>
    </row>
    <row r="233" spans="1:7">
      <c r="A233" s="3">
        <v>12</v>
      </c>
      <c r="B233" s="3">
        <v>5</v>
      </c>
      <c r="C233" s="3">
        <v>41</v>
      </c>
      <c r="D233" s="3">
        <v>15</v>
      </c>
      <c r="E233" s="3">
        <v>89.773</v>
      </c>
      <c r="F233" s="4" t="str">
        <f>HYPERLINK("http://141.218.60.56/~jnz1568/getInfo.php?workbook=12_05.xlsx&amp;sheet=A0&amp;row=233&amp;col=6&amp;number=3276000000&amp;sourceID=14","3276000000")</f>
        <v>3276000000</v>
      </c>
      <c r="G233" s="4" t="str">
        <f>HYPERLINK("http://141.218.60.56/~jnz1568/getInfo.php?workbook=12_05.xlsx&amp;sheet=A0&amp;row=233&amp;col=7&amp;number=0&amp;sourceID=14","0")</f>
        <v>0</v>
      </c>
    </row>
    <row r="234" spans="1:7">
      <c r="A234" s="3">
        <v>12</v>
      </c>
      <c r="B234" s="3">
        <v>5</v>
      </c>
      <c r="C234" s="3">
        <v>42</v>
      </c>
      <c r="D234" s="3">
        <v>15</v>
      </c>
      <c r="E234" s="3">
        <v>-86.341</v>
      </c>
      <c r="F234" s="4" t="str">
        <f>HYPERLINK("http://141.218.60.56/~jnz1568/getInfo.php?workbook=12_05.xlsx&amp;sheet=A0&amp;row=234&amp;col=6&amp;number=6456000&amp;sourceID=14","6456000")</f>
        <v>6456000</v>
      </c>
      <c r="G234" s="4" t="str">
        <f>HYPERLINK("http://141.218.60.56/~jnz1568/getInfo.php?workbook=12_05.xlsx&amp;sheet=A0&amp;row=234&amp;col=7&amp;number=0&amp;sourceID=14","0")</f>
        <v>0</v>
      </c>
    </row>
    <row r="235" spans="1:7">
      <c r="A235" s="3">
        <v>12</v>
      </c>
      <c r="B235" s="3">
        <v>5</v>
      </c>
      <c r="C235" s="3">
        <v>43</v>
      </c>
      <c r="D235" s="3">
        <v>15</v>
      </c>
      <c r="E235" s="3">
        <v>-85.539</v>
      </c>
      <c r="F235" s="4" t="str">
        <f>HYPERLINK("http://141.218.60.56/~jnz1568/getInfo.php?workbook=12_05.xlsx&amp;sheet=A0&amp;row=235&amp;col=6&amp;number=58320000000&amp;sourceID=14","58320000000")</f>
        <v>58320000000</v>
      </c>
      <c r="G235" s="4" t="str">
        <f>HYPERLINK("http://141.218.60.56/~jnz1568/getInfo.php?workbook=12_05.xlsx&amp;sheet=A0&amp;row=235&amp;col=7&amp;number=0&amp;sourceID=14","0")</f>
        <v>0</v>
      </c>
    </row>
    <row r="236" spans="1:7">
      <c r="A236" s="3">
        <v>12</v>
      </c>
      <c r="B236" s="3">
        <v>5</v>
      </c>
      <c r="C236" s="3">
        <v>44</v>
      </c>
      <c r="D236" s="3">
        <v>15</v>
      </c>
      <c r="E236" s="3">
        <v>-85.404</v>
      </c>
      <c r="F236" s="4" t="str">
        <f>HYPERLINK("http://141.218.60.56/~jnz1568/getInfo.php?workbook=12_05.xlsx&amp;sheet=A0&amp;row=236&amp;col=6&amp;number=14770000000&amp;sourceID=14","14770000000")</f>
        <v>14770000000</v>
      </c>
      <c r="G236" s="4" t="str">
        <f>HYPERLINK("http://141.218.60.56/~jnz1568/getInfo.php?workbook=12_05.xlsx&amp;sheet=A0&amp;row=236&amp;col=7&amp;number=0&amp;sourceID=14","0")</f>
        <v>0</v>
      </c>
    </row>
    <row r="237" spans="1:7">
      <c r="A237" s="3">
        <v>12</v>
      </c>
      <c r="B237" s="3">
        <v>5</v>
      </c>
      <c r="C237" s="3">
        <v>45</v>
      </c>
      <c r="D237" s="3">
        <v>15</v>
      </c>
      <c r="E237" s="3">
        <v>83.903</v>
      </c>
      <c r="F237" s="4" t="str">
        <f>HYPERLINK("http://141.218.60.56/~jnz1568/getInfo.php?workbook=12_05.xlsx&amp;sheet=A0&amp;row=237&amp;col=6&amp;number=528000&amp;sourceID=14","528000")</f>
        <v>528000</v>
      </c>
      <c r="G237" s="4" t="str">
        <f>HYPERLINK("http://141.218.60.56/~jnz1568/getInfo.php?workbook=12_05.xlsx&amp;sheet=A0&amp;row=237&amp;col=7&amp;number=0&amp;sourceID=14","0")</f>
        <v>0</v>
      </c>
    </row>
    <row r="238" spans="1:7">
      <c r="A238" s="3">
        <v>12</v>
      </c>
      <c r="B238" s="3">
        <v>5</v>
      </c>
      <c r="C238" s="3">
        <v>46</v>
      </c>
      <c r="D238" s="3">
        <v>15</v>
      </c>
      <c r="E238" s="3">
        <v>-82.548</v>
      </c>
      <c r="F238" s="4" t="str">
        <f>HYPERLINK("http://141.218.60.56/~jnz1568/getInfo.php?workbook=12_05.xlsx&amp;sheet=A0&amp;row=238&amp;col=6&amp;number=26570000000&amp;sourceID=14","26570000000")</f>
        <v>26570000000</v>
      </c>
      <c r="G238" s="4" t="str">
        <f>HYPERLINK("http://141.218.60.56/~jnz1568/getInfo.php?workbook=12_05.xlsx&amp;sheet=A0&amp;row=238&amp;col=7&amp;number=0&amp;sourceID=14","0")</f>
        <v>0</v>
      </c>
    </row>
    <row r="239" spans="1:7">
      <c r="A239" s="3">
        <v>12</v>
      </c>
      <c r="B239" s="3">
        <v>5</v>
      </c>
      <c r="C239" s="3">
        <v>47</v>
      </c>
      <c r="D239" s="3">
        <v>15</v>
      </c>
      <c r="E239" s="3">
        <v>-81.397</v>
      </c>
      <c r="F239" s="4" t="str">
        <f>HYPERLINK("http://141.218.60.56/~jnz1568/getInfo.php?workbook=12_05.xlsx&amp;sheet=A0&amp;row=239&amp;col=6&amp;number=26690000000&amp;sourceID=14","26690000000")</f>
        <v>26690000000</v>
      </c>
      <c r="G239" s="4" t="str">
        <f>HYPERLINK("http://141.218.60.56/~jnz1568/getInfo.php?workbook=12_05.xlsx&amp;sheet=A0&amp;row=239&amp;col=7&amp;number=0&amp;sourceID=14","0")</f>
        <v>0</v>
      </c>
    </row>
    <row r="240" spans="1:7">
      <c r="A240" s="3">
        <v>12</v>
      </c>
      <c r="B240" s="3">
        <v>5</v>
      </c>
      <c r="C240" s="3">
        <v>48</v>
      </c>
      <c r="D240" s="3">
        <v>15</v>
      </c>
      <c r="E240" s="3">
        <v>81.306</v>
      </c>
      <c r="F240" s="4" t="str">
        <f>HYPERLINK("http://141.218.60.56/~jnz1568/getInfo.php?workbook=12_05.xlsx&amp;sheet=A0&amp;row=240&amp;col=6&amp;number=205300000000&amp;sourceID=14","205300000000")</f>
        <v>205300000000</v>
      </c>
      <c r="G240" s="4" t="str">
        <f>HYPERLINK("http://141.218.60.56/~jnz1568/getInfo.php?workbook=12_05.xlsx&amp;sheet=A0&amp;row=240&amp;col=7&amp;number=0&amp;sourceID=14","0")</f>
        <v>0</v>
      </c>
    </row>
    <row r="241" spans="1:7">
      <c r="A241" s="3">
        <v>12</v>
      </c>
      <c r="B241" s="3">
        <v>5</v>
      </c>
      <c r="C241" s="3">
        <v>49</v>
      </c>
      <c r="D241" s="3">
        <v>15</v>
      </c>
      <c r="E241" s="3">
        <v>-75.53</v>
      </c>
      <c r="F241" s="4" t="str">
        <f>HYPERLINK("http://141.218.60.56/~jnz1568/getInfo.php?workbook=12_05.xlsx&amp;sheet=A0&amp;row=241&amp;col=6&amp;number=44880000000&amp;sourceID=14","44880000000")</f>
        <v>44880000000</v>
      </c>
      <c r="G241" s="4" t="str">
        <f>HYPERLINK("http://141.218.60.56/~jnz1568/getInfo.php?workbook=12_05.xlsx&amp;sheet=A0&amp;row=241&amp;col=7&amp;number=0&amp;sourceID=14","0")</f>
        <v>0</v>
      </c>
    </row>
    <row r="242" spans="1:7">
      <c r="A242" s="3">
        <v>12</v>
      </c>
      <c r="B242" s="3">
        <v>5</v>
      </c>
      <c r="C242" s="3">
        <v>50</v>
      </c>
      <c r="D242" s="3">
        <v>2</v>
      </c>
      <c r="E242" s="3">
        <v>75.034</v>
      </c>
      <c r="F242" s="4" t="str">
        <f>HYPERLINK("http://141.218.60.56/~jnz1568/getInfo.php?workbook=12_05.xlsx&amp;sheet=A0&amp;row=242&amp;col=6&amp;number=373900000000&amp;sourceID=14","373900000000")</f>
        <v>373900000000</v>
      </c>
      <c r="G242" s="4" t="str">
        <f>HYPERLINK("http://141.218.60.56/~jnz1568/getInfo.php?workbook=12_05.xlsx&amp;sheet=A0&amp;row=242&amp;col=7&amp;number=0&amp;sourceID=14","0")</f>
        <v>0</v>
      </c>
    </row>
    <row r="243" spans="1:7">
      <c r="A243" s="3">
        <v>12</v>
      </c>
      <c r="B243" s="3">
        <v>5</v>
      </c>
      <c r="C243" s="3">
        <v>51</v>
      </c>
      <c r="D243" s="3">
        <v>2</v>
      </c>
      <c r="E243" s="3">
        <v>-71.488</v>
      </c>
      <c r="F243" s="4" t="str">
        <f>HYPERLINK("http://141.218.60.56/~jnz1568/getInfo.php?workbook=12_05.xlsx&amp;sheet=A0&amp;row=243&amp;col=6&amp;number=660500&amp;sourceID=14","660500")</f>
        <v>660500</v>
      </c>
      <c r="G243" s="4" t="str">
        <f>HYPERLINK("http://141.218.60.56/~jnz1568/getInfo.php?workbook=12_05.xlsx&amp;sheet=A0&amp;row=243&amp;col=7&amp;number=0&amp;sourceID=14","0")</f>
        <v>0</v>
      </c>
    </row>
    <row r="244" spans="1:7">
      <c r="A244" s="3">
        <v>12</v>
      </c>
      <c r="B244" s="3">
        <v>5</v>
      </c>
      <c r="C244" s="3">
        <v>52</v>
      </c>
      <c r="D244" s="3">
        <v>2</v>
      </c>
      <c r="E244" s="3">
        <v>-70.459</v>
      </c>
      <c r="F244" s="4" t="str">
        <f>HYPERLINK("http://141.218.60.56/~jnz1568/getInfo.php?workbook=12_05.xlsx&amp;sheet=A0&amp;row=244&amp;col=6&amp;number=499100000&amp;sourceID=14","499100000")</f>
        <v>499100000</v>
      </c>
      <c r="G244" s="4" t="str">
        <f>HYPERLINK("http://141.218.60.56/~jnz1568/getInfo.php?workbook=12_05.xlsx&amp;sheet=A0&amp;row=244&amp;col=7&amp;number=0&amp;sourceID=14","0")</f>
        <v>0</v>
      </c>
    </row>
    <row r="245" spans="1:7">
      <c r="A245" s="3">
        <v>12</v>
      </c>
      <c r="B245" s="3">
        <v>5</v>
      </c>
      <c r="C245" s="3">
        <v>53</v>
      </c>
      <c r="D245" s="3">
        <v>2</v>
      </c>
      <c r="E245" s="3">
        <v>69.467</v>
      </c>
      <c r="F245" s="4" t="str">
        <f>HYPERLINK("http://141.218.60.56/~jnz1568/getInfo.php?workbook=12_05.xlsx&amp;sheet=A0&amp;row=245&amp;col=6&amp;number=162800000000&amp;sourceID=14","162800000000")</f>
        <v>162800000000</v>
      </c>
      <c r="G245" s="4" t="str">
        <f>HYPERLINK("http://141.218.60.56/~jnz1568/getInfo.php?workbook=12_05.xlsx&amp;sheet=A0&amp;row=245&amp;col=7&amp;number=0&amp;sourceID=14","0")</f>
        <v>0</v>
      </c>
    </row>
    <row r="246" spans="1:7">
      <c r="A246" s="3">
        <v>12</v>
      </c>
      <c r="B246" s="3">
        <v>5</v>
      </c>
      <c r="C246" s="3">
        <v>54</v>
      </c>
      <c r="D246" s="3">
        <v>2</v>
      </c>
      <c r="E246" s="3">
        <v>64.702</v>
      </c>
      <c r="F246" s="4" t="str">
        <f>HYPERLINK("http://141.218.60.56/~jnz1568/getInfo.php?workbook=12_05.xlsx&amp;sheet=A0&amp;row=246&amp;col=6&amp;number=16570000000&amp;sourceID=14","16570000000")</f>
        <v>16570000000</v>
      </c>
      <c r="G246" s="4" t="str">
        <f>HYPERLINK("http://141.218.60.56/~jnz1568/getInfo.php?workbook=12_05.xlsx&amp;sheet=A0&amp;row=246&amp;col=7&amp;number=0&amp;sourceID=14","0")</f>
        <v>0</v>
      </c>
    </row>
    <row r="247" spans="1:7">
      <c r="A247" s="3">
        <v>12</v>
      </c>
      <c r="B247" s="3">
        <v>5</v>
      </c>
      <c r="C247" s="3">
        <v>55</v>
      </c>
      <c r="D247" s="3">
        <v>2</v>
      </c>
      <c r="E247" s="3">
        <v>62.976</v>
      </c>
      <c r="F247" s="4" t="str">
        <f>HYPERLINK("http://141.218.60.56/~jnz1568/getInfo.php?workbook=12_05.xlsx&amp;sheet=A0&amp;row=247&amp;col=6&amp;number=13070000&amp;sourceID=14","13070000")</f>
        <v>13070000</v>
      </c>
      <c r="G247" s="4" t="str">
        <f>HYPERLINK("http://141.218.60.56/~jnz1568/getInfo.php?workbook=12_05.xlsx&amp;sheet=A0&amp;row=247&amp;col=7&amp;number=0&amp;sourceID=14","0")</f>
        <v>0</v>
      </c>
    </row>
    <row r="248" spans="1:7">
      <c r="A248" s="3">
        <v>12</v>
      </c>
      <c r="B248" s="3">
        <v>5</v>
      </c>
      <c r="C248" s="3">
        <v>56</v>
      </c>
      <c r="D248" s="3">
        <v>2</v>
      </c>
      <c r="E248" s="3">
        <v>-61.11</v>
      </c>
      <c r="F248" s="4" t="str">
        <f>HYPERLINK("http://141.218.60.56/~jnz1568/getInfo.php?workbook=12_05.xlsx&amp;sheet=A0&amp;row=248&amp;col=6&amp;number=4108000000&amp;sourceID=14","4108000000")</f>
        <v>4108000000</v>
      </c>
      <c r="G248" s="4" t="str">
        <f>HYPERLINK("http://141.218.60.56/~jnz1568/getInfo.php?workbook=12_05.xlsx&amp;sheet=A0&amp;row=248&amp;col=7&amp;number=0&amp;sourceID=14","0")</f>
        <v>0</v>
      </c>
    </row>
    <row r="249" spans="1:7">
      <c r="A249" s="3">
        <v>12</v>
      </c>
      <c r="B249" s="3">
        <v>5</v>
      </c>
      <c r="C249" s="3">
        <v>57</v>
      </c>
      <c r="D249" s="3">
        <v>2</v>
      </c>
      <c r="E249" s="3">
        <v>-59.509</v>
      </c>
      <c r="F249" s="4" t="str">
        <f>HYPERLINK("http://141.218.60.56/~jnz1568/getInfo.php?workbook=12_05.xlsx&amp;sheet=A0&amp;row=249&amp;col=6&amp;number=6042000&amp;sourceID=14","6042000")</f>
        <v>6042000</v>
      </c>
      <c r="G249" s="4" t="str">
        <f>HYPERLINK("http://141.218.60.56/~jnz1568/getInfo.php?workbook=12_05.xlsx&amp;sheet=A0&amp;row=249&amp;col=7&amp;number=0&amp;sourceID=14","0")</f>
        <v>0</v>
      </c>
    </row>
    <row r="250" spans="1:7">
      <c r="A250" s="3">
        <v>12</v>
      </c>
      <c r="B250" s="3">
        <v>5</v>
      </c>
      <c r="C250" s="3">
        <v>58</v>
      </c>
      <c r="D250" s="3">
        <v>2</v>
      </c>
      <c r="E250" s="3">
        <v>-59.089</v>
      </c>
      <c r="F250" s="4" t="str">
        <f>HYPERLINK("http://141.218.60.56/~jnz1568/getInfo.php?workbook=12_05.xlsx&amp;sheet=A0&amp;row=250&amp;col=6&amp;number=1888000&amp;sourceID=14","1888000")</f>
        <v>1888000</v>
      </c>
      <c r="G250" s="4" t="str">
        <f>HYPERLINK("http://141.218.60.56/~jnz1568/getInfo.php?workbook=12_05.xlsx&amp;sheet=A0&amp;row=250&amp;col=7&amp;number=0&amp;sourceID=14","0")</f>
        <v>0</v>
      </c>
    </row>
    <row r="251" spans="1:7">
      <c r="A251" s="3">
        <v>12</v>
      </c>
      <c r="B251" s="3">
        <v>5</v>
      </c>
      <c r="C251" s="3">
        <v>59</v>
      </c>
      <c r="D251" s="3">
        <v>2</v>
      </c>
      <c r="E251" s="3">
        <v>-58.839</v>
      </c>
      <c r="F251" s="4" t="str">
        <f>HYPERLINK("http://141.218.60.56/~jnz1568/getInfo.php?workbook=12_05.xlsx&amp;sheet=A0&amp;row=251&amp;col=6&amp;number=341100&amp;sourceID=14","341100")</f>
        <v>341100</v>
      </c>
      <c r="G251" s="4" t="str">
        <f>HYPERLINK("http://141.218.60.56/~jnz1568/getInfo.php?workbook=12_05.xlsx&amp;sheet=A0&amp;row=251&amp;col=7&amp;number=0&amp;sourceID=14","0")</f>
        <v>0</v>
      </c>
    </row>
    <row r="252" spans="1:7">
      <c r="A252" s="3">
        <v>12</v>
      </c>
      <c r="B252" s="3">
        <v>5</v>
      </c>
      <c r="C252" s="3">
        <v>60</v>
      </c>
      <c r="D252" s="3">
        <v>2</v>
      </c>
      <c r="E252" s="3">
        <v>58.391</v>
      </c>
      <c r="F252" s="4" t="str">
        <f>HYPERLINK("http://141.218.60.56/~jnz1568/getInfo.php?workbook=12_05.xlsx&amp;sheet=A0&amp;row=252&amp;col=6&amp;number=7277000&amp;sourceID=14","7277000")</f>
        <v>7277000</v>
      </c>
      <c r="G252" s="4" t="str">
        <f>HYPERLINK("http://141.218.60.56/~jnz1568/getInfo.php?workbook=12_05.xlsx&amp;sheet=A0&amp;row=252&amp;col=7&amp;number=0&amp;sourceID=14","0")</f>
        <v>0</v>
      </c>
    </row>
    <row r="253" spans="1:7">
      <c r="A253" s="3">
        <v>12</v>
      </c>
      <c r="B253" s="3">
        <v>5</v>
      </c>
      <c r="C253" s="3">
        <v>61</v>
      </c>
      <c r="D253" s="3">
        <v>2</v>
      </c>
      <c r="E253" s="3">
        <v>58.824</v>
      </c>
      <c r="F253" s="4" t="str">
        <f>HYPERLINK("http://141.218.60.56/~jnz1568/getInfo.php?workbook=12_05.xlsx&amp;sheet=A0&amp;row=253&amp;col=6&amp;number=15420000000&amp;sourceID=14","15420000000")</f>
        <v>15420000000</v>
      </c>
      <c r="G253" s="4" t="str">
        <f>HYPERLINK("http://141.218.60.56/~jnz1568/getInfo.php?workbook=12_05.xlsx&amp;sheet=A0&amp;row=253&amp;col=7&amp;number=0&amp;sourceID=14","0")</f>
        <v>0</v>
      </c>
    </row>
    <row r="254" spans="1:7">
      <c r="A254" s="3">
        <v>12</v>
      </c>
      <c r="B254" s="3">
        <v>5</v>
      </c>
      <c r="C254" s="3">
        <v>62</v>
      </c>
      <c r="D254" s="3">
        <v>2</v>
      </c>
      <c r="E254" s="3">
        <v>57.784</v>
      </c>
      <c r="F254" s="4" t="str">
        <f>HYPERLINK("http://141.218.60.56/~jnz1568/getInfo.php?workbook=12_05.xlsx&amp;sheet=A0&amp;row=254&amp;col=6&amp;number=9931000000&amp;sourceID=14","9931000000")</f>
        <v>9931000000</v>
      </c>
      <c r="G254" s="4" t="str">
        <f>HYPERLINK("http://141.218.60.56/~jnz1568/getInfo.php?workbook=12_05.xlsx&amp;sheet=A0&amp;row=254&amp;col=7&amp;number=0&amp;sourceID=14","0")</f>
        <v>0</v>
      </c>
    </row>
    <row r="255" spans="1:7">
      <c r="A255" s="3">
        <v>12</v>
      </c>
      <c r="B255" s="3">
        <v>5</v>
      </c>
      <c r="C255" s="3">
        <v>63</v>
      </c>
      <c r="D255" s="3">
        <v>2</v>
      </c>
      <c r="E255" s="3">
        <v>-57.011</v>
      </c>
      <c r="F255" s="4" t="str">
        <f>HYPERLINK("http://141.218.60.56/~jnz1568/getInfo.php?workbook=12_05.xlsx&amp;sheet=A0&amp;row=255&amp;col=6&amp;number=1091000000&amp;sourceID=14","1091000000")</f>
        <v>1091000000</v>
      </c>
      <c r="G255" s="4" t="str">
        <f>HYPERLINK("http://141.218.60.56/~jnz1568/getInfo.php?workbook=12_05.xlsx&amp;sheet=A0&amp;row=255&amp;col=7&amp;number=0&amp;sourceID=14","0")</f>
        <v>0</v>
      </c>
    </row>
    <row r="256" spans="1:7">
      <c r="A256" s="3">
        <v>12</v>
      </c>
      <c r="B256" s="3">
        <v>5</v>
      </c>
      <c r="C256" s="3">
        <v>64</v>
      </c>
      <c r="D256" s="3">
        <v>2</v>
      </c>
      <c r="E256" s="3">
        <v>-54.197</v>
      </c>
      <c r="F256" s="4" t="str">
        <f>HYPERLINK("http://141.218.60.56/~jnz1568/getInfo.php?workbook=12_05.xlsx&amp;sheet=A0&amp;row=256&amp;col=6&amp;number=3249000000&amp;sourceID=14","3249000000")</f>
        <v>3249000000</v>
      </c>
      <c r="G256" s="4" t="str">
        <f>HYPERLINK("http://141.218.60.56/~jnz1568/getInfo.php?workbook=12_05.xlsx&amp;sheet=A0&amp;row=256&amp;col=7&amp;number=0&amp;sourceID=14","0")</f>
        <v>0</v>
      </c>
    </row>
    <row r="257" spans="1:7">
      <c r="A257" s="3">
        <v>12</v>
      </c>
      <c r="B257" s="3">
        <v>5</v>
      </c>
      <c r="C257" s="3">
        <v>50</v>
      </c>
      <c r="D257" s="3">
        <v>11</v>
      </c>
      <c r="E257" s="3">
        <v>108.421</v>
      </c>
      <c r="F257" s="4" t="str">
        <f>HYPERLINK("http://141.218.60.56/~jnz1568/getInfo.php?workbook=12_05.xlsx&amp;sheet=A0&amp;row=257&amp;col=6&amp;number=11690&amp;sourceID=14","11690")</f>
        <v>11690</v>
      </c>
      <c r="G257" s="4" t="str">
        <f>HYPERLINK("http://141.218.60.56/~jnz1568/getInfo.php?workbook=12_05.xlsx&amp;sheet=A0&amp;row=257&amp;col=7&amp;number=0&amp;sourceID=14","0")</f>
        <v>0</v>
      </c>
    </row>
    <row r="258" spans="1:7">
      <c r="A258" s="3">
        <v>12</v>
      </c>
      <c r="B258" s="3">
        <v>5</v>
      </c>
      <c r="C258" s="3">
        <v>51</v>
      </c>
      <c r="D258" s="3">
        <v>11</v>
      </c>
      <c r="E258" s="3">
        <v>-101.161</v>
      </c>
      <c r="F258" s="4" t="str">
        <f>HYPERLINK("http://141.218.60.56/~jnz1568/getInfo.php?workbook=12_05.xlsx&amp;sheet=A0&amp;row=258&amp;col=6&amp;number=497700&amp;sourceID=14","497700")</f>
        <v>497700</v>
      </c>
      <c r="G258" s="4" t="str">
        <f>HYPERLINK("http://141.218.60.56/~jnz1568/getInfo.php?workbook=12_05.xlsx&amp;sheet=A0&amp;row=258&amp;col=7&amp;number=0&amp;sourceID=14","0")</f>
        <v>0</v>
      </c>
    </row>
    <row r="259" spans="1:7">
      <c r="A259" s="3">
        <v>12</v>
      </c>
      <c r="B259" s="3">
        <v>5</v>
      </c>
      <c r="C259" s="3">
        <v>52</v>
      </c>
      <c r="D259" s="3">
        <v>11</v>
      </c>
      <c r="E259" s="3">
        <v>-99.111</v>
      </c>
      <c r="F259" s="4" t="str">
        <f>HYPERLINK("http://141.218.60.56/~jnz1568/getInfo.php?workbook=12_05.xlsx&amp;sheet=A0&amp;row=259&amp;col=6&amp;number=367200000&amp;sourceID=14","367200000")</f>
        <v>367200000</v>
      </c>
      <c r="G259" s="4" t="str">
        <f>HYPERLINK("http://141.218.60.56/~jnz1568/getInfo.php?workbook=12_05.xlsx&amp;sheet=A0&amp;row=259&amp;col=7&amp;number=0&amp;sourceID=14","0")</f>
        <v>0</v>
      </c>
    </row>
    <row r="260" spans="1:7">
      <c r="A260" s="3">
        <v>12</v>
      </c>
      <c r="B260" s="3">
        <v>5</v>
      </c>
      <c r="C260" s="3">
        <v>53</v>
      </c>
      <c r="D260" s="3">
        <v>11</v>
      </c>
      <c r="E260" s="3">
        <v>97.17</v>
      </c>
      <c r="F260" s="4" t="str">
        <f>HYPERLINK("http://141.218.60.56/~jnz1568/getInfo.php?workbook=12_05.xlsx&amp;sheet=A0&amp;row=260&amp;col=6&amp;number=1482000&amp;sourceID=14","1482000")</f>
        <v>1482000</v>
      </c>
      <c r="G260" s="4" t="str">
        <f>HYPERLINK("http://141.218.60.56/~jnz1568/getInfo.php?workbook=12_05.xlsx&amp;sheet=A0&amp;row=260&amp;col=7&amp;number=0&amp;sourceID=14","0")</f>
        <v>0</v>
      </c>
    </row>
    <row r="261" spans="1:7">
      <c r="A261" s="3">
        <v>12</v>
      </c>
      <c r="B261" s="3">
        <v>5</v>
      </c>
      <c r="C261" s="3">
        <v>54</v>
      </c>
      <c r="D261" s="3">
        <v>11</v>
      </c>
      <c r="E261" s="3">
        <v>88.094</v>
      </c>
      <c r="F261" s="4" t="str">
        <f>HYPERLINK("http://141.218.60.56/~jnz1568/getInfo.php?workbook=12_05.xlsx&amp;sheet=A0&amp;row=261&amp;col=6&amp;number=2416000&amp;sourceID=14","2416000")</f>
        <v>2416000</v>
      </c>
      <c r="G261" s="4" t="str">
        <f>HYPERLINK("http://141.218.60.56/~jnz1568/getInfo.php?workbook=12_05.xlsx&amp;sheet=A0&amp;row=261&amp;col=7&amp;number=0&amp;sourceID=14","0")</f>
        <v>0</v>
      </c>
    </row>
    <row r="262" spans="1:7">
      <c r="A262" s="3">
        <v>12</v>
      </c>
      <c r="B262" s="3">
        <v>5</v>
      </c>
      <c r="C262" s="3">
        <v>55</v>
      </c>
      <c r="D262" s="3">
        <v>11</v>
      </c>
      <c r="E262" s="3">
        <v>84.926</v>
      </c>
      <c r="F262" s="4" t="str">
        <f>HYPERLINK("http://141.218.60.56/~jnz1568/getInfo.php?workbook=12_05.xlsx&amp;sheet=A0&amp;row=262&amp;col=6&amp;number=35460000000&amp;sourceID=14","35460000000")</f>
        <v>35460000000</v>
      </c>
      <c r="G262" s="4" t="str">
        <f>HYPERLINK("http://141.218.60.56/~jnz1568/getInfo.php?workbook=12_05.xlsx&amp;sheet=A0&amp;row=262&amp;col=7&amp;number=0&amp;sourceID=14","0")</f>
        <v>0</v>
      </c>
    </row>
    <row r="263" spans="1:7">
      <c r="A263" s="3">
        <v>12</v>
      </c>
      <c r="B263" s="3">
        <v>5</v>
      </c>
      <c r="C263" s="3">
        <v>56</v>
      </c>
      <c r="D263" s="3">
        <v>11</v>
      </c>
      <c r="E263" s="3">
        <v>-81.56</v>
      </c>
      <c r="F263" s="4" t="str">
        <f>HYPERLINK("http://141.218.60.56/~jnz1568/getInfo.php?workbook=12_05.xlsx&amp;sheet=A0&amp;row=263&amp;col=6&amp;number=28270000&amp;sourceID=14","28270000")</f>
        <v>28270000</v>
      </c>
      <c r="G263" s="4" t="str">
        <f>HYPERLINK("http://141.218.60.56/~jnz1568/getInfo.php?workbook=12_05.xlsx&amp;sheet=A0&amp;row=263&amp;col=7&amp;number=0&amp;sourceID=14","0")</f>
        <v>0</v>
      </c>
    </row>
    <row r="264" spans="1:7">
      <c r="A264" s="3">
        <v>12</v>
      </c>
      <c r="B264" s="3">
        <v>5</v>
      </c>
      <c r="C264" s="3">
        <v>57</v>
      </c>
      <c r="D264" s="3">
        <v>11</v>
      </c>
      <c r="E264" s="3">
        <v>-78.733</v>
      </c>
      <c r="F264" s="4" t="str">
        <f>HYPERLINK("http://141.218.60.56/~jnz1568/getInfo.php?workbook=12_05.xlsx&amp;sheet=A0&amp;row=264&amp;col=6&amp;number=10920000&amp;sourceID=14","10920000")</f>
        <v>10920000</v>
      </c>
      <c r="G264" s="4" t="str">
        <f>HYPERLINK("http://141.218.60.56/~jnz1568/getInfo.php?workbook=12_05.xlsx&amp;sheet=A0&amp;row=264&amp;col=7&amp;number=0&amp;sourceID=14","0")</f>
        <v>0</v>
      </c>
    </row>
    <row r="265" spans="1:7">
      <c r="A265" s="3">
        <v>12</v>
      </c>
      <c r="B265" s="3">
        <v>5</v>
      </c>
      <c r="C265" s="3">
        <v>58</v>
      </c>
      <c r="D265" s="3">
        <v>11</v>
      </c>
      <c r="E265" s="3">
        <v>-77.999</v>
      </c>
      <c r="F265" s="4" t="str">
        <f>HYPERLINK("http://141.218.60.56/~jnz1568/getInfo.php?workbook=12_05.xlsx&amp;sheet=A0&amp;row=265&amp;col=6&amp;number=4702000000&amp;sourceID=14","4702000000")</f>
        <v>4702000000</v>
      </c>
      <c r="G265" s="4" t="str">
        <f>HYPERLINK("http://141.218.60.56/~jnz1568/getInfo.php?workbook=12_05.xlsx&amp;sheet=A0&amp;row=265&amp;col=7&amp;number=0&amp;sourceID=14","0")</f>
        <v>0</v>
      </c>
    </row>
    <row r="266" spans="1:7">
      <c r="A266" s="3">
        <v>12</v>
      </c>
      <c r="B266" s="3">
        <v>5</v>
      </c>
      <c r="C266" s="3">
        <v>59</v>
      </c>
      <c r="D266" s="3">
        <v>11</v>
      </c>
      <c r="E266" s="3">
        <v>-77.565</v>
      </c>
      <c r="F266" s="4" t="str">
        <f>HYPERLINK("http://141.218.60.56/~jnz1568/getInfo.php?workbook=12_05.xlsx&amp;sheet=A0&amp;row=266&amp;col=6&amp;number=74240000&amp;sourceID=14","74240000")</f>
        <v>74240000</v>
      </c>
      <c r="G266" s="4" t="str">
        <f>HYPERLINK("http://141.218.60.56/~jnz1568/getInfo.php?workbook=12_05.xlsx&amp;sheet=A0&amp;row=266&amp;col=7&amp;number=0&amp;sourceID=14","0")</f>
        <v>0</v>
      </c>
    </row>
    <row r="267" spans="1:7">
      <c r="A267" s="3">
        <v>12</v>
      </c>
      <c r="B267" s="3">
        <v>5</v>
      </c>
      <c r="C267" s="3">
        <v>60</v>
      </c>
      <c r="D267" s="3">
        <v>11</v>
      </c>
      <c r="E267" s="3">
        <v>76.793</v>
      </c>
      <c r="F267" s="4" t="str">
        <f>HYPERLINK("http://141.218.60.56/~jnz1568/getInfo.php?workbook=12_05.xlsx&amp;sheet=A0&amp;row=267&amp;col=6&amp;number=534100000000&amp;sourceID=14","534100000000")</f>
        <v>534100000000</v>
      </c>
      <c r="G267" s="4" t="str">
        <f>HYPERLINK("http://141.218.60.56/~jnz1568/getInfo.php?workbook=12_05.xlsx&amp;sheet=A0&amp;row=267&amp;col=7&amp;number=0&amp;sourceID=14","0")</f>
        <v>0</v>
      </c>
    </row>
    <row r="268" spans="1:7">
      <c r="A268" s="3">
        <v>12</v>
      </c>
      <c r="B268" s="3">
        <v>5</v>
      </c>
      <c r="C268" s="3">
        <v>61</v>
      </c>
      <c r="D268" s="3">
        <v>11</v>
      </c>
      <c r="E268" s="3">
        <v>77.545</v>
      </c>
      <c r="F268" s="4" t="str">
        <f>HYPERLINK("http://141.218.60.56/~jnz1568/getInfo.php?workbook=12_05.xlsx&amp;sheet=A0&amp;row=268&amp;col=6&amp;number=20600000&amp;sourceID=14","20600000")</f>
        <v>20600000</v>
      </c>
      <c r="G268" s="4" t="str">
        <f>HYPERLINK("http://141.218.60.56/~jnz1568/getInfo.php?workbook=12_05.xlsx&amp;sheet=A0&amp;row=268&amp;col=7&amp;number=0&amp;sourceID=14","0")</f>
        <v>0</v>
      </c>
    </row>
    <row r="269" spans="1:7">
      <c r="A269" s="3">
        <v>12</v>
      </c>
      <c r="B269" s="3">
        <v>5</v>
      </c>
      <c r="C269" s="3">
        <v>62</v>
      </c>
      <c r="D269" s="3">
        <v>11</v>
      </c>
      <c r="E269" s="3">
        <v>75.746</v>
      </c>
      <c r="F269" s="4" t="str">
        <f>HYPERLINK("http://141.218.60.56/~jnz1568/getInfo.php?workbook=12_05.xlsx&amp;sheet=A0&amp;row=269&amp;col=6&amp;number=126600000&amp;sourceID=14","126600000")</f>
        <v>126600000</v>
      </c>
      <c r="G269" s="4" t="str">
        <f>HYPERLINK("http://141.218.60.56/~jnz1568/getInfo.php?workbook=12_05.xlsx&amp;sheet=A0&amp;row=269&amp;col=7&amp;number=0&amp;sourceID=14","0")</f>
        <v>0</v>
      </c>
    </row>
    <row r="270" spans="1:7">
      <c r="A270" s="3">
        <v>12</v>
      </c>
      <c r="B270" s="3">
        <v>5</v>
      </c>
      <c r="C270" s="3">
        <v>63</v>
      </c>
      <c r="D270" s="3">
        <v>11</v>
      </c>
      <c r="E270" s="3">
        <v>-74.418</v>
      </c>
      <c r="F270" s="4" t="str">
        <f>HYPERLINK("http://141.218.60.56/~jnz1568/getInfo.php?workbook=12_05.xlsx&amp;sheet=A0&amp;row=270&amp;col=6&amp;number=7106000&amp;sourceID=14","7106000")</f>
        <v>7106000</v>
      </c>
      <c r="G270" s="4" t="str">
        <f>HYPERLINK("http://141.218.60.56/~jnz1568/getInfo.php?workbook=12_05.xlsx&amp;sheet=A0&amp;row=270&amp;col=7&amp;number=0&amp;sourceID=14","0")</f>
        <v>0</v>
      </c>
    </row>
    <row r="271" spans="1:7">
      <c r="A271" s="3">
        <v>12</v>
      </c>
      <c r="B271" s="3">
        <v>5</v>
      </c>
      <c r="C271" s="3">
        <v>64</v>
      </c>
      <c r="D271" s="3">
        <v>11</v>
      </c>
      <c r="E271" s="3">
        <v>-69.695</v>
      </c>
      <c r="F271" s="4" t="str">
        <f>HYPERLINK("http://141.218.60.56/~jnz1568/getInfo.php?workbook=12_05.xlsx&amp;sheet=A0&amp;row=271&amp;col=6&amp;number=655500&amp;sourceID=14","655500")</f>
        <v>655500</v>
      </c>
      <c r="G271" s="4" t="str">
        <f>HYPERLINK("http://141.218.60.56/~jnz1568/getInfo.php?workbook=12_05.xlsx&amp;sheet=A0&amp;row=271&amp;col=7&amp;number=0&amp;sourceID=14","0")</f>
        <v>0</v>
      </c>
    </row>
    <row r="272" spans="1:7">
      <c r="A272" s="3">
        <v>12</v>
      </c>
      <c r="B272" s="3">
        <v>5</v>
      </c>
      <c r="C272" s="3">
        <v>50</v>
      </c>
      <c r="D272" s="3">
        <v>12</v>
      </c>
      <c r="E272" s="3">
        <v>114.918</v>
      </c>
      <c r="F272" s="4" t="str">
        <f>HYPERLINK("http://141.218.60.56/~jnz1568/getInfo.php?workbook=12_05.xlsx&amp;sheet=A0&amp;row=272&amp;col=6&amp;number=333200&amp;sourceID=14","333200")</f>
        <v>333200</v>
      </c>
      <c r="G272" s="4" t="str">
        <f>HYPERLINK("http://141.218.60.56/~jnz1568/getInfo.php?workbook=12_05.xlsx&amp;sheet=A0&amp;row=272&amp;col=7&amp;number=0&amp;sourceID=14","0")</f>
        <v>0</v>
      </c>
    </row>
    <row r="273" spans="1:7">
      <c r="A273" s="3">
        <v>12</v>
      </c>
      <c r="B273" s="3">
        <v>5</v>
      </c>
      <c r="C273" s="3">
        <v>51</v>
      </c>
      <c r="D273" s="3">
        <v>12</v>
      </c>
      <c r="E273" s="3">
        <v>-106.802</v>
      </c>
      <c r="F273" s="4" t="str">
        <f>HYPERLINK("http://141.218.60.56/~jnz1568/getInfo.php?workbook=12_05.xlsx&amp;sheet=A0&amp;row=273&amp;col=6&amp;number=3904&amp;sourceID=14","3904")</f>
        <v>3904</v>
      </c>
      <c r="G273" s="4" t="str">
        <f>HYPERLINK("http://141.218.60.56/~jnz1568/getInfo.php?workbook=12_05.xlsx&amp;sheet=A0&amp;row=273&amp;col=7&amp;number=0&amp;sourceID=14","0")</f>
        <v>0</v>
      </c>
    </row>
    <row r="274" spans="1:7">
      <c r="A274" s="3">
        <v>12</v>
      </c>
      <c r="B274" s="3">
        <v>5</v>
      </c>
      <c r="C274" s="3">
        <v>52</v>
      </c>
      <c r="D274" s="3">
        <v>12</v>
      </c>
      <c r="E274" s="3">
        <v>-104.519</v>
      </c>
      <c r="F274" s="4" t="str">
        <f>HYPERLINK("http://141.218.60.56/~jnz1568/getInfo.php?workbook=12_05.xlsx&amp;sheet=A0&amp;row=274&amp;col=6&amp;number=95240&amp;sourceID=14","95240")</f>
        <v>95240</v>
      </c>
      <c r="G274" s="4" t="str">
        <f>HYPERLINK("http://141.218.60.56/~jnz1568/getInfo.php?workbook=12_05.xlsx&amp;sheet=A0&amp;row=274&amp;col=7&amp;number=0&amp;sourceID=14","0")</f>
        <v>0</v>
      </c>
    </row>
    <row r="275" spans="1:7">
      <c r="A275" s="3">
        <v>12</v>
      </c>
      <c r="B275" s="3">
        <v>5</v>
      </c>
      <c r="C275" s="3">
        <v>53</v>
      </c>
      <c r="D275" s="3">
        <v>12</v>
      </c>
      <c r="E275" s="3">
        <v>102.355</v>
      </c>
      <c r="F275" s="4" t="str">
        <f>HYPERLINK("http://141.218.60.56/~jnz1568/getInfo.php?workbook=12_05.xlsx&amp;sheet=A0&amp;row=275&amp;col=6&amp;number=48340000&amp;sourceID=14","48340000")</f>
        <v>48340000</v>
      </c>
      <c r="G275" s="4" t="str">
        <f>HYPERLINK("http://141.218.60.56/~jnz1568/getInfo.php?workbook=12_05.xlsx&amp;sheet=A0&amp;row=275&amp;col=7&amp;number=0&amp;sourceID=14","0")</f>
        <v>0</v>
      </c>
    </row>
    <row r="276" spans="1:7">
      <c r="A276" s="3">
        <v>12</v>
      </c>
      <c r="B276" s="3">
        <v>5</v>
      </c>
      <c r="C276" s="3">
        <v>54</v>
      </c>
      <c r="D276" s="3">
        <v>12</v>
      </c>
      <c r="E276" s="3">
        <v>92.335</v>
      </c>
      <c r="F276" s="4" t="str">
        <f>HYPERLINK("http://141.218.60.56/~jnz1568/getInfo.php?workbook=12_05.xlsx&amp;sheet=A0&amp;row=276&amp;col=6&amp;number=413600&amp;sourceID=14","413600")</f>
        <v>413600</v>
      </c>
      <c r="G276" s="4" t="str">
        <f>HYPERLINK("http://141.218.60.56/~jnz1568/getInfo.php?workbook=12_05.xlsx&amp;sheet=A0&amp;row=276&amp;col=7&amp;number=0&amp;sourceID=14","0")</f>
        <v>0</v>
      </c>
    </row>
    <row r="277" spans="1:7">
      <c r="A277" s="3">
        <v>12</v>
      </c>
      <c r="B277" s="3">
        <v>5</v>
      </c>
      <c r="C277" s="3">
        <v>55</v>
      </c>
      <c r="D277" s="3">
        <v>12</v>
      </c>
      <c r="E277" s="3">
        <v>88.861</v>
      </c>
      <c r="F277" s="4" t="str">
        <f>HYPERLINK("http://141.218.60.56/~jnz1568/getInfo.php?workbook=12_05.xlsx&amp;sheet=A0&amp;row=277&amp;col=6&amp;number=2075000&amp;sourceID=14","2075000")</f>
        <v>2075000</v>
      </c>
      <c r="G277" s="4" t="str">
        <f>HYPERLINK("http://141.218.60.56/~jnz1568/getInfo.php?workbook=12_05.xlsx&amp;sheet=A0&amp;row=277&amp;col=7&amp;number=0&amp;sourceID=14","0")</f>
        <v>0</v>
      </c>
    </row>
    <row r="278" spans="1:7">
      <c r="A278" s="3">
        <v>12</v>
      </c>
      <c r="B278" s="3">
        <v>5</v>
      </c>
      <c r="C278" s="3">
        <v>56</v>
      </c>
      <c r="D278" s="3">
        <v>12</v>
      </c>
      <c r="E278" s="3">
        <v>-85.187</v>
      </c>
      <c r="F278" s="4" t="str">
        <f>HYPERLINK("http://141.218.60.56/~jnz1568/getInfo.php?workbook=12_05.xlsx&amp;sheet=A0&amp;row=278&amp;col=6&amp;number=3595000000&amp;sourceID=14","3595000000")</f>
        <v>3595000000</v>
      </c>
      <c r="G278" s="4" t="str">
        <f>HYPERLINK("http://141.218.60.56/~jnz1568/getInfo.php?workbook=12_05.xlsx&amp;sheet=A0&amp;row=278&amp;col=7&amp;number=0&amp;sourceID=14","0")</f>
        <v>0</v>
      </c>
    </row>
    <row r="279" spans="1:7">
      <c r="A279" s="3">
        <v>12</v>
      </c>
      <c r="B279" s="3">
        <v>5</v>
      </c>
      <c r="C279" s="3">
        <v>57</v>
      </c>
      <c r="D279" s="3">
        <v>12</v>
      </c>
      <c r="E279" s="3">
        <v>-82.108</v>
      </c>
      <c r="F279" s="4" t="str">
        <f>HYPERLINK("http://141.218.60.56/~jnz1568/getInfo.php?workbook=12_05.xlsx&amp;sheet=A0&amp;row=279&amp;col=6&amp;number=64720000&amp;sourceID=14","64720000")</f>
        <v>64720000</v>
      </c>
      <c r="G279" s="4" t="str">
        <f>HYPERLINK("http://141.218.60.56/~jnz1568/getInfo.php?workbook=12_05.xlsx&amp;sheet=A0&amp;row=279&amp;col=7&amp;number=0&amp;sourceID=14","0")</f>
        <v>0</v>
      </c>
    </row>
    <row r="280" spans="1:7">
      <c r="A280" s="3">
        <v>12</v>
      </c>
      <c r="B280" s="3">
        <v>5</v>
      </c>
      <c r="C280" s="3">
        <v>58</v>
      </c>
      <c r="D280" s="3">
        <v>12</v>
      </c>
      <c r="E280" s="3">
        <v>-81.311</v>
      </c>
      <c r="F280" s="4" t="str">
        <f>HYPERLINK("http://141.218.60.56/~jnz1568/getInfo.php?workbook=12_05.xlsx&amp;sheet=A0&amp;row=280&amp;col=6&amp;number=300600000&amp;sourceID=14","300600000")</f>
        <v>300600000</v>
      </c>
      <c r="G280" s="4" t="str">
        <f>HYPERLINK("http://141.218.60.56/~jnz1568/getInfo.php?workbook=12_05.xlsx&amp;sheet=A0&amp;row=280&amp;col=7&amp;number=0&amp;sourceID=14","0")</f>
        <v>0</v>
      </c>
    </row>
    <row r="281" spans="1:7">
      <c r="A281" s="3">
        <v>12</v>
      </c>
      <c r="B281" s="3">
        <v>5</v>
      </c>
      <c r="C281" s="3">
        <v>59</v>
      </c>
      <c r="D281" s="3">
        <v>12</v>
      </c>
      <c r="E281" s="3">
        <v>-80.839</v>
      </c>
      <c r="F281" s="4" t="str">
        <f>HYPERLINK("http://141.218.60.56/~jnz1568/getInfo.php?workbook=12_05.xlsx&amp;sheet=A0&amp;row=281&amp;col=6&amp;number=59340000000&amp;sourceID=14","59340000000")</f>
        <v>59340000000</v>
      </c>
      <c r="G281" s="4" t="str">
        <f>HYPERLINK("http://141.218.60.56/~jnz1568/getInfo.php?workbook=12_05.xlsx&amp;sheet=A0&amp;row=281&amp;col=7&amp;number=0&amp;sourceID=14","0")</f>
        <v>0</v>
      </c>
    </row>
    <row r="282" spans="1:7">
      <c r="A282" s="3">
        <v>12</v>
      </c>
      <c r="B282" s="3">
        <v>5</v>
      </c>
      <c r="C282" s="3">
        <v>60</v>
      </c>
      <c r="D282" s="3">
        <v>12</v>
      </c>
      <c r="E282" s="3">
        <v>79.996</v>
      </c>
      <c r="F282" s="4" t="str">
        <f>HYPERLINK("http://141.218.60.56/~jnz1568/getInfo.php?workbook=12_05.xlsx&amp;sheet=A0&amp;row=282&amp;col=6&amp;number=10030&amp;sourceID=14","10030")</f>
        <v>10030</v>
      </c>
      <c r="G282" s="4" t="str">
        <f>HYPERLINK("http://141.218.60.56/~jnz1568/getInfo.php?workbook=12_05.xlsx&amp;sheet=A0&amp;row=282&amp;col=7&amp;number=0&amp;sourceID=14","0")</f>
        <v>0</v>
      </c>
    </row>
    <row r="283" spans="1:7">
      <c r="A283" s="3">
        <v>12</v>
      </c>
      <c r="B283" s="3">
        <v>5</v>
      </c>
      <c r="C283" s="3">
        <v>61</v>
      </c>
      <c r="D283" s="3">
        <v>12</v>
      </c>
      <c r="E283" s="3">
        <v>80.812</v>
      </c>
      <c r="F283" s="4" t="str">
        <f>HYPERLINK("http://141.218.60.56/~jnz1568/getInfo.php?workbook=12_05.xlsx&amp;sheet=A0&amp;row=283&amp;col=6&amp;number=32120000000&amp;sourceID=14","32120000000")</f>
        <v>32120000000</v>
      </c>
      <c r="G283" s="4" t="str">
        <f>HYPERLINK("http://141.218.60.56/~jnz1568/getInfo.php?workbook=12_05.xlsx&amp;sheet=A0&amp;row=283&amp;col=7&amp;number=0&amp;sourceID=14","0")</f>
        <v>0</v>
      </c>
    </row>
    <row r="284" spans="1:7">
      <c r="A284" s="3">
        <v>12</v>
      </c>
      <c r="B284" s="3">
        <v>5</v>
      </c>
      <c r="C284" s="3">
        <v>62</v>
      </c>
      <c r="D284" s="3">
        <v>12</v>
      </c>
      <c r="E284" s="3">
        <v>78.861</v>
      </c>
      <c r="F284" s="4" t="str">
        <f>HYPERLINK("http://141.218.60.56/~jnz1568/getInfo.php?workbook=12_05.xlsx&amp;sheet=A0&amp;row=284&amp;col=6&amp;number=13690000000&amp;sourceID=14","13690000000")</f>
        <v>13690000000</v>
      </c>
      <c r="G284" s="4" t="str">
        <f>HYPERLINK("http://141.218.60.56/~jnz1568/getInfo.php?workbook=12_05.xlsx&amp;sheet=A0&amp;row=284&amp;col=7&amp;number=0&amp;sourceID=14","0")</f>
        <v>0</v>
      </c>
    </row>
    <row r="285" spans="1:7">
      <c r="A285" s="3">
        <v>12</v>
      </c>
      <c r="B285" s="3">
        <v>5</v>
      </c>
      <c r="C285" s="3">
        <v>63</v>
      </c>
      <c r="D285" s="3">
        <v>12</v>
      </c>
      <c r="E285" s="3">
        <v>-77.427</v>
      </c>
      <c r="F285" s="4" t="str">
        <f>HYPERLINK("http://141.218.60.56/~jnz1568/getInfo.php?workbook=12_05.xlsx&amp;sheet=A0&amp;row=285&amp;col=6&amp;number=649800000000&amp;sourceID=14","649800000000")</f>
        <v>649800000000</v>
      </c>
      <c r="G285" s="4" t="str">
        <f>HYPERLINK("http://141.218.60.56/~jnz1568/getInfo.php?workbook=12_05.xlsx&amp;sheet=A0&amp;row=285&amp;col=7&amp;number=0&amp;sourceID=14","0")</f>
        <v>0</v>
      </c>
    </row>
    <row r="286" spans="1:7">
      <c r="A286" s="3">
        <v>12</v>
      </c>
      <c r="B286" s="3">
        <v>5</v>
      </c>
      <c r="C286" s="3">
        <v>64</v>
      </c>
      <c r="D286" s="3">
        <v>12</v>
      </c>
      <c r="E286" s="3">
        <v>-72.327</v>
      </c>
      <c r="F286" s="4" t="str">
        <f>HYPERLINK("http://141.218.60.56/~jnz1568/getInfo.php?workbook=12_05.xlsx&amp;sheet=A0&amp;row=286&amp;col=6&amp;number=798300000&amp;sourceID=14","798300000")</f>
        <v>798300000</v>
      </c>
      <c r="G286" s="4" t="str">
        <f>HYPERLINK("http://141.218.60.56/~jnz1568/getInfo.php?workbook=12_05.xlsx&amp;sheet=A0&amp;row=286&amp;col=7&amp;number=0&amp;sourceID=14","0")</f>
        <v>0</v>
      </c>
    </row>
    <row r="287" spans="1:7">
      <c r="A287" s="3">
        <v>12</v>
      </c>
      <c r="B287" s="3">
        <v>5</v>
      </c>
      <c r="C287" s="3">
        <v>50</v>
      </c>
      <c r="D287" s="3">
        <v>15</v>
      </c>
      <c r="E287" s="3">
        <v>123.279</v>
      </c>
      <c r="F287" s="4" t="str">
        <f>HYPERLINK("http://141.218.60.56/~jnz1568/getInfo.php?workbook=12_05.xlsx&amp;sheet=A0&amp;row=287&amp;col=6&amp;number=1494000&amp;sourceID=14","1494000")</f>
        <v>1494000</v>
      </c>
      <c r="G287" s="4" t="str">
        <f>HYPERLINK("http://141.218.60.56/~jnz1568/getInfo.php?workbook=12_05.xlsx&amp;sheet=A0&amp;row=287&amp;col=7&amp;number=0&amp;sourceID=14","0")</f>
        <v>0</v>
      </c>
    </row>
    <row r="288" spans="1:7">
      <c r="A288" s="3">
        <v>12</v>
      </c>
      <c r="B288" s="3">
        <v>5</v>
      </c>
      <c r="C288" s="3">
        <v>51</v>
      </c>
      <c r="D288" s="3">
        <v>15</v>
      </c>
      <c r="E288" s="3">
        <v>-113.987</v>
      </c>
      <c r="F288" s="4" t="str">
        <f>HYPERLINK("http://141.218.60.56/~jnz1568/getInfo.php?workbook=12_05.xlsx&amp;sheet=A0&amp;row=288&amp;col=6&amp;number=16150&amp;sourceID=14","16150")</f>
        <v>16150</v>
      </c>
      <c r="G288" s="4" t="str">
        <f>HYPERLINK("http://141.218.60.56/~jnz1568/getInfo.php?workbook=12_05.xlsx&amp;sheet=A0&amp;row=288&amp;col=7&amp;number=0&amp;sourceID=14","0")</f>
        <v>0</v>
      </c>
    </row>
    <row r="289" spans="1:7">
      <c r="A289" s="3">
        <v>12</v>
      </c>
      <c r="B289" s="3">
        <v>5</v>
      </c>
      <c r="C289" s="3">
        <v>52</v>
      </c>
      <c r="D289" s="3">
        <v>15</v>
      </c>
      <c r="E289" s="3">
        <v>-111.391</v>
      </c>
      <c r="F289" s="4" t="str">
        <f>HYPERLINK("http://141.218.60.56/~jnz1568/getInfo.php?workbook=12_05.xlsx&amp;sheet=A0&amp;row=289&amp;col=6&amp;number=287200&amp;sourceID=14","287200")</f>
        <v>287200</v>
      </c>
      <c r="G289" s="4" t="str">
        <f>HYPERLINK("http://141.218.60.56/~jnz1568/getInfo.php?workbook=12_05.xlsx&amp;sheet=A0&amp;row=289&amp;col=7&amp;number=0&amp;sourceID=14","0")</f>
        <v>0</v>
      </c>
    </row>
    <row r="290" spans="1:7">
      <c r="A290" s="3">
        <v>12</v>
      </c>
      <c r="B290" s="3">
        <v>5</v>
      </c>
      <c r="C290" s="3">
        <v>53</v>
      </c>
      <c r="D290" s="3">
        <v>15</v>
      </c>
      <c r="E290" s="3">
        <v>108.936</v>
      </c>
      <c r="F290" s="4" t="str">
        <f>HYPERLINK("http://141.218.60.56/~jnz1568/getInfo.php?workbook=12_05.xlsx&amp;sheet=A0&amp;row=290&amp;col=6&amp;number=54630000&amp;sourceID=14","54630000")</f>
        <v>54630000</v>
      </c>
      <c r="G290" s="4" t="str">
        <f>HYPERLINK("http://141.218.60.56/~jnz1568/getInfo.php?workbook=12_05.xlsx&amp;sheet=A0&amp;row=290&amp;col=7&amp;number=0&amp;sourceID=14","0")</f>
        <v>0</v>
      </c>
    </row>
    <row r="291" spans="1:7">
      <c r="A291" s="3">
        <v>12</v>
      </c>
      <c r="B291" s="3">
        <v>5</v>
      </c>
      <c r="C291" s="3">
        <v>54</v>
      </c>
      <c r="D291" s="3">
        <v>15</v>
      </c>
      <c r="E291" s="3">
        <v>97.658</v>
      </c>
      <c r="F291" s="4" t="str">
        <f>HYPERLINK("http://141.218.60.56/~jnz1568/getInfo.php?workbook=12_05.xlsx&amp;sheet=A0&amp;row=291&amp;col=6&amp;number=26930000&amp;sourceID=14","26930000")</f>
        <v>26930000</v>
      </c>
      <c r="G291" s="4" t="str">
        <f>HYPERLINK("http://141.218.60.56/~jnz1568/getInfo.php?workbook=12_05.xlsx&amp;sheet=A0&amp;row=291&amp;col=7&amp;number=0&amp;sourceID=14","0")</f>
        <v>0</v>
      </c>
    </row>
    <row r="292" spans="1:7">
      <c r="A292" s="3">
        <v>12</v>
      </c>
      <c r="B292" s="3">
        <v>5</v>
      </c>
      <c r="C292" s="3">
        <v>55</v>
      </c>
      <c r="D292" s="3">
        <v>15</v>
      </c>
      <c r="E292" s="3">
        <v>93.779</v>
      </c>
      <c r="F292" s="4" t="str">
        <f>HYPERLINK("http://141.218.60.56/~jnz1568/getInfo.php?workbook=12_05.xlsx&amp;sheet=A0&amp;row=292&amp;col=6&amp;number=217900&amp;sourceID=14","217900")</f>
        <v>217900</v>
      </c>
      <c r="G292" s="4" t="str">
        <f>HYPERLINK("http://141.218.60.56/~jnz1568/getInfo.php?workbook=12_05.xlsx&amp;sheet=A0&amp;row=292&amp;col=7&amp;number=0&amp;sourceID=14","0")</f>
        <v>0</v>
      </c>
    </row>
    <row r="293" spans="1:7">
      <c r="A293" s="3">
        <v>12</v>
      </c>
      <c r="B293" s="3">
        <v>5</v>
      </c>
      <c r="C293" s="3">
        <v>56</v>
      </c>
      <c r="D293" s="3">
        <v>15</v>
      </c>
      <c r="E293" s="3">
        <v>-89.697</v>
      </c>
      <c r="F293" s="4" t="str">
        <f>HYPERLINK("http://141.218.60.56/~jnz1568/getInfo.php?workbook=12_05.xlsx&amp;sheet=A0&amp;row=293&amp;col=6&amp;number=9962000000&amp;sourceID=14","9962000000")</f>
        <v>9962000000</v>
      </c>
      <c r="G293" s="4" t="str">
        <f>HYPERLINK("http://141.218.60.56/~jnz1568/getInfo.php?workbook=12_05.xlsx&amp;sheet=A0&amp;row=293&amp;col=7&amp;number=0&amp;sourceID=14","0")</f>
        <v>0</v>
      </c>
    </row>
    <row r="294" spans="1:7">
      <c r="A294" s="3">
        <v>12</v>
      </c>
      <c r="B294" s="3">
        <v>5</v>
      </c>
      <c r="C294" s="3">
        <v>57</v>
      </c>
      <c r="D294" s="3">
        <v>15</v>
      </c>
      <c r="E294" s="3">
        <v>-86.29</v>
      </c>
      <c r="F294" s="4" t="str">
        <f>HYPERLINK("http://141.218.60.56/~jnz1568/getInfo.php?workbook=12_05.xlsx&amp;sheet=A0&amp;row=294&amp;col=6&amp;number=383000&amp;sourceID=14","383000")</f>
        <v>383000</v>
      </c>
      <c r="G294" s="4" t="str">
        <f>HYPERLINK("http://141.218.60.56/~jnz1568/getInfo.php?workbook=12_05.xlsx&amp;sheet=A0&amp;row=294&amp;col=7&amp;number=0&amp;sourceID=14","0")</f>
        <v>0</v>
      </c>
    </row>
    <row r="295" spans="1:7">
      <c r="A295" s="3">
        <v>12</v>
      </c>
      <c r="B295" s="3">
        <v>5</v>
      </c>
      <c r="C295" s="3">
        <v>58</v>
      </c>
      <c r="D295" s="3">
        <v>15</v>
      </c>
      <c r="E295" s="3">
        <v>-85.41</v>
      </c>
      <c r="F295" s="4" t="str">
        <f>HYPERLINK("http://141.218.60.56/~jnz1568/getInfo.php?workbook=12_05.xlsx&amp;sheet=A0&amp;row=295&amp;col=6&amp;number=111700&amp;sourceID=14","111700")</f>
        <v>111700</v>
      </c>
      <c r="G295" s="4" t="str">
        <f>HYPERLINK("http://141.218.60.56/~jnz1568/getInfo.php?workbook=12_05.xlsx&amp;sheet=A0&amp;row=295&amp;col=7&amp;number=0&amp;sourceID=14","0")</f>
        <v>0</v>
      </c>
    </row>
    <row r="296" spans="1:7">
      <c r="A296" s="3">
        <v>12</v>
      </c>
      <c r="B296" s="3">
        <v>5</v>
      </c>
      <c r="C296" s="3">
        <v>59</v>
      </c>
      <c r="D296" s="3">
        <v>15</v>
      </c>
      <c r="E296" s="3">
        <v>-84.889</v>
      </c>
      <c r="F296" s="4" t="str">
        <f>HYPERLINK("http://141.218.60.56/~jnz1568/getInfo.php?workbook=12_05.xlsx&amp;sheet=A0&amp;row=296&amp;col=6&amp;number=10090000&amp;sourceID=14","10090000")</f>
        <v>10090000</v>
      </c>
      <c r="G296" s="4" t="str">
        <f>HYPERLINK("http://141.218.60.56/~jnz1568/getInfo.php?workbook=12_05.xlsx&amp;sheet=A0&amp;row=296&amp;col=7&amp;number=0&amp;sourceID=14","0")</f>
        <v>0</v>
      </c>
    </row>
    <row r="297" spans="1:7">
      <c r="A297" s="3">
        <v>12</v>
      </c>
      <c r="B297" s="3">
        <v>5</v>
      </c>
      <c r="C297" s="3">
        <v>60</v>
      </c>
      <c r="D297" s="3">
        <v>15</v>
      </c>
      <c r="E297" s="3">
        <v>83.961</v>
      </c>
      <c r="F297" s="4" t="str">
        <f>HYPERLINK("http://141.218.60.56/~jnz1568/getInfo.php?workbook=12_05.xlsx&amp;sheet=A0&amp;row=297&amp;col=6&amp;number=56470000&amp;sourceID=14","56470000")</f>
        <v>56470000</v>
      </c>
      <c r="G297" s="4" t="str">
        <f>HYPERLINK("http://141.218.60.56/~jnz1568/getInfo.php?workbook=12_05.xlsx&amp;sheet=A0&amp;row=297&amp;col=7&amp;number=0&amp;sourceID=14","0")</f>
        <v>0</v>
      </c>
    </row>
    <row r="298" spans="1:7">
      <c r="A298" s="3">
        <v>12</v>
      </c>
      <c r="B298" s="3">
        <v>5</v>
      </c>
      <c r="C298" s="3">
        <v>61</v>
      </c>
      <c r="D298" s="3">
        <v>15</v>
      </c>
      <c r="E298" s="3">
        <v>84.86</v>
      </c>
      <c r="F298" s="4" t="str">
        <f>HYPERLINK("http://141.218.60.56/~jnz1568/getInfo.php?workbook=12_05.xlsx&amp;sheet=A0&amp;row=298&amp;col=6&amp;number=112400000000&amp;sourceID=14","112400000000")</f>
        <v>112400000000</v>
      </c>
      <c r="G298" s="4" t="str">
        <f>HYPERLINK("http://141.218.60.56/~jnz1568/getInfo.php?workbook=12_05.xlsx&amp;sheet=A0&amp;row=298&amp;col=7&amp;number=0&amp;sourceID=14","0")</f>
        <v>0</v>
      </c>
    </row>
    <row r="299" spans="1:7">
      <c r="A299" s="3">
        <v>12</v>
      </c>
      <c r="B299" s="3">
        <v>5</v>
      </c>
      <c r="C299" s="3">
        <v>62</v>
      </c>
      <c r="D299" s="3">
        <v>15</v>
      </c>
      <c r="E299" s="3">
        <v>82.711</v>
      </c>
      <c r="F299" s="4" t="str">
        <f>HYPERLINK("http://141.218.60.56/~jnz1568/getInfo.php?workbook=12_05.xlsx&amp;sheet=A0&amp;row=299&amp;col=6&amp;number=202200000000&amp;sourceID=14","202200000000")</f>
        <v>202200000000</v>
      </c>
      <c r="G299" s="4" t="str">
        <f>HYPERLINK("http://141.218.60.56/~jnz1568/getInfo.php?workbook=12_05.xlsx&amp;sheet=A0&amp;row=299&amp;col=7&amp;number=0&amp;sourceID=14","0")</f>
        <v>0</v>
      </c>
    </row>
    <row r="300" spans="1:7">
      <c r="A300" s="3">
        <v>12</v>
      </c>
      <c r="B300" s="3">
        <v>5</v>
      </c>
      <c r="C300" s="3">
        <v>63</v>
      </c>
      <c r="D300" s="3">
        <v>15</v>
      </c>
      <c r="E300" s="3">
        <v>-81.134</v>
      </c>
      <c r="F300" s="4" t="str">
        <f>HYPERLINK("http://141.218.60.56/~jnz1568/getInfo.php?workbook=12_05.xlsx&amp;sheet=A0&amp;row=300&amp;col=6&amp;number=24250000000&amp;sourceID=14","24250000000")</f>
        <v>24250000000</v>
      </c>
      <c r="G300" s="4" t="str">
        <f>HYPERLINK("http://141.218.60.56/~jnz1568/getInfo.php?workbook=12_05.xlsx&amp;sheet=A0&amp;row=300&amp;col=7&amp;number=0&amp;sourceID=14","0")</f>
        <v>0</v>
      </c>
    </row>
    <row r="301" spans="1:7">
      <c r="A301" s="3">
        <v>12</v>
      </c>
      <c r="B301" s="3">
        <v>5</v>
      </c>
      <c r="C301" s="3">
        <v>64</v>
      </c>
      <c r="D301" s="3">
        <v>15</v>
      </c>
      <c r="E301" s="3">
        <v>-75.553</v>
      </c>
      <c r="F301" s="4" t="str">
        <f>HYPERLINK("http://141.218.60.56/~jnz1568/getInfo.php?workbook=12_05.xlsx&amp;sheet=A0&amp;row=301&amp;col=6&amp;number=256900000000&amp;sourceID=14","256900000000")</f>
        <v>256900000000</v>
      </c>
      <c r="G301" s="4" t="str">
        <f>HYPERLINK("http://141.218.60.56/~jnz1568/getInfo.php?workbook=12_05.xlsx&amp;sheet=A0&amp;row=301&amp;col=7&amp;number=0&amp;sourceID=14","0")</f>
        <v>0</v>
      </c>
    </row>
    <row r="302" spans="1:7">
      <c r="A302" s="3">
        <v>12</v>
      </c>
      <c r="B302" s="3">
        <v>5</v>
      </c>
      <c r="C302" s="3">
        <v>31</v>
      </c>
      <c r="D302" s="3">
        <v>13</v>
      </c>
      <c r="E302" s="3">
        <v>114.928</v>
      </c>
      <c r="F302" s="4" t="str">
        <f>HYPERLINK("http://141.218.60.56/~jnz1568/getInfo.php?workbook=12_05.xlsx&amp;sheet=A0&amp;row=302&amp;col=6&amp;number=722300&amp;sourceID=14","722300")</f>
        <v>722300</v>
      </c>
      <c r="G302" s="4" t="str">
        <f>HYPERLINK("http://141.218.60.56/~jnz1568/getInfo.php?workbook=12_05.xlsx&amp;sheet=A0&amp;row=302&amp;col=7&amp;number=0&amp;sourceID=14","0")</f>
        <v>0</v>
      </c>
    </row>
    <row r="303" spans="1:7">
      <c r="A303" s="3">
        <v>12</v>
      </c>
      <c r="B303" s="3">
        <v>5</v>
      </c>
      <c r="C303" s="3">
        <v>32</v>
      </c>
      <c r="D303" s="3">
        <v>13</v>
      </c>
      <c r="E303" s="3">
        <v>105.972</v>
      </c>
      <c r="F303" s="4" t="str">
        <f>HYPERLINK("http://141.218.60.56/~jnz1568/getInfo.php?workbook=12_05.xlsx&amp;sheet=A0&amp;row=303&amp;col=6&amp;number=496900000&amp;sourceID=14","496900000")</f>
        <v>496900000</v>
      </c>
      <c r="G303" s="4" t="str">
        <f>HYPERLINK("http://141.218.60.56/~jnz1568/getInfo.php?workbook=12_05.xlsx&amp;sheet=A0&amp;row=303&amp;col=7&amp;number=0&amp;sourceID=14","0")</f>
        <v>0</v>
      </c>
    </row>
    <row r="304" spans="1:7">
      <c r="A304" s="3">
        <v>12</v>
      </c>
      <c r="B304" s="3">
        <v>5</v>
      </c>
      <c r="C304" s="3">
        <v>33</v>
      </c>
      <c r="D304" s="3">
        <v>13</v>
      </c>
      <c r="E304" s="3">
        <v>-106.888</v>
      </c>
      <c r="F304" s="4" t="str">
        <f>HYPERLINK("http://141.218.60.56/~jnz1568/getInfo.php?workbook=12_05.xlsx&amp;sheet=A0&amp;row=304&amp;col=6&amp;number=161000000&amp;sourceID=14","161000000")</f>
        <v>161000000</v>
      </c>
      <c r="G304" s="4" t="str">
        <f>HYPERLINK("http://141.218.60.56/~jnz1568/getInfo.php?workbook=12_05.xlsx&amp;sheet=A0&amp;row=304&amp;col=7&amp;number=0&amp;sourceID=14","0")</f>
        <v>0</v>
      </c>
    </row>
    <row r="305" spans="1:7">
      <c r="A305" s="3">
        <v>12</v>
      </c>
      <c r="B305" s="3">
        <v>5</v>
      </c>
      <c r="C305" s="3">
        <v>34</v>
      </c>
      <c r="D305" s="3">
        <v>13</v>
      </c>
      <c r="E305" s="3">
        <v>-105.537</v>
      </c>
      <c r="F305" s="4" t="str">
        <f>HYPERLINK("http://141.218.60.56/~jnz1568/getInfo.php?workbook=12_05.xlsx&amp;sheet=A0&amp;row=305&amp;col=6&amp;number=4944000&amp;sourceID=14","4944000")</f>
        <v>4944000</v>
      </c>
      <c r="G305" s="4" t="str">
        <f>HYPERLINK("http://141.218.60.56/~jnz1568/getInfo.php?workbook=12_05.xlsx&amp;sheet=A0&amp;row=305&amp;col=7&amp;number=0&amp;sourceID=14","0")</f>
        <v>0</v>
      </c>
    </row>
    <row r="306" spans="1:7">
      <c r="A306" s="3">
        <v>12</v>
      </c>
      <c r="B306" s="3">
        <v>5</v>
      </c>
      <c r="C306" s="3">
        <v>35</v>
      </c>
      <c r="D306" s="3">
        <v>13</v>
      </c>
      <c r="E306" s="3">
        <v>-104.621</v>
      </c>
      <c r="F306" s="4" t="str">
        <f>HYPERLINK("http://141.218.60.56/~jnz1568/getInfo.php?workbook=12_05.xlsx&amp;sheet=A0&amp;row=306&amp;col=6&amp;number=84440&amp;sourceID=14","84440")</f>
        <v>84440</v>
      </c>
      <c r="G306" s="4" t="str">
        <f>HYPERLINK("http://141.218.60.56/~jnz1568/getInfo.php?workbook=12_05.xlsx&amp;sheet=A0&amp;row=306&amp;col=7&amp;number=0&amp;sourceID=14","0")</f>
        <v>0</v>
      </c>
    </row>
    <row r="307" spans="1:7">
      <c r="A307" s="3">
        <v>12</v>
      </c>
      <c r="B307" s="3">
        <v>5</v>
      </c>
      <c r="C307" s="3">
        <v>36</v>
      </c>
      <c r="D307" s="3">
        <v>13</v>
      </c>
      <c r="E307" s="3">
        <v>102.579</v>
      </c>
      <c r="F307" s="4" t="str">
        <f>HYPERLINK("http://141.218.60.56/~jnz1568/getInfo.php?workbook=12_05.xlsx&amp;sheet=A0&amp;row=307&amp;col=6&amp;number=67510000&amp;sourceID=14","67510000")</f>
        <v>67510000</v>
      </c>
      <c r="G307" s="4" t="str">
        <f>HYPERLINK("http://141.218.60.56/~jnz1568/getInfo.php?workbook=12_05.xlsx&amp;sheet=A0&amp;row=307&amp;col=7&amp;number=0&amp;sourceID=14","0")</f>
        <v>0</v>
      </c>
    </row>
    <row r="308" spans="1:7">
      <c r="A308" s="3">
        <v>12</v>
      </c>
      <c r="B308" s="3">
        <v>5</v>
      </c>
      <c r="C308" s="3">
        <v>37</v>
      </c>
      <c r="D308" s="3">
        <v>13</v>
      </c>
      <c r="E308" s="3">
        <v>92.182</v>
      </c>
      <c r="F308" s="4" t="str">
        <f>HYPERLINK("http://141.218.60.56/~jnz1568/getInfo.php?workbook=12_05.xlsx&amp;sheet=A0&amp;row=308&amp;col=6&amp;number=7110000000&amp;sourceID=14","7110000000")</f>
        <v>7110000000</v>
      </c>
      <c r="G308" s="4" t="str">
        <f>HYPERLINK("http://141.218.60.56/~jnz1568/getInfo.php?workbook=12_05.xlsx&amp;sheet=A0&amp;row=308&amp;col=7&amp;number=0&amp;sourceID=14","0")</f>
        <v>0</v>
      </c>
    </row>
    <row r="309" spans="1:7">
      <c r="A309" s="3">
        <v>12</v>
      </c>
      <c r="B309" s="3">
        <v>5</v>
      </c>
      <c r="C309" s="3">
        <v>38</v>
      </c>
      <c r="D309" s="3">
        <v>13</v>
      </c>
      <c r="E309" s="3">
        <v>-92.197</v>
      </c>
      <c r="F309" s="4" t="str">
        <f>HYPERLINK("http://141.218.60.56/~jnz1568/getInfo.php?workbook=12_05.xlsx&amp;sheet=A0&amp;row=309&amp;col=6&amp;number=2308000000&amp;sourceID=14","2308000000")</f>
        <v>2308000000</v>
      </c>
      <c r="G309" s="4" t="str">
        <f>HYPERLINK("http://141.218.60.56/~jnz1568/getInfo.php?workbook=12_05.xlsx&amp;sheet=A0&amp;row=309&amp;col=7&amp;number=0&amp;sourceID=14","0")</f>
        <v>0</v>
      </c>
    </row>
    <row r="310" spans="1:7">
      <c r="A310" s="3">
        <v>12</v>
      </c>
      <c r="B310" s="3">
        <v>5</v>
      </c>
      <c r="C310" s="3">
        <v>39</v>
      </c>
      <c r="D310" s="3">
        <v>13</v>
      </c>
      <c r="E310" s="3">
        <v>89.012</v>
      </c>
      <c r="F310" s="4" t="str">
        <f>HYPERLINK("http://141.218.60.56/~jnz1568/getInfo.php?workbook=12_05.xlsx&amp;sheet=A0&amp;row=310&amp;col=6&amp;number=5358000&amp;sourceID=14","5358000")</f>
        <v>5358000</v>
      </c>
      <c r="G310" s="4" t="str">
        <f>HYPERLINK("http://141.218.60.56/~jnz1568/getInfo.php?workbook=12_05.xlsx&amp;sheet=A0&amp;row=310&amp;col=7&amp;number=0&amp;sourceID=14","0")</f>
        <v>0</v>
      </c>
    </row>
    <row r="311" spans="1:7">
      <c r="A311" s="3">
        <v>12</v>
      </c>
      <c r="B311" s="3">
        <v>5</v>
      </c>
      <c r="C311" s="3">
        <v>40</v>
      </c>
      <c r="D311" s="3">
        <v>13</v>
      </c>
      <c r="E311" s="3">
        <v>-86.798</v>
      </c>
      <c r="F311" s="4" t="str">
        <f>HYPERLINK("http://141.218.60.56/~jnz1568/getInfo.php?workbook=12_05.xlsx&amp;sheet=A0&amp;row=311&amp;col=6&amp;number=33300000000&amp;sourceID=14","33300000000")</f>
        <v>33300000000</v>
      </c>
      <c r="G311" s="4" t="str">
        <f>HYPERLINK("http://141.218.60.56/~jnz1568/getInfo.php?workbook=12_05.xlsx&amp;sheet=A0&amp;row=311&amp;col=7&amp;number=0&amp;sourceID=14","0")</f>
        <v>0</v>
      </c>
    </row>
    <row r="312" spans="1:7">
      <c r="A312" s="3">
        <v>12</v>
      </c>
      <c r="B312" s="3">
        <v>5</v>
      </c>
      <c r="C312" s="3">
        <v>41</v>
      </c>
      <c r="D312" s="3">
        <v>13</v>
      </c>
      <c r="E312" s="3">
        <v>85.249</v>
      </c>
      <c r="F312" s="4" t="str">
        <f>HYPERLINK("http://141.218.60.56/~jnz1568/getInfo.php?workbook=12_05.xlsx&amp;sheet=A0&amp;row=312&amp;col=6&amp;number=3186000000&amp;sourceID=14","3186000000")</f>
        <v>3186000000</v>
      </c>
      <c r="G312" s="4" t="str">
        <f>HYPERLINK("http://141.218.60.56/~jnz1568/getInfo.php?workbook=12_05.xlsx&amp;sheet=A0&amp;row=312&amp;col=7&amp;number=0&amp;sourceID=14","0")</f>
        <v>0</v>
      </c>
    </row>
    <row r="313" spans="1:7">
      <c r="A313" s="3">
        <v>12</v>
      </c>
      <c r="B313" s="3">
        <v>5</v>
      </c>
      <c r="C313" s="3">
        <v>42</v>
      </c>
      <c r="D313" s="3">
        <v>13</v>
      </c>
      <c r="E313" s="3">
        <v>-82.149</v>
      </c>
      <c r="F313" s="4" t="str">
        <f>HYPERLINK("http://141.218.60.56/~jnz1568/getInfo.php?workbook=12_05.xlsx&amp;sheet=A0&amp;row=313&amp;col=6&amp;number=2936000&amp;sourceID=14","2936000")</f>
        <v>2936000</v>
      </c>
      <c r="G313" s="4" t="str">
        <f>HYPERLINK("http://141.218.60.56/~jnz1568/getInfo.php?workbook=12_05.xlsx&amp;sheet=A0&amp;row=313&amp;col=7&amp;number=0&amp;sourceID=14","0")</f>
        <v>0</v>
      </c>
    </row>
    <row r="314" spans="1:7">
      <c r="A314" s="3">
        <v>12</v>
      </c>
      <c r="B314" s="3">
        <v>5</v>
      </c>
      <c r="C314" s="3">
        <v>43</v>
      </c>
      <c r="D314" s="3">
        <v>13</v>
      </c>
      <c r="E314" s="3">
        <v>-81.423</v>
      </c>
      <c r="F314" s="4" t="str">
        <f>HYPERLINK("http://141.218.60.56/~jnz1568/getInfo.php?workbook=12_05.xlsx&amp;sheet=A0&amp;row=314&amp;col=6&amp;number=17060000000&amp;sourceID=14","17060000000")</f>
        <v>17060000000</v>
      </c>
      <c r="G314" s="4" t="str">
        <f>HYPERLINK("http://141.218.60.56/~jnz1568/getInfo.php?workbook=12_05.xlsx&amp;sheet=A0&amp;row=314&amp;col=7&amp;number=0&amp;sourceID=14","0")</f>
        <v>0</v>
      </c>
    </row>
    <row r="315" spans="1:7">
      <c r="A315" s="3">
        <v>12</v>
      </c>
      <c r="B315" s="3">
        <v>5</v>
      </c>
      <c r="C315" s="3">
        <v>44</v>
      </c>
      <c r="D315" s="3">
        <v>13</v>
      </c>
      <c r="E315" s="3">
        <v>-81.301</v>
      </c>
      <c r="F315" s="4" t="str">
        <f>HYPERLINK("http://141.218.60.56/~jnz1568/getInfo.php?workbook=12_05.xlsx&amp;sheet=A0&amp;row=315&amp;col=6&amp;number=3585000000&amp;sourceID=14","3585000000")</f>
        <v>3585000000</v>
      </c>
      <c r="G315" s="4" t="str">
        <f>HYPERLINK("http://141.218.60.56/~jnz1568/getInfo.php?workbook=12_05.xlsx&amp;sheet=A0&amp;row=315&amp;col=7&amp;number=0&amp;sourceID=14","0")</f>
        <v>0</v>
      </c>
    </row>
    <row r="316" spans="1:7">
      <c r="A316" s="3">
        <v>12</v>
      </c>
      <c r="B316" s="3">
        <v>5</v>
      </c>
      <c r="C316" s="3">
        <v>45</v>
      </c>
      <c r="D316" s="3">
        <v>13</v>
      </c>
      <c r="E316" s="3">
        <v>79.939</v>
      </c>
      <c r="F316" s="4" t="str">
        <f>HYPERLINK("http://141.218.60.56/~jnz1568/getInfo.php?workbook=12_05.xlsx&amp;sheet=A0&amp;row=316&amp;col=6&amp;number=96490000&amp;sourceID=14","96490000")</f>
        <v>96490000</v>
      </c>
      <c r="G316" s="4" t="str">
        <f>HYPERLINK("http://141.218.60.56/~jnz1568/getInfo.php?workbook=12_05.xlsx&amp;sheet=A0&amp;row=316&amp;col=7&amp;number=0&amp;sourceID=14","0")</f>
        <v>0</v>
      </c>
    </row>
    <row r="317" spans="1:7">
      <c r="A317" s="3">
        <v>12</v>
      </c>
      <c r="B317" s="3">
        <v>5</v>
      </c>
      <c r="C317" s="3">
        <v>46</v>
      </c>
      <c r="D317" s="3">
        <v>13</v>
      </c>
      <c r="E317" s="3">
        <v>-78.708</v>
      </c>
      <c r="F317" s="4" t="str">
        <f>HYPERLINK("http://141.218.60.56/~jnz1568/getInfo.php?workbook=12_05.xlsx&amp;sheet=A0&amp;row=317&amp;col=6&amp;number=22590000000&amp;sourceID=14","22590000000")</f>
        <v>22590000000</v>
      </c>
      <c r="G317" s="4" t="str">
        <f>HYPERLINK("http://141.218.60.56/~jnz1568/getInfo.php?workbook=12_05.xlsx&amp;sheet=A0&amp;row=317&amp;col=7&amp;number=0&amp;sourceID=14","0")</f>
        <v>0</v>
      </c>
    </row>
    <row r="318" spans="1:7">
      <c r="A318" s="3">
        <v>12</v>
      </c>
      <c r="B318" s="3">
        <v>5</v>
      </c>
      <c r="C318" s="3">
        <v>47</v>
      </c>
      <c r="D318" s="3">
        <v>13</v>
      </c>
      <c r="E318" s="3">
        <v>-77.661</v>
      </c>
      <c r="F318" s="4" t="str">
        <f>HYPERLINK("http://141.218.60.56/~jnz1568/getInfo.php?workbook=12_05.xlsx&amp;sheet=A0&amp;row=318&amp;col=6&amp;number=16780000000&amp;sourceID=14","16780000000")</f>
        <v>16780000000</v>
      </c>
      <c r="G318" s="4" t="str">
        <f>HYPERLINK("http://141.218.60.56/~jnz1568/getInfo.php?workbook=12_05.xlsx&amp;sheet=A0&amp;row=318&amp;col=7&amp;number=0&amp;sourceID=14","0")</f>
        <v>0</v>
      </c>
    </row>
    <row r="319" spans="1:7">
      <c r="A319" s="3">
        <v>12</v>
      </c>
      <c r="B319" s="3">
        <v>5</v>
      </c>
      <c r="C319" s="3">
        <v>48</v>
      </c>
      <c r="D319" s="3">
        <v>13</v>
      </c>
      <c r="E319" s="3">
        <v>77.577</v>
      </c>
      <c r="F319" s="4" t="str">
        <f>HYPERLINK("http://141.218.60.56/~jnz1568/getInfo.php?workbook=12_05.xlsx&amp;sheet=A0&amp;row=319&amp;col=6&amp;number=83890000000&amp;sourceID=14","83890000000")</f>
        <v>83890000000</v>
      </c>
      <c r="G319" s="4" t="str">
        <f>HYPERLINK("http://141.218.60.56/~jnz1568/getInfo.php?workbook=12_05.xlsx&amp;sheet=A0&amp;row=319&amp;col=7&amp;number=0&amp;sourceID=14","0")</f>
        <v>0</v>
      </c>
    </row>
    <row r="320" spans="1:7">
      <c r="A320" s="3">
        <v>12</v>
      </c>
      <c r="B320" s="3">
        <v>5</v>
      </c>
      <c r="C320" s="3">
        <v>49</v>
      </c>
      <c r="D320" s="3">
        <v>13</v>
      </c>
      <c r="E320" s="3">
        <v>-72.303</v>
      </c>
      <c r="F320" s="4" t="str">
        <f>HYPERLINK("http://141.218.60.56/~jnz1568/getInfo.php?workbook=12_05.xlsx&amp;sheet=A0&amp;row=320&amp;col=6&amp;number=819800000&amp;sourceID=14","819800000")</f>
        <v>819800000</v>
      </c>
      <c r="G320" s="4" t="str">
        <f>HYPERLINK("http://141.218.60.56/~jnz1568/getInfo.php?workbook=12_05.xlsx&amp;sheet=A0&amp;row=320&amp;col=7&amp;number=0&amp;sourceID=14","0")</f>
        <v>0</v>
      </c>
    </row>
    <row r="321" spans="1:7">
      <c r="A321" s="3">
        <v>12</v>
      </c>
      <c r="B321" s="3">
        <v>5</v>
      </c>
      <c r="C321" s="3">
        <v>50</v>
      </c>
      <c r="D321" s="3">
        <v>13</v>
      </c>
      <c r="E321" s="3">
        <v>114.906</v>
      </c>
      <c r="F321" s="4" t="str">
        <f>HYPERLINK("http://141.218.60.56/~jnz1568/getInfo.php?workbook=12_05.xlsx&amp;sheet=A0&amp;row=321&amp;col=6&amp;number=7187000&amp;sourceID=14","7187000")</f>
        <v>7187000</v>
      </c>
      <c r="G321" s="4" t="str">
        <f>HYPERLINK("http://141.218.60.56/~jnz1568/getInfo.php?workbook=12_05.xlsx&amp;sheet=A0&amp;row=321&amp;col=7&amp;number=0&amp;sourceID=14","0")</f>
        <v>0</v>
      </c>
    </row>
    <row r="322" spans="1:7">
      <c r="A322" s="3">
        <v>12</v>
      </c>
      <c r="B322" s="3">
        <v>5</v>
      </c>
      <c r="C322" s="3">
        <v>51</v>
      </c>
      <c r="D322" s="3">
        <v>13</v>
      </c>
      <c r="E322" s="3">
        <v>-106.793</v>
      </c>
      <c r="F322" s="4" t="str">
        <f>HYPERLINK("http://141.218.60.56/~jnz1568/getInfo.php?workbook=12_05.xlsx&amp;sheet=A0&amp;row=322&amp;col=6&amp;number=77160&amp;sourceID=14","77160")</f>
        <v>77160</v>
      </c>
      <c r="G322" s="4" t="str">
        <f>HYPERLINK("http://141.218.60.56/~jnz1568/getInfo.php?workbook=12_05.xlsx&amp;sheet=A0&amp;row=322&amp;col=7&amp;number=0&amp;sourceID=14","0")</f>
        <v>0</v>
      </c>
    </row>
    <row r="323" spans="1:7">
      <c r="A323" s="3">
        <v>12</v>
      </c>
      <c r="B323" s="3">
        <v>5</v>
      </c>
      <c r="C323" s="3">
        <v>52</v>
      </c>
      <c r="D323" s="3">
        <v>13</v>
      </c>
      <c r="E323" s="3">
        <v>-104.511</v>
      </c>
      <c r="F323" s="4" t="str">
        <f>HYPERLINK("http://141.218.60.56/~jnz1568/getInfo.php?workbook=12_05.xlsx&amp;sheet=A0&amp;row=323&amp;col=6&amp;number=1674000&amp;sourceID=14","1674000")</f>
        <v>1674000</v>
      </c>
      <c r="G323" s="4" t="str">
        <f>HYPERLINK("http://141.218.60.56/~jnz1568/getInfo.php?workbook=12_05.xlsx&amp;sheet=A0&amp;row=323&amp;col=7&amp;number=0&amp;sourceID=14","0")</f>
        <v>0</v>
      </c>
    </row>
    <row r="324" spans="1:7">
      <c r="A324" s="3">
        <v>12</v>
      </c>
      <c r="B324" s="3">
        <v>5</v>
      </c>
      <c r="C324" s="3">
        <v>53</v>
      </c>
      <c r="D324" s="3">
        <v>13</v>
      </c>
      <c r="E324" s="3">
        <v>102.346</v>
      </c>
      <c r="F324" s="4" t="str">
        <f>HYPERLINK("http://141.218.60.56/~jnz1568/getInfo.php?workbook=12_05.xlsx&amp;sheet=A0&amp;row=324&amp;col=6&amp;number=755500000&amp;sourceID=14","755500000")</f>
        <v>755500000</v>
      </c>
      <c r="G324" s="4" t="str">
        <f>HYPERLINK("http://141.218.60.56/~jnz1568/getInfo.php?workbook=12_05.xlsx&amp;sheet=A0&amp;row=324&amp;col=7&amp;number=0&amp;sourceID=14","0")</f>
        <v>0</v>
      </c>
    </row>
    <row r="325" spans="1:7">
      <c r="A325" s="3">
        <v>12</v>
      </c>
      <c r="B325" s="3">
        <v>5</v>
      </c>
      <c r="C325" s="3">
        <v>54</v>
      </c>
      <c r="D325" s="3">
        <v>13</v>
      </c>
      <c r="E325" s="3">
        <v>92.328</v>
      </c>
      <c r="F325" s="4" t="str">
        <f>HYPERLINK("http://141.218.60.56/~jnz1568/getInfo.php?workbook=12_05.xlsx&amp;sheet=A0&amp;row=325&amp;col=6&amp;number=34340&amp;sourceID=14","34340")</f>
        <v>34340</v>
      </c>
      <c r="G325" s="4" t="str">
        <f>HYPERLINK("http://141.218.60.56/~jnz1568/getInfo.php?workbook=12_05.xlsx&amp;sheet=A0&amp;row=325&amp;col=7&amp;number=0&amp;sourceID=14","0")</f>
        <v>0</v>
      </c>
    </row>
    <row r="326" spans="1:7">
      <c r="A326" s="3">
        <v>12</v>
      </c>
      <c r="B326" s="3">
        <v>5</v>
      </c>
      <c r="C326" s="3">
        <v>55</v>
      </c>
      <c r="D326" s="3">
        <v>13</v>
      </c>
      <c r="E326" s="3">
        <v>88.854</v>
      </c>
      <c r="F326" s="4" t="str">
        <f>HYPERLINK("http://141.218.60.56/~jnz1568/getInfo.php?workbook=12_05.xlsx&amp;sheet=A0&amp;row=326&amp;col=6&amp;number=34950000&amp;sourceID=14","34950000")</f>
        <v>34950000</v>
      </c>
      <c r="G326" s="4" t="str">
        <f>HYPERLINK("http://141.218.60.56/~jnz1568/getInfo.php?workbook=12_05.xlsx&amp;sheet=A0&amp;row=326&amp;col=7&amp;number=0&amp;sourceID=14","0")</f>
        <v>0</v>
      </c>
    </row>
    <row r="327" spans="1:7">
      <c r="A327" s="3">
        <v>12</v>
      </c>
      <c r="B327" s="3">
        <v>5</v>
      </c>
      <c r="C327" s="3">
        <v>56</v>
      </c>
      <c r="D327" s="3">
        <v>13</v>
      </c>
      <c r="E327" s="3">
        <v>-85.182</v>
      </c>
      <c r="F327" s="4" t="str">
        <f>HYPERLINK("http://141.218.60.56/~jnz1568/getInfo.php?workbook=12_05.xlsx&amp;sheet=A0&amp;row=327&amp;col=6&amp;number=43380000000&amp;sourceID=14","43380000000")</f>
        <v>43380000000</v>
      </c>
      <c r="G327" s="4" t="str">
        <f>HYPERLINK("http://141.218.60.56/~jnz1568/getInfo.php?workbook=12_05.xlsx&amp;sheet=A0&amp;row=327&amp;col=7&amp;number=0&amp;sourceID=14","0")</f>
        <v>0</v>
      </c>
    </row>
    <row r="328" spans="1:7">
      <c r="A328" s="3">
        <v>12</v>
      </c>
      <c r="B328" s="3">
        <v>5</v>
      </c>
      <c r="C328" s="3">
        <v>57</v>
      </c>
      <c r="D328" s="3">
        <v>13</v>
      </c>
      <c r="E328" s="3">
        <v>-82.104</v>
      </c>
      <c r="F328" s="4" t="str">
        <f>HYPERLINK("http://141.218.60.56/~jnz1568/getInfo.php?workbook=12_05.xlsx&amp;sheet=A0&amp;row=328&amp;col=6&amp;number=67990000&amp;sourceID=14","67990000")</f>
        <v>67990000</v>
      </c>
      <c r="G328" s="4" t="str">
        <f>HYPERLINK("http://141.218.60.56/~jnz1568/getInfo.php?workbook=12_05.xlsx&amp;sheet=A0&amp;row=328&amp;col=7&amp;number=0&amp;sourceID=14","0")</f>
        <v>0</v>
      </c>
    </row>
    <row r="329" spans="1:7">
      <c r="A329" s="3">
        <v>12</v>
      </c>
      <c r="B329" s="3">
        <v>5</v>
      </c>
      <c r="C329" s="3">
        <v>58</v>
      </c>
      <c r="D329" s="3">
        <v>13</v>
      </c>
      <c r="E329" s="3">
        <v>-81.306</v>
      </c>
      <c r="F329" s="4" t="str">
        <f>HYPERLINK("http://141.218.60.56/~jnz1568/getInfo.php?workbook=12_05.xlsx&amp;sheet=A0&amp;row=329&amp;col=6&amp;number=22840000&amp;sourceID=14","22840000")</f>
        <v>22840000</v>
      </c>
      <c r="G329" s="4" t="str">
        <f>HYPERLINK("http://141.218.60.56/~jnz1568/getInfo.php?workbook=12_05.xlsx&amp;sheet=A0&amp;row=329&amp;col=7&amp;number=0&amp;sourceID=14","0")</f>
        <v>0</v>
      </c>
    </row>
    <row r="330" spans="1:7">
      <c r="A330" s="3">
        <v>12</v>
      </c>
      <c r="B330" s="3">
        <v>5</v>
      </c>
      <c r="C330" s="3">
        <v>59</v>
      </c>
      <c r="D330" s="3">
        <v>13</v>
      </c>
      <c r="E330" s="3">
        <v>-80.834</v>
      </c>
      <c r="F330" s="4" t="str">
        <f>HYPERLINK("http://141.218.60.56/~jnz1568/getInfo.php?workbook=12_05.xlsx&amp;sheet=A0&amp;row=330&amp;col=6&amp;number=4770000000&amp;sourceID=14","4770000000")</f>
        <v>4770000000</v>
      </c>
      <c r="G330" s="4" t="str">
        <f>HYPERLINK("http://141.218.60.56/~jnz1568/getInfo.php?workbook=12_05.xlsx&amp;sheet=A0&amp;row=330&amp;col=7&amp;number=0&amp;sourceID=14","0")</f>
        <v>0</v>
      </c>
    </row>
    <row r="331" spans="1:7">
      <c r="A331" s="3">
        <v>12</v>
      </c>
      <c r="B331" s="3">
        <v>5</v>
      </c>
      <c r="C331" s="3">
        <v>60</v>
      </c>
      <c r="D331" s="3">
        <v>13</v>
      </c>
      <c r="E331" s="3">
        <v>79.991</v>
      </c>
      <c r="F331" s="4" t="str">
        <f>HYPERLINK("http://141.218.60.56/~jnz1568/getInfo.php?workbook=12_05.xlsx&amp;sheet=A0&amp;row=331&amp;col=6&amp;number=69380000&amp;sourceID=14","69380000")</f>
        <v>69380000</v>
      </c>
      <c r="G331" s="4" t="str">
        <f>HYPERLINK("http://141.218.60.56/~jnz1568/getInfo.php?workbook=12_05.xlsx&amp;sheet=A0&amp;row=331&amp;col=7&amp;number=0&amp;sourceID=14","0")</f>
        <v>0</v>
      </c>
    </row>
    <row r="332" spans="1:7">
      <c r="A332" s="3">
        <v>12</v>
      </c>
      <c r="B332" s="3">
        <v>5</v>
      </c>
      <c r="C332" s="3">
        <v>61</v>
      </c>
      <c r="D332" s="3">
        <v>13</v>
      </c>
      <c r="E332" s="3">
        <v>80.806</v>
      </c>
      <c r="F332" s="4" t="str">
        <f>HYPERLINK("http://141.218.60.56/~jnz1568/getInfo.php?workbook=12_05.xlsx&amp;sheet=A0&amp;row=332&amp;col=6&amp;number=182300000000&amp;sourceID=14","182300000000")</f>
        <v>182300000000</v>
      </c>
      <c r="G332" s="4" t="str">
        <f>HYPERLINK("http://141.218.60.56/~jnz1568/getInfo.php?workbook=12_05.xlsx&amp;sheet=A0&amp;row=332&amp;col=7&amp;number=0&amp;sourceID=14","0")</f>
        <v>0</v>
      </c>
    </row>
    <row r="333" spans="1:7">
      <c r="A333" s="3">
        <v>12</v>
      </c>
      <c r="B333" s="3">
        <v>5</v>
      </c>
      <c r="C333" s="3">
        <v>62</v>
      </c>
      <c r="D333" s="3">
        <v>13</v>
      </c>
      <c r="E333" s="3">
        <v>78.855</v>
      </c>
      <c r="F333" s="4" t="str">
        <f>HYPERLINK("http://141.218.60.56/~jnz1568/getInfo.php?workbook=12_05.xlsx&amp;sheet=A0&amp;row=333&amp;col=6&amp;number=159300000000&amp;sourceID=14","159300000000")</f>
        <v>159300000000</v>
      </c>
      <c r="G333" s="4" t="str">
        <f>HYPERLINK("http://141.218.60.56/~jnz1568/getInfo.php?workbook=12_05.xlsx&amp;sheet=A0&amp;row=333&amp;col=7&amp;number=0&amp;sourceID=14","0")</f>
        <v>0</v>
      </c>
    </row>
    <row r="334" spans="1:7">
      <c r="A334" s="3">
        <v>12</v>
      </c>
      <c r="B334" s="3">
        <v>5</v>
      </c>
      <c r="C334" s="3">
        <v>63</v>
      </c>
      <c r="D334" s="3">
        <v>13</v>
      </c>
      <c r="E334" s="3">
        <v>-77.422</v>
      </c>
      <c r="F334" s="4" t="str">
        <f>HYPERLINK("http://141.218.60.56/~jnz1568/getInfo.php?workbook=12_05.xlsx&amp;sheet=A0&amp;row=334&amp;col=6&amp;number=24020000000&amp;sourceID=14","24020000000")</f>
        <v>24020000000</v>
      </c>
      <c r="G334" s="4" t="str">
        <f>HYPERLINK("http://141.218.60.56/~jnz1568/getInfo.php?workbook=12_05.xlsx&amp;sheet=A0&amp;row=334&amp;col=7&amp;number=0&amp;sourceID=14","0")</f>
        <v>0</v>
      </c>
    </row>
    <row r="335" spans="1:7">
      <c r="A335" s="3">
        <v>12</v>
      </c>
      <c r="B335" s="3">
        <v>5</v>
      </c>
      <c r="C335" s="3">
        <v>64</v>
      </c>
      <c r="D335" s="3">
        <v>13</v>
      </c>
      <c r="E335" s="3">
        <v>-72.323</v>
      </c>
      <c r="F335" s="4" t="str">
        <f>HYPERLINK("http://141.218.60.56/~jnz1568/getInfo.php?workbook=12_05.xlsx&amp;sheet=A0&amp;row=335&amp;col=6&amp;number=7200000000&amp;sourceID=14","7200000000")</f>
        <v>7200000000</v>
      </c>
      <c r="G335" s="4" t="str">
        <f>HYPERLINK("http://141.218.60.56/~jnz1568/getInfo.php?workbook=12_05.xlsx&amp;sheet=A0&amp;row=335&amp;col=7&amp;number=0&amp;sourceID=14","0")</f>
        <v>0</v>
      </c>
    </row>
    <row r="336" spans="1:7">
      <c r="A336" s="3">
        <v>12</v>
      </c>
      <c r="B336" s="3">
        <v>5</v>
      </c>
      <c r="C336" s="3">
        <v>65</v>
      </c>
      <c r="D336" s="3">
        <v>13</v>
      </c>
      <c r="E336" s="3">
        <v>-106.582</v>
      </c>
      <c r="F336" s="4" t="str">
        <f>HYPERLINK("http://141.218.60.56/~jnz1568/getInfo.php?workbook=12_05.xlsx&amp;sheet=A0&amp;row=336&amp;col=6&amp;number=1163&amp;sourceID=14","1163")</f>
        <v>1163</v>
      </c>
      <c r="G336" s="4" t="str">
        <f>HYPERLINK("http://141.218.60.56/~jnz1568/getInfo.php?workbook=12_05.xlsx&amp;sheet=A0&amp;row=336&amp;col=7&amp;number=0&amp;sourceID=14","0")</f>
        <v>0</v>
      </c>
    </row>
    <row r="337" spans="1:7">
      <c r="A337" s="3">
        <v>12</v>
      </c>
      <c r="B337" s="3">
        <v>5</v>
      </c>
      <c r="C337" s="3">
        <v>66</v>
      </c>
      <c r="D337" s="3">
        <v>13</v>
      </c>
      <c r="E337" s="3">
        <v>-82.038</v>
      </c>
      <c r="F337" s="4" t="str">
        <f>HYPERLINK("http://141.218.60.56/~jnz1568/getInfo.php?workbook=12_05.xlsx&amp;sheet=A0&amp;row=337&amp;col=6&amp;number=115800000&amp;sourceID=14","115800000")</f>
        <v>115800000</v>
      </c>
      <c r="G337" s="4" t="str">
        <f>HYPERLINK("http://141.218.60.56/~jnz1568/getInfo.php?workbook=12_05.xlsx&amp;sheet=A0&amp;row=337&amp;col=7&amp;number=0&amp;sourceID=14","0")</f>
        <v>0</v>
      </c>
    </row>
    <row r="338" spans="1:7">
      <c r="A338" s="3">
        <v>12</v>
      </c>
      <c r="B338" s="3">
        <v>5</v>
      </c>
      <c r="C338" s="3">
        <v>67</v>
      </c>
      <c r="D338" s="3">
        <v>13</v>
      </c>
      <c r="E338" s="3">
        <v>-81.27</v>
      </c>
      <c r="F338" s="4" t="str">
        <f>HYPERLINK("http://141.218.60.56/~jnz1568/getInfo.php?workbook=12_05.xlsx&amp;sheet=A0&amp;row=338&amp;col=6&amp;number=486400000&amp;sourceID=14","486400000")</f>
        <v>486400000</v>
      </c>
      <c r="G338" s="4" t="str">
        <f>HYPERLINK("http://141.218.60.56/~jnz1568/getInfo.php?workbook=12_05.xlsx&amp;sheet=A0&amp;row=338&amp;col=7&amp;number=0&amp;sourceID=14","0")</f>
        <v>0</v>
      </c>
    </row>
    <row r="339" spans="1:7">
      <c r="A339" s="3">
        <v>12</v>
      </c>
      <c r="B339" s="3">
        <v>5</v>
      </c>
      <c r="C339" s="3">
        <v>68</v>
      </c>
      <c r="D339" s="3">
        <v>13</v>
      </c>
      <c r="E339" s="3">
        <v>80.889</v>
      </c>
      <c r="F339" s="4" t="str">
        <f>HYPERLINK("http://141.218.60.56/~jnz1568/getInfo.php?workbook=12_05.xlsx&amp;sheet=A0&amp;row=339&amp;col=6&amp;number=65010000000&amp;sourceID=14","65010000000")</f>
        <v>65010000000</v>
      </c>
      <c r="G339" s="4" t="str">
        <f>HYPERLINK("http://141.218.60.56/~jnz1568/getInfo.php?workbook=12_05.xlsx&amp;sheet=A0&amp;row=339&amp;col=7&amp;number=0&amp;sourceID=14","0")</f>
        <v>0</v>
      </c>
    </row>
    <row r="340" spans="1:7">
      <c r="A340" s="3">
        <v>12</v>
      </c>
      <c r="B340" s="3">
        <v>5</v>
      </c>
      <c r="C340" s="3">
        <v>69</v>
      </c>
      <c r="D340" s="3">
        <v>13</v>
      </c>
      <c r="E340" s="3">
        <v>-78.395</v>
      </c>
      <c r="F340" s="4" t="str">
        <f>HYPERLINK("http://141.218.60.56/~jnz1568/getInfo.php?workbook=12_05.xlsx&amp;sheet=A0&amp;row=340&amp;col=6&amp;number=1127000000&amp;sourceID=14","1127000000")</f>
        <v>1127000000</v>
      </c>
      <c r="G340" s="4" t="str">
        <f>HYPERLINK("http://141.218.60.56/~jnz1568/getInfo.php?workbook=12_05.xlsx&amp;sheet=A0&amp;row=340&amp;col=7&amp;number=0&amp;sourceID=14","0")</f>
        <v>0</v>
      </c>
    </row>
    <row r="341" spans="1:7">
      <c r="A341" s="3">
        <v>12</v>
      </c>
      <c r="B341" s="3">
        <v>5</v>
      </c>
      <c r="C341" s="3">
        <v>70</v>
      </c>
      <c r="D341" s="3">
        <v>13</v>
      </c>
      <c r="E341" s="3">
        <v>77.738</v>
      </c>
      <c r="F341" s="4" t="str">
        <f>HYPERLINK("http://141.218.60.56/~jnz1568/getInfo.php?workbook=12_05.xlsx&amp;sheet=A0&amp;row=341&amp;col=6&amp;number=740400000000&amp;sourceID=14","740400000000")</f>
        <v>740400000000</v>
      </c>
      <c r="G341" s="4" t="str">
        <f>HYPERLINK("http://141.218.60.56/~jnz1568/getInfo.php?workbook=12_05.xlsx&amp;sheet=A0&amp;row=341&amp;col=7&amp;number=0&amp;sourceID=14","0")</f>
        <v>0</v>
      </c>
    </row>
    <row r="342" spans="1:7">
      <c r="A342" s="3">
        <v>12</v>
      </c>
      <c r="B342" s="3">
        <v>5</v>
      </c>
      <c r="C342" s="3">
        <v>73</v>
      </c>
      <c r="D342" s="3">
        <v>3</v>
      </c>
      <c r="E342" s="3">
        <v>-88.167</v>
      </c>
      <c r="F342" s="4" t="str">
        <f>HYPERLINK("http://141.218.60.56/~jnz1568/getInfo.php?workbook=12_05.xlsx&amp;sheet=A0&amp;row=342&amp;col=6&amp;number=96370&amp;sourceID=14","96370")</f>
        <v>96370</v>
      </c>
      <c r="G342" s="4" t="str">
        <f>HYPERLINK("http://141.218.60.56/~jnz1568/getInfo.php?workbook=12_05.xlsx&amp;sheet=A0&amp;row=342&amp;col=7&amp;number=0&amp;sourceID=14","0")</f>
        <v>0</v>
      </c>
    </row>
    <row r="343" spans="1:7">
      <c r="A343" s="3">
        <v>12</v>
      </c>
      <c r="B343" s="3">
        <v>5</v>
      </c>
      <c r="C343" s="3">
        <v>74</v>
      </c>
      <c r="D343" s="3">
        <v>3</v>
      </c>
      <c r="E343" s="3">
        <v>81.873</v>
      </c>
      <c r="F343" s="4" t="str">
        <f>HYPERLINK("http://141.218.60.56/~jnz1568/getInfo.php?workbook=12_05.xlsx&amp;sheet=A0&amp;row=343&amp;col=6&amp;number=11480000000&amp;sourceID=14","11480000000")</f>
        <v>11480000000</v>
      </c>
      <c r="G343" s="4" t="str">
        <f>HYPERLINK("http://141.218.60.56/~jnz1568/getInfo.php?workbook=12_05.xlsx&amp;sheet=A0&amp;row=343&amp;col=7&amp;number=0&amp;sourceID=14","0")</f>
        <v>0</v>
      </c>
    </row>
    <row r="344" spans="1:7">
      <c r="A344" s="3">
        <v>12</v>
      </c>
      <c r="B344" s="3">
        <v>5</v>
      </c>
      <c r="C344" s="3">
        <v>75</v>
      </c>
      <c r="D344" s="3">
        <v>3</v>
      </c>
      <c r="E344" s="3">
        <v>79.906</v>
      </c>
      <c r="F344" s="4" t="str">
        <f>HYPERLINK("http://141.218.60.56/~jnz1568/getInfo.php?workbook=12_05.xlsx&amp;sheet=A0&amp;row=344&amp;col=6&amp;number=1132000&amp;sourceID=14","1132000")</f>
        <v>1132000</v>
      </c>
      <c r="G344" s="4" t="str">
        <f>HYPERLINK("http://141.218.60.56/~jnz1568/getInfo.php?workbook=12_05.xlsx&amp;sheet=A0&amp;row=344&amp;col=7&amp;number=0&amp;sourceID=14","0")</f>
        <v>0</v>
      </c>
    </row>
    <row r="345" spans="1:7">
      <c r="A345" s="3">
        <v>12</v>
      </c>
      <c r="B345" s="3">
        <v>5</v>
      </c>
      <c r="C345" s="3">
        <v>76</v>
      </c>
      <c r="D345" s="3">
        <v>3</v>
      </c>
      <c r="E345" s="3">
        <v>-74.842</v>
      </c>
      <c r="F345" s="4" t="str">
        <f>HYPERLINK("http://141.218.60.56/~jnz1568/getInfo.php?workbook=12_05.xlsx&amp;sheet=A0&amp;row=345&amp;col=6&amp;number=522700000000&amp;sourceID=14","522700000000")</f>
        <v>522700000000</v>
      </c>
      <c r="G345" s="4" t="str">
        <f>HYPERLINK("http://141.218.60.56/~jnz1568/getInfo.php?workbook=12_05.xlsx&amp;sheet=A0&amp;row=345&amp;col=7&amp;number=0&amp;sourceID=14","0")</f>
        <v>0</v>
      </c>
    </row>
    <row r="346" spans="1:7">
      <c r="A346" s="3">
        <v>12</v>
      </c>
      <c r="B346" s="3">
        <v>5</v>
      </c>
      <c r="C346" s="3">
        <v>77</v>
      </c>
      <c r="D346" s="3">
        <v>3</v>
      </c>
      <c r="E346" s="3">
        <v>73.805</v>
      </c>
      <c r="F346" s="4" t="str">
        <f>HYPERLINK("http://141.218.60.56/~jnz1568/getInfo.php?workbook=12_05.xlsx&amp;sheet=A0&amp;row=346&amp;col=6&amp;number=30950000000&amp;sourceID=14","30950000000")</f>
        <v>30950000000</v>
      </c>
      <c r="G346" s="4" t="str">
        <f>HYPERLINK("http://141.218.60.56/~jnz1568/getInfo.php?workbook=12_05.xlsx&amp;sheet=A0&amp;row=346&amp;col=7&amp;number=0&amp;sourceID=14","0")</f>
        <v>0</v>
      </c>
    </row>
    <row r="347" spans="1:7">
      <c r="A347" s="3">
        <v>12</v>
      </c>
      <c r="B347" s="3">
        <v>5</v>
      </c>
      <c r="C347" s="3">
        <v>78</v>
      </c>
      <c r="D347" s="3">
        <v>3</v>
      </c>
      <c r="E347" s="3">
        <v>73.693</v>
      </c>
      <c r="F347" s="4" t="str">
        <f>HYPERLINK("http://141.218.60.56/~jnz1568/getInfo.php?workbook=12_05.xlsx&amp;sheet=A0&amp;row=347&amp;col=6&amp;number=28710000&amp;sourceID=14","28710000")</f>
        <v>28710000</v>
      </c>
      <c r="G347" s="4" t="str">
        <f>HYPERLINK("http://141.218.60.56/~jnz1568/getInfo.php?workbook=12_05.xlsx&amp;sheet=A0&amp;row=347&amp;col=7&amp;number=0&amp;sourceID=14","0")</f>
        <v>0</v>
      </c>
    </row>
    <row r="348" spans="1:7">
      <c r="A348" s="3">
        <v>12</v>
      </c>
      <c r="B348" s="3">
        <v>5</v>
      </c>
      <c r="C348" s="3">
        <v>79</v>
      </c>
      <c r="D348" s="3">
        <v>3</v>
      </c>
      <c r="E348" s="3">
        <v>72.24</v>
      </c>
      <c r="F348" s="4" t="str">
        <f>HYPERLINK("http://141.218.60.56/~jnz1568/getInfo.php?workbook=12_05.xlsx&amp;sheet=A0&amp;row=348&amp;col=6&amp;number=109700000&amp;sourceID=14","109700000")</f>
        <v>109700000</v>
      </c>
      <c r="G348" s="4" t="str">
        <f>HYPERLINK("http://141.218.60.56/~jnz1568/getInfo.php?workbook=12_05.xlsx&amp;sheet=A0&amp;row=348&amp;col=7&amp;number=0&amp;sourceID=14","0")</f>
        <v>0</v>
      </c>
    </row>
    <row r="349" spans="1:7">
      <c r="A349" s="3">
        <v>12</v>
      </c>
      <c r="B349" s="3">
        <v>5</v>
      </c>
      <c r="C349" s="3">
        <v>80</v>
      </c>
      <c r="D349" s="3">
        <v>3</v>
      </c>
      <c r="E349" s="3">
        <v>67.536</v>
      </c>
      <c r="F349" s="4" t="str">
        <f>HYPERLINK("http://141.218.60.56/~jnz1568/getInfo.php?workbook=12_05.xlsx&amp;sheet=A0&amp;row=349&amp;col=6&amp;number=10260000&amp;sourceID=14","10260000")</f>
        <v>10260000</v>
      </c>
      <c r="G349" s="4" t="str">
        <f>HYPERLINK("http://141.218.60.56/~jnz1568/getInfo.php?workbook=12_05.xlsx&amp;sheet=A0&amp;row=349&amp;col=7&amp;number=0&amp;sourceID=14","0")</f>
        <v>0</v>
      </c>
    </row>
    <row r="350" spans="1:7">
      <c r="A350" s="3">
        <v>12</v>
      </c>
      <c r="B350" s="3">
        <v>5</v>
      </c>
      <c r="C350" s="3">
        <v>81</v>
      </c>
      <c r="D350" s="3">
        <v>3</v>
      </c>
      <c r="E350" s="3">
        <v>-66.905</v>
      </c>
      <c r="F350" s="4" t="str">
        <f>HYPERLINK("http://141.218.60.56/~jnz1568/getInfo.php?workbook=12_05.xlsx&amp;sheet=A0&amp;row=350&amp;col=6&amp;number=90500000&amp;sourceID=14","90500000")</f>
        <v>90500000</v>
      </c>
      <c r="G350" s="4" t="str">
        <f>HYPERLINK("http://141.218.60.56/~jnz1568/getInfo.php?workbook=12_05.xlsx&amp;sheet=A0&amp;row=350&amp;col=7&amp;number=0&amp;sourceID=14","0")</f>
        <v>0</v>
      </c>
    </row>
    <row r="351" spans="1:7">
      <c r="A351" s="3">
        <v>12</v>
      </c>
      <c r="B351" s="3">
        <v>5</v>
      </c>
      <c r="C351" s="3">
        <v>82</v>
      </c>
      <c r="D351" s="3">
        <v>3</v>
      </c>
      <c r="E351" s="3">
        <v>-66.471</v>
      </c>
      <c r="F351" s="4" t="str">
        <f>HYPERLINK("http://141.218.60.56/~jnz1568/getInfo.php?workbook=12_05.xlsx&amp;sheet=A0&amp;row=351&amp;col=6&amp;number=44610000000&amp;sourceID=14","44610000000")</f>
        <v>44610000000</v>
      </c>
      <c r="G351" s="4" t="str">
        <f>HYPERLINK("http://141.218.60.56/~jnz1568/getInfo.php?workbook=12_05.xlsx&amp;sheet=A0&amp;row=351&amp;col=7&amp;number=0&amp;sourceID=14","0")</f>
        <v>0</v>
      </c>
    </row>
    <row r="352" spans="1:7">
      <c r="A352" s="3">
        <v>12</v>
      </c>
      <c r="B352" s="3">
        <v>5</v>
      </c>
      <c r="C352" s="3">
        <v>83</v>
      </c>
      <c r="D352" s="3">
        <v>3</v>
      </c>
      <c r="E352" s="3">
        <v>-66.095</v>
      </c>
      <c r="F352" s="4" t="str">
        <f>HYPERLINK("http://141.218.60.56/~jnz1568/getInfo.php?workbook=12_05.xlsx&amp;sheet=A0&amp;row=352&amp;col=6&amp;number=9440000000&amp;sourceID=14","9440000000")</f>
        <v>9440000000</v>
      </c>
      <c r="G352" s="4" t="str">
        <f>HYPERLINK("http://141.218.60.56/~jnz1568/getInfo.php?workbook=12_05.xlsx&amp;sheet=A0&amp;row=352&amp;col=7&amp;number=0&amp;sourceID=14","0")</f>
        <v>0</v>
      </c>
    </row>
    <row r="353" spans="1:7">
      <c r="A353" s="3">
        <v>12</v>
      </c>
      <c r="B353" s="3">
        <v>5</v>
      </c>
      <c r="C353" s="3">
        <v>84</v>
      </c>
      <c r="D353" s="3">
        <v>3</v>
      </c>
      <c r="E353" s="3">
        <v>-65.019</v>
      </c>
      <c r="F353" s="4" t="str">
        <f>HYPERLINK("http://141.218.60.56/~jnz1568/getInfo.php?workbook=12_05.xlsx&amp;sheet=A0&amp;row=353&amp;col=6&amp;number=23340000&amp;sourceID=14","23340000")</f>
        <v>23340000</v>
      </c>
      <c r="G353" s="4" t="str">
        <f>HYPERLINK("http://141.218.60.56/~jnz1568/getInfo.php?workbook=12_05.xlsx&amp;sheet=A0&amp;row=353&amp;col=7&amp;number=0&amp;sourceID=14","0")</f>
        <v>0</v>
      </c>
    </row>
    <row r="354" spans="1:7">
      <c r="A354" s="3">
        <v>12</v>
      </c>
      <c r="B354" s="3">
        <v>5</v>
      </c>
      <c r="C354" s="3">
        <v>85</v>
      </c>
      <c r="D354" s="3">
        <v>3</v>
      </c>
      <c r="E354" s="3">
        <v>-62.74</v>
      </c>
      <c r="F354" s="4" t="str">
        <f>HYPERLINK("http://141.218.60.56/~jnz1568/getInfo.php?workbook=12_05.xlsx&amp;sheet=A0&amp;row=354&amp;col=6&amp;number=53010&amp;sourceID=14","53010")</f>
        <v>53010</v>
      </c>
      <c r="G354" s="4" t="str">
        <f>HYPERLINK("http://141.218.60.56/~jnz1568/getInfo.php?workbook=12_05.xlsx&amp;sheet=A0&amp;row=354&amp;col=7&amp;number=0&amp;sourceID=14","0")</f>
        <v>0</v>
      </c>
    </row>
    <row r="355" spans="1:7">
      <c r="A355" s="3">
        <v>12</v>
      </c>
      <c r="B355" s="3">
        <v>5</v>
      </c>
      <c r="C355" s="3">
        <v>86</v>
      </c>
      <c r="D355" s="3">
        <v>3</v>
      </c>
      <c r="E355" s="3">
        <v>-59.986</v>
      </c>
      <c r="F355" s="4" t="str">
        <f>HYPERLINK("http://141.218.60.56/~jnz1568/getInfo.php?workbook=12_05.xlsx&amp;sheet=A0&amp;row=355&amp;col=6&amp;number=527600&amp;sourceID=14","527600")</f>
        <v>527600</v>
      </c>
      <c r="G355" s="4" t="str">
        <f>HYPERLINK("http://141.218.60.56/~jnz1568/getInfo.php?workbook=12_05.xlsx&amp;sheet=A0&amp;row=355&amp;col=7&amp;number=0&amp;sourceID=14","0")</f>
        <v>0</v>
      </c>
    </row>
    <row r="356" spans="1:7">
      <c r="A356" s="3">
        <v>12</v>
      </c>
      <c r="B356" s="3">
        <v>5</v>
      </c>
      <c r="C356" s="3">
        <v>73</v>
      </c>
      <c r="D356" s="3">
        <v>8</v>
      </c>
      <c r="E356" s="3">
        <v>-103.54</v>
      </c>
      <c r="F356" s="4" t="str">
        <f>HYPERLINK("http://141.218.60.56/~jnz1568/getInfo.php?workbook=12_05.xlsx&amp;sheet=A0&amp;row=356&amp;col=6&amp;number=76220000&amp;sourceID=14","76220000")</f>
        <v>76220000</v>
      </c>
      <c r="G356" s="4" t="str">
        <f>HYPERLINK("http://141.218.60.56/~jnz1568/getInfo.php?workbook=12_05.xlsx&amp;sheet=A0&amp;row=356&amp;col=7&amp;number=0&amp;sourceID=14","0")</f>
        <v>0</v>
      </c>
    </row>
    <row r="357" spans="1:7">
      <c r="A357" s="3">
        <v>12</v>
      </c>
      <c r="B357" s="3">
        <v>5</v>
      </c>
      <c r="C357" s="3">
        <v>74</v>
      </c>
      <c r="D357" s="3">
        <v>8</v>
      </c>
      <c r="E357" s="3">
        <v>94.959</v>
      </c>
      <c r="F357" s="4" t="str">
        <f>HYPERLINK("http://141.218.60.56/~jnz1568/getInfo.php?workbook=12_05.xlsx&amp;sheet=A0&amp;row=357&amp;col=6&amp;number=394800&amp;sourceID=14","394800")</f>
        <v>394800</v>
      </c>
      <c r="G357" s="4" t="str">
        <f>HYPERLINK("http://141.218.60.56/~jnz1568/getInfo.php?workbook=12_05.xlsx&amp;sheet=A0&amp;row=357&amp;col=7&amp;number=0&amp;sourceID=14","0")</f>
        <v>0</v>
      </c>
    </row>
    <row r="358" spans="1:7">
      <c r="A358" s="3">
        <v>12</v>
      </c>
      <c r="B358" s="3">
        <v>5</v>
      </c>
      <c r="C358" s="3">
        <v>75</v>
      </c>
      <c r="D358" s="3">
        <v>8</v>
      </c>
      <c r="E358" s="3">
        <v>92.324</v>
      </c>
      <c r="F358" s="4" t="str">
        <f>HYPERLINK("http://141.218.60.56/~jnz1568/getInfo.php?workbook=12_05.xlsx&amp;sheet=A0&amp;row=358&amp;col=6&amp;number=7208000000&amp;sourceID=14","7208000000")</f>
        <v>7208000000</v>
      </c>
      <c r="G358" s="4" t="str">
        <f>HYPERLINK("http://141.218.60.56/~jnz1568/getInfo.php?workbook=12_05.xlsx&amp;sheet=A0&amp;row=358&amp;col=7&amp;number=0&amp;sourceID=14","0")</f>
        <v>0</v>
      </c>
    </row>
    <row r="359" spans="1:7">
      <c r="A359" s="3">
        <v>12</v>
      </c>
      <c r="B359" s="3">
        <v>5</v>
      </c>
      <c r="C359" s="3">
        <v>76</v>
      </c>
      <c r="D359" s="3">
        <v>8</v>
      </c>
      <c r="E359" s="3">
        <v>-85.634</v>
      </c>
      <c r="F359" s="4" t="str">
        <f>HYPERLINK("http://141.218.60.56/~jnz1568/getInfo.php?workbook=12_05.xlsx&amp;sheet=A0&amp;row=359&amp;col=6&amp;number=31530000&amp;sourceID=14","31530000")</f>
        <v>31530000</v>
      </c>
      <c r="G359" s="4" t="str">
        <f>HYPERLINK("http://141.218.60.56/~jnz1568/getInfo.php?workbook=12_05.xlsx&amp;sheet=A0&amp;row=359&amp;col=7&amp;number=0&amp;sourceID=14","0")</f>
        <v>0</v>
      </c>
    </row>
    <row r="360" spans="1:7">
      <c r="A360" s="3">
        <v>12</v>
      </c>
      <c r="B360" s="3">
        <v>5</v>
      </c>
      <c r="C360" s="3">
        <v>77</v>
      </c>
      <c r="D360" s="3">
        <v>8</v>
      </c>
      <c r="E360" s="3">
        <v>84.274</v>
      </c>
      <c r="F360" s="4" t="str">
        <f>HYPERLINK("http://141.218.60.56/~jnz1568/getInfo.php?workbook=12_05.xlsx&amp;sheet=A0&amp;row=360&amp;col=6&amp;number=5236000&amp;sourceID=14","5236000")</f>
        <v>5236000</v>
      </c>
      <c r="G360" s="4" t="str">
        <f>HYPERLINK("http://141.218.60.56/~jnz1568/getInfo.php?workbook=12_05.xlsx&amp;sheet=A0&amp;row=360&amp;col=7&amp;number=0&amp;sourceID=14","0")</f>
        <v>0</v>
      </c>
    </row>
    <row r="361" spans="1:7">
      <c r="A361" s="3">
        <v>12</v>
      </c>
      <c r="B361" s="3">
        <v>5</v>
      </c>
      <c r="C361" s="3">
        <v>78</v>
      </c>
      <c r="D361" s="3">
        <v>8</v>
      </c>
      <c r="E361" s="3">
        <v>84.128</v>
      </c>
      <c r="F361" s="4" t="str">
        <f>HYPERLINK("http://141.218.60.56/~jnz1568/getInfo.php?workbook=12_05.xlsx&amp;sheet=A0&amp;row=361&amp;col=6&amp;number=28450000000&amp;sourceID=14","28450000000")</f>
        <v>28450000000</v>
      </c>
      <c r="G361" s="4" t="str">
        <f>HYPERLINK("http://141.218.60.56/~jnz1568/getInfo.php?workbook=12_05.xlsx&amp;sheet=A0&amp;row=361&amp;col=7&amp;number=0&amp;sourceID=14","0")</f>
        <v>0</v>
      </c>
    </row>
    <row r="362" spans="1:7">
      <c r="A362" s="3">
        <v>12</v>
      </c>
      <c r="B362" s="3">
        <v>5</v>
      </c>
      <c r="C362" s="3">
        <v>79</v>
      </c>
      <c r="D362" s="3">
        <v>8</v>
      </c>
      <c r="E362" s="3">
        <v>82.24</v>
      </c>
      <c r="F362" s="4" t="str">
        <f>HYPERLINK("http://141.218.60.56/~jnz1568/getInfo.php?workbook=12_05.xlsx&amp;sheet=A0&amp;row=362&amp;col=6&amp;number=190400000000&amp;sourceID=14","190400000000")</f>
        <v>190400000000</v>
      </c>
      <c r="G362" s="4" t="str">
        <f>HYPERLINK("http://141.218.60.56/~jnz1568/getInfo.php?workbook=12_05.xlsx&amp;sheet=A0&amp;row=362&amp;col=7&amp;number=0&amp;sourceID=14","0")</f>
        <v>0</v>
      </c>
    </row>
    <row r="363" spans="1:7">
      <c r="A363" s="3">
        <v>12</v>
      </c>
      <c r="B363" s="3">
        <v>5</v>
      </c>
      <c r="C363" s="3">
        <v>80</v>
      </c>
      <c r="D363" s="3">
        <v>8</v>
      </c>
      <c r="E363" s="3">
        <v>76.198</v>
      </c>
      <c r="F363" s="4" t="str">
        <f>HYPERLINK("http://141.218.60.56/~jnz1568/getInfo.php?workbook=12_05.xlsx&amp;sheet=A0&amp;row=363&amp;col=6&amp;number=142600000000&amp;sourceID=14","142600000000")</f>
        <v>142600000000</v>
      </c>
      <c r="G363" s="4" t="str">
        <f>HYPERLINK("http://141.218.60.56/~jnz1568/getInfo.php?workbook=12_05.xlsx&amp;sheet=A0&amp;row=363&amp;col=7&amp;number=0&amp;sourceID=14","0")</f>
        <v>0</v>
      </c>
    </row>
    <row r="364" spans="1:7">
      <c r="A364" s="3">
        <v>12</v>
      </c>
      <c r="B364" s="3">
        <v>5</v>
      </c>
      <c r="C364" s="3">
        <v>81</v>
      </c>
      <c r="D364" s="3">
        <v>8</v>
      </c>
      <c r="E364" s="3">
        <v>-75.4</v>
      </c>
      <c r="F364" s="4" t="str">
        <f>HYPERLINK("http://141.218.60.56/~jnz1568/getInfo.php?workbook=12_05.xlsx&amp;sheet=A0&amp;row=364&amp;col=6&amp;number=315700000&amp;sourceID=14","315700000")</f>
        <v>315700000</v>
      </c>
      <c r="G364" s="4" t="str">
        <f>HYPERLINK("http://141.218.60.56/~jnz1568/getInfo.php?workbook=12_05.xlsx&amp;sheet=A0&amp;row=364&amp;col=7&amp;number=0&amp;sourceID=14","0")</f>
        <v>0</v>
      </c>
    </row>
    <row r="365" spans="1:7">
      <c r="A365" s="3">
        <v>12</v>
      </c>
      <c r="B365" s="3">
        <v>5</v>
      </c>
      <c r="C365" s="3">
        <v>82</v>
      </c>
      <c r="D365" s="3">
        <v>8</v>
      </c>
      <c r="E365" s="3">
        <v>-74.849</v>
      </c>
      <c r="F365" s="4" t="str">
        <f>HYPERLINK("http://141.218.60.56/~jnz1568/getInfo.php?workbook=12_05.xlsx&amp;sheet=A0&amp;row=365&amp;col=6&amp;number=43820000&amp;sourceID=14","43820000")</f>
        <v>43820000</v>
      </c>
      <c r="G365" s="4" t="str">
        <f>HYPERLINK("http://141.218.60.56/~jnz1568/getInfo.php?workbook=12_05.xlsx&amp;sheet=A0&amp;row=365&amp;col=7&amp;number=0&amp;sourceID=14","0")</f>
        <v>0</v>
      </c>
    </row>
    <row r="366" spans="1:7">
      <c r="A366" s="3">
        <v>12</v>
      </c>
      <c r="B366" s="3">
        <v>5</v>
      </c>
      <c r="C366" s="3">
        <v>83</v>
      </c>
      <c r="D366" s="3">
        <v>8</v>
      </c>
      <c r="E366" s="3">
        <v>-74.373</v>
      </c>
      <c r="F366" s="4" t="str">
        <f>HYPERLINK("http://141.218.60.56/~jnz1568/getInfo.php?workbook=12_05.xlsx&amp;sheet=A0&amp;row=366&amp;col=6&amp;number=9386000&amp;sourceID=14","9386000")</f>
        <v>9386000</v>
      </c>
      <c r="G366" s="4" t="str">
        <f>HYPERLINK("http://141.218.60.56/~jnz1568/getInfo.php?workbook=12_05.xlsx&amp;sheet=A0&amp;row=366&amp;col=7&amp;number=0&amp;sourceID=14","0")</f>
        <v>0</v>
      </c>
    </row>
    <row r="367" spans="1:7">
      <c r="A367" s="3">
        <v>12</v>
      </c>
      <c r="B367" s="3">
        <v>5</v>
      </c>
      <c r="C367" s="3">
        <v>84</v>
      </c>
      <c r="D367" s="3">
        <v>8</v>
      </c>
      <c r="E367" s="3">
        <v>-73.013</v>
      </c>
      <c r="F367" s="4" t="str">
        <f>HYPERLINK("http://141.218.60.56/~jnz1568/getInfo.php?workbook=12_05.xlsx&amp;sheet=A0&amp;row=367&amp;col=6&amp;number=28540000&amp;sourceID=14","28540000")</f>
        <v>28540000</v>
      </c>
      <c r="G367" s="4" t="str">
        <f>HYPERLINK("http://141.218.60.56/~jnz1568/getInfo.php?workbook=12_05.xlsx&amp;sheet=A0&amp;row=367&amp;col=7&amp;number=0&amp;sourceID=14","0")</f>
        <v>0</v>
      </c>
    </row>
    <row r="368" spans="1:7">
      <c r="A368" s="3">
        <v>12</v>
      </c>
      <c r="B368" s="3">
        <v>5</v>
      </c>
      <c r="C368" s="3">
        <v>85</v>
      </c>
      <c r="D368" s="3">
        <v>8</v>
      </c>
      <c r="E368" s="3">
        <v>-70.151</v>
      </c>
      <c r="F368" s="4" t="str">
        <f>HYPERLINK("http://141.218.60.56/~jnz1568/getInfo.php?workbook=12_05.xlsx&amp;sheet=A0&amp;row=368&amp;col=6&amp;number=1080000000&amp;sourceID=14","1080000000")</f>
        <v>1080000000</v>
      </c>
      <c r="G368" s="4" t="str">
        <f>HYPERLINK("http://141.218.60.56/~jnz1568/getInfo.php?workbook=12_05.xlsx&amp;sheet=A0&amp;row=368&amp;col=7&amp;number=0&amp;sourceID=14","0")</f>
        <v>0</v>
      </c>
    </row>
    <row r="369" spans="1:7">
      <c r="A369" s="3">
        <v>12</v>
      </c>
      <c r="B369" s="3">
        <v>5</v>
      </c>
      <c r="C369" s="3">
        <v>86</v>
      </c>
      <c r="D369" s="3">
        <v>8</v>
      </c>
      <c r="E369" s="3">
        <v>-66.726</v>
      </c>
      <c r="F369" s="4" t="str">
        <f>HYPERLINK("http://141.218.60.56/~jnz1568/getInfo.php?workbook=12_05.xlsx&amp;sheet=A0&amp;row=369&amp;col=6&amp;number=63630000000&amp;sourceID=14","63630000000")</f>
        <v>63630000000</v>
      </c>
      <c r="G369" s="4" t="str">
        <f>HYPERLINK("http://141.218.60.56/~jnz1568/getInfo.php?workbook=12_05.xlsx&amp;sheet=A0&amp;row=369&amp;col=7&amp;number=0&amp;sourceID=14","0")</f>
        <v>0</v>
      </c>
    </row>
    <row r="370" spans="1:7">
      <c r="A370" s="3">
        <v>12</v>
      </c>
      <c r="B370" s="3">
        <v>5</v>
      </c>
      <c r="C370" s="3">
        <v>73</v>
      </c>
      <c r="D370" s="3">
        <v>9</v>
      </c>
      <c r="E370" s="3">
        <v>-105.778</v>
      </c>
      <c r="F370" s="4" t="str">
        <f>HYPERLINK("http://141.218.60.56/~jnz1568/getInfo.php?workbook=12_05.xlsx&amp;sheet=A0&amp;row=370&amp;col=6&amp;number=261700000&amp;sourceID=14","261700000")</f>
        <v>261700000</v>
      </c>
      <c r="G370" s="4" t="str">
        <f>HYPERLINK("http://141.218.60.56/~jnz1568/getInfo.php?workbook=12_05.xlsx&amp;sheet=A0&amp;row=370&amp;col=7&amp;number=0&amp;sourceID=14","0")</f>
        <v>0</v>
      </c>
    </row>
    <row r="371" spans="1:7">
      <c r="A371" s="3">
        <v>12</v>
      </c>
      <c r="B371" s="3">
        <v>5</v>
      </c>
      <c r="C371" s="3">
        <v>74</v>
      </c>
      <c r="D371" s="3">
        <v>9</v>
      </c>
      <c r="E371" s="3">
        <v>96.838</v>
      </c>
      <c r="F371" s="4" t="str">
        <f>HYPERLINK("http://141.218.60.56/~jnz1568/getInfo.php?workbook=12_05.xlsx&amp;sheet=A0&amp;row=371&amp;col=6&amp;number=162800&amp;sourceID=14","162800")</f>
        <v>162800</v>
      </c>
      <c r="G371" s="4" t="str">
        <f>HYPERLINK("http://141.218.60.56/~jnz1568/getInfo.php?workbook=12_05.xlsx&amp;sheet=A0&amp;row=371&amp;col=7&amp;number=0&amp;sourceID=14","0")</f>
        <v>0</v>
      </c>
    </row>
    <row r="372" spans="1:7">
      <c r="A372" s="3">
        <v>12</v>
      </c>
      <c r="B372" s="3">
        <v>5</v>
      </c>
      <c r="C372" s="3">
        <v>75</v>
      </c>
      <c r="D372" s="3">
        <v>9</v>
      </c>
      <c r="E372" s="3">
        <v>94.099</v>
      </c>
      <c r="F372" s="4" t="str">
        <f>HYPERLINK("http://141.218.60.56/~jnz1568/getInfo.php?workbook=12_05.xlsx&amp;sheet=A0&amp;row=372&amp;col=6&amp;number=1904000000&amp;sourceID=14","1904000000")</f>
        <v>1904000000</v>
      </c>
      <c r="G372" s="4" t="str">
        <f>HYPERLINK("http://141.218.60.56/~jnz1568/getInfo.php?workbook=12_05.xlsx&amp;sheet=A0&amp;row=372&amp;col=7&amp;number=0&amp;sourceID=14","0")</f>
        <v>0</v>
      </c>
    </row>
    <row r="373" spans="1:7">
      <c r="A373" s="3">
        <v>12</v>
      </c>
      <c r="B373" s="3">
        <v>5</v>
      </c>
      <c r="C373" s="3">
        <v>76</v>
      </c>
      <c r="D373" s="3">
        <v>9</v>
      </c>
      <c r="E373" s="3">
        <v>-87.159</v>
      </c>
      <c r="F373" s="4" t="str">
        <f>HYPERLINK("http://141.218.60.56/~jnz1568/getInfo.php?workbook=12_05.xlsx&amp;sheet=A0&amp;row=373&amp;col=6&amp;number=10730000&amp;sourceID=14","10730000")</f>
        <v>10730000</v>
      </c>
      <c r="G373" s="4" t="str">
        <f>HYPERLINK("http://141.218.60.56/~jnz1568/getInfo.php?workbook=12_05.xlsx&amp;sheet=A0&amp;row=373&amp;col=7&amp;number=0&amp;sourceID=14","0")</f>
        <v>0</v>
      </c>
    </row>
    <row r="374" spans="1:7">
      <c r="A374" s="3">
        <v>12</v>
      </c>
      <c r="B374" s="3">
        <v>5</v>
      </c>
      <c r="C374" s="3">
        <v>77</v>
      </c>
      <c r="D374" s="3">
        <v>9</v>
      </c>
      <c r="E374" s="3">
        <v>85.75</v>
      </c>
      <c r="F374" s="4" t="str">
        <f>HYPERLINK("http://141.218.60.56/~jnz1568/getInfo.php?workbook=12_05.xlsx&amp;sheet=A0&amp;row=374&amp;col=6&amp;number=273000&amp;sourceID=14","273000")</f>
        <v>273000</v>
      </c>
      <c r="G374" s="4" t="str">
        <f>HYPERLINK("http://141.218.60.56/~jnz1568/getInfo.php?workbook=12_05.xlsx&amp;sheet=A0&amp;row=374&amp;col=7&amp;number=0&amp;sourceID=14","0")</f>
        <v>0</v>
      </c>
    </row>
    <row r="375" spans="1:7">
      <c r="A375" s="3">
        <v>12</v>
      </c>
      <c r="B375" s="3">
        <v>5</v>
      </c>
      <c r="C375" s="3">
        <v>78</v>
      </c>
      <c r="D375" s="3">
        <v>9</v>
      </c>
      <c r="E375" s="3">
        <v>85.599</v>
      </c>
      <c r="F375" s="4" t="str">
        <f>HYPERLINK("http://141.218.60.56/~jnz1568/getInfo.php?workbook=12_05.xlsx&amp;sheet=A0&amp;row=375&amp;col=6&amp;number=36620000000&amp;sourceID=14","36620000000")</f>
        <v>36620000000</v>
      </c>
      <c r="G375" s="4" t="str">
        <f>HYPERLINK("http://141.218.60.56/~jnz1568/getInfo.php?workbook=12_05.xlsx&amp;sheet=A0&amp;row=375&amp;col=7&amp;number=0&amp;sourceID=14","0")</f>
        <v>0</v>
      </c>
    </row>
    <row r="376" spans="1:7">
      <c r="A376" s="3">
        <v>12</v>
      </c>
      <c r="B376" s="3">
        <v>5</v>
      </c>
      <c r="C376" s="3">
        <v>79</v>
      </c>
      <c r="D376" s="3">
        <v>9</v>
      </c>
      <c r="E376" s="3">
        <v>83.645</v>
      </c>
      <c r="F376" s="4" t="str">
        <f>HYPERLINK("http://141.218.60.56/~jnz1568/getInfo.php?workbook=12_05.xlsx&amp;sheet=A0&amp;row=376&amp;col=6&amp;number=24000000000&amp;sourceID=14","24000000000")</f>
        <v>24000000000</v>
      </c>
      <c r="G376" s="4" t="str">
        <f>HYPERLINK("http://141.218.60.56/~jnz1568/getInfo.php?workbook=12_05.xlsx&amp;sheet=A0&amp;row=376&amp;col=7&amp;number=0&amp;sourceID=14","0")</f>
        <v>0</v>
      </c>
    </row>
    <row r="377" spans="1:7">
      <c r="A377" s="3">
        <v>12</v>
      </c>
      <c r="B377" s="3">
        <v>5</v>
      </c>
      <c r="C377" s="3">
        <v>80</v>
      </c>
      <c r="D377" s="3">
        <v>9</v>
      </c>
      <c r="E377" s="3">
        <v>77.403</v>
      </c>
      <c r="F377" s="4" t="str">
        <f>HYPERLINK("http://141.218.60.56/~jnz1568/getInfo.php?workbook=12_05.xlsx&amp;sheet=A0&amp;row=377&amp;col=6&amp;number=125800000000&amp;sourceID=14","125800000000")</f>
        <v>125800000000</v>
      </c>
      <c r="G377" s="4" t="str">
        <f>HYPERLINK("http://141.218.60.56/~jnz1568/getInfo.php?workbook=12_05.xlsx&amp;sheet=A0&amp;row=377&amp;col=7&amp;number=0&amp;sourceID=14","0")</f>
        <v>0</v>
      </c>
    </row>
    <row r="378" spans="1:7">
      <c r="A378" s="3">
        <v>12</v>
      </c>
      <c r="B378" s="3">
        <v>5</v>
      </c>
      <c r="C378" s="3">
        <v>81</v>
      </c>
      <c r="D378" s="3">
        <v>9</v>
      </c>
      <c r="E378" s="3">
        <v>-76.58</v>
      </c>
      <c r="F378" s="4" t="str">
        <f>HYPERLINK("http://141.218.60.56/~jnz1568/getInfo.php?workbook=12_05.xlsx&amp;sheet=A0&amp;row=378&amp;col=6&amp;number=18240000000&amp;sourceID=14","18240000000")</f>
        <v>18240000000</v>
      </c>
      <c r="G378" s="4" t="str">
        <f>HYPERLINK("http://141.218.60.56/~jnz1568/getInfo.php?workbook=12_05.xlsx&amp;sheet=A0&amp;row=378&amp;col=7&amp;number=0&amp;sourceID=14","0")</f>
        <v>0</v>
      </c>
    </row>
    <row r="379" spans="1:7">
      <c r="A379" s="3">
        <v>12</v>
      </c>
      <c r="B379" s="3">
        <v>5</v>
      </c>
      <c r="C379" s="3">
        <v>82</v>
      </c>
      <c r="D379" s="3">
        <v>9</v>
      </c>
      <c r="E379" s="3">
        <v>-76.012</v>
      </c>
      <c r="F379" s="4" t="str">
        <f>HYPERLINK("http://141.218.60.56/~jnz1568/getInfo.php?workbook=12_05.xlsx&amp;sheet=A0&amp;row=379&amp;col=6&amp;number=3223000&amp;sourceID=14","3223000")</f>
        <v>3223000</v>
      </c>
      <c r="G379" s="4" t="str">
        <f>HYPERLINK("http://141.218.60.56/~jnz1568/getInfo.php?workbook=12_05.xlsx&amp;sheet=A0&amp;row=379&amp;col=7&amp;number=0&amp;sourceID=14","0")</f>
        <v>0</v>
      </c>
    </row>
    <row r="380" spans="1:7">
      <c r="A380" s="3">
        <v>12</v>
      </c>
      <c r="B380" s="3">
        <v>5</v>
      </c>
      <c r="C380" s="3">
        <v>83</v>
      </c>
      <c r="D380" s="3">
        <v>9</v>
      </c>
      <c r="E380" s="3">
        <v>-75.521</v>
      </c>
      <c r="F380" s="4" t="str">
        <f>HYPERLINK("http://141.218.60.56/~jnz1568/getInfo.php?workbook=12_05.xlsx&amp;sheet=A0&amp;row=380&amp;col=6&amp;number=211400000&amp;sourceID=14","211400000")</f>
        <v>211400000</v>
      </c>
      <c r="G380" s="4" t="str">
        <f>HYPERLINK("http://141.218.60.56/~jnz1568/getInfo.php?workbook=12_05.xlsx&amp;sheet=A0&amp;row=380&amp;col=7&amp;number=0&amp;sourceID=14","0")</f>
        <v>0</v>
      </c>
    </row>
    <row r="381" spans="1:7">
      <c r="A381" s="3">
        <v>12</v>
      </c>
      <c r="B381" s="3">
        <v>5</v>
      </c>
      <c r="C381" s="3">
        <v>84</v>
      </c>
      <c r="D381" s="3">
        <v>9</v>
      </c>
      <c r="E381" s="3">
        <v>-74.119</v>
      </c>
      <c r="F381" s="4" t="str">
        <f>HYPERLINK("http://141.218.60.56/~jnz1568/getInfo.php?workbook=12_05.xlsx&amp;sheet=A0&amp;row=381&amp;col=6&amp;number=41400000000&amp;sourceID=14","41400000000")</f>
        <v>41400000000</v>
      </c>
      <c r="G381" s="4" t="str">
        <f>HYPERLINK("http://141.218.60.56/~jnz1568/getInfo.php?workbook=12_05.xlsx&amp;sheet=A0&amp;row=381&amp;col=7&amp;number=0&amp;sourceID=14","0")</f>
        <v>0</v>
      </c>
    </row>
    <row r="382" spans="1:7">
      <c r="A382" s="3">
        <v>12</v>
      </c>
      <c r="B382" s="3">
        <v>5</v>
      </c>
      <c r="C382" s="3">
        <v>85</v>
      </c>
      <c r="D382" s="3">
        <v>9</v>
      </c>
      <c r="E382" s="3">
        <v>-71.172</v>
      </c>
      <c r="F382" s="4" t="str">
        <f>HYPERLINK("http://141.218.60.56/~jnz1568/getInfo.php?workbook=12_05.xlsx&amp;sheet=A0&amp;row=382&amp;col=6&amp;number=19610000000&amp;sourceID=14","19610000000")</f>
        <v>19610000000</v>
      </c>
      <c r="G382" s="4" t="str">
        <f>HYPERLINK("http://141.218.60.56/~jnz1568/getInfo.php?workbook=12_05.xlsx&amp;sheet=A0&amp;row=382&amp;col=7&amp;number=0&amp;sourceID=14","0")</f>
        <v>0</v>
      </c>
    </row>
    <row r="383" spans="1:7">
      <c r="A383" s="3">
        <v>12</v>
      </c>
      <c r="B383" s="3">
        <v>5</v>
      </c>
      <c r="C383" s="3">
        <v>86</v>
      </c>
      <c r="D383" s="3">
        <v>9</v>
      </c>
      <c r="E383" s="3">
        <v>-67.649</v>
      </c>
      <c r="F383" s="4" t="str">
        <f>HYPERLINK("http://141.218.60.56/~jnz1568/getInfo.php?workbook=12_05.xlsx&amp;sheet=A0&amp;row=383&amp;col=6&amp;number=10200000000&amp;sourceID=14","10200000000")</f>
        <v>10200000000</v>
      </c>
      <c r="G383" s="4" t="str">
        <f>HYPERLINK("http://141.218.60.56/~jnz1568/getInfo.php?workbook=12_05.xlsx&amp;sheet=A0&amp;row=383&amp;col=7&amp;number=0&amp;sourceID=14","0")</f>
        <v>0</v>
      </c>
    </row>
    <row r="384" spans="1:7">
      <c r="A384" s="3">
        <v>12</v>
      </c>
      <c r="B384" s="3">
        <v>5</v>
      </c>
      <c r="C384" s="3">
        <v>87</v>
      </c>
      <c r="D384" s="3">
        <v>3</v>
      </c>
      <c r="E384" s="3">
        <v>-88.092</v>
      </c>
      <c r="F384" s="4" t="str">
        <f>HYPERLINK("http://141.218.60.56/~jnz1568/getInfo.php?workbook=12_05.xlsx&amp;sheet=A0&amp;row=384&amp;col=6&amp;number=4888&amp;sourceID=14","4888")</f>
        <v>4888</v>
      </c>
      <c r="G384" s="4" t="str">
        <f>HYPERLINK("http://141.218.60.56/~jnz1568/getInfo.php?workbook=12_05.xlsx&amp;sheet=A0&amp;row=384&amp;col=7&amp;number=0&amp;sourceID=14","0")</f>
        <v>0</v>
      </c>
    </row>
    <row r="385" spans="1:7">
      <c r="A385" s="3">
        <v>12</v>
      </c>
      <c r="B385" s="3">
        <v>5</v>
      </c>
      <c r="C385" s="3">
        <v>88</v>
      </c>
      <c r="D385" s="3">
        <v>3</v>
      </c>
      <c r="E385" s="3">
        <v>81.796</v>
      </c>
      <c r="F385" s="4" t="str">
        <f>HYPERLINK("http://141.218.60.56/~jnz1568/getInfo.php?workbook=12_05.xlsx&amp;sheet=A0&amp;row=385&amp;col=6&amp;number=28690000000&amp;sourceID=14","28690000000")</f>
        <v>28690000000</v>
      </c>
      <c r="G385" s="4" t="str">
        <f>HYPERLINK("http://141.218.60.56/~jnz1568/getInfo.php?workbook=12_05.xlsx&amp;sheet=A0&amp;row=385&amp;col=7&amp;number=0&amp;sourceID=14","0")</f>
        <v>0</v>
      </c>
    </row>
    <row r="386" spans="1:7">
      <c r="A386" s="3">
        <v>12</v>
      </c>
      <c r="B386" s="3">
        <v>5</v>
      </c>
      <c r="C386" s="3">
        <v>89</v>
      </c>
      <c r="D386" s="3">
        <v>3</v>
      </c>
      <c r="E386" s="3">
        <v>79.759</v>
      </c>
      <c r="F386" s="4" t="str">
        <f>HYPERLINK("http://141.218.60.56/~jnz1568/getInfo.php?workbook=12_05.xlsx&amp;sheet=A0&amp;row=386&amp;col=6&amp;number=16900000&amp;sourceID=14","16900000")</f>
        <v>16900000</v>
      </c>
      <c r="G386" s="4" t="str">
        <f>HYPERLINK("http://141.218.60.56/~jnz1568/getInfo.php?workbook=12_05.xlsx&amp;sheet=A0&amp;row=386&amp;col=7&amp;number=0&amp;sourceID=14","0")</f>
        <v>0</v>
      </c>
    </row>
    <row r="387" spans="1:7">
      <c r="A387" s="3">
        <v>12</v>
      </c>
      <c r="B387" s="3">
        <v>5</v>
      </c>
      <c r="C387" s="3">
        <v>90</v>
      </c>
      <c r="D387" s="3">
        <v>3</v>
      </c>
      <c r="E387" s="3">
        <v>-75.572</v>
      </c>
      <c r="F387" s="4" t="str">
        <f>HYPERLINK("http://141.218.60.56/~jnz1568/getInfo.php?workbook=12_05.xlsx&amp;sheet=A0&amp;row=387&amp;col=6&amp;number=530200000&amp;sourceID=14","530200000")</f>
        <v>530200000</v>
      </c>
      <c r="G387" s="4" t="str">
        <f>HYPERLINK("http://141.218.60.56/~jnz1568/getInfo.php?workbook=12_05.xlsx&amp;sheet=A0&amp;row=387&amp;col=7&amp;number=0&amp;sourceID=14","0")</f>
        <v>0</v>
      </c>
    </row>
    <row r="388" spans="1:7">
      <c r="A388" s="3">
        <v>12</v>
      </c>
      <c r="B388" s="3">
        <v>5</v>
      </c>
      <c r="C388" s="3">
        <v>91</v>
      </c>
      <c r="D388" s="3">
        <v>3</v>
      </c>
      <c r="E388" s="3">
        <v>74.279</v>
      </c>
      <c r="F388" s="4" t="str">
        <f>HYPERLINK("http://141.218.60.56/~jnz1568/getInfo.php?workbook=12_05.xlsx&amp;sheet=A0&amp;row=388&amp;col=6&amp;number=294600000000&amp;sourceID=14","294600000000")</f>
        <v>294600000000</v>
      </c>
      <c r="G388" s="4" t="str">
        <f>HYPERLINK("http://141.218.60.56/~jnz1568/getInfo.php?workbook=12_05.xlsx&amp;sheet=A0&amp;row=388&amp;col=7&amp;number=0&amp;sourceID=14","0")</f>
        <v>0</v>
      </c>
    </row>
    <row r="389" spans="1:7">
      <c r="A389" s="3">
        <v>12</v>
      </c>
      <c r="B389" s="3">
        <v>5</v>
      </c>
      <c r="C389" s="3">
        <v>92</v>
      </c>
      <c r="D389" s="3">
        <v>3</v>
      </c>
      <c r="E389" s="3">
        <v>74.164</v>
      </c>
      <c r="F389" s="4" t="str">
        <f>HYPERLINK("http://141.218.60.56/~jnz1568/getInfo.php?workbook=12_05.xlsx&amp;sheet=A0&amp;row=389&amp;col=6&amp;number=5739000000&amp;sourceID=14","5739000000")</f>
        <v>5739000000</v>
      </c>
      <c r="G389" s="4" t="str">
        <f>HYPERLINK("http://141.218.60.56/~jnz1568/getInfo.php?workbook=12_05.xlsx&amp;sheet=A0&amp;row=389&amp;col=7&amp;number=0&amp;sourceID=14","0")</f>
        <v>0</v>
      </c>
    </row>
    <row r="390" spans="1:7">
      <c r="A390" s="3">
        <v>12</v>
      </c>
      <c r="B390" s="3">
        <v>5</v>
      </c>
      <c r="C390" s="3">
        <v>93</v>
      </c>
      <c r="D390" s="3">
        <v>3</v>
      </c>
      <c r="E390" s="3">
        <v>73.831</v>
      </c>
      <c r="F390" s="4" t="str">
        <f>HYPERLINK("http://141.218.60.56/~jnz1568/getInfo.php?workbook=12_05.xlsx&amp;sheet=A0&amp;row=390&amp;col=6&amp;number=82270000000&amp;sourceID=14","82270000000")</f>
        <v>82270000000</v>
      </c>
      <c r="G390" s="4" t="str">
        <f>HYPERLINK("http://141.218.60.56/~jnz1568/getInfo.php?workbook=12_05.xlsx&amp;sheet=A0&amp;row=390&amp;col=7&amp;number=0&amp;sourceID=14","0")</f>
        <v>0</v>
      </c>
    </row>
    <row r="391" spans="1:7">
      <c r="A391" s="3">
        <v>12</v>
      </c>
      <c r="B391" s="3">
        <v>5</v>
      </c>
      <c r="C391" s="3">
        <v>94</v>
      </c>
      <c r="D391" s="3">
        <v>3</v>
      </c>
      <c r="E391" s="3">
        <v>-73.679</v>
      </c>
      <c r="F391" s="4" t="str">
        <f>HYPERLINK("http://141.218.60.56/~jnz1568/getInfo.php?workbook=12_05.xlsx&amp;sheet=A0&amp;row=391&amp;col=6&amp;number=9161000&amp;sourceID=14","9161000")</f>
        <v>9161000</v>
      </c>
      <c r="G391" s="4" t="str">
        <f>HYPERLINK("http://141.218.60.56/~jnz1568/getInfo.php?workbook=12_05.xlsx&amp;sheet=A0&amp;row=391&amp;col=7&amp;number=0&amp;sourceID=14","0")</f>
        <v>0</v>
      </c>
    </row>
    <row r="392" spans="1:7">
      <c r="A392" s="3">
        <v>12</v>
      </c>
      <c r="B392" s="3">
        <v>5</v>
      </c>
      <c r="C392" s="3">
        <v>95</v>
      </c>
      <c r="D392" s="3">
        <v>3</v>
      </c>
      <c r="E392" s="3">
        <v>72.3</v>
      </c>
      <c r="F392" s="4" t="str">
        <f>HYPERLINK("http://141.218.60.56/~jnz1568/getInfo.php?workbook=12_05.xlsx&amp;sheet=A0&amp;row=392&amp;col=6&amp;number=32230000&amp;sourceID=14","32230000")</f>
        <v>32230000</v>
      </c>
      <c r="G392" s="4" t="str">
        <f>HYPERLINK("http://141.218.60.56/~jnz1568/getInfo.php?workbook=12_05.xlsx&amp;sheet=A0&amp;row=392&amp;col=7&amp;number=0&amp;sourceID=14","0")</f>
        <v>0</v>
      </c>
    </row>
    <row r="393" spans="1:7">
      <c r="A393" s="3">
        <v>12</v>
      </c>
      <c r="B393" s="3">
        <v>5</v>
      </c>
      <c r="C393" s="3">
        <v>96</v>
      </c>
      <c r="D393" s="3">
        <v>3</v>
      </c>
      <c r="E393" s="3">
        <v>67.665</v>
      </c>
      <c r="F393" s="4" t="str">
        <f>HYPERLINK("http://141.218.60.56/~jnz1568/getInfo.php?workbook=12_05.xlsx&amp;sheet=A0&amp;row=393&amp;col=6&amp;number=1146000&amp;sourceID=14","1146000")</f>
        <v>1146000</v>
      </c>
      <c r="G393" s="4" t="str">
        <f>HYPERLINK("http://141.218.60.56/~jnz1568/getInfo.php?workbook=12_05.xlsx&amp;sheet=A0&amp;row=393&amp;col=7&amp;number=0&amp;sourceID=14","0")</f>
        <v>0</v>
      </c>
    </row>
    <row r="394" spans="1:7">
      <c r="A394" s="3">
        <v>12</v>
      </c>
      <c r="B394" s="3">
        <v>5</v>
      </c>
      <c r="C394" s="3">
        <v>97</v>
      </c>
      <c r="D394" s="3">
        <v>3</v>
      </c>
      <c r="E394" s="3">
        <v>-66.982</v>
      </c>
      <c r="F394" s="4" t="str">
        <f>HYPERLINK("http://141.218.60.56/~jnz1568/getInfo.php?workbook=12_05.xlsx&amp;sheet=A0&amp;row=394&amp;col=6&amp;number=9920000&amp;sourceID=14","9920000")</f>
        <v>9920000</v>
      </c>
      <c r="G394" s="4" t="str">
        <f>HYPERLINK("http://141.218.60.56/~jnz1568/getInfo.php?workbook=12_05.xlsx&amp;sheet=A0&amp;row=394&amp;col=7&amp;number=0&amp;sourceID=14","0")</f>
        <v>0</v>
      </c>
    </row>
    <row r="395" spans="1:7">
      <c r="A395" s="3">
        <v>12</v>
      </c>
      <c r="B395" s="3">
        <v>5</v>
      </c>
      <c r="C395" s="3">
        <v>98</v>
      </c>
      <c r="D395" s="3">
        <v>3</v>
      </c>
      <c r="E395" s="3">
        <v>-66.439</v>
      </c>
      <c r="F395" s="4" t="str">
        <f>HYPERLINK("http://141.218.60.56/~jnz1568/getInfo.php?workbook=12_05.xlsx&amp;sheet=A0&amp;row=395&amp;col=6&amp;number=24780000000&amp;sourceID=14","24780000000")</f>
        <v>24780000000</v>
      </c>
      <c r="G395" s="4" t="str">
        <f>HYPERLINK("http://141.218.60.56/~jnz1568/getInfo.php?workbook=12_05.xlsx&amp;sheet=A0&amp;row=395&amp;col=7&amp;number=0&amp;sourceID=14","0")</f>
        <v>0</v>
      </c>
    </row>
    <row r="396" spans="1:7">
      <c r="A396" s="3">
        <v>12</v>
      </c>
      <c r="B396" s="3">
        <v>5</v>
      </c>
      <c r="C396" s="3">
        <v>99</v>
      </c>
      <c r="D396" s="3">
        <v>3</v>
      </c>
      <c r="E396" s="3">
        <v>-66.072</v>
      </c>
      <c r="F396" s="4" t="str">
        <f>HYPERLINK("http://141.218.60.56/~jnz1568/getInfo.php?workbook=12_05.xlsx&amp;sheet=A0&amp;row=396&amp;col=6&amp;number=26140000000&amp;sourceID=14","26140000000")</f>
        <v>26140000000</v>
      </c>
      <c r="G396" s="4" t="str">
        <f>HYPERLINK("http://141.218.60.56/~jnz1568/getInfo.php?workbook=12_05.xlsx&amp;sheet=A0&amp;row=396&amp;col=7&amp;number=0&amp;sourceID=14","0")</f>
        <v>0</v>
      </c>
    </row>
    <row r="397" spans="1:7">
      <c r="A397" s="3">
        <v>12</v>
      </c>
      <c r="B397" s="3">
        <v>5</v>
      </c>
      <c r="C397" s="3">
        <v>100</v>
      </c>
      <c r="D397" s="3">
        <v>3</v>
      </c>
      <c r="E397" s="3">
        <v>-65.694</v>
      </c>
      <c r="F397" s="4" t="str">
        <f>HYPERLINK("http://141.218.60.56/~jnz1568/getInfo.php?workbook=12_05.xlsx&amp;sheet=A0&amp;row=397&amp;col=6&amp;number=108200000&amp;sourceID=14","108200000")</f>
        <v>108200000</v>
      </c>
      <c r="G397" s="4" t="str">
        <f>HYPERLINK("http://141.218.60.56/~jnz1568/getInfo.php?workbook=12_05.xlsx&amp;sheet=A0&amp;row=397&amp;col=7&amp;number=0&amp;sourceID=14","0")</f>
        <v>0</v>
      </c>
    </row>
    <row r="398" spans="1:7">
      <c r="A398" s="3">
        <v>12</v>
      </c>
      <c r="B398" s="3">
        <v>5</v>
      </c>
      <c r="C398" s="3">
        <v>101</v>
      </c>
      <c r="D398" s="3">
        <v>3</v>
      </c>
      <c r="E398" s="3">
        <v>64.765</v>
      </c>
      <c r="F398" s="4" t="str">
        <f>HYPERLINK("http://141.218.60.56/~jnz1568/getInfo.php?workbook=12_05.xlsx&amp;sheet=A0&amp;row=398&amp;col=6&amp;number=18090000000&amp;sourceID=14","18090000000")</f>
        <v>18090000000</v>
      </c>
      <c r="G398" s="4" t="str">
        <f>HYPERLINK("http://141.218.60.56/~jnz1568/getInfo.php?workbook=12_05.xlsx&amp;sheet=A0&amp;row=398&amp;col=7&amp;number=0&amp;sourceID=14","0")</f>
        <v>0</v>
      </c>
    </row>
    <row r="399" spans="1:7">
      <c r="A399" s="3">
        <v>12</v>
      </c>
      <c r="B399" s="3">
        <v>5</v>
      </c>
      <c r="C399" s="3">
        <v>102</v>
      </c>
      <c r="D399" s="3">
        <v>3</v>
      </c>
      <c r="E399" s="3">
        <v>-65.025</v>
      </c>
      <c r="F399" s="4" t="str">
        <f>HYPERLINK("http://141.218.60.56/~jnz1568/getInfo.php?workbook=12_05.xlsx&amp;sheet=A0&amp;row=399&amp;col=6&amp;number=19760000&amp;sourceID=14","19760000")</f>
        <v>19760000</v>
      </c>
      <c r="G399" s="4" t="str">
        <f>HYPERLINK("http://141.218.60.56/~jnz1568/getInfo.php?workbook=12_05.xlsx&amp;sheet=A0&amp;row=399&amp;col=7&amp;number=0&amp;sourceID=14","0")</f>
        <v>0</v>
      </c>
    </row>
    <row r="400" spans="1:7">
      <c r="A400" s="3">
        <v>12</v>
      </c>
      <c r="B400" s="3">
        <v>5</v>
      </c>
      <c r="C400" s="3">
        <v>103</v>
      </c>
      <c r="D400" s="3">
        <v>3</v>
      </c>
      <c r="E400" s="3">
        <v>-63.382</v>
      </c>
      <c r="F400" s="4" t="str">
        <f>HYPERLINK("http://141.218.60.56/~jnz1568/getInfo.php?workbook=12_05.xlsx&amp;sheet=A0&amp;row=400&amp;col=6&amp;number=388700&amp;sourceID=14","388700")</f>
        <v>388700</v>
      </c>
      <c r="G400" s="4" t="str">
        <f>HYPERLINK("http://141.218.60.56/~jnz1568/getInfo.php?workbook=12_05.xlsx&amp;sheet=A0&amp;row=400&amp;col=7&amp;number=0&amp;sourceID=14","0")</f>
        <v>0</v>
      </c>
    </row>
    <row r="401" spans="1:7">
      <c r="A401" s="3">
        <v>12</v>
      </c>
      <c r="B401" s="3">
        <v>5</v>
      </c>
      <c r="C401" s="3">
        <v>104</v>
      </c>
      <c r="D401" s="3">
        <v>3</v>
      </c>
      <c r="E401" s="3">
        <v>-62.69</v>
      </c>
      <c r="F401" s="4" t="str">
        <f>HYPERLINK("http://141.218.60.56/~jnz1568/getInfo.php?workbook=12_05.xlsx&amp;sheet=A0&amp;row=401&amp;col=6&amp;number=1774000&amp;sourceID=14","1774000")</f>
        <v>1774000</v>
      </c>
      <c r="G401" s="4" t="str">
        <f>HYPERLINK("http://141.218.60.56/~jnz1568/getInfo.php?workbook=12_05.xlsx&amp;sheet=A0&amp;row=401&amp;col=7&amp;number=0&amp;sourceID=14","0")</f>
        <v>0</v>
      </c>
    </row>
    <row r="402" spans="1:7">
      <c r="A402" s="3">
        <v>12</v>
      </c>
      <c r="B402" s="3">
        <v>5</v>
      </c>
      <c r="C402" s="3">
        <v>105</v>
      </c>
      <c r="D402" s="3">
        <v>3</v>
      </c>
      <c r="E402" s="3">
        <v>-59.974</v>
      </c>
      <c r="F402" s="4" t="str">
        <f>HYPERLINK("http://141.218.60.56/~jnz1568/getInfo.php?workbook=12_05.xlsx&amp;sheet=A0&amp;row=402&amp;col=6&amp;number=1181000&amp;sourceID=14","1181000")</f>
        <v>1181000</v>
      </c>
      <c r="G402" s="4" t="str">
        <f>HYPERLINK("http://141.218.60.56/~jnz1568/getInfo.php?workbook=12_05.xlsx&amp;sheet=A0&amp;row=402&amp;col=7&amp;number=0&amp;sourceID=14","0")</f>
        <v>0</v>
      </c>
    </row>
    <row r="403" spans="1:7">
      <c r="A403" s="3">
        <v>12</v>
      </c>
      <c r="B403" s="3">
        <v>5</v>
      </c>
      <c r="C403" s="3">
        <v>87</v>
      </c>
      <c r="D403" s="3">
        <v>8</v>
      </c>
      <c r="E403" s="3">
        <v>-103.436</v>
      </c>
      <c r="F403" s="4" t="str">
        <f>HYPERLINK("http://141.218.60.56/~jnz1568/getInfo.php?workbook=12_05.xlsx&amp;sheet=A0&amp;row=403&amp;col=6&amp;number=104600000&amp;sourceID=14","104600000")</f>
        <v>104600000</v>
      </c>
      <c r="G403" s="4" t="str">
        <f>HYPERLINK("http://141.218.60.56/~jnz1568/getInfo.php?workbook=12_05.xlsx&amp;sheet=A0&amp;row=403&amp;col=7&amp;number=0&amp;sourceID=14","0")</f>
        <v>0</v>
      </c>
    </row>
    <row r="404" spans="1:7">
      <c r="A404" s="3">
        <v>12</v>
      </c>
      <c r="B404" s="3">
        <v>5</v>
      </c>
      <c r="C404" s="3">
        <v>88</v>
      </c>
      <c r="D404" s="3">
        <v>8</v>
      </c>
      <c r="E404" s="3">
        <v>94.856</v>
      </c>
      <c r="F404" s="4" t="str">
        <f>HYPERLINK("http://141.218.60.56/~jnz1568/getInfo.php?workbook=12_05.xlsx&amp;sheet=A0&amp;row=404&amp;col=6&amp;number=1292000&amp;sourceID=14","1292000")</f>
        <v>1292000</v>
      </c>
      <c r="G404" s="4" t="str">
        <f>HYPERLINK("http://141.218.60.56/~jnz1568/getInfo.php?workbook=12_05.xlsx&amp;sheet=A0&amp;row=404&amp;col=7&amp;number=0&amp;sourceID=14","0")</f>
        <v>0</v>
      </c>
    </row>
    <row r="405" spans="1:7">
      <c r="A405" s="3">
        <v>12</v>
      </c>
      <c r="B405" s="3">
        <v>5</v>
      </c>
      <c r="C405" s="3">
        <v>89</v>
      </c>
      <c r="D405" s="3">
        <v>8</v>
      </c>
      <c r="E405" s="3">
        <v>92.127</v>
      </c>
      <c r="F405" s="4" t="str">
        <f>HYPERLINK("http://141.218.60.56/~jnz1568/getInfo.php?workbook=12_05.xlsx&amp;sheet=A0&amp;row=405&amp;col=6&amp;number=6671000000&amp;sourceID=14","6671000000")</f>
        <v>6671000000</v>
      </c>
      <c r="G405" s="4" t="str">
        <f>HYPERLINK("http://141.218.60.56/~jnz1568/getInfo.php?workbook=12_05.xlsx&amp;sheet=A0&amp;row=405&amp;col=7&amp;number=0&amp;sourceID=14","0")</f>
        <v>0</v>
      </c>
    </row>
    <row r="406" spans="1:7">
      <c r="A406" s="3">
        <v>12</v>
      </c>
      <c r="B406" s="3">
        <v>5</v>
      </c>
      <c r="C406" s="3">
        <v>90</v>
      </c>
      <c r="D406" s="3">
        <v>8</v>
      </c>
      <c r="E406" s="3">
        <v>-86.591</v>
      </c>
      <c r="F406" s="4" t="str">
        <f>HYPERLINK("http://141.218.60.56/~jnz1568/getInfo.php?workbook=12_05.xlsx&amp;sheet=A0&amp;row=406&amp;col=6&amp;number=659100&amp;sourceID=14","659100")</f>
        <v>659100</v>
      </c>
      <c r="G406" s="4" t="str">
        <f>HYPERLINK("http://141.218.60.56/~jnz1568/getInfo.php?workbook=12_05.xlsx&amp;sheet=A0&amp;row=406&amp;col=7&amp;number=0&amp;sourceID=14","0")</f>
        <v>0</v>
      </c>
    </row>
    <row r="407" spans="1:7">
      <c r="A407" s="3">
        <v>12</v>
      </c>
      <c r="B407" s="3">
        <v>5</v>
      </c>
      <c r="C407" s="3">
        <v>91</v>
      </c>
      <c r="D407" s="3">
        <v>8</v>
      </c>
      <c r="E407" s="3">
        <v>84.893</v>
      </c>
      <c r="F407" s="4" t="str">
        <f>HYPERLINK("http://141.218.60.56/~jnz1568/getInfo.php?workbook=12_05.xlsx&amp;sheet=A0&amp;row=407&amp;col=6&amp;number=233100&amp;sourceID=14","233100")</f>
        <v>233100</v>
      </c>
      <c r="G407" s="4" t="str">
        <f>HYPERLINK("http://141.218.60.56/~jnz1568/getInfo.php?workbook=12_05.xlsx&amp;sheet=A0&amp;row=407&amp;col=7&amp;number=0&amp;sourceID=14","0")</f>
        <v>0</v>
      </c>
    </row>
    <row r="408" spans="1:7">
      <c r="A408" s="3">
        <v>12</v>
      </c>
      <c r="B408" s="3">
        <v>5</v>
      </c>
      <c r="C408" s="3">
        <v>92</v>
      </c>
      <c r="D408" s="3">
        <v>8</v>
      </c>
      <c r="E408" s="3">
        <v>84.743</v>
      </c>
      <c r="F408" s="4" t="str">
        <f>HYPERLINK("http://141.218.60.56/~jnz1568/getInfo.php?workbook=12_05.xlsx&amp;sheet=A0&amp;row=408&amp;col=6&amp;number=713000000&amp;sourceID=14","713000000")</f>
        <v>713000000</v>
      </c>
      <c r="G408" s="4" t="str">
        <f>HYPERLINK("http://141.218.60.56/~jnz1568/getInfo.php?workbook=12_05.xlsx&amp;sheet=A0&amp;row=408&amp;col=7&amp;number=0&amp;sourceID=14","0")</f>
        <v>0</v>
      </c>
    </row>
    <row r="409" spans="1:7">
      <c r="A409" s="3">
        <v>12</v>
      </c>
      <c r="B409" s="3">
        <v>5</v>
      </c>
      <c r="C409" s="3">
        <v>93</v>
      </c>
      <c r="D409" s="3">
        <v>8</v>
      </c>
      <c r="E409" s="3">
        <v>84.309</v>
      </c>
      <c r="F409" s="4" t="str">
        <f>HYPERLINK("http://141.218.60.56/~jnz1568/getInfo.php?workbook=12_05.xlsx&amp;sheet=A0&amp;row=409&amp;col=6&amp;number=31910000&amp;sourceID=14","31910000")</f>
        <v>31910000</v>
      </c>
      <c r="G409" s="4" t="str">
        <f>HYPERLINK("http://141.218.60.56/~jnz1568/getInfo.php?workbook=12_05.xlsx&amp;sheet=A0&amp;row=409&amp;col=7&amp;number=0&amp;sourceID=14","0")</f>
        <v>0</v>
      </c>
    </row>
    <row r="410" spans="1:7">
      <c r="A410" s="3">
        <v>12</v>
      </c>
      <c r="B410" s="3">
        <v>5</v>
      </c>
      <c r="C410" s="3">
        <v>94</v>
      </c>
      <c r="D410" s="3">
        <v>8</v>
      </c>
      <c r="E410" s="3">
        <v>-84.115</v>
      </c>
      <c r="F410" s="4" t="str">
        <f>HYPERLINK("http://141.218.60.56/~jnz1568/getInfo.php?workbook=12_05.xlsx&amp;sheet=A0&amp;row=410&amp;col=6&amp;number=36570000000&amp;sourceID=14","36570000000")</f>
        <v>36570000000</v>
      </c>
      <c r="G410" s="4" t="str">
        <f>HYPERLINK("http://141.218.60.56/~jnz1568/getInfo.php?workbook=12_05.xlsx&amp;sheet=A0&amp;row=410&amp;col=7&amp;number=0&amp;sourceID=14","0")</f>
        <v>0</v>
      </c>
    </row>
    <row r="411" spans="1:7">
      <c r="A411" s="3">
        <v>12</v>
      </c>
      <c r="B411" s="3">
        <v>5</v>
      </c>
      <c r="C411" s="3">
        <v>95</v>
      </c>
      <c r="D411" s="3">
        <v>8</v>
      </c>
      <c r="E411" s="3">
        <v>82.318</v>
      </c>
      <c r="F411" s="4" t="str">
        <f>HYPERLINK("http://141.218.60.56/~jnz1568/getInfo.php?workbook=12_05.xlsx&amp;sheet=A0&amp;row=411&amp;col=6&amp;number=195300000000&amp;sourceID=14","195300000000")</f>
        <v>195300000000</v>
      </c>
      <c r="G411" s="4" t="str">
        <f>HYPERLINK("http://141.218.60.56/~jnz1568/getInfo.php?workbook=12_05.xlsx&amp;sheet=A0&amp;row=411&amp;col=7&amp;number=0&amp;sourceID=14","0")</f>
        <v>0</v>
      </c>
    </row>
    <row r="412" spans="1:7">
      <c r="A412" s="3">
        <v>12</v>
      </c>
      <c r="B412" s="3">
        <v>5</v>
      </c>
      <c r="C412" s="3">
        <v>96</v>
      </c>
      <c r="D412" s="3">
        <v>8</v>
      </c>
      <c r="E412" s="3">
        <v>76.362</v>
      </c>
      <c r="F412" s="4" t="str">
        <f>HYPERLINK("http://141.218.60.56/~jnz1568/getInfo.php?workbook=12_05.xlsx&amp;sheet=A0&amp;row=412&amp;col=6&amp;number=986900000&amp;sourceID=14","986900000")</f>
        <v>986900000</v>
      </c>
      <c r="G412" s="4" t="str">
        <f>HYPERLINK("http://141.218.60.56/~jnz1568/getInfo.php?workbook=12_05.xlsx&amp;sheet=A0&amp;row=412&amp;col=7&amp;number=0&amp;sourceID=14","0")</f>
        <v>0</v>
      </c>
    </row>
    <row r="413" spans="1:7">
      <c r="A413" s="3">
        <v>12</v>
      </c>
      <c r="B413" s="3">
        <v>5</v>
      </c>
      <c r="C413" s="3">
        <v>97</v>
      </c>
      <c r="D413" s="3">
        <v>8</v>
      </c>
      <c r="E413" s="3">
        <v>-75.497</v>
      </c>
      <c r="F413" s="4" t="str">
        <f>HYPERLINK("http://141.218.60.56/~jnz1568/getInfo.php?workbook=12_05.xlsx&amp;sheet=A0&amp;row=413&amp;col=6&amp;number=119900000000&amp;sourceID=14","119900000000")</f>
        <v>119900000000</v>
      </c>
      <c r="G413" s="4" t="str">
        <f>HYPERLINK("http://141.218.60.56/~jnz1568/getInfo.php?workbook=12_05.xlsx&amp;sheet=A0&amp;row=413&amp;col=7&amp;number=0&amp;sourceID=14","0")</f>
        <v>0</v>
      </c>
    </row>
    <row r="414" spans="1:7">
      <c r="A414" s="3">
        <v>12</v>
      </c>
      <c r="B414" s="3">
        <v>5</v>
      </c>
      <c r="C414" s="3">
        <v>98</v>
      </c>
      <c r="D414" s="3">
        <v>8</v>
      </c>
      <c r="E414" s="3">
        <v>-74.808</v>
      </c>
      <c r="F414" s="4" t="str">
        <f>HYPERLINK("http://141.218.60.56/~jnz1568/getInfo.php?workbook=12_05.xlsx&amp;sheet=A0&amp;row=414&amp;col=6&amp;number=18230000&amp;sourceID=14","18230000")</f>
        <v>18230000</v>
      </c>
      <c r="G414" s="4" t="str">
        <f>HYPERLINK("http://141.218.60.56/~jnz1568/getInfo.php?workbook=12_05.xlsx&amp;sheet=A0&amp;row=414&amp;col=7&amp;number=0&amp;sourceID=14","0")</f>
        <v>0</v>
      </c>
    </row>
    <row r="415" spans="1:7">
      <c r="A415" s="3">
        <v>12</v>
      </c>
      <c r="B415" s="3">
        <v>5</v>
      </c>
      <c r="C415" s="3">
        <v>99</v>
      </c>
      <c r="D415" s="3">
        <v>8</v>
      </c>
      <c r="E415" s="3">
        <v>-74.344</v>
      </c>
      <c r="F415" s="4" t="str">
        <f>HYPERLINK("http://141.218.60.56/~jnz1568/getInfo.php?workbook=12_05.xlsx&amp;sheet=A0&amp;row=415&amp;col=6&amp;number=7249000&amp;sourceID=14","7249000")</f>
        <v>7249000</v>
      </c>
      <c r="G415" s="4" t="str">
        <f>HYPERLINK("http://141.218.60.56/~jnz1568/getInfo.php?workbook=12_05.xlsx&amp;sheet=A0&amp;row=415&amp;col=7&amp;number=0&amp;sourceID=14","0")</f>
        <v>0</v>
      </c>
    </row>
    <row r="416" spans="1:7">
      <c r="A416" s="3">
        <v>12</v>
      </c>
      <c r="B416" s="3">
        <v>5</v>
      </c>
      <c r="C416" s="3">
        <v>100</v>
      </c>
      <c r="D416" s="3">
        <v>8</v>
      </c>
      <c r="E416" s="3">
        <v>-73.866</v>
      </c>
      <c r="F416" s="4" t="str">
        <f>HYPERLINK("http://141.218.60.56/~jnz1568/getInfo.php?workbook=12_05.xlsx&amp;sheet=A0&amp;row=416&amp;col=6&amp;number=190700000&amp;sourceID=14","190700000")</f>
        <v>190700000</v>
      </c>
      <c r="G416" s="4" t="str">
        <f>HYPERLINK("http://141.218.60.56/~jnz1568/getInfo.php?workbook=12_05.xlsx&amp;sheet=A0&amp;row=416&amp;col=7&amp;number=0&amp;sourceID=14","0")</f>
        <v>0</v>
      </c>
    </row>
    <row r="417" spans="1:7">
      <c r="A417" s="3">
        <v>12</v>
      </c>
      <c r="B417" s="3">
        <v>5</v>
      </c>
      <c r="C417" s="3">
        <v>101</v>
      </c>
      <c r="D417" s="3">
        <v>8</v>
      </c>
      <c r="E417" s="3">
        <v>72.689</v>
      </c>
      <c r="F417" s="4" t="str">
        <f>HYPERLINK("http://141.218.60.56/~jnz1568/getInfo.php?workbook=12_05.xlsx&amp;sheet=A0&amp;row=417&amp;col=6&amp;number=4198&amp;sourceID=14","4198")</f>
        <v>4198</v>
      </c>
      <c r="G417" s="4" t="str">
        <f>HYPERLINK("http://141.218.60.56/~jnz1568/getInfo.php?workbook=12_05.xlsx&amp;sheet=A0&amp;row=417&amp;col=7&amp;number=0&amp;sourceID=14","0")</f>
        <v>0</v>
      </c>
    </row>
    <row r="418" spans="1:7">
      <c r="A418" s="3">
        <v>12</v>
      </c>
      <c r="B418" s="3">
        <v>5</v>
      </c>
      <c r="C418" s="3">
        <v>102</v>
      </c>
      <c r="D418" s="3">
        <v>8</v>
      </c>
      <c r="E418" s="3">
        <v>-73.02</v>
      </c>
      <c r="F418" s="4" t="str">
        <f>HYPERLINK("http://141.218.60.56/~jnz1568/getInfo.php?workbook=12_05.xlsx&amp;sheet=A0&amp;row=418&amp;col=6&amp;number=225800000&amp;sourceID=14","225800000")</f>
        <v>225800000</v>
      </c>
      <c r="G418" s="4" t="str">
        <f>HYPERLINK("http://141.218.60.56/~jnz1568/getInfo.php?workbook=12_05.xlsx&amp;sheet=A0&amp;row=418&amp;col=7&amp;number=0&amp;sourceID=14","0")</f>
        <v>0</v>
      </c>
    </row>
    <row r="419" spans="1:7">
      <c r="A419" s="3">
        <v>12</v>
      </c>
      <c r="B419" s="3">
        <v>5</v>
      </c>
      <c r="C419" s="3">
        <v>103</v>
      </c>
      <c r="D419" s="3">
        <v>8</v>
      </c>
      <c r="E419" s="3">
        <v>-70.955</v>
      </c>
      <c r="F419" s="4" t="str">
        <f>HYPERLINK("http://141.218.60.56/~jnz1568/getInfo.php?workbook=12_05.xlsx&amp;sheet=A0&amp;row=419&amp;col=6&amp;number=364500000&amp;sourceID=14","364500000")</f>
        <v>364500000</v>
      </c>
      <c r="G419" s="4" t="str">
        <f>HYPERLINK("http://141.218.60.56/~jnz1568/getInfo.php?workbook=12_05.xlsx&amp;sheet=A0&amp;row=419&amp;col=7&amp;number=0&amp;sourceID=14","0")</f>
        <v>0</v>
      </c>
    </row>
    <row r="420" spans="1:7">
      <c r="A420" s="3">
        <v>12</v>
      </c>
      <c r="B420" s="3">
        <v>5</v>
      </c>
      <c r="C420" s="3">
        <v>104</v>
      </c>
      <c r="D420" s="3">
        <v>8</v>
      </c>
      <c r="E420" s="3">
        <v>-70.089</v>
      </c>
      <c r="F420" s="4" t="str">
        <f>HYPERLINK("http://141.218.60.56/~jnz1568/getInfo.php?workbook=12_05.xlsx&amp;sheet=A0&amp;row=420&amp;col=6&amp;number=2268000000&amp;sourceID=14","2268000000")</f>
        <v>2268000000</v>
      </c>
      <c r="G420" s="4" t="str">
        <f>HYPERLINK("http://141.218.60.56/~jnz1568/getInfo.php?workbook=12_05.xlsx&amp;sheet=A0&amp;row=420&amp;col=7&amp;number=0&amp;sourceID=14","0")</f>
        <v>0</v>
      </c>
    </row>
    <row r="421" spans="1:7">
      <c r="A421" s="3">
        <v>12</v>
      </c>
      <c r="B421" s="3">
        <v>5</v>
      </c>
      <c r="C421" s="3">
        <v>105</v>
      </c>
      <c r="D421" s="3">
        <v>8</v>
      </c>
      <c r="E421" s="3">
        <v>-66.711</v>
      </c>
      <c r="F421" s="4" t="str">
        <f>HYPERLINK("http://141.218.60.56/~jnz1568/getInfo.php?workbook=12_05.xlsx&amp;sheet=A0&amp;row=421&amp;col=6&amp;number=65970000000&amp;sourceID=14","65970000000")</f>
        <v>65970000000</v>
      </c>
      <c r="G421" s="4" t="str">
        <f>HYPERLINK("http://141.218.60.56/~jnz1568/getInfo.php?workbook=12_05.xlsx&amp;sheet=A0&amp;row=421&amp;col=7&amp;number=0&amp;sourceID=14","0")</f>
        <v>0</v>
      </c>
    </row>
    <row r="422" spans="1:7">
      <c r="A422" s="3">
        <v>12</v>
      </c>
      <c r="B422" s="3">
        <v>5</v>
      </c>
      <c r="C422" s="3">
        <v>87</v>
      </c>
      <c r="D422" s="3">
        <v>9</v>
      </c>
      <c r="E422" s="3">
        <v>-105.67</v>
      </c>
      <c r="F422" s="4" t="str">
        <f>HYPERLINK("http://141.218.60.56/~jnz1568/getInfo.php?workbook=12_05.xlsx&amp;sheet=A0&amp;row=422&amp;col=6&amp;number=54880000&amp;sourceID=14","54880000")</f>
        <v>54880000</v>
      </c>
      <c r="G422" s="4" t="str">
        <f>HYPERLINK("http://141.218.60.56/~jnz1568/getInfo.php?workbook=12_05.xlsx&amp;sheet=A0&amp;row=422&amp;col=7&amp;number=0&amp;sourceID=14","0")</f>
        <v>0</v>
      </c>
    </row>
    <row r="423" spans="1:7">
      <c r="A423" s="3">
        <v>12</v>
      </c>
      <c r="B423" s="3">
        <v>5</v>
      </c>
      <c r="C423" s="3">
        <v>88</v>
      </c>
      <c r="D423" s="3">
        <v>9</v>
      </c>
      <c r="E423" s="3">
        <v>96.731</v>
      </c>
      <c r="F423" s="4" t="str">
        <f>HYPERLINK("http://141.218.60.56/~jnz1568/getInfo.php?workbook=12_05.xlsx&amp;sheet=A0&amp;row=423&amp;col=6&amp;number=141500&amp;sourceID=14","141500")</f>
        <v>141500</v>
      </c>
      <c r="G423" s="4" t="str">
        <f>HYPERLINK("http://141.218.60.56/~jnz1568/getInfo.php?workbook=12_05.xlsx&amp;sheet=A0&amp;row=423&amp;col=7&amp;number=0&amp;sourceID=14","0")</f>
        <v>0</v>
      </c>
    </row>
    <row r="424" spans="1:7">
      <c r="A424" s="3">
        <v>12</v>
      </c>
      <c r="B424" s="3">
        <v>5</v>
      </c>
      <c r="C424" s="3">
        <v>89</v>
      </c>
      <c r="D424" s="3">
        <v>9</v>
      </c>
      <c r="E424" s="3">
        <v>93.894</v>
      </c>
      <c r="F424" s="4" t="str">
        <f>HYPERLINK("http://141.218.60.56/~jnz1568/getInfo.php?workbook=12_05.xlsx&amp;sheet=A0&amp;row=424&amp;col=6&amp;number=817600000&amp;sourceID=14","817600000")</f>
        <v>817600000</v>
      </c>
      <c r="G424" s="4" t="str">
        <f>HYPERLINK("http://141.218.60.56/~jnz1568/getInfo.php?workbook=12_05.xlsx&amp;sheet=A0&amp;row=424&amp;col=7&amp;number=0&amp;sourceID=14","0")</f>
        <v>0</v>
      </c>
    </row>
    <row r="425" spans="1:7">
      <c r="A425" s="3">
        <v>12</v>
      </c>
      <c r="B425" s="3">
        <v>5</v>
      </c>
      <c r="C425" s="3">
        <v>90</v>
      </c>
      <c r="D425" s="3">
        <v>9</v>
      </c>
      <c r="E425" s="3">
        <v>-88.151</v>
      </c>
      <c r="F425" s="4" t="str">
        <f>HYPERLINK("http://141.218.60.56/~jnz1568/getInfo.php?workbook=12_05.xlsx&amp;sheet=A0&amp;row=425&amp;col=6&amp;number=55700000&amp;sourceID=14","55700000")</f>
        <v>55700000</v>
      </c>
      <c r="G425" s="4" t="str">
        <f>HYPERLINK("http://141.218.60.56/~jnz1568/getInfo.php?workbook=12_05.xlsx&amp;sheet=A0&amp;row=425&amp;col=7&amp;number=0&amp;sourceID=14","0")</f>
        <v>0</v>
      </c>
    </row>
    <row r="426" spans="1:7">
      <c r="A426" s="3">
        <v>12</v>
      </c>
      <c r="B426" s="3">
        <v>5</v>
      </c>
      <c r="C426" s="3">
        <v>91</v>
      </c>
      <c r="D426" s="3">
        <v>9</v>
      </c>
      <c r="E426" s="3">
        <v>86.391</v>
      </c>
      <c r="F426" s="4" t="str">
        <f>HYPERLINK("http://141.218.60.56/~jnz1568/getInfo.php?workbook=12_05.xlsx&amp;sheet=A0&amp;row=426&amp;col=6&amp;number=1026000000&amp;sourceID=14","1026000000")</f>
        <v>1026000000</v>
      </c>
      <c r="G426" s="4" t="str">
        <f>HYPERLINK("http://141.218.60.56/~jnz1568/getInfo.php?workbook=12_05.xlsx&amp;sheet=A0&amp;row=426&amp;col=7&amp;number=0&amp;sourceID=14","0")</f>
        <v>0</v>
      </c>
    </row>
    <row r="427" spans="1:7">
      <c r="A427" s="3">
        <v>12</v>
      </c>
      <c r="B427" s="3">
        <v>5</v>
      </c>
      <c r="C427" s="3">
        <v>92</v>
      </c>
      <c r="D427" s="3">
        <v>9</v>
      </c>
      <c r="E427" s="3">
        <v>86.236</v>
      </c>
      <c r="F427" s="4" t="str">
        <f>HYPERLINK("http://141.218.60.56/~jnz1568/getInfo.php?workbook=12_05.xlsx&amp;sheet=A0&amp;row=427&amp;col=6&amp;number=38830000000&amp;sourceID=14","38830000000")</f>
        <v>38830000000</v>
      </c>
      <c r="G427" s="4" t="str">
        <f>HYPERLINK("http://141.218.60.56/~jnz1568/getInfo.php?workbook=12_05.xlsx&amp;sheet=A0&amp;row=427&amp;col=7&amp;number=0&amp;sourceID=14","0")</f>
        <v>0</v>
      </c>
    </row>
    <row r="428" spans="1:7">
      <c r="A428" s="3">
        <v>12</v>
      </c>
      <c r="B428" s="3">
        <v>5</v>
      </c>
      <c r="C428" s="3">
        <v>93</v>
      </c>
      <c r="D428" s="3">
        <v>9</v>
      </c>
      <c r="E428" s="3">
        <v>85.786</v>
      </c>
      <c r="F428" s="4" t="str">
        <f>HYPERLINK("http://141.218.60.56/~jnz1568/getInfo.php?workbook=12_05.xlsx&amp;sheet=A0&amp;row=428&amp;col=6&amp;number=119300000&amp;sourceID=14","119300000")</f>
        <v>119300000</v>
      </c>
      <c r="G428" s="4" t="str">
        <f>HYPERLINK("http://141.218.60.56/~jnz1568/getInfo.php?workbook=12_05.xlsx&amp;sheet=A0&amp;row=428&amp;col=7&amp;number=0&amp;sourceID=14","0")</f>
        <v>0</v>
      </c>
    </row>
    <row r="429" spans="1:7">
      <c r="A429" s="3">
        <v>12</v>
      </c>
      <c r="B429" s="3">
        <v>5</v>
      </c>
      <c r="C429" s="3">
        <v>94</v>
      </c>
      <c r="D429" s="3">
        <v>9</v>
      </c>
      <c r="E429" s="3">
        <v>-85.586</v>
      </c>
      <c r="F429" s="4" t="str">
        <f>HYPERLINK("http://141.218.60.56/~jnz1568/getInfo.php?workbook=12_05.xlsx&amp;sheet=A0&amp;row=429&amp;col=6&amp;number=5811000000&amp;sourceID=14","5811000000")</f>
        <v>5811000000</v>
      </c>
      <c r="G429" s="4" t="str">
        <f>HYPERLINK("http://141.218.60.56/~jnz1568/getInfo.php?workbook=12_05.xlsx&amp;sheet=A0&amp;row=429&amp;col=7&amp;number=0&amp;sourceID=14","0")</f>
        <v>0</v>
      </c>
    </row>
    <row r="430" spans="1:7">
      <c r="A430" s="3">
        <v>12</v>
      </c>
      <c r="B430" s="3">
        <v>5</v>
      </c>
      <c r="C430" s="3">
        <v>95</v>
      </c>
      <c r="D430" s="3">
        <v>9</v>
      </c>
      <c r="E430" s="3">
        <v>83.726</v>
      </c>
      <c r="F430" s="4" t="str">
        <f>HYPERLINK("http://141.218.60.56/~jnz1568/getInfo.php?workbook=12_05.xlsx&amp;sheet=A0&amp;row=430&amp;col=6&amp;number=1196000000&amp;sourceID=14","1196000000")</f>
        <v>1196000000</v>
      </c>
      <c r="G430" s="4" t="str">
        <f>HYPERLINK("http://141.218.60.56/~jnz1568/getInfo.php?workbook=12_05.xlsx&amp;sheet=A0&amp;row=430&amp;col=7&amp;number=0&amp;sourceID=14","0")</f>
        <v>0</v>
      </c>
    </row>
    <row r="431" spans="1:7">
      <c r="A431" s="3">
        <v>12</v>
      </c>
      <c r="B431" s="3">
        <v>5</v>
      </c>
      <c r="C431" s="3">
        <v>96</v>
      </c>
      <c r="D431" s="3">
        <v>9</v>
      </c>
      <c r="E431" s="3">
        <v>77.573</v>
      </c>
      <c r="F431" s="4" t="str">
        <f>HYPERLINK("http://141.218.60.56/~jnz1568/getInfo.php?workbook=12_05.xlsx&amp;sheet=A0&amp;row=431&amp;col=6&amp;number=337000000000&amp;sourceID=14","337000000000")</f>
        <v>337000000000</v>
      </c>
      <c r="G431" s="4" t="str">
        <f>HYPERLINK("http://141.218.60.56/~jnz1568/getInfo.php?workbook=12_05.xlsx&amp;sheet=A0&amp;row=431&amp;col=7&amp;number=0&amp;sourceID=14","0")</f>
        <v>0</v>
      </c>
    </row>
    <row r="432" spans="1:7">
      <c r="A432" s="3">
        <v>12</v>
      </c>
      <c r="B432" s="3">
        <v>5</v>
      </c>
      <c r="C432" s="3">
        <v>97</v>
      </c>
      <c r="D432" s="3">
        <v>9</v>
      </c>
      <c r="E432" s="3">
        <v>-76.68</v>
      </c>
      <c r="F432" s="4" t="str">
        <f>HYPERLINK("http://141.218.60.56/~jnz1568/getInfo.php?workbook=12_05.xlsx&amp;sheet=A0&amp;row=432&amp;col=6&amp;number=39100000000&amp;sourceID=14","39100000000")</f>
        <v>39100000000</v>
      </c>
      <c r="G432" s="4" t="str">
        <f>HYPERLINK("http://141.218.60.56/~jnz1568/getInfo.php?workbook=12_05.xlsx&amp;sheet=A0&amp;row=432&amp;col=7&amp;number=0&amp;sourceID=14","0")</f>
        <v>0</v>
      </c>
    </row>
    <row r="433" spans="1:7">
      <c r="A433" s="3">
        <v>12</v>
      </c>
      <c r="B433" s="3">
        <v>5</v>
      </c>
      <c r="C433" s="3">
        <v>98</v>
      </c>
      <c r="D433" s="3">
        <v>9</v>
      </c>
      <c r="E433" s="3">
        <v>-75.969</v>
      </c>
      <c r="F433" s="4" t="str">
        <f>HYPERLINK("http://141.218.60.56/~jnz1568/getInfo.php?workbook=12_05.xlsx&amp;sheet=A0&amp;row=433&amp;col=6&amp;number=8671000&amp;sourceID=14","8671000")</f>
        <v>8671000</v>
      </c>
      <c r="G433" s="4" t="str">
        <f>HYPERLINK("http://141.218.60.56/~jnz1568/getInfo.php?workbook=12_05.xlsx&amp;sheet=A0&amp;row=433&amp;col=7&amp;number=0&amp;sourceID=14","0")</f>
        <v>0</v>
      </c>
    </row>
    <row r="434" spans="1:7">
      <c r="A434" s="3">
        <v>12</v>
      </c>
      <c r="B434" s="3">
        <v>5</v>
      </c>
      <c r="C434" s="3">
        <v>99</v>
      </c>
      <c r="D434" s="3">
        <v>9</v>
      </c>
      <c r="E434" s="3">
        <v>-75.491</v>
      </c>
      <c r="F434" s="4" t="str">
        <f>HYPERLINK("http://141.218.60.56/~jnz1568/getInfo.php?workbook=12_05.xlsx&amp;sheet=A0&amp;row=434&amp;col=6&amp;number=225200000&amp;sourceID=14","225200000")</f>
        <v>225200000</v>
      </c>
      <c r="G434" s="4" t="str">
        <f>HYPERLINK("http://141.218.60.56/~jnz1568/getInfo.php?workbook=12_05.xlsx&amp;sheet=A0&amp;row=434&amp;col=7&amp;number=0&amp;sourceID=14","0")</f>
        <v>0</v>
      </c>
    </row>
    <row r="435" spans="1:7">
      <c r="A435" s="3">
        <v>12</v>
      </c>
      <c r="B435" s="3">
        <v>5</v>
      </c>
      <c r="C435" s="3">
        <v>100</v>
      </c>
      <c r="D435" s="3">
        <v>9</v>
      </c>
      <c r="E435" s="3">
        <v>-74.998</v>
      </c>
      <c r="F435" s="4" t="str">
        <f>HYPERLINK("http://141.218.60.56/~jnz1568/getInfo.php?workbook=12_05.xlsx&amp;sheet=A0&amp;row=435&amp;col=6&amp;number=40610000000&amp;sourceID=14","40610000000")</f>
        <v>40610000000</v>
      </c>
      <c r="G435" s="4" t="str">
        <f>HYPERLINK("http://141.218.60.56/~jnz1568/getInfo.php?workbook=12_05.xlsx&amp;sheet=A0&amp;row=435&amp;col=7&amp;number=0&amp;sourceID=14","0")</f>
        <v>0</v>
      </c>
    </row>
    <row r="436" spans="1:7">
      <c r="A436" s="3">
        <v>12</v>
      </c>
      <c r="B436" s="3">
        <v>5</v>
      </c>
      <c r="C436" s="3">
        <v>101</v>
      </c>
      <c r="D436" s="3">
        <v>9</v>
      </c>
      <c r="E436" s="3">
        <v>73.785</v>
      </c>
      <c r="F436" s="4" t="str">
        <f>HYPERLINK("http://141.218.60.56/~jnz1568/getInfo.php?workbook=12_05.xlsx&amp;sheet=A0&amp;row=436&amp;col=6&amp;number=659300&amp;sourceID=14","659300")</f>
        <v>659300</v>
      </c>
      <c r="G436" s="4" t="str">
        <f>HYPERLINK("http://141.218.60.56/~jnz1568/getInfo.php?workbook=12_05.xlsx&amp;sheet=A0&amp;row=436&amp;col=7&amp;number=0&amp;sourceID=14","0")</f>
        <v>0</v>
      </c>
    </row>
    <row r="437" spans="1:7">
      <c r="A437" s="3">
        <v>12</v>
      </c>
      <c r="B437" s="3">
        <v>5</v>
      </c>
      <c r="C437" s="3">
        <v>102</v>
      </c>
      <c r="D437" s="3">
        <v>9</v>
      </c>
      <c r="E437" s="3">
        <v>-74.127</v>
      </c>
      <c r="F437" s="4" t="str">
        <f>HYPERLINK("http://141.218.60.56/~jnz1568/getInfo.php?workbook=12_05.xlsx&amp;sheet=A0&amp;row=437&amp;col=6&amp;number=12260000000&amp;sourceID=14","12260000000")</f>
        <v>12260000000</v>
      </c>
      <c r="G437" s="4" t="str">
        <f>HYPERLINK("http://141.218.60.56/~jnz1568/getInfo.php?workbook=12_05.xlsx&amp;sheet=A0&amp;row=437&amp;col=7&amp;number=0&amp;sourceID=14","0")</f>
        <v>0</v>
      </c>
    </row>
    <row r="438" spans="1:7">
      <c r="A438" s="3">
        <v>12</v>
      </c>
      <c r="B438" s="3">
        <v>5</v>
      </c>
      <c r="C438" s="3">
        <v>103</v>
      </c>
      <c r="D438" s="3">
        <v>9</v>
      </c>
      <c r="E438" s="3">
        <v>-71.999</v>
      </c>
      <c r="F438" s="4" t="str">
        <f>HYPERLINK("http://141.218.60.56/~jnz1568/getInfo.php?workbook=12_05.xlsx&amp;sheet=A0&amp;row=438&amp;col=6&amp;number=49480000000&amp;sourceID=14","49480000000")</f>
        <v>49480000000</v>
      </c>
      <c r="G438" s="4" t="str">
        <f>HYPERLINK("http://141.218.60.56/~jnz1568/getInfo.php?workbook=12_05.xlsx&amp;sheet=A0&amp;row=438&amp;col=7&amp;number=0&amp;sourceID=14","0")</f>
        <v>0</v>
      </c>
    </row>
    <row r="439" spans="1:7">
      <c r="A439" s="3">
        <v>12</v>
      </c>
      <c r="B439" s="3">
        <v>5</v>
      </c>
      <c r="C439" s="3">
        <v>104</v>
      </c>
      <c r="D439" s="3">
        <v>9</v>
      </c>
      <c r="E439" s="3">
        <v>-71.108</v>
      </c>
      <c r="F439" s="4" t="str">
        <f>HYPERLINK("http://141.218.60.56/~jnz1568/getInfo.php?workbook=12_05.xlsx&amp;sheet=A0&amp;row=439&amp;col=6&amp;number=3181000000&amp;sourceID=14","3181000000")</f>
        <v>3181000000</v>
      </c>
      <c r="G439" s="4" t="str">
        <f>HYPERLINK("http://141.218.60.56/~jnz1568/getInfo.php?workbook=12_05.xlsx&amp;sheet=A0&amp;row=439&amp;col=7&amp;number=0&amp;sourceID=14","0")</f>
        <v>0</v>
      </c>
    </row>
    <row r="440" spans="1:7">
      <c r="A440" s="3">
        <v>12</v>
      </c>
      <c r="B440" s="3">
        <v>5</v>
      </c>
      <c r="C440" s="3">
        <v>105</v>
      </c>
      <c r="D440" s="3">
        <v>9</v>
      </c>
      <c r="E440" s="3">
        <v>-67.634</v>
      </c>
      <c r="F440" s="4" t="str">
        <f>HYPERLINK("http://141.218.60.56/~jnz1568/getInfo.php?workbook=12_05.xlsx&amp;sheet=A0&amp;row=440&amp;col=6&amp;number=318300000&amp;sourceID=14","318300000")</f>
        <v>318300000</v>
      </c>
      <c r="G440" s="4" t="str">
        <f>HYPERLINK("http://141.218.60.56/~jnz1568/getInfo.php?workbook=12_05.xlsx&amp;sheet=A0&amp;row=440&amp;col=7&amp;number=0&amp;sourceID=14","0")</f>
        <v>0</v>
      </c>
    </row>
    <row r="441" spans="1:7">
      <c r="A441" s="3">
        <v>12</v>
      </c>
      <c r="B441" s="3">
        <v>5</v>
      </c>
      <c r="C441" s="3">
        <v>73</v>
      </c>
      <c r="D441" s="3">
        <v>4</v>
      </c>
      <c r="E441" s="3">
        <v>-88.256</v>
      </c>
      <c r="F441" s="4" t="str">
        <f>HYPERLINK("http://141.218.60.56/~jnz1568/getInfo.php?workbook=12_05.xlsx&amp;sheet=A0&amp;row=441&amp;col=6&amp;number=311200&amp;sourceID=14","311200")</f>
        <v>311200</v>
      </c>
      <c r="G441" s="4" t="str">
        <f>HYPERLINK("http://141.218.60.56/~jnz1568/getInfo.php?workbook=12_05.xlsx&amp;sheet=A0&amp;row=441&amp;col=7&amp;number=0&amp;sourceID=14","0")</f>
        <v>0</v>
      </c>
    </row>
    <row r="442" spans="1:7">
      <c r="A442" s="3">
        <v>12</v>
      </c>
      <c r="B442" s="3">
        <v>5</v>
      </c>
      <c r="C442" s="3">
        <v>74</v>
      </c>
      <c r="D442" s="3">
        <v>4</v>
      </c>
      <c r="E442" s="3">
        <v>81.949</v>
      </c>
      <c r="F442" s="4" t="str">
        <f>HYPERLINK("http://141.218.60.56/~jnz1568/getInfo.php?workbook=12_05.xlsx&amp;sheet=A0&amp;row=442&amp;col=6&amp;number=57210000000&amp;sourceID=14","57210000000")</f>
        <v>57210000000</v>
      </c>
      <c r="G442" s="4" t="str">
        <f>HYPERLINK("http://141.218.60.56/~jnz1568/getInfo.php?workbook=12_05.xlsx&amp;sheet=A0&amp;row=442&amp;col=7&amp;number=0&amp;sourceID=14","0")</f>
        <v>0</v>
      </c>
    </row>
    <row r="443" spans="1:7">
      <c r="A443" s="3">
        <v>12</v>
      </c>
      <c r="B443" s="3">
        <v>5</v>
      </c>
      <c r="C443" s="3">
        <v>75</v>
      </c>
      <c r="D443" s="3">
        <v>4</v>
      </c>
      <c r="E443" s="3">
        <v>79.979</v>
      </c>
      <c r="F443" s="4" t="str">
        <f>HYPERLINK("http://141.218.60.56/~jnz1568/getInfo.php?workbook=12_05.xlsx&amp;sheet=A0&amp;row=443&amp;col=6&amp;number=12020000&amp;sourceID=14","12020000")</f>
        <v>12020000</v>
      </c>
      <c r="G443" s="4" t="str">
        <f>HYPERLINK("http://141.218.60.56/~jnz1568/getInfo.php?workbook=12_05.xlsx&amp;sheet=A0&amp;row=443&amp;col=7&amp;number=0&amp;sourceID=14","0")</f>
        <v>0</v>
      </c>
    </row>
    <row r="444" spans="1:7">
      <c r="A444" s="3">
        <v>12</v>
      </c>
      <c r="B444" s="3">
        <v>5</v>
      </c>
      <c r="C444" s="3">
        <v>76</v>
      </c>
      <c r="D444" s="3">
        <v>4</v>
      </c>
      <c r="E444" s="3">
        <v>-74.906</v>
      </c>
      <c r="F444" s="4" t="str">
        <f>HYPERLINK("http://141.218.60.56/~jnz1568/getInfo.php?workbook=12_05.xlsx&amp;sheet=A0&amp;row=444&amp;col=6&amp;number=77620000000&amp;sourceID=14","77620000000")</f>
        <v>77620000000</v>
      </c>
      <c r="G444" s="4" t="str">
        <f>HYPERLINK("http://141.218.60.56/~jnz1568/getInfo.php?workbook=12_05.xlsx&amp;sheet=A0&amp;row=444&amp;col=7&amp;number=0&amp;sourceID=14","0")</f>
        <v>0</v>
      </c>
    </row>
    <row r="445" spans="1:7">
      <c r="A445" s="3">
        <v>12</v>
      </c>
      <c r="B445" s="3">
        <v>5</v>
      </c>
      <c r="C445" s="3">
        <v>77</v>
      </c>
      <c r="D445" s="3">
        <v>4</v>
      </c>
      <c r="E445" s="3">
        <v>73.867</v>
      </c>
      <c r="F445" s="4" t="str">
        <f>HYPERLINK("http://141.218.60.56/~jnz1568/getInfo.php?workbook=12_05.xlsx&amp;sheet=A0&amp;row=445&amp;col=6&amp;number=286800000000&amp;sourceID=14","286800000000")</f>
        <v>286800000000</v>
      </c>
      <c r="G445" s="4" t="str">
        <f>HYPERLINK("http://141.218.60.56/~jnz1568/getInfo.php?workbook=12_05.xlsx&amp;sheet=A0&amp;row=445&amp;col=7&amp;number=0&amp;sourceID=14","0")</f>
        <v>0</v>
      </c>
    </row>
    <row r="446" spans="1:7">
      <c r="A446" s="3">
        <v>12</v>
      </c>
      <c r="B446" s="3">
        <v>5</v>
      </c>
      <c r="C446" s="3">
        <v>78</v>
      </c>
      <c r="D446" s="3">
        <v>4</v>
      </c>
      <c r="E446" s="3">
        <v>73.755</v>
      </c>
      <c r="F446" s="4" t="str">
        <f>HYPERLINK("http://141.218.60.56/~jnz1568/getInfo.php?workbook=12_05.xlsx&amp;sheet=A0&amp;row=446&amp;col=6&amp;number=9167000&amp;sourceID=14","9167000")</f>
        <v>9167000</v>
      </c>
      <c r="G446" s="4" t="str">
        <f>HYPERLINK("http://141.218.60.56/~jnz1568/getInfo.php?workbook=12_05.xlsx&amp;sheet=A0&amp;row=446&amp;col=7&amp;number=0&amp;sourceID=14","0")</f>
        <v>0</v>
      </c>
    </row>
    <row r="447" spans="1:7">
      <c r="A447" s="3">
        <v>12</v>
      </c>
      <c r="B447" s="3">
        <v>5</v>
      </c>
      <c r="C447" s="3">
        <v>79</v>
      </c>
      <c r="D447" s="3">
        <v>4</v>
      </c>
      <c r="E447" s="3">
        <v>72.299</v>
      </c>
      <c r="F447" s="4" t="str">
        <f>HYPERLINK("http://141.218.60.56/~jnz1568/getInfo.php?workbook=12_05.xlsx&amp;sheet=A0&amp;row=447&amp;col=6&amp;number=11640000&amp;sourceID=14","11640000")</f>
        <v>11640000</v>
      </c>
      <c r="G447" s="4" t="str">
        <f>HYPERLINK("http://141.218.60.56/~jnz1568/getInfo.php?workbook=12_05.xlsx&amp;sheet=A0&amp;row=447&amp;col=7&amp;number=0&amp;sourceID=14","0")</f>
        <v>0</v>
      </c>
    </row>
    <row r="448" spans="1:7">
      <c r="A448" s="3">
        <v>12</v>
      </c>
      <c r="B448" s="3">
        <v>5</v>
      </c>
      <c r="C448" s="3">
        <v>80</v>
      </c>
      <c r="D448" s="3">
        <v>4</v>
      </c>
      <c r="E448" s="3">
        <v>67.588</v>
      </c>
      <c r="F448" s="4" t="str">
        <f>HYPERLINK("http://141.218.60.56/~jnz1568/getInfo.php?workbook=12_05.xlsx&amp;sheet=A0&amp;row=448&amp;col=6&amp;number=3790000&amp;sourceID=14","3790000")</f>
        <v>3790000</v>
      </c>
      <c r="G448" s="4" t="str">
        <f>HYPERLINK("http://141.218.60.56/~jnz1568/getInfo.php?workbook=12_05.xlsx&amp;sheet=A0&amp;row=448&amp;col=7&amp;number=0&amp;sourceID=14","0")</f>
        <v>0</v>
      </c>
    </row>
    <row r="449" spans="1:7">
      <c r="A449" s="3">
        <v>12</v>
      </c>
      <c r="B449" s="3">
        <v>5</v>
      </c>
      <c r="C449" s="3">
        <v>81</v>
      </c>
      <c r="D449" s="3">
        <v>4</v>
      </c>
      <c r="E449" s="3">
        <v>-66.956</v>
      </c>
      <c r="F449" s="4" t="str">
        <f>HYPERLINK("http://141.218.60.56/~jnz1568/getInfo.php?workbook=12_05.xlsx&amp;sheet=A0&amp;row=449&amp;col=6&amp;number=244600000&amp;sourceID=14","244600000")</f>
        <v>244600000</v>
      </c>
      <c r="G449" s="4" t="str">
        <f>HYPERLINK("http://141.218.60.56/~jnz1568/getInfo.php?workbook=12_05.xlsx&amp;sheet=A0&amp;row=449&amp;col=7&amp;number=0&amp;sourceID=14","0")</f>
        <v>0</v>
      </c>
    </row>
    <row r="450" spans="1:7">
      <c r="A450" s="3">
        <v>12</v>
      </c>
      <c r="B450" s="3">
        <v>5</v>
      </c>
      <c r="C450" s="3">
        <v>82</v>
      </c>
      <c r="D450" s="3">
        <v>4</v>
      </c>
      <c r="E450" s="3">
        <v>-66.521</v>
      </c>
      <c r="F450" s="4" t="str">
        <f>HYPERLINK("http://141.218.60.56/~jnz1568/getInfo.php?workbook=12_05.xlsx&amp;sheet=A0&amp;row=450&amp;col=6&amp;number=7164000000&amp;sourceID=14","7164000000")</f>
        <v>7164000000</v>
      </c>
      <c r="G450" s="4" t="str">
        <f>HYPERLINK("http://141.218.60.56/~jnz1568/getInfo.php?workbook=12_05.xlsx&amp;sheet=A0&amp;row=450&amp;col=7&amp;number=0&amp;sourceID=14","0")</f>
        <v>0</v>
      </c>
    </row>
    <row r="451" spans="1:7">
      <c r="A451" s="3">
        <v>12</v>
      </c>
      <c r="B451" s="3">
        <v>5</v>
      </c>
      <c r="C451" s="3">
        <v>83</v>
      </c>
      <c r="D451" s="3">
        <v>4</v>
      </c>
      <c r="E451" s="3">
        <v>-66.145</v>
      </c>
      <c r="F451" s="4" t="str">
        <f>HYPERLINK("http://141.218.60.56/~jnz1568/getInfo.php?workbook=12_05.xlsx&amp;sheet=A0&amp;row=451&amp;col=6&amp;number=56660000000&amp;sourceID=14","56660000000")</f>
        <v>56660000000</v>
      </c>
      <c r="G451" s="4" t="str">
        <f>HYPERLINK("http://141.218.60.56/~jnz1568/getInfo.php?workbook=12_05.xlsx&amp;sheet=A0&amp;row=451&amp;col=7&amp;number=0&amp;sourceID=14","0")</f>
        <v>0</v>
      </c>
    </row>
    <row r="452" spans="1:7">
      <c r="A452" s="3">
        <v>12</v>
      </c>
      <c r="B452" s="3">
        <v>5</v>
      </c>
      <c r="C452" s="3">
        <v>84</v>
      </c>
      <c r="D452" s="3">
        <v>4</v>
      </c>
      <c r="E452" s="3">
        <v>-65.067</v>
      </c>
      <c r="F452" s="4" t="str">
        <f>HYPERLINK("http://141.218.60.56/~jnz1568/getInfo.php?workbook=12_05.xlsx&amp;sheet=A0&amp;row=452&amp;col=6&amp;number=29190000&amp;sourceID=14","29190000")</f>
        <v>29190000</v>
      </c>
      <c r="G452" s="4" t="str">
        <f>HYPERLINK("http://141.218.60.56/~jnz1568/getInfo.php?workbook=12_05.xlsx&amp;sheet=A0&amp;row=452&amp;col=7&amp;number=0&amp;sourceID=14","0")</f>
        <v>0</v>
      </c>
    </row>
    <row r="453" spans="1:7">
      <c r="A453" s="3">
        <v>12</v>
      </c>
      <c r="B453" s="3">
        <v>5</v>
      </c>
      <c r="C453" s="3">
        <v>85</v>
      </c>
      <c r="D453" s="3">
        <v>4</v>
      </c>
      <c r="E453" s="3">
        <v>-62.785</v>
      </c>
      <c r="F453" s="4" t="str">
        <f>HYPERLINK("http://141.218.60.56/~jnz1568/getInfo.php?workbook=12_05.xlsx&amp;sheet=A0&amp;row=453&amp;col=6&amp;number=74640&amp;sourceID=14","74640")</f>
        <v>74640</v>
      </c>
      <c r="G453" s="4" t="str">
        <f>HYPERLINK("http://141.218.60.56/~jnz1568/getInfo.php?workbook=12_05.xlsx&amp;sheet=A0&amp;row=453&amp;col=7&amp;number=0&amp;sourceID=14","0")</f>
        <v>0</v>
      </c>
    </row>
    <row r="454" spans="1:7">
      <c r="A454" s="3">
        <v>12</v>
      </c>
      <c r="B454" s="3">
        <v>5</v>
      </c>
      <c r="C454" s="3">
        <v>86</v>
      </c>
      <c r="D454" s="3">
        <v>4</v>
      </c>
      <c r="E454" s="3">
        <v>-60.027</v>
      </c>
      <c r="F454" s="4" t="str">
        <f>HYPERLINK("http://141.218.60.56/~jnz1568/getInfo.php?workbook=12_05.xlsx&amp;sheet=A0&amp;row=454&amp;col=6&amp;number=64290&amp;sourceID=14","64290")</f>
        <v>64290</v>
      </c>
      <c r="G454" s="4" t="str">
        <f>HYPERLINK("http://141.218.60.56/~jnz1568/getInfo.php?workbook=12_05.xlsx&amp;sheet=A0&amp;row=454&amp;col=7&amp;number=0&amp;sourceID=14","0")</f>
        <v>0</v>
      </c>
    </row>
    <row r="455" spans="1:7">
      <c r="A455" s="3">
        <v>12</v>
      </c>
      <c r="B455" s="3">
        <v>5</v>
      </c>
      <c r="C455" s="3">
        <v>73</v>
      </c>
      <c r="D455" s="3">
        <v>6</v>
      </c>
      <c r="E455" s="3">
        <v>-96.919</v>
      </c>
      <c r="F455" s="4" t="str">
        <f>HYPERLINK("http://141.218.60.56/~jnz1568/getInfo.php?workbook=12_05.xlsx&amp;sheet=A0&amp;row=455&amp;col=6&amp;number=1918000000&amp;sourceID=14","1918000000")</f>
        <v>1918000000</v>
      </c>
      <c r="G455" s="4" t="str">
        <f>HYPERLINK("http://141.218.60.56/~jnz1568/getInfo.php?workbook=12_05.xlsx&amp;sheet=A0&amp;row=455&amp;col=7&amp;number=0&amp;sourceID=14","0")</f>
        <v>0</v>
      </c>
    </row>
    <row r="456" spans="1:7">
      <c r="A456" s="3">
        <v>12</v>
      </c>
      <c r="B456" s="3">
        <v>5</v>
      </c>
      <c r="C456" s="3">
        <v>74</v>
      </c>
      <c r="D456" s="3">
        <v>6</v>
      </c>
      <c r="E456" s="3">
        <v>89.36</v>
      </c>
      <c r="F456" s="4" t="str">
        <f>HYPERLINK("http://141.218.60.56/~jnz1568/getInfo.php?workbook=12_05.xlsx&amp;sheet=A0&amp;row=456&amp;col=6&amp;number=11150000&amp;sourceID=14","11150000")</f>
        <v>11150000</v>
      </c>
      <c r="G456" s="4" t="str">
        <f>HYPERLINK("http://141.218.60.56/~jnz1568/getInfo.php?workbook=12_05.xlsx&amp;sheet=A0&amp;row=456&amp;col=7&amp;number=0&amp;sourceID=14","0")</f>
        <v>0</v>
      </c>
    </row>
    <row r="457" spans="1:7">
      <c r="A457" s="3">
        <v>12</v>
      </c>
      <c r="B457" s="3">
        <v>5</v>
      </c>
      <c r="C457" s="3">
        <v>75</v>
      </c>
      <c r="D457" s="3">
        <v>6</v>
      </c>
      <c r="E457" s="3">
        <v>87.022</v>
      </c>
      <c r="F457" s="4" t="str">
        <f>HYPERLINK("http://141.218.60.56/~jnz1568/getInfo.php?workbook=12_05.xlsx&amp;sheet=A0&amp;row=457&amp;col=6&amp;number=38860000000&amp;sourceID=14","38860000000")</f>
        <v>38860000000</v>
      </c>
      <c r="G457" s="4" t="str">
        <f>HYPERLINK("http://141.218.60.56/~jnz1568/getInfo.php?workbook=12_05.xlsx&amp;sheet=A0&amp;row=457&amp;col=7&amp;number=0&amp;sourceID=14","0")</f>
        <v>0</v>
      </c>
    </row>
    <row r="458" spans="1:7">
      <c r="A458" s="3">
        <v>12</v>
      </c>
      <c r="B458" s="3">
        <v>5</v>
      </c>
      <c r="C458" s="3">
        <v>76</v>
      </c>
      <c r="D458" s="3">
        <v>6</v>
      </c>
      <c r="E458" s="3">
        <v>-81.055</v>
      </c>
      <c r="F458" s="4" t="str">
        <f>HYPERLINK("http://141.218.60.56/~jnz1568/getInfo.php?workbook=12_05.xlsx&amp;sheet=A0&amp;row=458&amp;col=6&amp;number=31460000&amp;sourceID=14","31460000")</f>
        <v>31460000</v>
      </c>
      <c r="G458" s="4" t="str">
        <f>HYPERLINK("http://141.218.60.56/~jnz1568/getInfo.php?workbook=12_05.xlsx&amp;sheet=A0&amp;row=458&amp;col=7&amp;number=0&amp;sourceID=14","0")</f>
        <v>0</v>
      </c>
    </row>
    <row r="459" spans="1:7">
      <c r="A459" s="3">
        <v>12</v>
      </c>
      <c r="B459" s="3">
        <v>5</v>
      </c>
      <c r="C459" s="3">
        <v>77</v>
      </c>
      <c r="D459" s="3">
        <v>6</v>
      </c>
      <c r="E459" s="3">
        <v>79.834</v>
      </c>
      <c r="F459" s="4" t="str">
        <f>HYPERLINK("http://141.218.60.56/~jnz1568/getInfo.php?workbook=12_05.xlsx&amp;sheet=A0&amp;row=459&amp;col=6&amp;number=3618000&amp;sourceID=14","3618000")</f>
        <v>3618000</v>
      </c>
      <c r="G459" s="4" t="str">
        <f>HYPERLINK("http://141.218.60.56/~jnz1568/getInfo.php?workbook=12_05.xlsx&amp;sheet=A0&amp;row=459&amp;col=7&amp;number=0&amp;sourceID=14","0")</f>
        <v>0</v>
      </c>
    </row>
    <row r="460" spans="1:7">
      <c r="A460" s="3">
        <v>12</v>
      </c>
      <c r="B460" s="3">
        <v>5</v>
      </c>
      <c r="C460" s="3">
        <v>78</v>
      </c>
      <c r="D460" s="3">
        <v>6</v>
      </c>
      <c r="E460" s="3">
        <v>79.703</v>
      </c>
      <c r="F460" s="4" t="str">
        <f>HYPERLINK("http://141.218.60.56/~jnz1568/getInfo.php?workbook=12_05.xlsx&amp;sheet=A0&amp;row=460&amp;col=6&amp;number=37540000000&amp;sourceID=14","37540000000")</f>
        <v>37540000000</v>
      </c>
      <c r="G460" s="4" t="str">
        <f>HYPERLINK("http://141.218.60.56/~jnz1568/getInfo.php?workbook=12_05.xlsx&amp;sheet=A0&amp;row=460&amp;col=7&amp;number=0&amp;sourceID=14","0")</f>
        <v>0</v>
      </c>
    </row>
    <row r="461" spans="1:7">
      <c r="A461" s="3">
        <v>12</v>
      </c>
      <c r="B461" s="3">
        <v>5</v>
      </c>
      <c r="C461" s="3">
        <v>79</v>
      </c>
      <c r="D461" s="3">
        <v>6</v>
      </c>
      <c r="E461" s="3">
        <v>78.006</v>
      </c>
      <c r="F461" s="4" t="str">
        <f>HYPERLINK("http://141.218.60.56/~jnz1568/getInfo.php?workbook=12_05.xlsx&amp;sheet=A0&amp;row=461&amp;col=6&amp;number=4570000000&amp;sourceID=14","4570000000")</f>
        <v>4570000000</v>
      </c>
      <c r="G461" s="4" t="str">
        <f>HYPERLINK("http://141.218.60.56/~jnz1568/getInfo.php?workbook=12_05.xlsx&amp;sheet=A0&amp;row=461&amp;col=7&amp;number=0&amp;sourceID=14","0")</f>
        <v>0</v>
      </c>
    </row>
    <row r="462" spans="1:7">
      <c r="A462" s="3">
        <v>12</v>
      </c>
      <c r="B462" s="3">
        <v>5</v>
      </c>
      <c r="C462" s="3">
        <v>80</v>
      </c>
      <c r="D462" s="3">
        <v>6</v>
      </c>
      <c r="E462" s="3">
        <v>72.55</v>
      </c>
      <c r="F462" s="4" t="str">
        <f>HYPERLINK("http://141.218.60.56/~jnz1568/getInfo.php?workbook=12_05.xlsx&amp;sheet=A0&amp;row=462&amp;col=6&amp;number=8228000000&amp;sourceID=14","8228000000")</f>
        <v>8228000000</v>
      </c>
      <c r="G462" s="4" t="str">
        <f>HYPERLINK("http://141.218.60.56/~jnz1568/getInfo.php?workbook=12_05.xlsx&amp;sheet=A0&amp;row=462&amp;col=7&amp;number=0&amp;sourceID=14","0")</f>
        <v>0</v>
      </c>
    </row>
    <row r="463" spans="1:7">
      <c r="A463" s="3">
        <v>12</v>
      </c>
      <c r="B463" s="3">
        <v>5</v>
      </c>
      <c r="C463" s="3">
        <v>81</v>
      </c>
      <c r="D463" s="3">
        <v>6</v>
      </c>
      <c r="E463" s="3">
        <v>-71.827</v>
      </c>
      <c r="F463" s="4" t="str">
        <f>HYPERLINK("http://141.218.60.56/~jnz1568/getInfo.php?workbook=12_05.xlsx&amp;sheet=A0&amp;row=463&amp;col=6&amp;number=271700000&amp;sourceID=14","271700000")</f>
        <v>271700000</v>
      </c>
      <c r="G463" s="4" t="str">
        <f>HYPERLINK("http://141.218.60.56/~jnz1568/getInfo.php?workbook=12_05.xlsx&amp;sheet=A0&amp;row=463&amp;col=7&amp;number=0&amp;sourceID=14","0")</f>
        <v>0</v>
      </c>
    </row>
    <row r="464" spans="1:7">
      <c r="A464" s="3">
        <v>12</v>
      </c>
      <c r="B464" s="3">
        <v>5</v>
      </c>
      <c r="C464" s="3">
        <v>82</v>
      </c>
      <c r="D464" s="3">
        <v>6</v>
      </c>
      <c r="E464" s="3">
        <v>-71.327</v>
      </c>
      <c r="F464" s="4" t="str">
        <f>HYPERLINK("http://141.218.60.56/~jnz1568/getInfo.php?workbook=12_05.xlsx&amp;sheet=A0&amp;row=464&amp;col=6&amp;number=27900000&amp;sourceID=14","27900000")</f>
        <v>27900000</v>
      </c>
      <c r="G464" s="4" t="str">
        <f>HYPERLINK("http://141.218.60.56/~jnz1568/getInfo.php?workbook=12_05.xlsx&amp;sheet=A0&amp;row=464&amp;col=7&amp;number=0&amp;sourceID=14","0")</f>
        <v>0</v>
      </c>
    </row>
    <row r="465" spans="1:7">
      <c r="A465" s="3">
        <v>12</v>
      </c>
      <c r="B465" s="3">
        <v>5</v>
      </c>
      <c r="C465" s="3">
        <v>83</v>
      </c>
      <c r="D465" s="3">
        <v>6</v>
      </c>
      <c r="E465" s="3">
        <v>-70.895</v>
      </c>
      <c r="F465" s="4" t="str">
        <f>HYPERLINK("http://141.218.60.56/~jnz1568/getInfo.php?workbook=12_05.xlsx&amp;sheet=A0&amp;row=465&amp;col=6&amp;number=3212000&amp;sourceID=14","3212000")</f>
        <v>3212000</v>
      </c>
      <c r="G465" s="4" t="str">
        <f>HYPERLINK("http://141.218.60.56/~jnz1568/getInfo.php?workbook=12_05.xlsx&amp;sheet=A0&amp;row=465&amp;col=7&amp;number=0&amp;sourceID=14","0")</f>
        <v>0</v>
      </c>
    </row>
    <row r="466" spans="1:7">
      <c r="A466" s="3">
        <v>12</v>
      </c>
      <c r="B466" s="3">
        <v>5</v>
      </c>
      <c r="C466" s="3">
        <v>84</v>
      </c>
      <c r="D466" s="3">
        <v>6</v>
      </c>
      <c r="E466" s="3">
        <v>-69.657</v>
      </c>
      <c r="F466" s="4" t="str">
        <f>HYPERLINK("http://141.218.60.56/~jnz1568/getInfo.php?workbook=12_05.xlsx&amp;sheet=A0&amp;row=466&amp;col=6&amp;number=13780000000&amp;sourceID=14","13780000000")</f>
        <v>13780000000</v>
      </c>
      <c r="G466" s="4" t="str">
        <f>HYPERLINK("http://141.218.60.56/~jnz1568/getInfo.php?workbook=12_05.xlsx&amp;sheet=A0&amp;row=466&amp;col=7&amp;number=0&amp;sourceID=14","0")</f>
        <v>0</v>
      </c>
    </row>
    <row r="467" spans="1:7">
      <c r="A467" s="3">
        <v>12</v>
      </c>
      <c r="B467" s="3">
        <v>5</v>
      </c>
      <c r="C467" s="3">
        <v>85</v>
      </c>
      <c r="D467" s="3">
        <v>6</v>
      </c>
      <c r="E467" s="3">
        <v>-67.048</v>
      </c>
      <c r="F467" s="4" t="str">
        <f>HYPERLINK("http://141.218.60.56/~jnz1568/getInfo.php?workbook=12_05.xlsx&amp;sheet=A0&amp;row=467&amp;col=6&amp;number=73500000000&amp;sourceID=14","73500000000")</f>
        <v>73500000000</v>
      </c>
      <c r="G467" s="4" t="str">
        <f>HYPERLINK("http://141.218.60.56/~jnz1568/getInfo.php?workbook=12_05.xlsx&amp;sheet=A0&amp;row=467&amp;col=7&amp;number=0&amp;sourceID=14","0")</f>
        <v>0</v>
      </c>
    </row>
    <row r="468" spans="1:7">
      <c r="A468" s="3">
        <v>12</v>
      </c>
      <c r="B468" s="3">
        <v>5</v>
      </c>
      <c r="C468" s="3">
        <v>86</v>
      </c>
      <c r="D468" s="3">
        <v>6</v>
      </c>
      <c r="E468" s="3">
        <v>-63.913</v>
      </c>
      <c r="F468" s="4" t="str">
        <f>HYPERLINK("http://141.218.60.56/~jnz1568/getInfo.php?workbook=12_05.xlsx&amp;sheet=A0&amp;row=468&amp;col=6&amp;number=234300000&amp;sourceID=14","234300000")</f>
        <v>234300000</v>
      </c>
      <c r="G468" s="4" t="str">
        <f>HYPERLINK("http://141.218.60.56/~jnz1568/getInfo.php?workbook=12_05.xlsx&amp;sheet=A0&amp;row=468&amp;col=7&amp;number=0&amp;sourceID=14","0")</f>
        <v>0</v>
      </c>
    </row>
    <row r="469" spans="1:7">
      <c r="A469" s="3">
        <v>12</v>
      </c>
      <c r="B469" s="3">
        <v>5</v>
      </c>
      <c r="C469" s="3">
        <v>73</v>
      </c>
      <c r="D469" s="3">
        <v>10</v>
      </c>
      <c r="E469" s="3">
        <v>-106.003</v>
      </c>
      <c r="F469" s="4" t="str">
        <f>HYPERLINK("http://141.218.60.56/~jnz1568/getInfo.php?workbook=12_05.xlsx&amp;sheet=A0&amp;row=469&amp;col=6&amp;number=111800000&amp;sourceID=14","111800000")</f>
        <v>111800000</v>
      </c>
      <c r="G469" s="4" t="str">
        <f>HYPERLINK("http://141.218.60.56/~jnz1568/getInfo.php?workbook=12_05.xlsx&amp;sheet=A0&amp;row=469&amp;col=7&amp;number=0&amp;sourceID=14","0")</f>
        <v>0</v>
      </c>
    </row>
    <row r="470" spans="1:7">
      <c r="A470" s="3">
        <v>12</v>
      </c>
      <c r="B470" s="3">
        <v>5</v>
      </c>
      <c r="C470" s="3">
        <v>74</v>
      </c>
      <c r="D470" s="3">
        <v>10</v>
      </c>
      <c r="E470" s="3">
        <v>97.027</v>
      </c>
      <c r="F470" s="4" t="str">
        <f>HYPERLINK("http://141.218.60.56/~jnz1568/getInfo.php?workbook=12_05.xlsx&amp;sheet=A0&amp;row=470&amp;col=6&amp;number=488600&amp;sourceID=14","488600")</f>
        <v>488600</v>
      </c>
      <c r="G470" s="4" t="str">
        <f>HYPERLINK("http://141.218.60.56/~jnz1568/getInfo.php?workbook=12_05.xlsx&amp;sheet=A0&amp;row=470&amp;col=7&amp;number=0&amp;sourceID=14","0")</f>
        <v>0</v>
      </c>
    </row>
    <row r="471" spans="1:7">
      <c r="A471" s="3">
        <v>12</v>
      </c>
      <c r="B471" s="3">
        <v>5</v>
      </c>
      <c r="C471" s="3">
        <v>75</v>
      </c>
      <c r="D471" s="3">
        <v>10</v>
      </c>
      <c r="E471" s="3">
        <v>94.277</v>
      </c>
      <c r="F471" s="4" t="str">
        <f>HYPERLINK("http://141.218.60.56/~jnz1568/getInfo.php?workbook=12_05.xlsx&amp;sheet=A0&amp;row=471&amp;col=6&amp;number=1014000000&amp;sourceID=14","1014000000")</f>
        <v>1014000000</v>
      </c>
      <c r="G471" s="4" t="str">
        <f>HYPERLINK("http://141.218.60.56/~jnz1568/getInfo.php?workbook=12_05.xlsx&amp;sheet=A0&amp;row=471&amp;col=7&amp;number=0&amp;sourceID=14","0")</f>
        <v>0</v>
      </c>
    </row>
    <row r="472" spans="1:7">
      <c r="A472" s="3">
        <v>12</v>
      </c>
      <c r="B472" s="3">
        <v>5</v>
      </c>
      <c r="C472" s="3">
        <v>76</v>
      </c>
      <c r="D472" s="3">
        <v>10</v>
      </c>
      <c r="E472" s="3">
        <v>-87.312</v>
      </c>
      <c r="F472" s="4" t="str">
        <f>HYPERLINK("http://141.218.60.56/~jnz1568/getInfo.php?workbook=12_05.xlsx&amp;sheet=A0&amp;row=472&amp;col=6&amp;number=3633000&amp;sourceID=14","3633000")</f>
        <v>3633000</v>
      </c>
      <c r="G472" s="4" t="str">
        <f>HYPERLINK("http://141.218.60.56/~jnz1568/getInfo.php?workbook=12_05.xlsx&amp;sheet=A0&amp;row=472&amp;col=7&amp;number=0&amp;sourceID=14","0")</f>
        <v>0</v>
      </c>
    </row>
    <row r="473" spans="1:7">
      <c r="A473" s="3">
        <v>12</v>
      </c>
      <c r="B473" s="3">
        <v>5</v>
      </c>
      <c r="C473" s="3">
        <v>77</v>
      </c>
      <c r="D473" s="3">
        <v>10</v>
      </c>
      <c r="E473" s="3">
        <v>85.899</v>
      </c>
      <c r="F473" s="4" t="str">
        <f>HYPERLINK("http://141.218.60.56/~jnz1568/getInfo.php?workbook=12_05.xlsx&amp;sheet=A0&amp;row=473&amp;col=6&amp;number=2633000&amp;sourceID=14","2633000")</f>
        <v>2633000</v>
      </c>
      <c r="G473" s="4" t="str">
        <f>HYPERLINK("http://141.218.60.56/~jnz1568/getInfo.php?workbook=12_05.xlsx&amp;sheet=A0&amp;row=473&amp;col=7&amp;number=0&amp;sourceID=14","0")</f>
        <v>0</v>
      </c>
    </row>
    <row r="474" spans="1:7">
      <c r="A474" s="3">
        <v>12</v>
      </c>
      <c r="B474" s="3">
        <v>5</v>
      </c>
      <c r="C474" s="3">
        <v>78</v>
      </c>
      <c r="D474" s="3">
        <v>10</v>
      </c>
      <c r="E474" s="3">
        <v>85.747</v>
      </c>
      <c r="F474" s="4" t="str">
        <f>HYPERLINK("http://141.218.60.56/~jnz1568/getInfo.php?workbook=12_05.xlsx&amp;sheet=A0&amp;row=474&amp;col=6&amp;number=17020000000&amp;sourceID=14","17020000000")</f>
        <v>17020000000</v>
      </c>
      <c r="G474" s="4" t="str">
        <f>HYPERLINK("http://141.218.60.56/~jnz1568/getInfo.php?workbook=12_05.xlsx&amp;sheet=A0&amp;row=474&amp;col=7&amp;number=0&amp;sourceID=14","0")</f>
        <v>0</v>
      </c>
    </row>
    <row r="475" spans="1:7">
      <c r="A475" s="3">
        <v>12</v>
      </c>
      <c r="B475" s="3">
        <v>5</v>
      </c>
      <c r="C475" s="3">
        <v>79</v>
      </c>
      <c r="D475" s="3">
        <v>10</v>
      </c>
      <c r="E475" s="3">
        <v>83.786</v>
      </c>
      <c r="F475" s="4" t="str">
        <f>HYPERLINK("http://141.218.60.56/~jnz1568/getInfo.php?workbook=12_05.xlsx&amp;sheet=A0&amp;row=475&amp;col=6&amp;number=8221000000&amp;sourceID=14","8221000000")</f>
        <v>8221000000</v>
      </c>
      <c r="G475" s="4" t="str">
        <f>HYPERLINK("http://141.218.60.56/~jnz1568/getInfo.php?workbook=12_05.xlsx&amp;sheet=A0&amp;row=475&amp;col=7&amp;number=0&amp;sourceID=14","0")</f>
        <v>0</v>
      </c>
    </row>
    <row r="476" spans="1:7">
      <c r="A476" s="3">
        <v>12</v>
      </c>
      <c r="B476" s="3">
        <v>5</v>
      </c>
      <c r="C476" s="3">
        <v>80</v>
      </c>
      <c r="D476" s="3">
        <v>10</v>
      </c>
      <c r="E476" s="3">
        <v>77.524</v>
      </c>
      <c r="F476" s="4" t="str">
        <f>HYPERLINK("http://141.218.60.56/~jnz1568/getInfo.php?workbook=12_05.xlsx&amp;sheet=A0&amp;row=476&amp;col=6&amp;number=58260000000&amp;sourceID=14","58260000000")</f>
        <v>58260000000</v>
      </c>
      <c r="G476" s="4" t="str">
        <f>HYPERLINK("http://141.218.60.56/~jnz1568/getInfo.php?workbook=12_05.xlsx&amp;sheet=A0&amp;row=476&amp;col=7&amp;number=0&amp;sourceID=14","0")</f>
        <v>0</v>
      </c>
    </row>
    <row r="477" spans="1:7">
      <c r="A477" s="3">
        <v>12</v>
      </c>
      <c r="B477" s="3">
        <v>5</v>
      </c>
      <c r="C477" s="3">
        <v>81</v>
      </c>
      <c r="D477" s="3">
        <v>10</v>
      </c>
      <c r="E477" s="3">
        <v>-76.697</v>
      </c>
      <c r="F477" s="4" t="str">
        <f>HYPERLINK("http://141.218.60.56/~jnz1568/getInfo.php?workbook=12_05.xlsx&amp;sheet=A0&amp;row=477&amp;col=6&amp;number=53570000000&amp;sourceID=14","53570000000")</f>
        <v>53570000000</v>
      </c>
      <c r="G477" s="4" t="str">
        <f>HYPERLINK("http://141.218.60.56/~jnz1568/getInfo.php?workbook=12_05.xlsx&amp;sheet=A0&amp;row=477&amp;col=7&amp;number=0&amp;sourceID=14","0")</f>
        <v>0</v>
      </c>
    </row>
    <row r="478" spans="1:7">
      <c r="A478" s="3">
        <v>12</v>
      </c>
      <c r="B478" s="3">
        <v>5</v>
      </c>
      <c r="C478" s="3">
        <v>82</v>
      </c>
      <c r="D478" s="3">
        <v>10</v>
      </c>
      <c r="E478" s="3">
        <v>-76.128</v>
      </c>
      <c r="F478" s="4" t="str">
        <f>HYPERLINK("http://141.218.60.56/~jnz1568/getInfo.php?workbook=12_05.xlsx&amp;sheet=A0&amp;row=478&amp;col=6&amp;number=10420000&amp;sourceID=14","10420000")</f>
        <v>10420000</v>
      </c>
      <c r="G478" s="4" t="str">
        <f>HYPERLINK("http://141.218.60.56/~jnz1568/getInfo.php?workbook=12_05.xlsx&amp;sheet=A0&amp;row=478&amp;col=7&amp;number=0&amp;sourceID=14","0")</f>
        <v>0</v>
      </c>
    </row>
    <row r="479" spans="1:7">
      <c r="A479" s="3">
        <v>12</v>
      </c>
      <c r="B479" s="3">
        <v>5</v>
      </c>
      <c r="C479" s="3">
        <v>83</v>
      </c>
      <c r="D479" s="3">
        <v>10</v>
      </c>
      <c r="E479" s="3">
        <v>-75.636</v>
      </c>
      <c r="F479" s="4" t="str">
        <f>HYPERLINK("http://141.218.60.56/~jnz1568/getInfo.php?workbook=12_05.xlsx&amp;sheet=A0&amp;row=479&amp;col=6&amp;number=101800000&amp;sourceID=14","101800000")</f>
        <v>101800000</v>
      </c>
      <c r="G479" s="4" t="str">
        <f>HYPERLINK("http://141.218.60.56/~jnz1568/getInfo.php?workbook=12_05.xlsx&amp;sheet=A0&amp;row=479&amp;col=7&amp;number=0&amp;sourceID=14","0")</f>
        <v>0</v>
      </c>
    </row>
    <row r="480" spans="1:7">
      <c r="A480" s="3">
        <v>12</v>
      </c>
      <c r="B480" s="3">
        <v>5</v>
      </c>
      <c r="C480" s="3">
        <v>84</v>
      </c>
      <c r="D480" s="3">
        <v>10</v>
      </c>
      <c r="E480" s="3">
        <v>-74.229</v>
      </c>
      <c r="F480" s="4" t="str">
        <f>HYPERLINK("http://141.218.60.56/~jnz1568/getInfo.php?workbook=12_05.xlsx&amp;sheet=A0&amp;row=480&amp;col=6&amp;number=25120000000&amp;sourceID=14","25120000000")</f>
        <v>25120000000</v>
      </c>
      <c r="G480" s="4" t="str">
        <f>HYPERLINK("http://141.218.60.56/~jnz1568/getInfo.php?workbook=12_05.xlsx&amp;sheet=A0&amp;row=480&amp;col=7&amp;number=0&amp;sourceID=14","0")</f>
        <v>0</v>
      </c>
    </row>
    <row r="481" spans="1:7">
      <c r="A481" s="3">
        <v>12</v>
      </c>
      <c r="B481" s="3">
        <v>5</v>
      </c>
      <c r="C481" s="3">
        <v>85</v>
      </c>
      <c r="D481" s="3">
        <v>10</v>
      </c>
      <c r="E481" s="3">
        <v>-71.273</v>
      </c>
      <c r="F481" s="4" t="str">
        <f>HYPERLINK("http://141.218.60.56/~jnz1568/getInfo.php?workbook=12_05.xlsx&amp;sheet=A0&amp;row=481&amp;col=6&amp;number=8322000000&amp;sourceID=14","8322000000")</f>
        <v>8322000000</v>
      </c>
      <c r="G481" s="4" t="str">
        <f>HYPERLINK("http://141.218.60.56/~jnz1568/getInfo.php?workbook=12_05.xlsx&amp;sheet=A0&amp;row=481&amp;col=7&amp;number=0&amp;sourceID=14","0")</f>
        <v>0</v>
      </c>
    </row>
    <row r="482" spans="1:7">
      <c r="A482" s="3">
        <v>12</v>
      </c>
      <c r="B482" s="3">
        <v>5</v>
      </c>
      <c r="C482" s="3">
        <v>86</v>
      </c>
      <c r="D482" s="3">
        <v>10</v>
      </c>
      <c r="E482" s="3">
        <v>-67.74</v>
      </c>
      <c r="F482" s="4" t="str">
        <f>HYPERLINK("http://141.218.60.56/~jnz1568/getInfo.php?workbook=12_05.xlsx&amp;sheet=A0&amp;row=482&amp;col=6&amp;number=3330000000&amp;sourceID=14","3330000000")</f>
        <v>3330000000</v>
      </c>
      <c r="G482" s="4" t="str">
        <f>HYPERLINK("http://141.218.60.56/~jnz1568/getInfo.php?workbook=12_05.xlsx&amp;sheet=A0&amp;row=482&amp;col=7&amp;number=0&amp;sourceID=14","0")</f>
        <v>0</v>
      </c>
    </row>
    <row r="483" spans="1:7">
      <c r="A483" s="3">
        <v>12</v>
      </c>
      <c r="B483" s="3">
        <v>5</v>
      </c>
      <c r="C483" s="3">
        <v>87</v>
      </c>
      <c r="D483" s="3">
        <v>4</v>
      </c>
      <c r="E483" s="3">
        <v>-88.181</v>
      </c>
      <c r="F483" s="4" t="str">
        <f>HYPERLINK("http://141.218.60.56/~jnz1568/getInfo.php?workbook=12_05.xlsx&amp;sheet=A0&amp;row=483&amp;col=6&amp;number=24760&amp;sourceID=14","24760")</f>
        <v>24760</v>
      </c>
      <c r="G483" s="4" t="str">
        <f>HYPERLINK("http://141.218.60.56/~jnz1568/getInfo.php?workbook=12_05.xlsx&amp;sheet=A0&amp;row=483&amp;col=7&amp;number=0&amp;sourceID=14","0")</f>
        <v>0</v>
      </c>
    </row>
    <row r="484" spans="1:7">
      <c r="A484" s="3">
        <v>12</v>
      </c>
      <c r="B484" s="3">
        <v>5</v>
      </c>
      <c r="C484" s="3">
        <v>88</v>
      </c>
      <c r="D484" s="3">
        <v>4</v>
      </c>
      <c r="E484" s="3">
        <v>81.873</v>
      </c>
      <c r="F484" s="4" t="str">
        <f>HYPERLINK("http://141.218.60.56/~jnz1568/getInfo.php?workbook=12_05.xlsx&amp;sheet=A0&amp;row=484&amp;col=6&amp;number=9098000000&amp;sourceID=14","9098000000")</f>
        <v>9098000000</v>
      </c>
      <c r="G484" s="4" t="str">
        <f>HYPERLINK("http://141.218.60.56/~jnz1568/getInfo.php?workbook=12_05.xlsx&amp;sheet=A0&amp;row=484&amp;col=7&amp;number=0&amp;sourceID=14","0")</f>
        <v>0</v>
      </c>
    </row>
    <row r="485" spans="1:7">
      <c r="A485" s="3">
        <v>12</v>
      </c>
      <c r="B485" s="3">
        <v>5</v>
      </c>
      <c r="C485" s="3">
        <v>89</v>
      </c>
      <c r="D485" s="3">
        <v>4</v>
      </c>
      <c r="E485" s="3">
        <v>79.832</v>
      </c>
      <c r="F485" s="4" t="str">
        <f>HYPERLINK("http://141.218.60.56/~jnz1568/getInfo.php?workbook=12_05.xlsx&amp;sheet=A0&amp;row=485&amp;col=6&amp;number=8770000&amp;sourceID=14","8770000")</f>
        <v>8770000</v>
      </c>
      <c r="G485" s="4" t="str">
        <f>HYPERLINK("http://141.218.60.56/~jnz1568/getInfo.php?workbook=12_05.xlsx&amp;sheet=A0&amp;row=485&amp;col=7&amp;number=0&amp;sourceID=14","0")</f>
        <v>0</v>
      </c>
    </row>
    <row r="486" spans="1:7">
      <c r="A486" s="3">
        <v>12</v>
      </c>
      <c r="B486" s="3">
        <v>5</v>
      </c>
      <c r="C486" s="3">
        <v>90</v>
      </c>
      <c r="D486" s="3">
        <v>4</v>
      </c>
      <c r="E486" s="3">
        <v>-75.637</v>
      </c>
      <c r="F486" s="4" t="str">
        <f>HYPERLINK("http://141.218.60.56/~jnz1568/getInfo.php?workbook=12_05.xlsx&amp;sheet=A0&amp;row=486&amp;col=6&amp;number=660700000&amp;sourceID=14","660700000")</f>
        <v>660700000</v>
      </c>
      <c r="G486" s="4" t="str">
        <f>HYPERLINK("http://141.218.60.56/~jnz1568/getInfo.php?workbook=12_05.xlsx&amp;sheet=A0&amp;row=486&amp;col=7&amp;number=0&amp;sourceID=14","0")</f>
        <v>0</v>
      </c>
    </row>
    <row r="487" spans="1:7">
      <c r="A487" s="3">
        <v>12</v>
      </c>
      <c r="B487" s="3">
        <v>5</v>
      </c>
      <c r="C487" s="3">
        <v>91</v>
      </c>
      <c r="D487" s="3">
        <v>4</v>
      </c>
      <c r="E487" s="3">
        <v>74.342</v>
      </c>
      <c r="F487" s="4" t="str">
        <f>HYPERLINK("http://141.218.60.56/~jnz1568/getInfo.php?workbook=12_05.xlsx&amp;sheet=A0&amp;row=487&amp;col=6&amp;number=274700000000&amp;sourceID=14","274700000000")</f>
        <v>274700000000</v>
      </c>
      <c r="G487" s="4" t="str">
        <f>HYPERLINK("http://141.218.60.56/~jnz1568/getInfo.php?workbook=12_05.xlsx&amp;sheet=A0&amp;row=487&amp;col=7&amp;number=0&amp;sourceID=14","0")</f>
        <v>0</v>
      </c>
    </row>
    <row r="488" spans="1:7">
      <c r="A488" s="3">
        <v>12</v>
      </c>
      <c r="B488" s="3">
        <v>5</v>
      </c>
      <c r="C488" s="3">
        <v>92</v>
      </c>
      <c r="D488" s="3">
        <v>4</v>
      </c>
      <c r="E488" s="3">
        <v>74.227</v>
      </c>
      <c r="F488" s="4" t="str">
        <f>HYPERLINK("http://141.218.60.56/~jnz1568/getInfo.php?workbook=12_05.xlsx&amp;sheet=A0&amp;row=488&amp;col=6&amp;number=10720000000&amp;sourceID=14","10720000000")</f>
        <v>10720000000</v>
      </c>
      <c r="G488" s="4" t="str">
        <f>HYPERLINK("http://141.218.60.56/~jnz1568/getInfo.php?workbook=12_05.xlsx&amp;sheet=A0&amp;row=488&amp;col=7&amp;number=0&amp;sourceID=14","0")</f>
        <v>0</v>
      </c>
    </row>
    <row r="489" spans="1:7">
      <c r="A489" s="3">
        <v>12</v>
      </c>
      <c r="B489" s="3">
        <v>5</v>
      </c>
      <c r="C489" s="3">
        <v>93</v>
      </c>
      <c r="D489" s="3">
        <v>4</v>
      </c>
      <c r="E489" s="3">
        <v>73.894</v>
      </c>
      <c r="F489" s="4" t="str">
        <f>HYPERLINK("http://141.218.60.56/~jnz1568/getInfo.php?workbook=12_05.xlsx&amp;sheet=A0&amp;row=489&amp;col=6&amp;number=80260000000&amp;sourceID=14","80260000000")</f>
        <v>80260000000</v>
      </c>
      <c r="G489" s="4" t="str">
        <f>HYPERLINK("http://141.218.60.56/~jnz1568/getInfo.php?workbook=12_05.xlsx&amp;sheet=A0&amp;row=489&amp;col=7&amp;number=0&amp;sourceID=14","0")</f>
        <v>0</v>
      </c>
    </row>
    <row r="490" spans="1:7">
      <c r="A490" s="3">
        <v>12</v>
      </c>
      <c r="B490" s="3">
        <v>5</v>
      </c>
      <c r="C490" s="3">
        <v>94</v>
      </c>
      <c r="D490" s="3">
        <v>4</v>
      </c>
      <c r="E490" s="3">
        <v>-73.741</v>
      </c>
      <c r="F490" s="4" t="str">
        <f>HYPERLINK("http://141.218.60.56/~jnz1568/getInfo.php?workbook=12_05.xlsx&amp;sheet=A0&amp;row=490&amp;col=6&amp;number=10750000&amp;sourceID=14","10750000")</f>
        <v>10750000</v>
      </c>
      <c r="G490" s="4" t="str">
        <f>HYPERLINK("http://141.218.60.56/~jnz1568/getInfo.php?workbook=12_05.xlsx&amp;sheet=A0&amp;row=490&amp;col=7&amp;number=0&amp;sourceID=14","0")</f>
        <v>0</v>
      </c>
    </row>
    <row r="491" spans="1:7">
      <c r="A491" s="3">
        <v>12</v>
      </c>
      <c r="B491" s="3">
        <v>5</v>
      </c>
      <c r="C491" s="3">
        <v>95</v>
      </c>
      <c r="D491" s="3">
        <v>4</v>
      </c>
      <c r="E491" s="3">
        <v>72.36</v>
      </c>
      <c r="F491" s="4" t="str">
        <f>HYPERLINK("http://141.218.60.56/~jnz1568/getInfo.php?workbook=12_05.xlsx&amp;sheet=A0&amp;row=491&amp;col=6&amp;number=35530000&amp;sourceID=14","35530000")</f>
        <v>35530000</v>
      </c>
      <c r="G491" s="4" t="str">
        <f>HYPERLINK("http://141.218.60.56/~jnz1568/getInfo.php?workbook=12_05.xlsx&amp;sheet=A0&amp;row=491&amp;col=7&amp;number=0&amp;sourceID=14","0")</f>
        <v>0</v>
      </c>
    </row>
    <row r="492" spans="1:7">
      <c r="A492" s="3">
        <v>12</v>
      </c>
      <c r="B492" s="3">
        <v>5</v>
      </c>
      <c r="C492" s="3">
        <v>96</v>
      </c>
      <c r="D492" s="3">
        <v>4</v>
      </c>
      <c r="E492" s="3">
        <v>67.717</v>
      </c>
      <c r="F492" s="4" t="str">
        <f>HYPERLINK("http://141.218.60.56/~jnz1568/getInfo.php?workbook=12_05.xlsx&amp;sheet=A0&amp;row=492&amp;col=6&amp;number=1584000&amp;sourceID=14","1584000")</f>
        <v>1584000</v>
      </c>
      <c r="G492" s="4" t="str">
        <f>HYPERLINK("http://141.218.60.56/~jnz1568/getInfo.php?workbook=12_05.xlsx&amp;sheet=A0&amp;row=492&amp;col=7&amp;number=0&amp;sourceID=14","0")</f>
        <v>0</v>
      </c>
    </row>
    <row r="493" spans="1:7">
      <c r="A493" s="3">
        <v>12</v>
      </c>
      <c r="B493" s="3">
        <v>5</v>
      </c>
      <c r="C493" s="3">
        <v>97</v>
      </c>
      <c r="D493" s="3">
        <v>4</v>
      </c>
      <c r="E493" s="3">
        <v>-67.033</v>
      </c>
      <c r="F493" s="4" t="str">
        <f>HYPERLINK("http://141.218.60.56/~jnz1568/getInfo.php?workbook=12_05.xlsx&amp;sheet=A0&amp;row=493&amp;col=6&amp;number=1002000&amp;sourceID=14","1002000")</f>
        <v>1002000</v>
      </c>
      <c r="G493" s="4" t="str">
        <f>HYPERLINK("http://141.218.60.56/~jnz1568/getInfo.php?workbook=12_05.xlsx&amp;sheet=A0&amp;row=493&amp;col=7&amp;number=0&amp;sourceID=14","0")</f>
        <v>0</v>
      </c>
    </row>
    <row r="494" spans="1:7">
      <c r="A494" s="3">
        <v>12</v>
      </c>
      <c r="B494" s="3">
        <v>5</v>
      </c>
      <c r="C494" s="3">
        <v>98</v>
      </c>
      <c r="D494" s="3">
        <v>4</v>
      </c>
      <c r="E494" s="3">
        <v>-66.489</v>
      </c>
      <c r="F494" s="4" t="str">
        <f>HYPERLINK("http://141.218.60.56/~jnz1568/getInfo.php?workbook=12_05.xlsx&amp;sheet=A0&amp;row=494&amp;col=6&amp;number=25350000000&amp;sourceID=14","25350000000")</f>
        <v>25350000000</v>
      </c>
      <c r="G494" s="4" t="str">
        <f>HYPERLINK("http://141.218.60.56/~jnz1568/getInfo.php?workbook=12_05.xlsx&amp;sheet=A0&amp;row=494&amp;col=7&amp;number=0&amp;sourceID=14","0")</f>
        <v>0</v>
      </c>
    </row>
    <row r="495" spans="1:7">
      <c r="A495" s="3">
        <v>12</v>
      </c>
      <c r="B495" s="3">
        <v>5</v>
      </c>
      <c r="C495" s="3">
        <v>99</v>
      </c>
      <c r="D495" s="3">
        <v>4</v>
      </c>
      <c r="E495" s="3">
        <v>-66.122</v>
      </c>
      <c r="F495" s="4" t="str">
        <f>HYPERLINK("http://141.218.60.56/~jnz1568/getInfo.php?workbook=12_05.xlsx&amp;sheet=A0&amp;row=495&amp;col=6&amp;number=12830000000&amp;sourceID=14","12830000000")</f>
        <v>12830000000</v>
      </c>
      <c r="G495" s="4" t="str">
        <f>HYPERLINK("http://141.218.60.56/~jnz1568/getInfo.php?workbook=12_05.xlsx&amp;sheet=A0&amp;row=495&amp;col=7&amp;number=0&amp;sourceID=14","0")</f>
        <v>0</v>
      </c>
    </row>
    <row r="496" spans="1:7">
      <c r="A496" s="3">
        <v>12</v>
      </c>
      <c r="B496" s="3">
        <v>5</v>
      </c>
      <c r="C496" s="3">
        <v>100</v>
      </c>
      <c r="D496" s="3">
        <v>4</v>
      </c>
      <c r="E496" s="3">
        <v>-65.744</v>
      </c>
      <c r="F496" s="4" t="str">
        <f>HYPERLINK("http://141.218.60.56/~jnz1568/getInfo.php?workbook=12_05.xlsx&amp;sheet=A0&amp;row=496&amp;col=6&amp;number=44160000&amp;sourceID=14","44160000")</f>
        <v>44160000</v>
      </c>
      <c r="G496" s="4" t="str">
        <f>HYPERLINK("http://141.218.60.56/~jnz1568/getInfo.php?workbook=12_05.xlsx&amp;sheet=A0&amp;row=496&amp;col=7&amp;number=0&amp;sourceID=14","0")</f>
        <v>0</v>
      </c>
    </row>
    <row r="497" spans="1:7">
      <c r="A497" s="3">
        <v>12</v>
      </c>
      <c r="B497" s="3">
        <v>5</v>
      </c>
      <c r="C497" s="3">
        <v>101</v>
      </c>
      <c r="D497" s="3">
        <v>4</v>
      </c>
      <c r="E497" s="3">
        <v>64.813</v>
      </c>
      <c r="F497" s="4" t="str">
        <f>HYPERLINK("http://141.218.60.56/~jnz1568/getInfo.php?workbook=12_05.xlsx&amp;sheet=A0&amp;row=497&amp;col=6&amp;number=39050000000&amp;sourceID=14","39050000000")</f>
        <v>39050000000</v>
      </c>
      <c r="G497" s="4" t="str">
        <f>HYPERLINK("http://141.218.60.56/~jnz1568/getInfo.php?workbook=12_05.xlsx&amp;sheet=A0&amp;row=497&amp;col=7&amp;number=0&amp;sourceID=14","0")</f>
        <v>0</v>
      </c>
    </row>
    <row r="498" spans="1:7">
      <c r="A498" s="3">
        <v>12</v>
      </c>
      <c r="B498" s="3">
        <v>5</v>
      </c>
      <c r="C498" s="3">
        <v>102</v>
      </c>
      <c r="D498" s="3">
        <v>4</v>
      </c>
      <c r="E498" s="3">
        <v>-65.073</v>
      </c>
      <c r="F498" s="4" t="str">
        <f>HYPERLINK("http://141.218.60.56/~jnz1568/getInfo.php?workbook=12_05.xlsx&amp;sheet=A0&amp;row=498&amp;col=6&amp;number=2829000&amp;sourceID=14","2829000")</f>
        <v>2829000</v>
      </c>
      <c r="G498" s="4" t="str">
        <f>HYPERLINK("http://141.218.60.56/~jnz1568/getInfo.php?workbook=12_05.xlsx&amp;sheet=A0&amp;row=498&amp;col=7&amp;number=0&amp;sourceID=14","0")</f>
        <v>0</v>
      </c>
    </row>
    <row r="499" spans="1:7">
      <c r="A499" s="3">
        <v>12</v>
      </c>
      <c r="B499" s="3">
        <v>5</v>
      </c>
      <c r="C499" s="3">
        <v>103</v>
      </c>
      <c r="D499" s="3">
        <v>4</v>
      </c>
      <c r="E499" s="3">
        <v>-63.428</v>
      </c>
      <c r="F499" s="4" t="str">
        <f>HYPERLINK("http://141.218.60.56/~jnz1568/getInfo.php?workbook=12_05.xlsx&amp;sheet=A0&amp;row=499&amp;col=6&amp;number=907900&amp;sourceID=14","907900")</f>
        <v>907900</v>
      </c>
      <c r="G499" s="4" t="str">
        <f>HYPERLINK("http://141.218.60.56/~jnz1568/getInfo.php?workbook=12_05.xlsx&amp;sheet=A0&amp;row=499&amp;col=7&amp;number=0&amp;sourceID=14","0")</f>
        <v>0</v>
      </c>
    </row>
    <row r="500" spans="1:7">
      <c r="A500" s="3">
        <v>12</v>
      </c>
      <c r="B500" s="3">
        <v>5</v>
      </c>
      <c r="C500" s="3">
        <v>104</v>
      </c>
      <c r="D500" s="3">
        <v>4</v>
      </c>
      <c r="E500" s="3">
        <v>-62.735</v>
      </c>
      <c r="F500" s="4" t="str">
        <f>HYPERLINK("http://141.218.60.56/~jnz1568/getInfo.php?workbook=12_05.xlsx&amp;sheet=A0&amp;row=500&amp;col=6&amp;number=5593000&amp;sourceID=14","5593000")</f>
        <v>5593000</v>
      </c>
      <c r="G500" s="4" t="str">
        <f>HYPERLINK("http://141.218.60.56/~jnz1568/getInfo.php?workbook=12_05.xlsx&amp;sheet=A0&amp;row=500&amp;col=7&amp;number=0&amp;sourceID=14","0")</f>
        <v>0</v>
      </c>
    </row>
    <row r="501" spans="1:7">
      <c r="A501" s="3">
        <v>12</v>
      </c>
      <c r="B501" s="3">
        <v>5</v>
      </c>
      <c r="C501" s="3">
        <v>105</v>
      </c>
      <c r="D501" s="3">
        <v>4</v>
      </c>
      <c r="E501" s="3">
        <v>-60.015</v>
      </c>
      <c r="F501" s="4" t="str">
        <f>HYPERLINK("http://141.218.60.56/~jnz1568/getInfo.php?workbook=12_05.xlsx&amp;sheet=A0&amp;row=501&amp;col=6&amp;number=218100&amp;sourceID=14","218100")</f>
        <v>218100</v>
      </c>
      <c r="G501" s="4" t="str">
        <f>HYPERLINK("http://141.218.60.56/~jnz1568/getInfo.php?workbook=12_05.xlsx&amp;sheet=A0&amp;row=501&amp;col=7&amp;number=0&amp;sourceID=14","0")</f>
        <v>0</v>
      </c>
    </row>
    <row r="502" spans="1:7">
      <c r="A502" s="3">
        <v>12</v>
      </c>
      <c r="B502" s="3">
        <v>5</v>
      </c>
      <c r="C502" s="3">
        <v>87</v>
      </c>
      <c r="D502" s="3">
        <v>6</v>
      </c>
      <c r="E502" s="3">
        <v>-96.828</v>
      </c>
      <c r="F502" s="4" t="str">
        <f>HYPERLINK("http://141.218.60.56/~jnz1568/getInfo.php?workbook=12_05.xlsx&amp;sheet=A0&amp;row=502&amp;col=6&amp;number=180100000&amp;sourceID=14","180100000")</f>
        <v>180100000</v>
      </c>
      <c r="G502" s="4" t="str">
        <f>HYPERLINK("http://141.218.60.56/~jnz1568/getInfo.php?workbook=12_05.xlsx&amp;sheet=A0&amp;row=502&amp;col=7&amp;number=0&amp;sourceID=14","0")</f>
        <v>0</v>
      </c>
    </row>
    <row r="503" spans="1:7">
      <c r="A503" s="3">
        <v>12</v>
      </c>
      <c r="B503" s="3">
        <v>5</v>
      </c>
      <c r="C503" s="3">
        <v>88</v>
      </c>
      <c r="D503" s="3">
        <v>6</v>
      </c>
      <c r="E503" s="3">
        <v>89.269</v>
      </c>
      <c r="F503" s="4" t="str">
        <f>HYPERLINK("http://141.218.60.56/~jnz1568/getInfo.php?workbook=12_05.xlsx&amp;sheet=A0&amp;row=503&amp;col=6&amp;number=8160000&amp;sourceID=14","8160000")</f>
        <v>8160000</v>
      </c>
      <c r="G503" s="4" t="str">
        <f>HYPERLINK("http://141.218.60.56/~jnz1568/getInfo.php?workbook=12_05.xlsx&amp;sheet=A0&amp;row=503&amp;col=7&amp;number=0&amp;sourceID=14","0")</f>
        <v>0</v>
      </c>
    </row>
    <row r="504" spans="1:7">
      <c r="A504" s="3">
        <v>12</v>
      </c>
      <c r="B504" s="3">
        <v>5</v>
      </c>
      <c r="C504" s="3">
        <v>89</v>
      </c>
      <c r="D504" s="3">
        <v>6</v>
      </c>
      <c r="E504" s="3">
        <v>86.847</v>
      </c>
      <c r="F504" s="4" t="str">
        <f>HYPERLINK("http://141.218.60.56/~jnz1568/getInfo.php?workbook=12_05.xlsx&amp;sheet=A0&amp;row=504&amp;col=6&amp;number=3902000000&amp;sourceID=14","3902000000")</f>
        <v>3902000000</v>
      </c>
      <c r="G504" s="4" t="str">
        <f>HYPERLINK("http://141.218.60.56/~jnz1568/getInfo.php?workbook=12_05.xlsx&amp;sheet=A0&amp;row=504&amp;col=7&amp;number=0&amp;sourceID=14","0")</f>
        <v>0</v>
      </c>
    </row>
    <row r="505" spans="1:7">
      <c r="A505" s="3">
        <v>12</v>
      </c>
      <c r="B505" s="3">
        <v>5</v>
      </c>
      <c r="C505" s="3">
        <v>90</v>
      </c>
      <c r="D505" s="3">
        <v>6</v>
      </c>
      <c r="E505" s="3">
        <v>-81.911</v>
      </c>
      <c r="F505" s="4" t="str">
        <f>HYPERLINK("http://141.218.60.56/~jnz1568/getInfo.php?workbook=12_05.xlsx&amp;sheet=A0&amp;row=505&amp;col=6&amp;number=400400000&amp;sourceID=14","400400000")</f>
        <v>400400000</v>
      </c>
      <c r="G505" s="4" t="str">
        <f>HYPERLINK("http://141.218.60.56/~jnz1568/getInfo.php?workbook=12_05.xlsx&amp;sheet=A0&amp;row=505&amp;col=7&amp;number=0&amp;sourceID=14","0")</f>
        <v>0</v>
      </c>
    </row>
    <row r="506" spans="1:7">
      <c r="A506" s="3">
        <v>12</v>
      </c>
      <c r="B506" s="3">
        <v>5</v>
      </c>
      <c r="C506" s="3">
        <v>91</v>
      </c>
      <c r="D506" s="3">
        <v>6</v>
      </c>
      <c r="E506" s="3">
        <v>80.389</v>
      </c>
      <c r="F506" s="4" t="str">
        <f>HYPERLINK("http://141.218.60.56/~jnz1568/getInfo.php?workbook=12_05.xlsx&amp;sheet=A0&amp;row=506&amp;col=6&amp;number=3224000000&amp;sourceID=14","3224000000")</f>
        <v>3224000000</v>
      </c>
      <c r="G506" s="4" t="str">
        <f>HYPERLINK("http://141.218.60.56/~jnz1568/getInfo.php?workbook=12_05.xlsx&amp;sheet=A0&amp;row=506&amp;col=7&amp;number=0&amp;sourceID=14","0")</f>
        <v>0</v>
      </c>
    </row>
    <row r="507" spans="1:7">
      <c r="A507" s="3">
        <v>12</v>
      </c>
      <c r="B507" s="3">
        <v>5</v>
      </c>
      <c r="C507" s="3">
        <v>92</v>
      </c>
      <c r="D507" s="3">
        <v>6</v>
      </c>
      <c r="E507" s="3">
        <v>80.255</v>
      </c>
      <c r="F507" s="4" t="str">
        <f>HYPERLINK("http://141.218.60.56/~jnz1568/getInfo.php?workbook=12_05.xlsx&amp;sheet=A0&amp;row=507&amp;col=6&amp;number=108500000000&amp;sourceID=14","108500000000")</f>
        <v>108500000000</v>
      </c>
      <c r="G507" s="4" t="str">
        <f>HYPERLINK("http://141.218.60.56/~jnz1568/getInfo.php?workbook=12_05.xlsx&amp;sheet=A0&amp;row=507&amp;col=7&amp;number=0&amp;sourceID=14","0")</f>
        <v>0</v>
      </c>
    </row>
    <row r="508" spans="1:7">
      <c r="A508" s="3">
        <v>12</v>
      </c>
      <c r="B508" s="3">
        <v>5</v>
      </c>
      <c r="C508" s="3">
        <v>93</v>
      </c>
      <c r="D508" s="3">
        <v>6</v>
      </c>
      <c r="E508" s="3">
        <v>79.866</v>
      </c>
      <c r="F508" s="4" t="str">
        <f>HYPERLINK("http://141.218.60.56/~jnz1568/getInfo.php?workbook=12_05.xlsx&amp;sheet=A0&amp;row=508&amp;col=6&amp;number=327600000&amp;sourceID=14","327600000")</f>
        <v>327600000</v>
      </c>
      <c r="G508" s="4" t="str">
        <f>HYPERLINK("http://141.218.60.56/~jnz1568/getInfo.php?workbook=12_05.xlsx&amp;sheet=A0&amp;row=508&amp;col=7&amp;number=0&amp;sourceID=14","0")</f>
        <v>0</v>
      </c>
    </row>
    <row r="509" spans="1:7">
      <c r="A509" s="3">
        <v>12</v>
      </c>
      <c r="B509" s="3">
        <v>5</v>
      </c>
      <c r="C509" s="3">
        <v>94</v>
      </c>
      <c r="D509" s="3">
        <v>6</v>
      </c>
      <c r="E509" s="3">
        <v>-79.692</v>
      </c>
      <c r="F509" s="4" t="str">
        <f>HYPERLINK("http://141.218.60.56/~jnz1568/getInfo.php?workbook=12_05.xlsx&amp;sheet=A0&amp;row=509&amp;col=6&amp;number=3190000000&amp;sourceID=14","3190000000")</f>
        <v>3190000000</v>
      </c>
      <c r="G509" s="4" t="str">
        <f>HYPERLINK("http://141.218.60.56/~jnz1568/getInfo.php?workbook=12_05.xlsx&amp;sheet=A0&amp;row=509&amp;col=7&amp;number=0&amp;sourceID=14","0")</f>
        <v>0</v>
      </c>
    </row>
    <row r="510" spans="1:7">
      <c r="A510" s="3">
        <v>12</v>
      </c>
      <c r="B510" s="3">
        <v>5</v>
      </c>
      <c r="C510" s="3">
        <v>95</v>
      </c>
      <c r="D510" s="3">
        <v>6</v>
      </c>
      <c r="E510" s="3">
        <v>78.077</v>
      </c>
      <c r="F510" s="4" t="str">
        <f>HYPERLINK("http://141.218.60.56/~jnz1568/getInfo.php?workbook=12_05.xlsx&amp;sheet=A0&amp;row=510&amp;col=6&amp;number=125200000&amp;sourceID=14","125200000")</f>
        <v>125200000</v>
      </c>
      <c r="G510" s="4" t="str">
        <f>HYPERLINK("http://141.218.60.56/~jnz1568/getInfo.php?workbook=12_05.xlsx&amp;sheet=A0&amp;row=510&amp;col=7&amp;number=0&amp;sourceID=14","0")</f>
        <v>0</v>
      </c>
    </row>
    <row r="511" spans="1:7">
      <c r="A511" s="3">
        <v>12</v>
      </c>
      <c r="B511" s="3">
        <v>5</v>
      </c>
      <c r="C511" s="3">
        <v>96</v>
      </c>
      <c r="D511" s="3">
        <v>6</v>
      </c>
      <c r="E511" s="3">
        <v>72.699</v>
      </c>
      <c r="F511" s="4" t="str">
        <f>HYPERLINK("http://141.218.60.56/~jnz1568/getInfo.php?workbook=12_05.xlsx&amp;sheet=A0&amp;row=511&amp;col=6&amp;number=46440000000&amp;sourceID=14","46440000000")</f>
        <v>46440000000</v>
      </c>
      <c r="G511" s="4" t="str">
        <f>HYPERLINK("http://141.218.60.56/~jnz1568/getInfo.php?workbook=12_05.xlsx&amp;sheet=A0&amp;row=511&amp;col=7&amp;number=0&amp;sourceID=14","0")</f>
        <v>0</v>
      </c>
    </row>
    <row r="512" spans="1:7">
      <c r="A512" s="3">
        <v>12</v>
      </c>
      <c r="B512" s="3">
        <v>5</v>
      </c>
      <c r="C512" s="3">
        <v>97</v>
      </c>
      <c r="D512" s="3">
        <v>6</v>
      </c>
      <c r="E512" s="3">
        <v>-71.915</v>
      </c>
      <c r="F512" s="4" t="str">
        <f>HYPERLINK("http://141.218.60.56/~jnz1568/getInfo.php?workbook=12_05.xlsx&amp;sheet=A0&amp;row=512&amp;col=6&amp;number=543500000&amp;sourceID=14","543500000")</f>
        <v>543500000</v>
      </c>
      <c r="G512" s="4" t="str">
        <f>HYPERLINK("http://141.218.60.56/~jnz1568/getInfo.php?workbook=12_05.xlsx&amp;sheet=A0&amp;row=512&amp;col=7&amp;number=0&amp;sourceID=14","0")</f>
        <v>0</v>
      </c>
    </row>
    <row r="513" spans="1:7">
      <c r="A513" s="3">
        <v>12</v>
      </c>
      <c r="B513" s="3">
        <v>5</v>
      </c>
      <c r="C513" s="3">
        <v>98</v>
      </c>
      <c r="D513" s="3">
        <v>6</v>
      </c>
      <c r="E513" s="3">
        <v>-71.289</v>
      </c>
      <c r="F513" s="4" t="str">
        <f>HYPERLINK("http://141.218.60.56/~jnz1568/getInfo.php?workbook=12_05.xlsx&amp;sheet=A0&amp;row=513&amp;col=6&amp;number=535600&amp;sourceID=14","535600")</f>
        <v>535600</v>
      </c>
      <c r="G513" s="4" t="str">
        <f>HYPERLINK("http://141.218.60.56/~jnz1568/getInfo.php?workbook=12_05.xlsx&amp;sheet=A0&amp;row=513&amp;col=7&amp;number=0&amp;sourceID=14","0")</f>
        <v>0</v>
      </c>
    </row>
    <row r="514" spans="1:7">
      <c r="A514" s="3">
        <v>12</v>
      </c>
      <c r="B514" s="3">
        <v>5</v>
      </c>
      <c r="C514" s="3">
        <v>99</v>
      </c>
      <c r="D514" s="3">
        <v>6</v>
      </c>
      <c r="E514" s="3">
        <v>-70.868</v>
      </c>
      <c r="F514" s="4" t="str">
        <f>HYPERLINK("http://141.218.60.56/~jnz1568/getInfo.php?workbook=12_05.xlsx&amp;sheet=A0&amp;row=514&amp;col=6&amp;number=23300000&amp;sourceID=14","23300000")</f>
        <v>23300000</v>
      </c>
      <c r="G514" s="4" t="str">
        <f>HYPERLINK("http://141.218.60.56/~jnz1568/getInfo.php?workbook=12_05.xlsx&amp;sheet=A0&amp;row=514&amp;col=7&amp;number=0&amp;sourceID=14","0")</f>
        <v>0</v>
      </c>
    </row>
    <row r="515" spans="1:7">
      <c r="A515" s="3">
        <v>12</v>
      </c>
      <c r="B515" s="3">
        <v>5</v>
      </c>
      <c r="C515" s="3">
        <v>100</v>
      </c>
      <c r="D515" s="3">
        <v>6</v>
      </c>
      <c r="E515" s="3">
        <v>-70.433</v>
      </c>
      <c r="F515" s="4" t="str">
        <f>HYPERLINK("http://141.218.60.56/~jnz1568/getInfo.php?workbook=12_05.xlsx&amp;sheet=A0&amp;row=515&amp;col=6&amp;number=6723000000&amp;sourceID=14","6723000000")</f>
        <v>6723000000</v>
      </c>
      <c r="G515" s="4" t="str">
        <f>HYPERLINK("http://141.218.60.56/~jnz1568/getInfo.php?workbook=12_05.xlsx&amp;sheet=A0&amp;row=515&amp;col=7&amp;number=0&amp;sourceID=14","0")</f>
        <v>0</v>
      </c>
    </row>
    <row r="516" spans="1:7">
      <c r="A516" s="3">
        <v>12</v>
      </c>
      <c r="B516" s="3">
        <v>5</v>
      </c>
      <c r="C516" s="3">
        <v>101</v>
      </c>
      <c r="D516" s="3">
        <v>6</v>
      </c>
      <c r="E516" s="3">
        <v>69.362</v>
      </c>
      <c r="F516" s="4" t="str">
        <f>HYPERLINK("http://141.218.60.56/~jnz1568/getInfo.php?workbook=12_05.xlsx&amp;sheet=A0&amp;row=516&amp;col=6&amp;number=5042000&amp;sourceID=14","5042000")</f>
        <v>5042000</v>
      </c>
      <c r="G516" s="4" t="str">
        <f>HYPERLINK("http://141.218.60.56/~jnz1568/getInfo.php?workbook=12_05.xlsx&amp;sheet=A0&amp;row=516&amp;col=7&amp;number=0&amp;sourceID=14","0")</f>
        <v>0</v>
      </c>
    </row>
    <row r="517" spans="1:7">
      <c r="A517" s="3">
        <v>12</v>
      </c>
      <c r="B517" s="3">
        <v>5</v>
      </c>
      <c r="C517" s="3">
        <v>102</v>
      </c>
      <c r="D517" s="3">
        <v>6</v>
      </c>
      <c r="E517" s="3">
        <v>-69.664</v>
      </c>
      <c r="F517" s="4" t="str">
        <f>HYPERLINK("http://141.218.60.56/~jnz1568/getInfo.php?workbook=12_05.xlsx&amp;sheet=A0&amp;row=517&amp;col=6&amp;number=2460000000&amp;sourceID=14","2460000000")</f>
        <v>2460000000</v>
      </c>
      <c r="G517" s="4" t="str">
        <f>HYPERLINK("http://141.218.60.56/~jnz1568/getInfo.php?workbook=12_05.xlsx&amp;sheet=A0&amp;row=517&amp;col=7&amp;number=0&amp;sourceID=14","0")</f>
        <v>0</v>
      </c>
    </row>
    <row r="518" spans="1:7">
      <c r="A518" s="3">
        <v>12</v>
      </c>
      <c r="B518" s="3">
        <v>5</v>
      </c>
      <c r="C518" s="3">
        <v>103</v>
      </c>
      <c r="D518" s="3">
        <v>6</v>
      </c>
      <c r="E518" s="3">
        <v>-67.782</v>
      </c>
      <c r="F518" s="4" t="str">
        <f>HYPERLINK("http://141.218.60.56/~jnz1568/getInfo.php?workbook=12_05.xlsx&amp;sheet=A0&amp;row=518&amp;col=6&amp;number=64140000000&amp;sourceID=14","64140000000")</f>
        <v>64140000000</v>
      </c>
      <c r="G518" s="4" t="str">
        <f>HYPERLINK("http://141.218.60.56/~jnz1568/getInfo.php?workbook=12_05.xlsx&amp;sheet=A0&amp;row=518&amp;col=7&amp;number=0&amp;sourceID=14","0")</f>
        <v>0</v>
      </c>
    </row>
    <row r="519" spans="1:7">
      <c r="A519" s="3">
        <v>12</v>
      </c>
      <c r="B519" s="3">
        <v>5</v>
      </c>
      <c r="C519" s="3">
        <v>104</v>
      </c>
      <c r="D519" s="3">
        <v>6</v>
      </c>
      <c r="E519" s="3">
        <v>-66.991</v>
      </c>
      <c r="F519" s="4" t="str">
        <f>HYPERLINK("http://141.218.60.56/~jnz1568/getInfo.php?workbook=12_05.xlsx&amp;sheet=A0&amp;row=519&amp;col=6&amp;number=9374000000&amp;sourceID=14","9374000000")</f>
        <v>9374000000</v>
      </c>
      <c r="G519" s="4" t="str">
        <f>HYPERLINK("http://141.218.60.56/~jnz1568/getInfo.php?workbook=12_05.xlsx&amp;sheet=A0&amp;row=519&amp;col=7&amp;number=0&amp;sourceID=14","0")</f>
        <v>0</v>
      </c>
    </row>
    <row r="520" spans="1:7">
      <c r="A520" s="3">
        <v>12</v>
      </c>
      <c r="B520" s="3">
        <v>5</v>
      </c>
      <c r="C520" s="3">
        <v>105</v>
      </c>
      <c r="D520" s="3">
        <v>6</v>
      </c>
      <c r="E520" s="3">
        <v>-63.899</v>
      </c>
      <c r="F520" s="4" t="str">
        <f>HYPERLINK("http://141.218.60.56/~jnz1568/getInfo.php?workbook=12_05.xlsx&amp;sheet=A0&amp;row=520&amp;col=6&amp;number=20200000&amp;sourceID=14","20200000")</f>
        <v>20200000</v>
      </c>
      <c r="G520" s="4" t="str">
        <f>HYPERLINK("http://141.218.60.56/~jnz1568/getInfo.php?workbook=12_05.xlsx&amp;sheet=A0&amp;row=520&amp;col=7&amp;number=0&amp;sourceID=14","0")</f>
        <v>0</v>
      </c>
    </row>
    <row r="521" spans="1:7">
      <c r="A521" s="3">
        <v>12</v>
      </c>
      <c r="B521" s="3">
        <v>5</v>
      </c>
      <c r="C521" s="3">
        <v>87</v>
      </c>
      <c r="D521" s="3">
        <v>10</v>
      </c>
      <c r="E521" s="3">
        <v>-105.894</v>
      </c>
      <c r="F521" s="4" t="str">
        <f>HYPERLINK("http://141.218.60.56/~jnz1568/getInfo.php?workbook=12_05.xlsx&amp;sheet=A0&amp;row=521&amp;col=6&amp;number=306000000&amp;sourceID=14","306000000")</f>
        <v>306000000</v>
      </c>
      <c r="G521" s="4" t="str">
        <f>HYPERLINK("http://141.218.60.56/~jnz1568/getInfo.php?workbook=12_05.xlsx&amp;sheet=A0&amp;row=521&amp;col=7&amp;number=0&amp;sourceID=14","0")</f>
        <v>0</v>
      </c>
    </row>
    <row r="522" spans="1:7">
      <c r="A522" s="3">
        <v>12</v>
      </c>
      <c r="B522" s="3">
        <v>5</v>
      </c>
      <c r="C522" s="3">
        <v>88</v>
      </c>
      <c r="D522" s="3">
        <v>10</v>
      </c>
      <c r="E522" s="3">
        <v>96.92</v>
      </c>
      <c r="F522" s="4" t="str">
        <f>HYPERLINK("http://141.218.60.56/~jnz1568/getInfo.php?workbook=12_05.xlsx&amp;sheet=A0&amp;row=522&amp;col=6&amp;number=30680&amp;sourceID=14","30680")</f>
        <v>30680</v>
      </c>
      <c r="G522" s="4" t="str">
        <f>HYPERLINK("http://141.218.60.56/~jnz1568/getInfo.php?workbook=12_05.xlsx&amp;sheet=A0&amp;row=522&amp;col=7&amp;number=0&amp;sourceID=14","0")</f>
        <v>0</v>
      </c>
    </row>
    <row r="523" spans="1:7">
      <c r="A523" s="3">
        <v>12</v>
      </c>
      <c r="B523" s="3">
        <v>5</v>
      </c>
      <c r="C523" s="3">
        <v>89</v>
      </c>
      <c r="D523" s="3">
        <v>10</v>
      </c>
      <c r="E523" s="3">
        <v>94.072</v>
      </c>
      <c r="F523" s="4" t="str">
        <f>HYPERLINK("http://141.218.60.56/~jnz1568/getInfo.php?workbook=12_05.xlsx&amp;sheet=A0&amp;row=523&amp;col=6&amp;number=2806000000&amp;sourceID=14","2806000000")</f>
        <v>2806000000</v>
      </c>
      <c r="G523" s="4" t="str">
        <f>HYPERLINK("http://141.218.60.56/~jnz1568/getInfo.php?workbook=12_05.xlsx&amp;sheet=A0&amp;row=523&amp;col=7&amp;number=0&amp;sourceID=14","0")</f>
        <v>0</v>
      </c>
    </row>
    <row r="524" spans="1:7">
      <c r="A524" s="3">
        <v>12</v>
      </c>
      <c r="B524" s="3">
        <v>5</v>
      </c>
      <c r="C524" s="3">
        <v>90</v>
      </c>
      <c r="D524" s="3">
        <v>10</v>
      </c>
      <c r="E524" s="3">
        <v>-88.307</v>
      </c>
      <c r="F524" s="4" t="str">
        <f>HYPERLINK("http://141.218.60.56/~jnz1568/getInfo.php?workbook=12_05.xlsx&amp;sheet=A0&amp;row=524&amp;col=6&amp;number=10200000&amp;sourceID=14","10200000")</f>
        <v>10200000</v>
      </c>
      <c r="G524" s="4" t="str">
        <f>HYPERLINK("http://141.218.60.56/~jnz1568/getInfo.php?workbook=12_05.xlsx&amp;sheet=A0&amp;row=524&amp;col=7&amp;number=0&amp;sourceID=14","0")</f>
        <v>0</v>
      </c>
    </row>
    <row r="525" spans="1:7">
      <c r="A525" s="3">
        <v>12</v>
      </c>
      <c r="B525" s="3">
        <v>5</v>
      </c>
      <c r="C525" s="3">
        <v>91</v>
      </c>
      <c r="D525" s="3">
        <v>10</v>
      </c>
      <c r="E525" s="3">
        <v>86.542</v>
      </c>
      <c r="F525" s="4" t="str">
        <f>HYPERLINK("http://141.218.60.56/~jnz1568/getInfo.php?workbook=12_05.xlsx&amp;sheet=A0&amp;row=525&amp;col=6&amp;number=247000000&amp;sourceID=14","247000000")</f>
        <v>247000000</v>
      </c>
      <c r="G525" s="4" t="str">
        <f>HYPERLINK("http://141.218.60.56/~jnz1568/getInfo.php?workbook=12_05.xlsx&amp;sheet=A0&amp;row=525&amp;col=7&amp;number=0&amp;sourceID=14","0")</f>
        <v>0</v>
      </c>
    </row>
    <row r="526" spans="1:7">
      <c r="A526" s="3">
        <v>12</v>
      </c>
      <c r="B526" s="3">
        <v>5</v>
      </c>
      <c r="C526" s="3">
        <v>92</v>
      </c>
      <c r="D526" s="3">
        <v>10</v>
      </c>
      <c r="E526" s="3">
        <v>86.386</v>
      </c>
      <c r="F526" s="4" t="str">
        <f>HYPERLINK("http://141.218.60.56/~jnz1568/getInfo.php?workbook=12_05.xlsx&amp;sheet=A0&amp;row=526&amp;col=6&amp;number=6483000000&amp;sourceID=14","6483000000")</f>
        <v>6483000000</v>
      </c>
      <c r="G526" s="4" t="str">
        <f>HYPERLINK("http://141.218.60.56/~jnz1568/getInfo.php?workbook=12_05.xlsx&amp;sheet=A0&amp;row=526&amp;col=7&amp;number=0&amp;sourceID=14","0")</f>
        <v>0</v>
      </c>
    </row>
    <row r="527" spans="1:7">
      <c r="A527" s="3">
        <v>12</v>
      </c>
      <c r="B527" s="3">
        <v>5</v>
      </c>
      <c r="C527" s="3">
        <v>93</v>
      </c>
      <c r="D527" s="3">
        <v>10</v>
      </c>
      <c r="E527" s="3">
        <v>85.935</v>
      </c>
      <c r="F527" s="4" t="str">
        <f>HYPERLINK("http://141.218.60.56/~jnz1568/getInfo.php?workbook=12_05.xlsx&amp;sheet=A0&amp;row=527&amp;col=6&amp;number=27650000&amp;sourceID=14","27650000")</f>
        <v>27650000</v>
      </c>
      <c r="G527" s="4" t="str">
        <f>HYPERLINK("http://141.218.60.56/~jnz1568/getInfo.php?workbook=12_05.xlsx&amp;sheet=A0&amp;row=527&amp;col=7&amp;number=0&amp;sourceID=14","0")</f>
        <v>0</v>
      </c>
    </row>
    <row r="528" spans="1:7">
      <c r="A528" s="3">
        <v>12</v>
      </c>
      <c r="B528" s="3">
        <v>5</v>
      </c>
      <c r="C528" s="3">
        <v>94</v>
      </c>
      <c r="D528" s="3">
        <v>10</v>
      </c>
      <c r="E528" s="3">
        <v>-85.733</v>
      </c>
      <c r="F528" s="4" t="str">
        <f>HYPERLINK("http://141.218.60.56/~jnz1568/getInfo.php?workbook=12_05.xlsx&amp;sheet=A0&amp;row=528&amp;col=6&amp;number=40900000000&amp;sourceID=14","40900000000")</f>
        <v>40900000000</v>
      </c>
      <c r="G528" s="4" t="str">
        <f>HYPERLINK("http://141.218.60.56/~jnz1568/getInfo.php?workbook=12_05.xlsx&amp;sheet=A0&amp;row=528&amp;col=7&amp;number=0&amp;sourceID=14","0")</f>
        <v>0</v>
      </c>
    </row>
    <row r="529" spans="1:7">
      <c r="A529" s="3">
        <v>12</v>
      </c>
      <c r="B529" s="3">
        <v>5</v>
      </c>
      <c r="C529" s="3">
        <v>95</v>
      </c>
      <c r="D529" s="3">
        <v>10</v>
      </c>
      <c r="E529" s="3">
        <v>83.868</v>
      </c>
      <c r="F529" s="4" t="str">
        <f>HYPERLINK("http://141.218.60.56/~jnz1568/getInfo.php?workbook=12_05.xlsx&amp;sheet=A0&amp;row=529&amp;col=6&amp;number=19440000000&amp;sourceID=14","19440000000")</f>
        <v>19440000000</v>
      </c>
      <c r="G529" s="4" t="str">
        <f>HYPERLINK("http://141.218.60.56/~jnz1568/getInfo.php?workbook=12_05.xlsx&amp;sheet=A0&amp;row=529&amp;col=7&amp;number=0&amp;sourceID=14","0")</f>
        <v>0</v>
      </c>
    </row>
    <row r="530" spans="1:7">
      <c r="A530" s="3">
        <v>12</v>
      </c>
      <c r="B530" s="3">
        <v>5</v>
      </c>
      <c r="C530" s="3">
        <v>96</v>
      </c>
      <c r="D530" s="3">
        <v>10</v>
      </c>
      <c r="E530" s="3">
        <v>77.694</v>
      </c>
      <c r="F530" s="4" t="str">
        <f>HYPERLINK("http://141.218.60.56/~jnz1568/getInfo.php?workbook=12_05.xlsx&amp;sheet=A0&amp;row=530&amp;col=6&amp;number=66990000000&amp;sourceID=14","66990000000")</f>
        <v>66990000000</v>
      </c>
      <c r="G530" s="4" t="str">
        <f>HYPERLINK("http://141.218.60.56/~jnz1568/getInfo.php?workbook=12_05.xlsx&amp;sheet=A0&amp;row=530&amp;col=7&amp;number=0&amp;sourceID=14","0")</f>
        <v>0</v>
      </c>
    </row>
    <row r="531" spans="1:7">
      <c r="A531" s="3">
        <v>12</v>
      </c>
      <c r="B531" s="3">
        <v>5</v>
      </c>
      <c r="C531" s="3">
        <v>97</v>
      </c>
      <c r="D531" s="3">
        <v>10</v>
      </c>
      <c r="E531" s="3">
        <v>-76.798</v>
      </c>
      <c r="F531" s="4" t="str">
        <f>HYPERLINK("http://141.218.60.56/~jnz1568/getInfo.php?workbook=12_05.xlsx&amp;sheet=A0&amp;row=531&amp;col=6&amp;number=164300000000&amp;sourceID=14","164300000000")</f>
        <v>164300000000</v>
      </c>
      <c r="G531" s="4" t="str">
        <f>HYPERLINK("http://141.218.60.56/~jnz1568/getInfo.php?workbook=12_05.xlsx&amp;sheet=A0&amp;row=531&amp;col=7&amp;number=0&amp;sourceID=14","0")</f>
        <v>0</v>
      </c>
    </row>
    <row r="532" spans="1:7">
      <c r="A532" s="3">
        <v>12</v>
      </c>
      <c r="B532" s="3">
        <v>5</v>
      </c>
      <c r="C532" s="3">
        <v>98</v>
      </c>
      <c r="D532" s="3">
        <v>10</v>
      </c>
      <c r="E532" s="3">
        <v>-76.085</v>
      </c>
      <c r="F532" s="4" t="str">
        <f>HYPERLINK("http://141.218.60.56/~jnz1568/getInfo.php?workbook=12_05.xlsx&amp;sheet=A0&amp;row=532&amp;col=6&amp;number=1338000&amp;sourceID=14","1338000")</f>
        <v>1338000</v>
      </c>
      <c r="G532" s="4" t="str">
        <f>HYPERLINK("http://141.218.60.56/~jnz1568/getInfo.php?workbook=12_05.xlsx&amp;sheet=A0&amp;row=532&amp;col=7&amp;number=0&amp;sourceID=14","0")</f>
        <v>0</v>
      </c>
    </row>
    <row r="533" spans="1:7">
      <c r="A533" s="3">
        <v>12</v>
      </c>
      <c r="B533" s="3">
        <v>5</v>
      </c>
      <c r="C533" s="3">
        <v>99</v>
      </c>
      <c r="D533" s="3">
        <v>10</v>
      </c>
      <c r="E533" s="3">
        <v>-75.605</v>
      </c>
      <c r="F533" s="4" t="str">
        <f>HYPERLINK("http://141.218.60.56/~jnz1568/getInfo.php?workbook=12_05.xlsx&amp;sheet=A0&amp;row=533&amp;col=6&amp;number=15250000&amp;sourceID=14","15250000")</f>
        <v>15250000</v>
      </c>
      <c r="G533" s="4" t="str">
        <f>HYPERLINK("http://141.218.60.56/~jnz1568/getInfo.php?workbook=12_05.xlsx&amp;sheet=A0&amp;row=533&amp;col=7&amp;number=0&amp;sourceID=14","0")</f>
        <v>0</v>
      </c>
    </row>
    <row r="534" spans="1:7">
      <c r="A534" s="3">
        <v>12</v>
      </c>
      <c r="B534" s="3">
        <v>5</v>
      </c>
      <c r="C534" s="3">
        <v>100</v>
      </c>
      <c r="D534" s="3">
        <v>10</v>
      </c>
      <c r="E534" s="3">
        <v>-75.111</v>
      </c>
      <c r="F534" s="4" t="str">
        <f>HYPERLINK("http://141.218.60.56/~jnz1568/getInfo.php?workbook=12_05.xlsx&amp;sheet=A0&amp;row=534&amp;col=6&amp;number=7211000000&amp;sourceID=14","7211000000")</f>
        <v>7211000000</v>
      </c>
      <c r="G534" s="4" t="str">
        <f>HYPERLINK("http://141.218.60.56/~jnz1568/getInfo.php?workbook=12_05.xlsx&amp;sheet=A0&amp;row=534&amp;col=7&amp;number=0&amp;sourceID=14","0")</f>
        <v>0</v>
      </c>
    </row>
    <row r="535" spans="1:7">
      <c r="A535" s="3">
        <v>12</v>
      </c>
      <c r="B535" s="3">
        <v>5</v>
      </c>
      <c r="C535" s="3">
        <v>101</v>
      </c>
      <c r="D535" s="3">
        <v>10</v>
      </c>
      <c r="E535" s="3">
        <v>73.895</v>
      </c>
      <c r="F535" s="4" t="str">
        <f>HYPERLINK("http://141.218.60.56/~jnz1568/getInfo.php?workbook=12_05.xlsx&amp;sheet=A0&amp;row=535&amp;col=6&amp;number=5131000&amp;sourceID=14","5131000")</f>
        <v>5131000</v>
      </c>
      <c r="G535" s="4" t="str">
        <f>HYPERLINK("http://141.218.60.56/~jnz1568/getInfo.php?workbook=12_05.xlsx&amp;sheet=A0&amp;row=535&amp;col=7&amp;number=0&amp;sourceID=14","0")</f>
        <v>0</v>
      </c>
    </row>
    <row r="536" spans="1:7">
      <c r="A536" s="3">
        <v>12</v>
      </c>
      <c r="B536" s="3">
        <v>5</v>
      </c>
      <c r="C536" s="3">
        <v>102</v>
      </c>
      <c r="D536" s="3">
        <v>10</v>
      </c>
      <c r="E536" s="3">
        <v>-74.237</v>
      </c>
      <c r="F536" s="4" t="str">
        <f>HYPERLINK("http://141.218.60.56/~jnz1568/getInfo.php?workbook=12_05.xlsx&amp;sheet=A0&amp;row=536&amp;col=6&amp;number=53870000000&amp;sourceID=14","53870000000")</f>
        <v>53870000000</v>
      </c>
      <c r="G536" s="4" t="str">
        <f>HYPERLINK("http://141.218.60.56/~jnz1568/getInfo.php?workbook=12_05.xlsx&amp;sheet=A0&amp;row=536&amp;col=7&amp;number=0&amp;sourceID=14","0")</f>
        <v>0</v>
      </c>
    </row>
    <row r="537" spans="1:7">
      <c r="A537" s="3">
        <v>12</v>
      </c>
      <c r="B537" s="3">
        <v>5</v>
      </c>
      <c r="C537" s="3">
        <v>103</v>
      </c>
      <c r="D537" s="3">
        <v>10</v>
      </c>
      <c r="E537" s="3">
        <v>-72.103</v>
      </c>
      <c r="F537" s="4" t="str">
        <f>HYPERLINK("http://141.218.60.56/~jnz1568/getInfo.php?workbook=12_05.xlsx&amp;sheet=A0&amp;row=537&amp;col=6&amp;number=9631000000&amp;sourceID=14","9631000000")</f>
        <v>9631000000</v>
      </c>
      <c r="G537" s="4" t="str">
        <f>HYPERLINK("http://141.218.60.56/~jnz1568/getInfo.php?workbook=12_05.xlsx&amp;sheet=A0&amp;row=537&amp;col=7&amp;number=0&amp;sourceID=14","0")</f>
        <v>0</v>
      </c>
    </row>
    <row r="538" spans="1:7">
      <c r="A538" s="3">
        <v>12</v>
      </c>
      <c r="B538" s="3">
        <v>5</v>
      </c>
      <c r="C538" s="3">
        <v>104</v>
      </c>
      <c r="D538" s="3">
        <v>10</v>
      </c>
      <c r="E538" s="3">
        <v>-71.209</v>
      </c>
      <c r="F538" s="4" t="str">
        <f>HYPERLINK("http://141.218.60.56/~jnz1568/getInfo.php?workbook=12_05.xlsx&amp;sheet=A0&amp;row=538&amp;col=6&amp;number=28200000000&amp;sourceID=14","28200000000")</f>
        <v>28200000000</v>
      </c>
      <c r="G538" s="4" t="str">
        <f>HYPERLINK("http://141.218.60.56/~jnz1568/getInfo.php?workbook=12_05.xlsx&amp;sheet=A0&amp;row=538&amp;col=7&amp;number=0&amp;sourceID=14","0")</f>
        <v>0</v>
      </c>
    </row>
    <row r="539" spans="1:7">
      <c r="A539" s="3">
        <v>12</v>
      </c>
      <c r="B539" s="3">
        <v>5</v>
      </c>
      <c r="C539" s="3">
        <v>105</v>
      </c>
      <c r="D539" s="3">
        <v>10</v>
      </c>
      <c r="E539" s="3">
        <v>-67.725</v>
      </c>
      <c r="F539" s="4" t="str">
        <f>HYPERLINK("http://141.218.60.56/~jnz1568/getInfo.php?workbook=12_05.xlsx&amp;sheet=A0&amp;row=539&amp;col=6&amp;number=7882000000&amp;sourceID=14","7882000000")</f>
        <v>7882000000</v>
      </c>
      <c r="G539" s="4" t="str">
        <f>HYPERLINK("http://141.218.60.56/~jnz1568/getInfo.php?workbook=12_05.xlsx&amp;sheet=A0&amp;row=539&amp;col=7&amp;number=0&amp;sourceID=14","0")</f>
        <v>0</v>
      </c>
    </row>
    <row r="540" spans="1:7">
      <c r="A540" s="3">
        <v>12</v>
      </c>
      <c r="B540" s="3">
        <v>5</v>
      </c>
      <c r="C540" s="3">
        <v>106</v>
      </c>
      <c r="D540" s="3">
        <v>4</v>
      </c>
      <c r="E540" s="3">
        <v>81.738</v>
      </c>
      <c r="F540" s="4" t="str">
        <f>HYPERLINK("http://141.218.60.56/~jnz1568/getInfo.php?workbook=12_05.xlsx&amp;sheet=A0&amp;row=540&amp;col=6&amp;number=20820000000&amp;sourceID=14","20820000000")</f>
        <v>20820000000</v>
      </c>
      <c r="G540" s="4" t="str">
        <f>HYPERLINK("http://141.218.60.56/~jnz1568/getInfo.php?workbook=12_05.xlsx&amp;sheet=A0&amp;row=540&amp;col=7&amp;number=0&amp;sourceID=14","0")</f>
        <v>0</v>
      </c>
    </row>
    <row r="541" spans="1:7">
      <c r="A541" s="3">
        <v>12</v>
      </c>
      <c r="B541" s="3">
        <v>5</v>
      </c>
      <c r="C541" s="3">
        <v>107</v>
      </c>
      <c r="D541" s="3">
        <v>4</v>
      </c>
      <c r="E541" s="3">
        <v>-75.597</v>
      </c>
      <c r="F541" s="4" t="str">
        <f>HYPERLINK("http://141.218.60.56/~jnz1568/getInfo.php?workbook=12_05.xlsx&amp;sheet=A0&amp;row=541&amp;col=6&amp;number=1959000000&amp;sourceID=14","1959000000")</f>
        <v>1959000000</v>
      </c>
      <c r="G541" s="4" t="str">
        <f>HYPERLINK("http://141.218.60.56/~jnz1568/getInfo.php?workbook=12_05.xlsx&amp;sheet=A0&amp;row=541&amp;col=7&amp;number=0&amp;sourceID=14","0")</f>
        <v>0</v>
      </c>
    </row>
    <row r="542" spans="1:7">
      <c r="A542" s="3">
        <v>12</v>
      </c>
      <c r="B542" s="3">
        <v>5</v>
      </c>
      <c r="C542" s="3">
        <v>108</v>
      </c>
      <c r="D542" s="3">
        <v>4</v>
      </c>
      <c r="E542" s="3">
        <v>74.324</v>
      </c>
      <c r="F542" s="4" t="str">
        <f>HYPERLINK("http://141.218.60.56/~jnz1568/getInfo.php?workbook=12_05.xlsx&amp;sheet=A0&amp;row=542&amp;col=6&amp;number=460300000000&amp;sourceID=14","460300000000")</f>
        <v>460300000000</v>
      </c>
      <c r="G542" s="4" t="str">
        <f>HYPERLINK("http://141.218.60.56/~jnz1568/getInfo.php?workbook=12_05.xlsx&amp;sheet=A0&amp;row=542&amp;col=7&amp;number=0&amp;sourceID=14","0")</f>
        <v>0</v>
      </c>
    </row>
    <row r="543" spans="1:7">
      <c r="A543" s="3">
        <v>12</v>
      </c>
      <c r="B543" s="3">
        <v>5</v>
      </c>
      <c r="C543" s="3">
        <v>109</v>
      </c>
      <c r="D543" s="3">
        <v>4</v>
      </c>
      <c r="E543" s="3">
        <v>74.208</v>
      </c>
      <c r="F543" s="4" t="str">
        <f>HYPERLINK("http://141.218.60.56/~jnz1568/getInfo.php?workbook=12_05.xlsx&amp;sheet=A0&amp;row=543&amp;col=6&amp;number=21590000000&amp;sourceID=14","21590000000")</f>
        <v>21590000000</v>
      </c>
      <c r="G543" s="4" t="str">
        <f>HYPERLINK("http://141.218.60.56/~jnz1568/getInfo.php?workbook=12_05.xlsx&amp;sheet=A0&amp;row=543&amp;col=7&amp;number=0&amp;sourceID=14","0")</f>
        <v>0</v>
      </c>
    </row>
    <row r="544" spans="1:7">
      <c r="A544" s="3">
        <v>12</v>
      </c>
      <c r="B544" s="3">
        <v>5</v>
      </c>
      <c r="C544" s="3">
        <v>110</v>
      </c>
      <c r="D544" s="3">
        <v>4</v>
      </c>
      <c r="E544" s="3">
        <v>73.933</v>
      </c>
      <c r="F544" s="4" t="str">
        <f>HYPERLINK("http://141.218.60.56/~jnz1568/getInfo.php?workbook=12_05.xlsx&amp;sheet=A0&amp;row=544&amp;col=6&amp;number=32440000000&amp;sourceID=14","32440000000")</f>
        <v>32440000000</v>
      </c>
      <c r="G544" s="4" t="str">
        <f>HYPERLINK("http://141.218.60.56/~jnz1568/getInfo.php?workbook=12_05.xlsx&amp;sheet=A0&amp;row=544&amp;col=7&amp;number=0&amp;sourceID=14","0")</f>
        <v>0</v>
      </c>
    </row>
    <row r="545" spans="1:7">
      <c r="A545" s="3">
        <v>12</v>
      </c>
      <c r="B545" s="3">
        <v>5</v>
      </c>
      <c r="C545" s="3">
        <v>111</v>
      </c>
      <c r="D545" s="3">
        <v>4</v>
      </c>
      <c r="E545" s="3">
        <v>72.787</v>
      </c>
      <c r="F545" s="4" t="str">
        <f>HYPERLINK("http://141.218.60.56/~jnz1568/getInfo.php?workbook=12_05.xlsx&amp;sheet=A0&amp;row=545&amp;col=6&amp;number=86520&amp;sourceID=14","86520")</f>
        <v>86520</v>
      </c>
      <c r="G545" s="4" t="str">
        <f>HYPERLINK("http://141.218.60.56/~jnz1568/getInfo.php?workbook=12_05.xlsx&amp;sheet=A0&amp;row=545&amp;col=7&amp;number=0&amp;sourceID=14","0")</f>
        <v>0</v>
      </c>
    </row>
    <row r="546" spans="1:7">
      <c r="A546" s="3">
        <v>12</v>
      </c>
      <c r="B546" s="3">
        <v>5</v>
      </c>
      <c r="C546" s="3">
        <v>112</v>
      </c>
      <c r="D546" s="3">
        <v>4</v>
      </c>
      <c r="E546" s="3">
        <v>68.196</v>
      </c>
      <c r="F546" s="4" t="str">
        <f>HYPERLINK("http://141.218.60.56/~jnz1568/getInfo.php?workbook=12_05.xlsx&amp;sheet=A0&amp;row=546&amp;col=6&amp;number=2516000&amp;sourceID=14","2516000")</f>
        <v>2516000</v>
      </c>
      <c r="G546" s="4" t="str">
        <f>HYPERLINK("http://141.218.60.56/~jnz1568/getInfo.php?workbook=12_05.xlsx&amp;sheet=A0&amp;row=546&amp;col=7&amp;number=0&amp;sourceID=14","0")</f>
        <v>0</v>
      </c>
    </row>
    <row r="547" spans="1:7">
      <c r="A547" s="3">
        <v>12</v>
      </c>
      <c r="B547" s="3">
        <v>5</v>
      </c>
      <c r="C547" s="3">
        <v>113</v>
      </c>
      <c r="D547" s="3">
        <v>4</v>
      </c>
      <c r="E547" s="3">
        <v>67.701</v>
      </c>
      <c r="F547" s="4" t="str">
        <f>HYPERLINK("http://141.218.60.56/~jnz1568/getInfo.php?workbook=12_05.xlsx&amp;sheet=A0&amp;row=547&amp;col=6&amp;number=3518000&amp;sourceID=14","3518000")</f>
        <v>3518000</v>
      </c>
      <c r="G547" s="4" t="str">
        <f>HYPERLINK("http://141.218.60.56/~jnz1568/getInfo.php?workbook=12_05.xlsx&amp;sheet=A0&amp;row=547&amp;col=7&amp;number=0&amp;sourceID=14","0")</f>
        <v>0</v>
      </c>
    </row>
    <row r="548" spans="1:7">
      <c r="A548" s="3">
        <v>12</v>
      </c>
      <c r="B548" s="3">
        <v>5</v>
      </c>
      <c r="C548" s="3">
        <v>114</v>
      </c>
      <c r="D548" s="3">
        <v>4</v>
      </c>
      <c r="E548" s="3">
        <v>-66.435</v>
      </c>
      <c r="F548" s="4" t="str">
        <f>HYPERLINK("http://141.218.60.56/~jnz1568/getInfo.php?workbook=12_05.xlsx&amp;sheet=A0&amp;row=548&amp;col=6&amp;number=39600000000&amp;sourceID=14","39600000000")</f>
        <v>39600000000</v>
      </c>
      <c r="G548" s="4" t="str">
        <f>HYPERLINK("http://141.218.60.56/~jnz1568/getInfo.php?workbook=12_05.xlsx&amp;sheet=A0&amp;row=548&amp;col=7&amp;number=0&amp;sourceID=14","0")</f>
        <v>0</v>
      </c>
    </row>
    <row r="549" spans="1:7">
      <c r="A549" s="3">
        <v>12</v>
      </c>
      <c r="B549" s="3">
        <v>5</v>
      </c>
      <c r="C549" s="3">
        <v>115</v>
      </c>
      <c r="D549" s="3">
        <v>4</v>
      </c>
      <c r="E549" s="3">
        <v>65.738</v>
      </c>
      <c r="F549" s="4" t="str">
        <f>HYPERLINK("http://141.218.60.56/~jnz1568/getInfo.php?workbook=12_05.xlsx&amp;sheet=A0&amp;row=549&amp;col=6&amp;number=16030000000&amp;sourceID=14","16030000000")</f>
        <v>16030000000</v>
      </c>
      <c r="G549" s="4" t="str">
        <f>HYPERLINK("http://141.218.60.56/~jnz1568/getInfo.php?workbook=12_05.xlsx&amp;sheet=A0&amp;row=549&amp;col=7&amp;number=0&amp;sourceID=14","0")</f>
        <v>0</v>
      </c>
    </row>
    <row r="550" spans="1:7">
      <c r="A550" s="3">
        <v>12</v>
      </c>
      <c r="B550" s="3">
        <v>5</v>
      </c>
      <c r="C550" s="3">
        <v>116</v>
      </c>
      <c r="D550" s="3">
        <v>4</v>
      </c>
      <c r="E550" s="3">
        <v>-65.646</v>
      </c>
      <c r="F550" s="4" t="str">
        <f>HYPERLINK("http://141.218.60.56/~jnz1568/getInfo.php?workbook=12_05.xlsx&amp;sheet=A0&amp;row=550&amp;col=6&amp;number=261000000&amp;sourceID=14","261000000")</f>
        <v>261000000</v>
      </c>
      <c r="G550" s="4" t="str">
        <f>HYPERLINK("http://141.218.60.56/~jnz1568/getInfo.php?workbook=12_05.xlsx&amp;sheet=A0&amp;row=550&amp;col=7&amp;number=0&amp;sourceID=14","0")</f>
        <v>0</v>
      </c>
    </row>
    <row r="551" spans="1:7">
      <c r="A551" s="3">
        <v>12</v>
      </c>
      <c r="B551" s="3">
        <v>5</v>
      </c>
      <c r="C551" s="3">
        <v>117</v>
      </c>
      <c r="D551" s="3">
        <v>4</v>
      </c>
      <c r="E551" s="3">
        <v>64.13</v>
      </c>
      <c r="F551" s="4" t="str">
        <f>HYPERLINK("http://141.218.60.56/~jnz1568/getInfo.php?workbook=12_05.xlsx&amp;sheet=A0&amp;row=551&amp;col=6&amp;number=3110000&amp;sourceID=14","3110000")</f>
        <v>3110000</v>
      </c>
      <c r="G551" s="4" t="str">
        <f>HYPERLINK("http://141.218.60.56/~jnz1568/getInfo.php?workbook=12_05.xlsx&amp;sheet=A0&amp;row=551&amp;col=7&amp;number=0&amp;sourceID=14","0")</f>
        <v>0</v>
      </c>
    </row>
    <row r="552" spans="1:7">
      <c r="A552" s="3">
        <v>12</v>
      </c>
      <c r="B552" s="3">
        <v>5</v>
      </c>
      <c r="C552" s="3">
        <v>118</v>
      </c>
      <c r="D552" s="3">
        <v>4</v>
      </c>
      <c r="E552" s="3">
        <v>-63.438</v>
      </c>
      <c r="F552" s="4" t="str">
        <f>HYPERLINK("http://141.218.60.56/~jnz1568/getInfo.php?workbook=12_05.xlsx&amp;sheet=A0&amp;row=552&amp;col=6&amp;number=156800&amp;sourceID=14","156800")</f>
        <v>156800</v>
      </c>
      <c r="G552" s="4" t="str">
        <f>HYPERLINK("http://141.218.60.56/~jnz1568/getInfo.php?workbook=12_05.xlsx&amp;sheet=A0&amp;row=552&amp;col=7&amp;number=0&amp;sourceID=14","0")</f>
        <v>0</v>
      </c>
    </row>
    <row r="553" spans="1:7">
      <c r="A553" s="3">
        <v>12</v>
      </c>
      <c r="B553" s="3">
        <v>5</v>
      </c>
      <c r="C553" s="3">
        <v>106</v>
      </c>
      <c r="D553" s="3">
        <v>6</v>
      </c>
      <c r="E553" s="3">
        <v>89.108</v>
      </c>
      <c r="F553" s="4" t="str">
        <f>HYPERLINK("http://141.218.60.56/~jnz1568/getInfo.php?workbook=12_05.xlsx&amp;sheet=A0&amp;row=553&amp;col=6&amp;number=541500&amp;sourceID=14","541500")</f>
        <v>541500</v>
      </c>
      <c r="G553" s="4" t="str">
        <f>HYPERLINK("http://141.218.60.56/~jnz1568/getInfo.php?workbook=12_05.xlsx&amp;sheet=A0&amp;row=553&amp;col=7&amp;number=0&amp;sourceID=14","0")</f>
        <v>0</v>
      </c>
    </row>
    <row r="554" spans="1:7">
      <c r="A554" s="3">
        <v>12</v>
      </c>
      <c r="B554" s="3">
        <v>5</v>
      </c>
      <c r="C554" s="3">
        <v>107</v>
      </c>
      <c r="D554" s="3">
        <v>6</v>
      </c>
      <c r="E554" s="3">
        <v>-81.864</v>
      </c>
      <c r="F554" s="4" t="str">
        <f>HYPERLINK("http://141.218.60.56/~jnz1568/getInfo.php?workbook=12_05.xlsx&amp;sheet=A0&amp;row=554&amp;col=6&amp;number=13870000&amp;sourceID=14","13870000")</f>
        <v>13870000</v>
      </c>
      <c r="G554" s="4" t="str">
        <f>HYPERLINK("http://141.218.60.56/~jnz1568/getInfo.php?workbook=12_05.xlsx&amp;sheet=A0&amp;row=554&amp;col=7&amp;number=0&amp;sourceID=14","0")</f>
        <v>0</v>
      </c>
    </row>
    <row r="555" spans="1:7">
      <c r="A555" s="3">
        <v>12</v>
      </c>
      <c r="B555" s="3">
        <v>5</v>
      </c>
      <c r="C555" s="3">
        <v>108</v>
      </c>
      <c r="D555" s="3">
        <v>6</v>
      </c>
      <c r="E555" s="3">
        <v>80.368</v>
      </c>
      <c r="F555" s="4" t="str">
        <f>HYPERLINK("http://141.218.60.56/~jnz1568/getInfo.php?workbook=12_05.xlsx&amp;sheet=A0&amp;row=555&amp;col=6&amp;number=831300000&amp;sourceID=14","831300000")</f>
        <v>831300000</v>
      </c>
      <c r="G555" s="4" t="str">
        <f>HYPERLINK("http://141.218.60.56/~jnz1568/getInfo.php?workbook=12_05.xlsx&amp;sheet=A0&amp;row=555&amp;col=7&amp;number=0&amp;sourceID=14","0")</f>
        <v>0</v>
      </c>
    </row>
    <row r="556" spans="1:7">
      <c r="A556" s="3">
        <v>12</v>
      </c>
      <c r="B556" s="3">
        <v>5</v>
      </c>
      <c r="C556" s="3">
        <v>109</v>
      </c>
      <c r="D556" s="3">
        <v>6</v>
      </c>
      <c r="E556" s="3">
        <v>80.233</v>
      </c>
      <c r="F556" s="4" t="str">
        <f>HYPERLINK("http://141.218.60.56/~jnz1568/getInfo.php?workbook=12_05.xlsx&amp;sheet=A0&amp;row=556&amp;col=6&amp;number=11130000000&amp;sourceID=14","11130000000")</f>
        <v>11130000000</v>
      </c>
      <c r="G556" s="4" t="str">
        <f>HYPERLINK("http://141.218.60.56/~jnz1568/getInfo.php?workbook=12_05.xlsx&amp;sheet=A0&amp;row=556&amp;col=7&amp;number=0&amp;sourceID=14","0")</f>
        <v>0</v>
      </c>
    </row>
    <row r="557" spans="1:7">
      <c r="A557" s="3">
        <v>12</v>
      </c>
      <c r="B557" s="3">
        <v>5</v>
      </c>
      <c r="C557" s="3">
        <v>110</v>
      </c>
      <c r="D557" s="3">
        <v>6</v>
      </c>
      <c r="E557" s="3">
        <v>79.912</v>
      </c>
      <c r="F557" s="4" t="str">
        <f>HYPERLINK("http://141.218.60.56/~jnz1568/getInfo.php?workbook=12_05.xlsx&amp;sheet=A0&amp;row=557&amp;col=6&amp;number=404400000&amp;sourceID=14","404400000")</f>
        <v>404400000</v>
      </c>
      <c r="G557" s="4" t="str">
        <f>HYPERLINK("http://141.218.60.56/~jnz1568/getInfo.php?workbook=12_05.xlsx&amp;sheet=A0&amp;row=557&amp;col=7&amp;number=0&amp;sourceID=14","0")</f>
        <v>0</v>
      </c>
    </row>
    <row r="558" spans="1:7">
      <c r="A558" s="3">
        <v>12</v>
      </c>
      <c r="B558" s="3">
        <v>5</v>
      </c>
      <c r="C558" s="3">
        <v>111</v>
      </c>
      <c r="D558" s="3">
        <v>6</v>
      </c>
      <c r="E558" s="3">
        <v>78.575</v>
      </c>
      <c r="F558" s="4" t="str">
        <f>HYPERLINK("http://141.218.60.56/~jnz1568/getInfo.php?workbook=12_05.xlsx&amp;sheet=A0&amp;row=558&amp;col=6&amp;number=375300000000&amp;sourceID=14","375300000000")</f>
        <v>375300000000</v>
      </c>
      <c r="G558" s="4" t="str">
        <f>HYPERLINK("http://141.218.60.56/~jnz1568/getInfo.php?workbook=12_05.xlsx&amp;sheet=A0&amp;row=558&amp;col=7&amp;number=0&amp;sourceID=14","0")</f>
        <v>0</v>
      </c>
    </row>
    <row r="559" spans="1:7">
      <c r="A559" s="3">
        <v>12</v>
      </c>
      <c r="B559" s="3">
        <v>5</v>
      </c>
      <c r="C559" s="3">
        <v>112</v>
      </c>
      <c r="D559" s="3">
        <v>6</v>
      </c>
      <c r="E559" s="3">
        <v>73.251</v>
      </c>
      <c r="F559" s="4" t="str">
        <f>HYPERLINK("http://141.218.60.56/~jnz1568/getInfo.php?workbook=12_05.xlsx&amp;sheet=A0&amp;row=559&amp;col=6&amp;number=319800000000&amp;sourceID=14","319800000000")</f>
        <v>319800000000</v>
      </c>
      <c r="G559" s="4" t="str">
        <f>HYPERLINK("http://141.218.60.56/~jnz1568/getInfo.php?workbook=12_05.xlsx&amp;sheet=A0&amp;row=559&amp;col=7&amp;number=0&amp;sourceID=14","0")</f>
        <v>0</v>
      </c>
    </row>
    <row r="560" spans="1:7">
      <c r="A560" s="3">
        <v>12</v>
      </c>
      <c r="B560" s="3">
        <v>5</v>
      </c>
      <c r="C560" s="3">
        <v>113</v>
      </c>
      <c r="D560" s="3">
        <v>6</v>
      </c>
      <c r="E560" s="3">
        <v>72.68</v>
      </c>
      <c r="F560" s="4" t="str">
        <f>HYPERLINK("http://141.218.60.56/~jnz1568/getInfo.php?workbook=12_05.xlsx&amp;sheet=A0&amp;row=560&amp;col=6&amp;number=3703000000&amp;sourceID=14","3703000000")</f>
        <v>3703000000</v>
      </c>
      <c r="G560" s="4" t="str">
        <f>HYPERLINK("http://141.218.60.56/~jnz1568/getInfo.php?workbook=12_05.xlsx&amp;sheet=A0&amp;row=560&amp;col=7&amp;number=0&amp;sourceID=14","0")</f>
        <v>0</v>
      </c>
    </row>
    <row r="561" spans="1:7">
      <c r="A561" s="3">
        <v>12</v>
      </c>
      <c r="B561" s="3">
        <v>5</v>
      </c>
      <c r="C561" s="3">
        <v>114</v>
      </c>
      <c r="D561" s="3">
        <v>6</v>
      </c>
      <c r="E561" s="3">
        <v>-71.228</v>
      </c>
      <c r="F561" s="4" t="str">
        <f>HYPERLINK("http://141.218.60.56/~jnz1568/getInfo.php?workbook=12_05.xlsx&amp;sheet=A0&amp;row=561&amp;col=6&amp;number=5630000&amp;sourceID=14","5630000")</f>
        <v>5630000</v>
      </c>
      <c r="G561" s="4" t="str">
        <f>HYPERLINK("http://141.218.60.56/~jnz1568/getInfo.php?workbook=12_05.xlsx&amp;sheet=A0&amp;row=561&amp;col=7&amp;number=0&amp;sourceID=14","0")</f>
        <v>0</v>
      </c>
    </row>
    <row r="562" spans="1:7">
      <c r="A562" s="3">
        <v>12</v>
      </c>
      <c r="B562" s="3">
        <v>5</v>
      </c>
      <c r="C562" s="3">
        <v>115</v>
      </c>
      <c r="D562" s="3">
        <v>6</v>
      </c>
      <c r="E562" s="3">
        <v>70.423</v>
      </c>
      <c r="F562" s="4" t="str">
        <f>HYPERLINK("http://141.218.60.56/~jnz1568/getInfo.php?workbook=12_05.xlsx&amp;sheet=A0&amp;row=562&amp;col=6&amp;number=8397000&amp;sourceID=14","8397000")</f>
        <v>8397000</v>
      </c>
      <c r="G562" s="4" t="str">
        <f>HYPERLINK("http://141.218.60.56/~jnz1568/getInfo.php?workbook=12_05.xlsx&amp;sheet=A0&amp;row=562&amp;col=7&amp;number=0&amp;sourceID=14","0")</f>
        <v>0</v>
      </c>
    </row>
    <row r="563" spans="1:7">
      <c r="A563" s="3">
        <v>12</v>
      </c>
      <c r="B563" s="3">
        <v>5</v>
      </c>
      <c r="C563" s="3">
        <v>116</v>
      </c>
      <c r="D563" s="3">
        <v>6</v>
      </c>
      <c r="E563" s="3">
        <v>-70.321</v>
      </c>
      <c r="F563" s="4" t="str">
        <f>HYPERLINK("http://141.218.60.56/~jnz1568/getInfo.php?workbook=12_05.xlsx&amp;sheet=A0&amp;row=563&amp;col=6&amp;number=282800000&amp;sourceID=14","282800000")</f>
        <v>282800000</v>
      </c>
      <c r="G563" s="4" t="str">
        <f>HYPERLINK("http://141.218.60.56/~jnz1568/getInfo.php?workbook=12_05.xlsx&amp;sheet=A0&amp;row=563&amp;col=7&amp;number=0&amp;sourceID=14","0")</f>
        <v>0</v>
      </c>
    </row>
    <row r="564" spans="1:7">
      <c r="A564" s="3">
        <v>12</v>
      </c>
      <c r="B564" s="3">
        <v>5</v>
      </c>
      <c r="C564" s="3">
        <v>117</v>
      </c>
      <c r="D564" s="3">
        <v>6</v>
      </c>
      <c r="E564" s="3">
        <v>68.58</v>
      </c>
      <c r="F564" s="4" t="str">
        <f>HYPERLINK("http://141.218.60.56/~jnz1568/getInfo.php?workbook=12_05.xlsx&amp;sheet=A0&amp;row=564&amp;col=6&amp;number=24420000000&amp;sourceID=14","24420000000")</f>
        <v>24420000000</v>
      </c>
      <c r="G564" s="4" t="str">
        <f>HYPERLINK("http://141.218.60.56/~jnz1568/getInfo.php?workbook=12_05.xlsx&amp;sheet=A0&amp;row=564&amp;col=7&amp;number=0&amp;sourceID=14","0")</f>
        <v>0</v>
      </c>
    </row>
    <row r="565" spans="1:7">
      <c r="A565" s="3">
        <v>12</v>
      </c>
      <c r="B565" s="3">
        <v>5</v>
      </c>
      <c r="C565" s="3">
        <v>118</v>
      </c>
      <c r="D565" s="3">
        <v>6</v>
      </c>
      <c r="E565" s="3">
        <v>-67.794</v>
      </c>
      <c r="F565" s="4" t="str">
        <f>HYPERLINK("http://141.218.60.56/~jnz1568/getInfo.php?workbook=12_05.xlsx&amp;sheet=A0&amp;row=565&amp;col=6&amp;number=4576000000&amp;sourceID=14","4576000000")</f>
        <v>4576000000</v>
      </c>
      <c r="G565" s="4" t="str">
        <f>HYPERLINK("http://141.218.60.56/~jnz1568/getInfo.php?workbook=12_05.xlsx&amp;sheet=A0&amp;row=565&amp;col=7&amp;number=0&amp;sourceID=14","0")</f>
        <v>0</v>
      </c>
    </row>
    <row r="566" spans="1:7">
      <c r="A566" s="3">
        <v>12</v>
      </c>
      <c r="B566" s="3">
        <v>5</v>
      </c>
      <c r="C566" s="3">
        <v>106</v>
      </c>
      <c r="D566" s="3">
        <v>10</v>
      </c>
      <c r="E566" s="3">
        <v>96.73</v>
      </c>
      <c r="F566" s="4" t="str">
        <f>HYPERLINK("http://141.218.60.56/~jnz1568/getInfo.php?workbook=12_05.xlsx&amp;sheet=A0&amp;row=566&amp;col=6&amp;number=231000&amp;sourceID=14","231000")</f>
        <v>231000</v>
      </c>
      <c r="G566" s="4" t="str">
        <f>HYPERLINK("http://141.218.60.56/~jnz1568/getInfo.php?workbook=12_05.xlsx&amp;sheet=A0&amp;row=566&amp;col=7&amp;number=0&amp;sourceID=14","0")</f>
        <v>0</v>
      </c>
    </row>
    <row r="567" spans="1:7">
      <c r="A567" s="3">
        <v>12</v>
      </c>
      <c r="B567" s="3">
        <v>5</v>
      </c>
      <c r="C567" s="3">
        <v>107</v>
      </c>
      <c r="D567" s="3">
        <v>10</v>
      </c>
      <c r="E567" s="3">
        <v>-88.252</v>
      </c>
      <c r="F567" s="4" t="str">
        <f>HYPERLINK("http://141.218.60.56/~jnz1568/getInfo.php?workbook=12_05.xlsx&amp;sheet=A0&amp;row=567&amp;col=6&amp;number=32480000&amp;sourceID=14","32480000")</f>
        <v>32480000</v>
      </c>
      <c r="G567" s="4" t="str">
        <f>HYPERLINK("http://141.218.60.56/~jnz1568/getInfo.php?workbook=12_05.xlsx&amp;sheet=A0&amp;row=567&amp;col=7&amp;number=0&amp;sourceID=14","0")</f>
        <v>0</v>
      </c>
    </row>
    <row r="568" spans="1:7">
      <c r="A568" s="3">
        <v>12</v>
      </c>
      <c r="B568" s="3">
        <v>5</v>
      </c>
      <c r="C568" s="3">
        <v>108</v>
      </c>
      <c r="D568" s="3">
        <v>10</v>
      </c>
      <c r="E568" s="3">
        <v>86.517</v>
      </c>
      <c r="F568" s="4" t="str">
        <f>HYPERLINK("http://141.218.60.56/~jnz1568/getInfo.php?workbook=12_05.xlsx&amp;sheet=A0&amp;row=568&amp;col=6&amp;number=2713000000&amp;sourceID=14","2713000000")</f>
        <v>2713000000</v>
      </c>
      <c r="G568" s="4" t="str">
        <f>HYPERLINK("http://141.218.60.56/~jnz1568/getInfo.php?workbook=12_05.xlsx&amp;sheet=A0&amp;row=568&amp;col=7&amp;number=0&amp;sourceID=14","0")</f>
        <v>0</v>
      </c>
    </row>
    <row r="569" spans="1:7">
      <c r="A569" s="3">
        <v>12</v>
      </c>
      <c r="B569" s="3">
        <v>5</v>
      </c>
      <c r="C569" s="3">
        <v>109</v>
      </c>
      <c r="D569" s="3">
        <v>10</v>
      </c>
      <c r="E569" s="3">
        <v>86.36</v>
      </c>
      <c r="F569" s="4" t="str">
        <f>HYPERLINK("http://141.218.60.56/~jnz1568/getInfo.php?workbook=12_05.xlsx&amp;sheet=A0&amp;row=569&amp;col=6&amp;number=40850000000&amp;sourceID=14","40850000000")</f>
        <v>40850000000</v>
      </c>
      <c r="G569" s="4" t="str">
        <f>HYPERLINK("http://141.218.60.56/~jnz1568/getInfo.php?workbook=12_05.xlsx&amp;sheet=A0&amp;row=569&amp;col=7&amp;number=0&amp;sourceID=14","0")</f>
        <v>0</v>
      </c>
    </row>
    <row r="570" spans="1:7">
      <c r="A570" s="3">
        <v>12</v>
      </c>
      <c r="B570" s="3">
        <v>5</v>
      </c>
      <c r="C570" s="3">
        <v>110</v>
      </c>
      <c r="D570" s="3">
        <v>10</v>
      </c>
      <c r="E570" s="3">
        <v>85.989</v>
      </c>
      <c r="F570" s="4" t="str">
        <f>HYPERLINK("http://141.218.60.56/~jnz1568/getInfo.php?workbook=12_05.xlsx&amp;sheet=A0&amp;row=570&amp;col=6&amp;number=1344000000&amp;sourceID=14","1344000000")</f>
        <v>1344000000</v>
      </c>
      <c r="G570" s="4" t="str">
        <f>HYPERLINK("http://141.218.60.56/~jnz1568/getInfo.php?workbook=12_05.xlsx&amp;sheet=A0&amp;row=570&amp;col=7&amp;number=0&amp;sourceID=14","0")</f>
        <v>0</v>
      </c>
    </row>
    <row r="571" spans="1:7">
      <c r="A571" s="3">
        <v>12</v>
      </c>
      <c r="B571" s="3">
        <v>5</v>
      </c>
      <c r="C571" s="3">
        <v>111</v>
      </c>
      <c r="D571" s="3">
        <v>10</v>
      </c>
      <c r="E571" s="3">
        <v>84.442</v>
      </c>
      <c r="F571" s="4" t="str">
        <f>HYPERLINK("http://141.218.60.56/~jnz1568/getInfo.php?workbook=12_05.xlsx&amp;sheet=A0&amp;row=571&amp;col=6&amp;number=103300000&amp;sourceID=14","103300000")</f>
        <v>103300000</v>
      </c>
      <c r="G571" s="4" t="str">
        <f>HYPERLINK("http://141.218.60.56/~jnz1568/getInfo.php?workbook=12_05.xlsx&amp;sheet=A0&amp;row=571&amp;col=7&amp;number=0&amp;sourceID=14","0")</f>
        <v>0</v>
      </c>
    </row>
    <row r="572" spans="1:7">
      <c r="A572" s="3">
        <v>12</v>
      </c>
      <c r="B572" s="3">
        <v>5</v>
      </c>
      <c r="C572" s="3">
        <v>112</v>
      </c>
      <c r="D572" s="3">
        <v>10</v>
      </c>
      <c r="E572" s="3">
        <v>78.325</v>
      </c>
      <c r="F572" s="4" t="str">
        <f>HYPERLINK("http://141.218.60.56/~jnz1568/getInfo.php?workbook=12_05.xlsx&amp;sheet=A0&amp;row=572&amp;col=6&amp;number=25930000&amp;sourceID=14","25930000")</f>
        <v>25930000</v>
      </c>
      <c r="G572" s="4" t="str">
        <f>HYPERLINK("http://141.218.60.56/~jnz1568/getInfo.php?workbook=12_05.xlsx&amp;sheet=A0&amp;row=572&amp;col=7&amp;number=0&amp;sourceID=14","0")</f>
        <v>0</v>
      </c>
    </row>
    <row r="573" spans="1:7">
      <c r="A573" s="3">
        <v>12</v>
      </c>
      <c r="B573" s="3">
        <v>5</v>
      </c>
      <c r="C573" s="3">
        <v>113</v>
      </c>
      <c r="D573" s="3">
        <v>10</v>
      </c>
      <c r="E573" s="3">
        <v>77.672</v>
      </c>
      <c r="F573" s="4" t="str">
        <f>HYPERLINK("http://141.218.60.56/~jnz1568/getInfo.php?workbook=12_05.xlsx&amp;sheet=A0&amp;row=573&amp;col=6&amp;number=404100000000&amp;sourceID=14","404100000000")</f>
        <v>404100000000</v>
      </c>
      <c r="G573" s="4" t="str">
        <f>HYPERLINK("http://141.218.60.56/~jnz1568/getInfo.php?workbook=12_05.xlsx&amp;sheet=A0&amp;row=573&amp;col=7&amp;number=0&amp;sourceID=14","0")</f>
        <v>0</v>
      </c>
    </row>
    <row r="574" spans="1:7">
      <c r="A574" s="3">
        <v>12</v>
      </c>
      <c r="B574" s="3">
        <v>5</v>
      </c>
      <c r="C574" s="3">
        <v>114</v>
      </c>
      <c r="D574" s="3">
        <v>10</v>
      </c>
      <c r="E574" s="3">
        <v>-76.015</v>
      </c>
      <c r="F574" s="4" t="str">
        <f>HYPERLINK("http://141.218.60.56/~jnz1568/getInfo.php?workbook=12_05.xlsx&amp;sheet=A0&amp;row=574&amp;col=6&amp;number=10760000&amp;sourceID=14","10760000")</f>
        <v>10760000</v>
      </c>
      <c r="G574" s="4" t="str">
        <f>HYPERLINK("http://141.218.60.56/~jnz1568/getInfo.php?workbook=12_05.xlsx&amp;sheet=A0&amp;row=574&amp;col=7&amp;number=0&amp;sourceID=14","0")</f>
        <v>0</v>
      </c>
    </row>
    <row r="575" spans="1:7">
      <c r="A575" s="3">
        <v>12</v>
      </c>
      <c r="B575" s="3">
        <v>5</v>
      </c>
      <c r="C575" s="3">
        <v>115</v>
      </c>
      <c r="D575" s="3">
        <v>10</v>
      </c>
      <c r="E575" s="3">
        <v>75.1</v>
      </c>
      <c r="F575" s="4" t="str">
        <f>HYPERLINK("http://141.218.60.56/~jnz1568/getInfo.php?workbook=12_05.xlsx&amp;sheet=A0&amp;row=575&amp;col=6&amp;number=632500000&amp;sourceID=14","632500000")</f>
        <v>632500000</v>
      </c>
      <c r="G575" s="4" t="str">
        <f>HYPERLINK("http://141.218.60.56/~jnz1568/getInfo.php?workbook=12_05.xlsx&amp;sheet=A0&amp;row=575&amp;col=7&amp;number=0&amp;sourceID=14","0")</f>
        <v>0</v>
      </c>
    </row>
    <row r="576" spans="1:7">
      <c r="A576" s="3">
        <v>12</v>
      </c>
      <c r="B576" s="3">
        <v>5</v>
      </c>
      <c r="C576" s="3">
        <v>116</v>
      </c>
      <c r="D576" s="3">
        <v>10</v>
      </c>
      <c r="E576" s="3">
        <v>-74.983</v>
      </c>
      <c r="F576" s="4" t="str">
        <f>HYPERLINK("http://141.218.60.56/~jnz1568/getInfo.php?workbook=12_05.xlsx&amp;sheet=A0&amp;row=576&amp;col=6&amp;number=49580000000&amp;sourceID=14","49580000000")</f>
        <v>49580000000</v>
      </c>
      <c r="G576" s="4" t="str">
        <f>HYPERLINK("http://141.218.60.56/~jnz1568/getInfo.php?workbook=12_05.xlsx&amp;sheet=A0&amp;row=576&amp;col=7&amp;number=0&amp;sourceID=14","0")</f>
        <v>0</v>
      </c>
    </row>
    <row r="577" spans="1:7">
      <c r="A577" s="3">
        <v>12</v>
      </c>
      <c r="B577" s="3">
        <v>5</v>
      </c>
      <c r="C577" s="3">
        <v>117</v>
      </c>
      <c r="D577" s="3">
        <v>10</v>
      </c>
      <c r="E577" s="3">
        <v>73.008</v>
      </c>
      <c r="F577" s="4" t="str">
        <f>HYPERLINK("http://141.218.60.56/~jnz1568/getInfo.php?workbook=12_05.xlsx&amp;sheet=A0&amp;row=577&amp;col=6&amp;number=16110000&amp;sourceID=14","16110000")</f>
        <v>16110000</v>
      </c>
      <c r="G577" s="4" t="str">
        <f>HYPERLINK("http://141.218.60.56/~jnz1568/getInfo.php?workbook=12_05.xlsx&amp;sheet=A0&amp;row=577&amp;col=7&amp;number=0&amp;sourceID=14","0")</f>
        <v>0</v>
      </c>
    </row>
    <row r="578" spans="1:7">
      <c r="A578" s="3">
        <v>12</v>
      </c>
      <c r="B578" s="3">
        <v>5</v>
      </c>
      <c r="C578" s="3">
        <v>118</v>
      </c>
      <c r="D578" s="3">
        <v>10</v>
      </c>
      <c r="E578" s="3">
        <v>-72.117</v>
      </c>
      <c r="F578" s="4" t="str">
        <f>HYPERLINK("http://141.218.60.56/~jnz1568/getInfo.php?workbook=12_05.xlsx&amp;sheet=A0&amp;row=578&amp;col=6&amp;number=59220000000&amp;sourceID=14","59220000000")</f>
        <v>59220000000</v>
      </c>
      <c r="G578" s="4" t="str">
        <f>HYPERLINK("http://141.218.60.56/~jnz1568/getInfo.php?workbook=12_05.xlsx&amp;sheet=A0&amp;row=578&amp;col=7&amp;number=0&amp;sourceID=14","0")</f>
        <v>0</v>
      </c>
    </row>
    <row r="579" spans="1:7">
      <c r="A579" s="3">
        <v>12</v>
      </c>
      <c r="B579" s="3">
        <v>5</v>
      </c>
      <c r="C579" s="3">
        <v>87</v>
      </c>
      <c r="D579" s="3">
        <v>5</v>
      </c>
      <c r="E579" s="3">
        <v>-88.312</v>
      </c>
      <c r="F579" s="4" t="str">
        <f>HYPERLINK("http://141.218.60.56/~jnz1568/getInfo.php?workbook=12_05.xlsx&amp;sheet=A0&amp;row=579&amp;col=6&amp;number=1086000&amp;sourceID=14","1086000")</f>
        <v>1086000</v>
      </c>
      <c r="G579" s="4" t="str">
        <f>HYPERLINK("http://141.218.60.56/~jnz1568/getInfo.php?workbook=12_05.xlsx&amp;sheet=A0&amp;row=579&amp;col=7&amp;number=0&amp;sourceID=14","0")</f>
        <v>0</v>
      </c>
    </row>
    <row r="580" spans="1:7">
      <c r="A580" s="3">
        <v>12</v>
      </c>
      <c r="B580" s="3">
        <v>5</v>
      </c>
      <c r="C580" s="3">
        <v>88</v>
      </c>
      <c r="D580" s="3">
        <v>5</v>
      </c>
      <c r="E580" s="3">
        <v>81.985</v>
      </c>
      <c r="F580" s="4" t="str">
        <f>HYPERLINK("http://141.218.60.56/~jnz1568/getInfo.php?workbook=12_05.xlsx&amp;sheet=A0&amp;row=580&amp;col=6&amp;number=31050000000&amp;sourceID=14","31050000000")</f>
        <v>31050000000</v>
      </c>
      <c r="G580" s="4" t="str">
        <f>HYPERLINK("http://141.218.60.56/~jnz1568/getInfo.php?workbook=12_05.xlsx&amp;sheet=A0&amp;row=580&amp;col=7&amp;number=0&amp;sourceID=14","0")</f>
        <v>0</v>
      </c>
    </row>
    <row r="581" spans="1:7">
      <c r="A581" s="3">
        <v>12</v>
      </c>
      <c r="B581" s="3">
        <v>5</v>
      </c>
      <c r="C581" s="3">
        <v>89</v>
      </c>
      <c r="D581" s="3">
        <v>5</v>
      </c>
      <c r="E581" s="3">
        <v>79.938</v>
      </c>
      <c r="F581" s="4" t="str">
        <f>HYPERLINK("http://141.218.60.56/~jnz1568/getInfo.php?workbook=12_05.xlsx&amp;sheet=A0&amp;row=581&amp;col=6&amp;number=10640000&amp;sourceID=14","10640000")</f>
        <v>10640000</v>
      </c>
      <c r="G581" s="4" t="str">
        <f>HYPERLINK("http://141.218.60.56/~jnz1568/getInfo.php?workbook=12_05.xlsx&amp;sheet=A0&amp;row=581&amp;col=7&amp;number=0&amp;sourceID=14","0")</f>
        <v>0</v>
      </c>
    </row>
    <row r="582" spans="1:7">
      <c r="A582" s="3">
        <v>12</v>
      </c>
      <c r="B582" s="3">
        <v>5</v>
      </c>
      <c r="C582" s="3">
        <v>90</v>
      </c>
      <c r="D582" s="3">
        <v>5</v>
      </c>
      <c r="E582" s="3">
        <v>-75.733</v>
      </c>
      <c r="F582" s="4" t="str">
        <f>HYPERLINK("http://141.218.60.56/~jnz1568/getInfo.php?workbook=12_05.xlsx&amp;sheet=A0&amp;row=582&amp;col=6&amp;number=59370000&amp;sourceID=14","59370000")</f>
        <v>59370000</v>
      </c>
      <c r="G582" s="4" t="str">
        <f>HYPERLINK("http://141.218.60.56/~jnz1568/getInfo.php?workbook=12_05.xlsx&amp;sheet=A0&amp;row=582&amp;col=7&amp;number=0&amp;sourceID=14","0")</f>
        <v>0</v>
      </c>
    </row>
    <row r="583" spans="1:7">
      <c r="A583" s="3">
        <v>12</v>
      </c>
      <c r="B583" s="3">
        <v>5</v>
      </c>
      <c r="C583" s="3">
        <v>91</v>
      </c>
      <c r="D583" s="3">
        <v>5</v>
      </c>
      <c r="E583" s="3">
        <v>74.434</v>
      </c>
      <c r="F583" s="4" t="str">
        <f>HYPERLINK("http://141.218.60.56/~jnz1568/getInfo.php?workbook=12_05.xlsx&amp;sheet=A0&amp;row=583&amp;col=6&amp;number=13130000000&amp;sourceID=14","13130000000")</f>
        <v>13130000000</v>
      </c>
      <c r="G583" s="4" t="str">
        <f>HYPERLINK("http://141.218.60.56/~jnz1568/getInfo.php?workbook=12_05.xlsx&amp;sheet=A0&amp;row=583&amp;col=7&amp;number=0&amp;sourceID=14","0")</f>
        <v>0</v>
      </c>
    </row>
    <row r="584" spans="1:7">
      <c r="A584" s="3">
        <v>12</v>
      </c>
      <c r="B584" s="3">
        <v>5</v>
      </c>
      <c r="C584" s="3">
        <v>92</v>
      </c>
      <c r="D584" s="3">
        <v>5</v>
      </c>
      <c r="E584" s="3">
        <v>74.319</v>
      </c>
      <c r="F584" s="4" t="str">
        <f>HYPERLINK("http://141.218.60.56/~jnz1568/getInfo.php?workbook=12_05.xlsx&amp;sheet=A0&amp;row=584&amp;col=6&amp;number=1680000000&amp;sourceID=14","1680000000")</f>
        <v>1680000000</v>
      </c>
      <c r="G584" s="4" t="str">
        <f>HYPERLINK("http://141.218.60.56/~jnz1568/getInfo.php?workbook=12_05.xlsx&amp;sheet=A0&amp;row=584&amp;col=7&amp;number=0&amp;sourceID=14","0")</f>
        <v>0</v>
      </c>
    </row>
    <row r="585" spans="1:7">
      <c r="A585" s="3">
        <v>12</v>
      </c>
      <c r="B585" s="3">
        <v>5</v>
      </c>
      <c r="C585" s="3">
        <v>93</v>
      </c>
      <c r="D585" s="3">
        <v>5</v>
      </c>
      <c r="E585" s="3">
        <v>73.985</v>
      </c>
      <c r="F585" s="4" t="str">
        <f>HYPERLINK("http://141.218.60.56/~jnz1568/getInfo.php?workbook=12_05.xlsx&amp;sheet=A0&amp;row=585&amp;col=6&amp;number=157400000000&amp;sourceID=14","157400000000")</f>
        <v>157400000000</v>
      </c>
      <c r="G585" s="4" t="str">
        <f>HYPERLINK("http://141.218.60.56/~jnz1568/getInfo.php?workbook=12_05.xlsx&amp;sheet=A0&amp;row=585&amp;col=7&amp;number=0&amp;sourceID=14","0")</f>
        <v>0</v>
      </c>
    </row>
    <row r="586" spans="1:7">
      <c r="A586" s="3">
        <v>12</v>
      </c>
      <c r="B586" s="3">
        <v>5</v>
      </c>
      <c r="C586" s="3">
        <v>94</v>
      </c>
      <c r="D586" s="3">
        <v>5</v>
      </c>
      <c r="E586" s="3">
        <v>-73.832</v>
      </c>
      <c r="F586" s="4" t="str">
        <f>HYPERLINK("http://141.218.60.56/~jnz1568/getInfo.php?workbook=12_05.xlsx&amp;sheet=A0&amp;row=586&amp;col=6&amp;number=3901000&amp;sourceID=14","3901000")</f>
        <v>3901000</v>
      </c>
      <c r="G586" s="4" t="str">
        <f>HYPERLINK("http://141.218.60.56/~jnz1568/getInfo.php?workbook=12_05.xlsx&amp;sheet=A0&amp;row=586&amp;col=7&amp;number=0&amp;sourceID=14","0")</f>
        <v>0</v>
      </c>
    </row>
    <row r="587" spans="1:7">
      <c r="A587" s="3">
        <v>12</v>
      </c>
      <c r="B587" s="3">
        <v>5</v>
      </c>
      <c r="C587" s="3">
        <v>95</v>
      </c>
      <c r="D587" s="3">
        <v>5</v>
      </c>
      <c r="E587" s="3">
        <v>72.448</v>
      </c>
      <c r="F587" s="4" t="str">
        <f>HYPERLINK("http://141.218.60.56/~jnz1568/getInfo.php?workbook=12_05.xlsx&amp;sheet=A0&amp;row=587&amp;col=6&amp;number=1394000&amp;sourceID=14","1394000")</f>
        <v>1394000</v>
      </c>
      <c r="G587" s="4" t="str">
        <f>HYPERLINK("http://141.218.60.56/~jnz1568/getInfo.php?workbook=12_05.xlsx&amp;sheet=A0&amp;row=587&amp;col=7&amp;number=0&amp;sourceID=14","0")</f>
        <v>0</v>
      </c>
    </row>
    <row r="588" spans="1:7">
      <c r="A588" s="3">
        <v>12</v>
      </c>
      <c r="B588" s="3">
        <v>5</v>
      </c>
      <c r="C588" s="3">
        <v>96</v>
      </c>
      <c r="D588" s="3">
        <v>5</v>
      </c>
      <c r="E588" s="3">
        <v>67.794</v>
      </c>
      <c r="F588" s="4" t="str">
        <f>HYPERLINK("http://141.218.60.56/~jnz1568/getInfo.php?workbook=12_05.xlsx&amp;sheet=A0&amp;row=588&amp;col=6&amp;number=185600&amp;sourceID=14","185600")</f>
        <v>185600</v>
      </c>
      <c r="G588" s="4" t="str">
        <f>HYPERLINK("http://141.218.60.56/~jnz1568/getInfo.php?workbook=12_05.xlsx&amp;sheet=A0&amp;row=588&amp;col=7&amp;number=0&amp;sourceID=14","0")</f>
        <v>0</v>
      </c>
    </row>
    <row r="589" spans="1:7">
      <c r="A589" s="3">
        <v>12</v>
      </c>
      <c r="B589" s="3">
        <v>5</v>
      </c>
      <c r="C589" s="3">
        <v>97</v>
      </c>
      <c r="D589" s="3">
        <v>5</v>
      </c>
      <c r="E589" s="3">
        <v>-67.108</v>
      </c>
      <c r="F589" s="4" t="str">
        <f>HYPERLINK("http://141.218.60.56/~jnz1568/getInfo.php?workbook=12_05.xlsx&amp;sheet=A0&amp;row=589&amp;col=6&amp;number=988700&amp;sourceID=14","988700")</f>
        <v>988700</v>
      </c>
      <c r="G589" s="4" t="str">
        <f>HYPERLINK("http://141.218.60.56/~jnz1568/getInfo.php?workbook=12_05.xlsx&amp;sheet=A0&amp;row=589&amp;col=7&amp;number=0&amp;sourceID=14","0")</f>
        <v>0</v>
      </c>
    </row>
    <row r="590" spans="1:7">
      <c r="A590" s="3">
        <v>12</v>
      </c>
      <c r="B590" s="3">
        <v>5</v>
      </c>
      <c r="C590" s="3">
        <v>98</v>
      </c>
      <c r="D590" s="3">
        <v>5</v>
      </c>
      <c r="E590" s="3">
        <v>-66.563</v>
      </c>
      <c r="F590" s="4" t="str">
        <f>HYPERLINK("http://141.218.60.56/~jnz1568/getInfo.php?workbook=12_05.xlsx&amp;sheet=A0&amp;row=590&amp;col=6&amp;number=1634000000&amp;sourceID=14","1634000000")</f>
        <v>1634000000</v>
      </c>
      <c r="G590" s="4" t="str">
        <f>HYPERLINK("http://141.218.60.56/~jnz1568/getInfo.php?workbook=12_05.xlsx&amp;sheet=A0&amp;row=590&amp;col=7&amp;number=0&amp;sourceID=14","0")</f>
        <v>0</v>
      </c>
    </row>
    <row r="591" spans="1:7">
      <c r="A591" s="3">
        <v>12</v>
      </c>
      <c r="B591" s="3">
        <v>5</v>
      </c>
      <c r="C591" s="3">
        <v>99</v>
      </c>
      <c r="D591" s="3">
        <v>5</v>
      </c>
      <c r="E591" s="3">
        <v>-66.196</v>
      </c>
      <c r="F591" s="4" t="str">
        <f>HYPERLINK("http://141.218.60.56/~jnz1568/getInfo.php?workbook=12_05.xlsx&amp;sheet=A0&amp;row=591&amp;col=6&amp;number=27160000000&amp;sourceID=14","27160000000")</f>
        <v>27160000000</v>
      </c>
      <c r="G591" s="4" t="str">
        <f>HYPERLINK("http://141.218.60.56/~jnz1568/getInfo.php?workbook=12_05.xlsx&amp;sheet=A0&amp;row=591&amp;col=7&amp;number=0&amp;sourceID=14","0")</f>
        <v>0</v>
      </c>
    </row>
    <row r="592" spans="1:7">
      <c r="A592" s="3">
        <v>12</v>
      </c>
      <c r="B592" s="3">
        <v>5</v>
      </c>
      <c r="C592" s="3">
        <v>100</v>
      </c>
      <c r="D592" s="3">
        <v>5</v>
      </c>
      <c r="E592" s="3">
        <v>-65.816</v>
      </c>
      <c r="F592" s="4" t="str">
        <f>HYPERLINK("http://141.218.60.56/~jnz1568/getInfo.php?workbook=12_05.xlsx&amp;sheet=A0&amp;row=592&amp;col=6&amp;number=99250000&amp;sourceID=14","99250000")</f>
        <v>99250000</v>
      </c>
      <c r="G592" s="4" t="str">
        <f>HYPERLINK("http://141.218.60.56/~jnz1568/getInfo.php?workbook=12_05.xlsx&amp;sheet=A0&amp;row=592&amp;col=7&amp;number=0&amp;sourceID=14","0")</f>
        <v>0</v>
      </c>
    </row>
    <row r="593" spans="1:7">
      <c r="A593" s="3">
        <v>12</v>
      </c>
      <c r="B593" s="3">
        <v>5</v>
      </c>
      <c r="C593" s="3">
        <v>101</v>
      </c>
      <c r="D593" s="3">
        <v>5</v>
      </c>
      <c r="E593" s="3">
        <v>64.883</v>
      </c>
      <c r="F593" s="4" t="str">
        <f>HYPERLINK("http://141.218.60.56/~jnz1568/getInfo.php?workbook=12_05.xlsx&amp;sheet=A0&amp;row=593&amp;col=6&amp;number=65840000000&amp;sourceID=14","65840000000")</f>
        <v>65840000000</v>
      </c>
      <c r="G593" s="4" t="str">
        <f>HYPERLINK("http://141.218.60.56/~jnz1568/getInfo.php?workbook=12_05.xlsx&amp;sheet=A0&amp;row=593&amp;col=7&amp;number=0&amp;sourceID=14","0")</f>
        <v>0</v>
      </c>
    </row>
    <row r="594" spans="1:7">
      <c r="A594" s="3">
        <v>12</v>
      </c>
      <c r="B594" s="3">
        <v>5</v>
      </c>
      <c r="C594" s="3">
        <v>102</v>
      </c>
      <c r="D594" s="3">
        <v>5</v>
      </c>
      <c r="E594" s="3">
        <v>-65.144</v>
      </c>
      <c r="F594" s="4" t="str">
        <f>HYPERLINK("http://141.218.60.56/~jnz1568/getInfo.php?workbook=12_05.xlsx&amp;sheet=A0&amp;row=594&amp;col=6&amp;number=158800000&amp;sourceID=14","158800000")</f>
        <v>158800000</v>
      </c>
      <c r="G594" s="4" t="str">
        <f>HYPERLINK("http://141.218.60.56/~jnz1568/getInfo.php?workbook=12_05.xlsx&amp;sheet=A0&amp;row=594&amp;col=7&amp;number=0&amp;sourceID=14","0")</f>
        <v>0</v>
      </c>
    </row>
    <row r="595" spans="1:7">
      <c r="A595" s="3">
        <v>12</v>
      </c>
      <c r="B595" s="3">
        <v>5</v>
      </c>
      <c r="C595" s="3">
        <v>103</v>
      </c>
      <c r="D595" s="3">
        <v>5</v>
      </c>
      <c r="E595" s="3">
        <v>-63.496</v>
      </c>
      <c r="F595" s="4" t="str">
        <f>HYPERLINK("http://141.218.60.56/~jnz1568/getInfo.php?workbook=12_05.xlsx&amp;sheet=A0&amp;row=595&amp;col=6&amp;number=1572000&amp;sourceID=14","1572000")</f>
        <v>1572000</v>
      </c>
      <c r="G595" s="4" t="str">
        <f>HYPERLINK("http://141.218.60.56/~jnz1568/getInfo.php?workbook=12_05.xlsx&amp;sheet=A0&amp;row=595&amp;col=7&amp;number=0&amp;sourceID=14","0")</f>
        <v>0</v>
      </c>
    </row>
    <row r="596" spans="1:7">
      <c r="A596" s="3">
        <v>12</v>
      </c>
      <c r="B596" s="3">
        <v>5</v>
      </c>
      <c r="C596" s="3">
        <v>104</v>
      </c>
      <c r="D596" s="3">
        <v>5</v>
      </c>
      <c r="E596" s="3">
        <v>-62.801</v>
      </c>
      <c r="F596" s="4" t="str">
        <f>HYPERLINK("http://141.218.60.56/~jnz1568/getInfo.php?workbook=12_05.xlsx&amp;sheet=A0&amp;row=596&amp;col=6&amp;number=9148000&amp;sourceID=14","9148000")</f>
        <v>9148000</v>
      </c>
      <c r="G596" s="4" t="str">
        <f>HYPERLINK("http://141.218.60.56/~jnz1568/getInfo.php?workbook=12_05.xlsx&amp;sheet=A0&amp;row=596&amp;col=7&amp;number=0&amp;sourceID=14","0")</f>
        <v>0</v>
      </c>
    </row>
    <row r="597" spans="1:7">
      <c r="A597" s="3">
        <v>12</v>
      </c>
      <c r="B597" s="3">
        <v>5</v>
      </c>
      <c r="C597" s="3">
        <v>105</v>
      </c>
      <c r="D597" s="3">
        <v>5</v>
      </c>
      <c r="E597" s="3">
        <v>-60.076</v>
      </c>
      <c r="F597" s="4" t="str">
        <f>HYPERLINK("http://141.218.60.56/~jnz1568/getInfo.php?workbook=12_05.xlsx&amp;sheet=A0&amp;row=597&amp;col=6&amp;number=5165&amp;sourceID=14","5165")</f>
        <v>5165</v>
      </c>
      <c r="G597" s="4" t="str">
        <f>HYPERLINK("http://141.218.60.56/~jnz1568/getInfo.php?workbook=12_05.xlsx&amp;sheet=A0&amp;row=597&amp;col=7&amp;number=0&amp;sourceID=14","0")</f>
        <v>0</v>
      </c>
    </row>
    <row r="598" spans="1:7">
      <c r="A598" s="3">
        <v>12</v>
      </c>
      <c r="B598" s="3">
        <v>5</v>
      </c>
      <c r="C598" s="3">
        <v>87</v>
      </c>
      <c r="D598" s="3">
        <v>7</v>
      </c>
      <c r="E598" s="3">
        <v>-96.825</v>
      </c>
      <c r="F598" s="4" t="str">
        <f>HYPERLINK("http://141.218.60.56/~jnz1568/getInfo.php?workbook=12_05.xlsx&amp;sheet=A0&amp;row=598&amp;col=6&amp;number=1706000000&amp;sourceID=14","1706000000")</f>
        <v>1706000000</v>
      </c>
      <c r="G598" s="4" t="str">
        <f>HYPERLINK("http://141.218.60.56/~jnz1568/getInfo.php?workbook=12_05.xlsx&amp;sheet=A0&amp;row=598&amp;col=7&amp;number=0&amp;sourceID=14","0")</f>
        <v>0</v>
      </c>
    </row>
    <row r="599" spans="1:7">
      <c r="A599" s="3">
        <v>12</v>
      </c>
      <c r="B599" s="3">
        <v>5</v>
      </c>
      <c r="C599" s="3">
        <v>88</v>
      </c>
      <c r="D599" s="3">
        <v>7</v>
      </c>
      <c r="E599" s="3">
        <v>89.266</v>
      </c>
      <c r="F599" s="4" t="str">
        <f>HYPERLINK("http://141.218.60.56/~jnz1568/getInfo.php?workbook=12_05.xlsx&amp;sheet=A0&amp;row=599&amp;col=6&amp;number=22460000&amp;sourceID=14","22460000")</f>
        <v>22460000</v>
      </c>
      <c r="G599" s="4" t="str">
        <f>HYPERLINK("http://141.218.60.56/~jnz1568/getInfo.php?workbook=12_05.xlsx&amp;sheet=A0&amp;row=599&amp;col=7&amp;number=0&amp;sourceID=14","0")</f>
        <v>0</v>
      </c>
    </row>
    <row r="600" spans="1:7">
      <c r="A600" s="3">
        <v>12</v>
      </c>
      <c r="B600" s="3">
        <v>5</v>
      </c>
      <c r="C600" s="3">
        <v>89</v>
      </c>
      <c r="D600" s="3">
        <v>7</v>
      </c>
      <c r="E600" s="3">
        <v>86.845</v>
      </c>
      <c r="F600" s="4" t="str">
        <f>HYPERLINK("http://141.218.60.56/~jnz1568/getInfo.php?workbook=12_05.xlsx&amp;sheet=A0&amp;row=600&amp;col=6&amp;number=35820000000&amp;sourceID=14","35820000000")</f>
        <v>35820000000</v>
      </c>
      <c r="G600" s="4" t="str">
        <f>HYPERLINK("http://141.218.60.56/~jnz1568/getInfo.php?workbook=12_05.xlsx&amp;sheet=A0&amp;row=600&amp;col=7&amp;number=0&amp;sourceID=14","0")</f>
        <v>0</v>
      </c>
    </row>
    <row r="601" spans="1:7">
      <c r="A601" s="3">
        <v>12</v>
      </c>
      <c r="B601" s="3">
        <v>5</v>
      </c>
      <c r="C601" s="3">
        <v>90</v>
      </c>
      <c r="D601" s="3">
        <v>7</v>
      </c>
      <c r="E601" s="3">
        <v>-81.909</v>
      </c>
      <c r="F601" s="4" t="str">
        <f>HYPERLINK("http://141.218.60.56/~jnz1568/getInfo.php?workbook=12_05.xlsx&amp;sheet=A0&amp;row=601&amp;col=6&amp;number=41310000&amp;sourceID=14","41310000")</f>
        <v>41310000</v>
      </c>
      <c r="G601" s="4" t="str">
        <f>HYPERLINK("http://141.218.60.56/~jnz1568/getInfo.php?workbook=12_05.xlsx&amp;sheet=A0&amp;row=601&amp;col=7&amp;number=0&amp;sourceID=14","0")</f>
        <v>0</v>
      </c>
    </row>
    <row r="602" spans="1:7">
      <c r="A602" s="3">
        <v>12</v>
      </c>
      <c r="B602" s="3">
        <v>5</v>
      </c>
      <c r="C602" s="3">
        <v>91</v>
      </c>
      <c r="D602" s="3">
        <v>7</v>
      </c>
      <c r="E602" s="3">
        <v>80.387</v>
      </c>
      <c r="F602" s="4" t="str">
        <f>HYPERLINK("http://141.218.60.56/~jnz1568/getInfo.php?workbook=12_05.xlsx&amp;sheet=A0&amp;row=602&amp;col=6&amp;number=494800000&amp;sourceID=14","494800000")</f>
        <v>494800000</v>
      </c>
      <c r="G602" s="4" t="str">
        <f>HYPERLINK("http://141.218.60.56/~jnz1568/getInfo.php?workbook=12_05.xlsx&amp;sheet=A0&amp;row=602&amp;col=7&amp;number=0&amp;sourceID=14","0")</f>
        <v>0</v>
      </c>
    </row>
    <row r="603" spans="1:7">
      <c r="A603" s="3">
        <v>12</v>
      </c>
      <c r="B603" s="3">
        <v>5</v>
      </c>
      <c r="C603" s="3">
        <v>92</v>
      </c>
      <c r="D603" s="3">
        <v>7</v>
      </c>
      <c r="E603" s="3">
        <v>80.253</v>
      </c>
      <c r="F603" s="4" t="str">
        <f>HYPERLINK("http://141.218.60.56/~jnz1568/getInfo.php?workbook=12_05.xlsx&amp;sheet=A0&amp;row=603&amp;col=6&amp;number=10830000000&amp;sourceID=14","10830000000")</f>
        <v>10830000000</v>
      </c>
      <c r="G603" s="4" t="str">
        <f>HYPERLINK("http://141.218.60.56/~jnz1568/getInfo.php?workbook=12_05.xlsx&amp;sheet=A0&amp;row=603&amp;col=7&amp;number=0&amp;sourceID=14","0")</f>
        <v>0</v>
      </c>
    </row>
    <row r="604" spans="1:7">
      <c r="A604" s="3">
        <v>12</v>
      </c>
      <c r="B604" s="3">
        <v>5</v>
      </c>
      <c r="C604" s="3">
        <v>93</v>
      </c>
      <c r="D604" s="3">
        <v>7</v>
      </c>
      <c r="E604" s="3">
        <v>79.863</v>
      </c>
      <c r="F604" s="4" t="str">
        <f>HYPERLINK("http://141.218.60.56/~jnz1568/getInfo.php?workbook=12_05.xlsx&amp;sheet=A0&amp;row=604&amp;col=6&amp;number=81150000&amp;sourceID=14","81150000")</f>
        <v>81150000</v>
      </c>
      <c r="G604" s="4" t="str">
        <f>HYPERLINK("http://141.218.60.56/~jnz1568/getInfo.php?workbook=12_05.xlsx&amp;sheet=A0&amp;row=604&amp;col=7&amp;number=0&amp;sourceID=14","0")</f>
        <v>0</v>
      </c>
    </row>
    <row r="605" spans="1:7">
      <c r="A605" s="3">
        <v>12</v>
      </c>
      <c r="B605" s="3">
        <v>5</v>
      </c>
      <c r="C605" s="3">
        <v>94</v>
      </c>
      <c r="D605" s="3">
        <v>7</v>
      </c>
      <c r="E605" s="3">
        <v>-79.69</v>
      </c>
      <c r="F605" s="4" t="str">
        <f>HYPERLINK("http://141.218.60.56/~jnz1568/getInfo.php?workbook=12_05.xlsx&amp;sheet=A0&amp;row=605&amp;col=6&amp;number=34120000000&amp;sourceID=14","34120000000")</f>
        <v>34120000000</v>
      </c>
      <c r="G605" s="4" t="str">
        <f>HYPERLINK("http://141.218.60.56/~jnz1568/getInfo.php?workbook=12_05.xlsx&amp;sheet=A0&amp;row=605&amp;col=7&amp;number=0&amp;sourceID=14","0")</f>
        <v>0</v>
      </c>
    </row>
    <row r="606" spans="1:7">
      <c r="A606" s="3">
        <v>12</v>
      </c>
      <c r="B606" s="3">
        <v>5</v>
      </c>
      <c r="C606" s="3">
        <v>95</v>
      </c>
      <c r="D606" s="3">
        <v>7</v>
      </c>
      <c r="E606" s="3">
        <v>78.075</v>
      </c>
      <c r="F606" s="4" t="str">
        <f>HYPERLINK("http://141.218.60.56/~jnz1568/getInfo.php?workbook=12_05.xlsx&amp;sheet=A0&amp;row=606&amp;col=6&amp;number=4192000000&amp;sourceID=14","4192000000")</f>
        <v>4192000000</v>
      </c>
      <c r="G606" s="4" t="str">
        <f>HYPERLINK("http://141.218.60.56/~jnz1568/getInfo.php?workbook=12_05.xlsx&amp;sheet=A0&amp;row=606&amp;col=7&amp;number=0&amp;sourceID=14","0")</f>
        <v>0</v>
      </c>
    </row>
    <row r="607" spans="1:7">
      <c r="A607" s="3">
        <v>12</v>
      </c>
      <c r="B607" s="3">
        <v>5</v>
      </c>
      <c r="C607" s="3">
        <v>96</v>
      </c>
      <c r="D607" s="3">
        <v>7</v>
      </c>
      <c r="E607" s="3">
        <v>72.697</v>
      </c>
      <c r="F607" s="4" t="str">
        <f>HYPERLINK("http://141.218.60.56/~jnz1568/getInfo.php?workbook=12_05.xlsx&amp;sheet=A0&amp;row=607&amp;col=6&amp;number=4829000000&amp;sourceID=14","4829000000")</f>
        <v>4829000000</v>
      </c>
      <c r="G607" s="4" t="str">
        <f>HYPERLINK("http://141.218.60.56/~jnz1568/getInfo.php?workbook=12_05.xlsx&amp;sheet=A0&amp;row=607&amp;col=7&amp;number=0&amp;sourceID=14","0")</f>
        <v>0</v>
      </c>
    </row>
    <row r="608" spans="1:7">
      <c r="A608" s="3">
        <v>12</v>
      </c>
      <c r="B608" s="3">
        <v>5</v>
      </c>
      <c r="C608" s="3">
        <v>97</v>
      </c>
      <c r="D608" s="3">
        <v>7</v>
      </c>
      <c r="E608" s="3">
        <v>-71.913</v>
      </c>
      <c r="F608" s="4" t="str">
        <f>HYPERLINK("http://141.218.60.56/~jnz1568/getInfo.php?workbook=12_05.xlsx&amp;sheet=A0&amp;row=608&amp;col=6&amp;number=7160000000&amp;sourceID=14","7160000000")</f>
        <v>7160000000</v>
      </c>
      <c r="G608" s="4" t="str">
        <f>HYPERLINK("http://141.218.60.56/~jnz1568/getInfo.php?workbook=12_05.xlsx&amp;sheet=A0&amp;row=608&amp;col=7&amp;number=0&amp;sourceID=14","0")</f>
        <v>0</v>
      </c>
    </row>
    <row r="609" spans="1:7">
      <c r="A609" s="3">
        <v>12</v>
      </c>
      <c r="B609" s="3">
        <v>5</v>
      </c>
      <c r="C609" s="3">
        <v>98</v>
      </c>
      <c r="D609" s="3">
        <v>7</v>
      </c>
      <c r="E609" s="3">
        <v>-71.288</v>
      </c>
      <c r="F609" s="4" t="str">
        <f>HYPERLINK("http://141.218.60.56/~jnz1568/getInfo.php?workbook=12_05.xlsx&amp;sheet=A0&amp;row=609&amp;col=6&amp;number=13940000&amp;sourceID=14","13940000")</f>
        <v>13940000</v>
      </c>
      <c r="G609" s="4" t="str">
        <f>HYPERLINK("http://141.218.60.56/~jnz1568/getInfo.php?workbook=12_05.xlsx&amp;sheet=A0&amp;row=609&amp;col=7&amp;number=0&amp;sourceID=14","0")</f>
        <v>0</v>
      </c>
    </row>
    <row r="610" spans="1:7">
      <c r="A610" s="3">
        <v>12</v>
      </c>
      <c r="B610" s="3">
        <v>5</v>
      </c>
      <c r="C610" s="3">
        <v>99</v>
      </c>
      <c r="D610" s="3">
        <v>7</v>
      </c>
      <c r="E610" s="3">
        <v>-70.866</v>
      </c>
      <c r="F610" s="4" t="str">
        <f>HYPERLINK("http://141.218.60.56/~jnz1568/getInfo.php?workbook=12_05.xlsx&amp;sheet=A0&amp;row=610&amp;col=6&amp;number=10570000&amp;sourceID=14","10570000")</f>
        <v>10570000</v>
      </c>
      <c r="G610" s="4" t="str">
        <f>HYPERLINK("http://141.218.60.56/~jnz1568/getInfo.php?workbook=12_05.xlsx&amp;sheet=A0&amp;row=610&amp;col=7&amp;number=0&amp;sourceID=14","0")</f>
        <v>0</v>
      </c>
    </row>
    <row r="611" spans="1:7">
      <c r="A611" s="3">
        <v>12</v>
      </c>
      <c r="B611" s="3">
        <v>5</v>
      </c>
      <c r="C611" s="3">
        <v>100</v>
      </c>
      <c r="D611" s="3">
        <v>7</v>
      </c>
      <c r="E611" s="3">
        <v>-70.432</v>
      </c>
      <c r="F611" s="4" t="str">
        <f>HYPERLINK("http://141.218.60.56/~jnz1568/getInfo.php?workbook=12_05.xlsx&amp;sheet=A0&amp;row=611&amp;col=6&amp;number=714300000&amp;sourceID=14","714300000")</f>
        <v>714300000</v>
      </c>
      <c r="G611" s="4" t="str">
        <f>HYPERLINK("http://141.218.60.56/~jnz1568/getInfo.php?workbook=12_05.xlsx&amp;sheet=A0&amp;row=611&amp;col=7&amp;number=0&amp;sourceID=14","0")</f>
        <v>0</v>
      </c>
    </row>
    <row r="612" spans="1:7">
      <c r="A612" s="3">
        <v>12</v>
      </c>
      <c r="B612" s="3">
        <v>5</v>
      </c>
      <c r="C612" s="3">
        <v>101</v>
      </c>
      <c r="D612" s="3">
        <v>7</v>
      </c>
      <c r="E612" s="3">
        <v>69.361</v>
      </c>
      <c r="F612" s="4" t="str">
        <f>HYPERLINK("http://141.218.60.56/~jnz1568/getInfo.php?workbook=12_05.xlsx&amp;sheet=A0&amp;row=612&amp;col=6&amp;number=46310000&amp;sourceID=14","46310000")</f>
        <v>46310000</v>
      </c>
      <c r="G612" s="4" t="str">
        <f>HYPERLINK("http://141.218.60.56/~jnz1568/getInfo.php?workbook=12_05.xlsx&amp;sheet=A0&amp;row=612&amp;col=7&amp;number=0&amp;sourceID=14","0")</f>
        <v>0</v>
      </c>
    </row>
    <row r="613" spans="1:7">
      <c r="A613" s="3">
        <v>12</v>
      </c>
      <c r="B613" s="3">
        <v>5</v>
      </c>
      <c r="C613" s="3">
        <v>102</v>
      </c>
      <c r="D613" s="3">
        <v>7</v>
      </c>
      <c r="E613" s="3">
        <v>-69.663</v>
      </c>
      <c r="F613" s="4" t="str">
        <f>HYPERLINK("http://141.218.60.56/~jnz1568/getInfo.php?workbook=12_05.xlsx&amp;sheet=A0&amp;row=613&amp;col=6&amp;number=13740000000&amp;sourceID=14","13740000000")</f>
        <v>13740000000</v>
      </c>
      <c r="G613" s="4" t="str">
        <f>HYPERLINK("http://141.218.60.56/~jnz1568/getInfo.php?workbook=12_05.xlsx&amp;sheet=A0&amp;row=613&amp;col=7&amp;number=0&amp;sourceID=14","0")</f>
        <v>0</v>
      </c>
    </row>
    <row r="614" spans="1:7">
      <c r="A614" s="3">
        <v>12</v>
      </c>
      <c r="B614" s="3">
        <v>5</v>
      </c>
      <c r="C614" s="3">
        <v>103</v>
      </c>
      <c r="D614" s="3">
        <v>7</v>
      </c>
      <c r="E614" s="3">
        <v>-67.781</v>
      </c>
      <c r="F614" s="4" t="str">
        <f>HYPERLINK("http://141.218.60.56/~jnz1568/getInfo.php?workbook=12_05.xlsx&amp;sheet=A0&amp;row=614&amp;col=6&amp;number=11490000000&amp;sourceID=14","11490000000")</f>
        <v>11490000000</v>
      </c>
      <c r="G614" s="4" t="str">
        <f>HYPERLINK("http://141.218.60.56/~jnz1568/getInfo.php?workbook=12_05.xlsx&amp;sheet=A0&amp;row=614&amp;col=7&amp;number=0&amp;sourceID=14","0")</f>
        <v>0</v>
      </c>
    </row>
    <row r="615" spans="1:7">
      <c r="A615" s="3">
        <v>12</v>
      </c>
      <c r="B615" s="3">
        <v>5</v>
      </c>
      <c r="C615" s="3">
        <v>104</v>
      </c>
      <c r="D615" s="3">
        <v>7</v>
      </c>
      <c r="E615" s="3">
        <v>-66.99</v>
      </c>
      <c r="F615" s="4" t="str">
        <f>HYPERLINK("http://141.218.60.56/~jnz1568/getInfo.php?workbook=12_05.xlsx&amp;sheet=A0&amp;row=615&amp;col=6&amp;number=62080000000&amp;sourceID=14","62080000000")</f>
        <v>62080000000</v>
      </c>
      <c r="G615" s="4" t="str">
        <f>HYPERLINK("http://141.218.60.56/~jnz1568/getInfo.php?workbook=12_05.xlsx&amp;sheet=A0&amp;row=615&amp;col=7&amp;number=0&amp;sourceID=14","0")</f>
        <v>0</v>
      </c>
    </row>
    <row r="616" spans="1:7">
      <c r="A616" s="3">
        <v>12</v>
      </c>
      <c r="B616" s="3">
        <v>5</v>
      </c>
      <c r="C616" s="3">
        <v>105</v>
      </c>
      <c r="D616" s="3">
        <v>7</v>
      </c>
      <c r="E616" s="3">
        <v>-63.898</v>
      </c>
      <c r="F616" s="4" t="str">
        <f>HYPERLINK("http://141.218.60.56/~jnz1568/getInfo.php?workbook=12_05.xlsx&amp;sheet=A0&amp;row=616&amp;col=6&amp;number=130800000&amp;sourceID=14","130800000")</f>
        <v>130800000</v>
      </c>
      <c r="G616" s="4" t="str">
        <f>HYPERLINK("http://141.218.60.56/~jnz1568/getInfo.php?workbook=12_05.xlsx&amp;sheet=A0&amp;row=616&amp;col=7&amp;number=0&amp;sourceID=14","0")</f>
        <v>0</v>
      </c>
    </row>
    <row r="617" spans="1:7">
      <c r="A617" s="3">
        <v>12</v>
      </c>
      <c r="B617" s="3">
        <v>5</v>
      </c>
      <c r="C617" s="3">
        <v>106</v>
      </c>
      <c r="D617" s="3">
        <v>5</v>
      </c>
      <c r="E617" s="3">
        <v>81.849</v>
      </c>
      <c r="F617" s="4" t="str">
        <f>HYPERLINK("http://141.218.60.56/~jnz1568/getInfo.php?workbook=12_05.xlsx&amp;sheet=A0&amp;row=617&amp;col=6&amp;number=48380000000&amp;sourceID=14","48380000000")</f>
        <v>48380000000</v>
      </c>
      <c r="G617" s="4" t="str">
        <f>HYPERLINK("http://141.218.60.56/~jnz1568/getInfo.php?workbook=12_05.xlsx&amp;sheet=A0&amp;row=617&amp;col=7&amp;number=0&amp;sourceID=14","0")</f>
        <v>0</v>
      </c>
    </row>
    <row r="618" spans="1:7">
      <c r="A618" s="3">
        <v>12</v>
      </c>
      <c r="B618" s="3">
        <v>5</v>
      </c>
      <c r="C618" s="3">
        <v>107</v>
      </c>
      <c r="D618" s="3">
        <v>5</v>
      </c>
      <c r="E618" s="3">
        <v>-75.693</v>
      </c>
      <c r="F618" s="4" t="str">
        <f>HYPERLINK("http://141.218.60.56/~jnz1568/getInfo.php?workbook=12_05.xlsx&amp;sheet=A0&amp;row=618&amp;col=6&amp;number=802500000&amp;sourceID=14","802500000")</f>
        <v>802500000</v>
      </c>
      <c r="G618" s="4" t="str">
        <f>HYPERLINK("http://141.218.60.56/~jnz1568/getInfo.php?workbook=12_05.xlsx&amp;sheet=A0&amp;row=618&amp;col=7&amp;number=0&amp;sourceID=14","0")</f>
        <v>0</v>
      </c>
    </row>
    <row r="619" spans="1:7">
      <c r="A619" s="3">
        <v>12</v>
      </c>
      <c r="B619" s="3">
        <v>5</v>
      </c>
      <c r="C619" s="3">
        <v>108</v>
      </c>
      <c r="D619" s="3">
        <v>5</v>
      </c>
      <c r="E619" s="3">
        <v>74.416</v>
      </c>
      <c r="F619" s="4" t="str">
        <f>HYPERLINK("http://141.218.60.56/~jnz1568/getInfo.php?workbook=12_05.xlsx&amp;sheet=A0&amp;row=619&amp;col=6&amp;number=90500000000&amp;sourceID=14","90500000000")</f>
        <v>90500000000</v>
      </c>
      <c r="G619" s="4" t="str">
        <f>HYPERLINK("http://141.218.60.56/~jnz1568/getInfo.php?workbook=12_05.xlsx&amp;sheet=A0&amp;row=619&amp;col=7&amp;number=0&amp;sourceID=14","0")</f>
        <v>0</v>
      </c>
    </row>
    <row r="620" spans="1:7">
      <c r="A620" s="3">
        <v>12</v>
      </c>
      <c r="B620" s="3">
        <v>5</v>
      </c>
      <c r="C620" s="3">
        <v>109</v>
      </c>
      <c r="D620" s="3">
        <v>5</v>
      </c>
      <c r="E620" s="3">
        <v>74.3</v>
      </c>
      <c r="F620" s="4" t="str">
        <f>HYPERLINK("http://141.218.60.56/~jnz1568/getInfo.php?workbook=12_05.xlsx&amp;sheet=A0&amp;row=620&amp;col=6&amp;number=29040000000&amp;sourceID=14","29040000000")</f>
        <v>29040000000</v>
      </c>
      <c r="G620" s="4" t="str">
        <f>HYPERLINK("http://141.218.60.56/~jnz1568/getInfo.php?workbook=12_05.xlsx&amp;sheet=A0&amp;row=620&amp;col=7&amp;number=0&amp;sourceID=14","0")</f>
        <v>0</v>
      </c>
    </row>
    <row r="621" spans="1:7">
      <c r="A621" s="3">
        <v>12</v>
      </c>
      <c r="B621" s="3">
        <v>5</v>
      </c>
      <c r="C621" s="3">
        <v>110</v>
      </c>
      <c r="D621" s="3">
        <v>5</v>
      </c>
      <c r="E621" s="3">
        <v>74.025</v>
      </c>
      <c r="F621" s="4" t="str">
        <f>HYPERLINK("http://141.218.60.56/~jnz1568/getInfo.php?workbook=12_05.xlsx&amp;sheet=A0&amp;row=621&amp;col=6&amp;number=281200000000&amp;sourceID=14","281200000000")</f>
        <v>281200000000</v>
      </c>
      <c r="G621" s="4" t="str">
        <f>HYPERLINK("http://141.218.60.56/~jnz1568/getInfo.php?workbook=12_05.xlsx&amp;sheet=A0&amp;row=621&amp;col=7&amp;number=0&amp;sourceID=14","0")</f>
        <v>0</v>
      </c>
    </row>
    <row r="622" spans="1:7">
      <c r="A622" s="3">
        <v>12</v>
      </c>
      <c r="B622" s="3">
        <v>5</v>
      </c>
      <c r="C622" s="3">
        <v>111</v>
      </c>
      <c r="D622" s="3">
        <v>5</v>
      </c>
      <c r="E622" s="3">
        <v>72.876</v>
      </c>
      <c r="F622" s="4" t="str">
        <f>HYPERLINK("http://141.218.60.56/~jnz1568/getInfo.php?workbook=12_05.xlsx&amp;sheet=A0&amp;row=622&amp;col=6&amp;number=760700&amp;sourceID=14","760700")</f>
        <v>760700</v>
      </c>
      <c r="G622" s="4" t="str">
        <f>HYPERLINK("http://141.218.60.56/~jnz1568/getInfo.php?workbook=12_05.xlsx&amp;sheet=A0&amp;row=622&amp;col=7&amp;number=0&amp;sourceID=14","0")</f>
        <v>0</v>
      </c>
    </row>
    <row r="623" spans="1:7">
      <c r="A623" s="3">
        <v>12</v>
      </c>
      <c r="B623" s="3">
        <v>5</v>
      </c>
      <c r="C623" s="3">
        <v>112</v>
      </c>
      <c r="D623" s="3">
        <v>5</v>
      </c>
      <c r="E623" s="3">
        <v>68.274</v>
      </c>
      <c r="F623" s="4" t="str">
        <f>HYPERLINK("http://141.218.60.56/~jnz1568/getInfo.php?workbook=12_05.xlsx&amp;sheet=A0&amp;row=623&amp;col=6&amp;number=1501000&amp;sourceID=14","1501000")</f>
        <v>1501000</v>
      </c>
      <c r="G623" s="4" t="str">
        <f>HYPERLINK("http://141.218.60.56/~jnz1568/getInfo.php?workbook=12_05.xlsx&amp;sheet=A0&amp;row=623&amp;col=7&amp;number=0&amp;sourceID=14","0")</f>
        <v>0</v>
      </c>
    </row>
    <row r="624" spans="1:7">
      <c r="A624" s="3">
        <v>12</v>
      </c>
      <c r="B624" s="3">
        <v>5</v>
      </c>
      <c r="C624" s="3">
        <v>113</v>
      </c>
      <c r="D624" s="3">
        <v>5</v>
      </c>
      <c r="E624" s="3">
        <v>67.778</v>
      </c>
      <c r="F624" s="4" t="str">
        <f>HYPERLINK("http://141.218.60.56/~jnz1568/getInfo.php?workbook=12_05.xlsx&amp;sheet=A0&amp;row=624&amp;col=6&amp;number=1285000&amp;sourceID=14","1285000")</f>
        <v>1285000</v>
      </c>
      <c r="G624" s="4" t="str">
        <f>HYPERLINK("http://141.218.60.56/~jnz1568/getInfo.php?workbook=12_05.xlsx&amp;sheet=A0&amp;row=624&amp;col=7&amp;number=0&amp;sourceID=14","0")</f>
        <v>0</v>
      </c>
    </row>
    <row r="625" spans="1:7">
      <c r="A625" s="3">
        <v>12</v>
      </c>
      <c r="B625" s="3">
        <v>5</v>
      </c>
      <c r="C625" s="3">
        <v>114</v>
      </c>
      <c r="D625" s="3">
        <v>5</v>
      </c>
      <c r="E625" s="3">
        <v>-66.509</v>
      </c>
      <c r="F625" s="4" t="str">
        <f>HYPERLINK("http://141.218.60.56/~jnz1568/getInfo.php?workbook=12_05.xlsx&amp;sheet=A0&amp;row=625&amp;col=6&amp;number=12060000000&amp;sourceID=14","12060000000")</f>
        <v>12060000000</v>
      </c>
      <c r="G625" s="4" t="str">
        <f>HYPERLINK("http://141.218.60.56/~jnz1568/getInfo.php?workbook=12_05.xlsx&amp;sheet=A0&amp;row=625&amp;col=7&amp;number=0&amp;sourceID=14","0")</f>
        <v>0</v>
      </c>
    </row>
    <row r="626" spans="1:7">
      <c r="A626" s="3">
        <v>12</v>
      </c>
      <c r="B626" s="3">
        <v>5</v>
      </c>
      <c r="C626" s="3">
        <v>115</v>
      </c>
      <c r="D626" s="3">
        <v>5</v>
      </c>
      <c r="E626" s="3">
        <v>65.81</v>
      </c>
      <c r="F626" s="4" t="str">
        <f>HYPERLINK("http://141.218.60.56/~jnz1568/getInfo.php?workbook=12_05.xlsx&amp;sheet=A0&amp;row=626&amp;col=6&amp;number=49500000000&amp;sourceID=14","49500000000")</f>
        <v>49500000000</v>
      </c>
      <c r="G626" s="4" t="str">
        <f>HYPERLINK("http://141.218.60.56/~jnz1568/getInfo.php?workbook=12_05.xlsx&amp;sheet=A0&amp;row=626&amp;col=7&amp;number=0&amp;sourceID=14","0")</f>
        <v>0</v>
      </c>
    </row>
    <row r="627" spans="1:7">
      <c r="A627" s="3">
        <v>12</v>
      </c>
      <c r="B627" s="3">
        <v>5</v>
      </c>
      <c r="C627" s="3">
        <v>116</v>
      </c>
      <c r="D627" s="3">
        <v>5</v>
      </c>
      <c r="E627" s="3">
        <v>-65.718</v>
      </c>
      <c r="F627" s="4" t="str">
        <f>HYPERLINK("http://141.218.60.56/~jnz1568/getInfo.php?workbook=12_05.xlsx&amp;sheet=A0&amp;row=627&amp;col=6&amp;number=769200000&amp;sourceID=14","769200000")</f>
        <v>769200000</v>
      </c>
      <c r="G627" s="4" t="str">
        <f>HYPERLINK("http://141.218.60.56/~jnz1568/getInfo.php?workbook=12_05.xlsx&amp;sheet=A0&amp;row=627&amp;col=7&amp;number=0&amp;sourceID=14","0")</f>
        <v>0</v>
      </c>
    </row>
    <row r="628" spans="1:7">
      <c r="A628" s="3">
        <v>12</v>
      </c>
      <c r="B628" s="3">
        <v>5</v>
      </c>
      <c r="C628" s="3">
        <v>117</v>
      </c>
      <c r="D628" s="3">
        <v>5</v>
      </c>
      <c r="E628" s="3">
        <v>64.199</v>
      </c>
      <c r="F628" s="4" t="str">
        <f>HYPERLINK("http://141.218.60.56/~jnz1568/getInfo.php?workbook=12_05.xlsx&amp;sheet=A0&amp;row=628&amp;col=6&amp;number=703700&amp;sourceID=14","703700")</f>
        <v>703700</v>
      </c>
      <c r="G628" s="4" t="str">
        <f>HYPERLINK("http://141.218.60.56/~jnz1568/getInfo.php?workbook=12_05.xlsx&amp;sheet=A0&amp;row=628&amp;col=7&amp;number=0&amp;sourceID=14","0")</f>
        <v>0</v>
      </c>
    </row>
    <row r="629" spans="1:7">
      <c r="A629" s="3">
        <v>12</v>
      </c>
      <c r="B629" s="3">
        <v>5</v>
      </c>
      <c r="C629" s="3">
        <v>118</v>
      </c>
      <c r="D629" s="3">
        <v>5</v>
      </c>
      <c r="E629" s="3">
        <v>-63.506</v>
      </c>
      <c r="F629" s="4" t="str">
        <f>HYPERLINK("http://141.218.60.56/~jnz1568/getInfo.php?workbook=12_05.xlsx&amp;sheet=A0&amp;row=629&amp;col=6&amp;number=5742000&amp;sourceID=14","5742000")</f>
        <v>5742000</v>
      </c>
      <c r="G629" s="4" t="str">
        <f>HYPERLINK("http://141.218.60.56/~jnz1568/getInfo.php?workbook=12_05.xlsx&amp;sheet=A0&amp;row=629&amp;col=7&amp;number=0&amp;sourceID=14","0")</f>
        <v>0</v>
      </c>
    </row>
    <row r="630" spans="1:7">
      <c r="A630" s="3">
        <v>12</v>
      </c>
      <c r="B630" s="3">
        <v>5</v>
      </c>
      <c r="C630" s="3">
        <v>106</v>
      </c>
      <c r="D630" s="3">
        <v>7</v>
      </c>
      <c r="E630" s="3">
        <v>89.105</v>
      </c>
      <c r="F630" s="4" t="str">
        <f>HYPERLINK("http://141.218.60.56/~jnz1568/getInfo.php?workbook=12_05.xlsx&amp;sheet=A0&amp;row=630&amp;col=6&amp;number=8604000&amp;sourceID=14","8604000")</f>
        <v>8604000</v>
      </c>
      <c r="G630" s="4" t="str">
        <f>HYPERLINK("http://141.218.60.56/~jnz1568/getInfo.php?workbook=12_05.xlsx&amp;sheet=A0&amp;row=630&amp;col=7&amp;number=0&amp;sourceID=14","0")</f>
        <v>0</v>
      </c>
    </row>
    <row r="631" spans="1:7">
      <c r="A631" s="3">
        <v>12</v>
      </c>
      <c r="B631" s="3">
        <v>5</v>
      </c>
      <c r="C631" s="3">
        <v>107</v>
      </c>
      <c r="D631" s="3">
        <v>7</v>
      </c>
      <c r="E631" s="3">
        <v>-81.862</v>
      </c>
      <c r="F631" s="4" t="str">
        <f>HYPERLINK("http://141.218.60.56/~jnz1568/getInfo.php?workbook=12_05.xlsx&amp;sheet=A0&amp;row=631&amp;col=6&amp;number=257600000&amp;sourceID=14","257600000")</f>
        <v>257600000</v>
      </c>
      <c r="G631" s="4" t="str">
        <f>HYPERLINK("http://141.218.60.56/~jnz1568/getInfo.php?workbook=12_05.xlsx&amp;sheet=A0&amp;row=631&amp;col=7&amp;number=0&amp;sourceID=14","0")</f>
        <v>0</v>
      </c>
    </row>
    <row r="632" spans="1:7">
      <c r="A632" s="3">
        <v>12</v>
      </c>
      <c r="B632" s="3">
        <v>5</v>
      </c>
      <c r="C632" s="3">
        <v>108</v>
      </c>
      <c r="D632" s="3">
        <v>7</v>
      </c>
      <c r="E632" s="3">
        <v>80.366</v>
      </c>
      <c r="F632" s="4" t="str">
        <f>HYPERLINK("http://141.218.60.56/~jnz1568/getInfo.php?workbook=12_05.xlsx&amp;sheet=A0&amp;row=632&amp;col=6&amp;number=7587000000&amp;sourceID=14","7587000000")</f>
        <v>7587000000</v>
      </c>
      <c r="G632" s="4" t="str">
        <f>HYPERLINK("http://141.218.60.56/~jnz1568/getInfo.php?workbook=12_05.xlsx&amp;sheet=A0&amp;row=632&amp;col=7&amp;number=0&amp;sourceID=14","0")</f>
        <v>0</v>
      </c>
    </row>
    <row r="633" spans="1:7">
      <c r="A633" s="3">
        <v>12</v>
      </c>
      <c r="B633" s="3">
        <v>5</v>
      </c>
      <c r="C633" s="3">
        <v>109</v>
      </c>
      <c r="D633" s="3">
        <v>7</v>
      </c>
      <c r="E633" s="3">
        <v>80.23</v>
      </c>
      <c r="F633" s="4" t="str">
        <f>HYPERLINK("http://141.218.60.56/~jnz1568/getInfo.php?workbook=12_05.xlsx&amp;sheet=A0&amp;row=633&amp;col=6&amp;number=102900000000&amp;sourceID=14","102900000000")</f>
        <v>102900000000</v>
      </c>
      <c r="G633" s="4" t="str">
        <f>HYPERLINK("http://141.218.60.56/~jnz1568/getInfo.php?workbook=12_05.xlsx&amp;sheet=A0&amp;row=633&amp;col=7&amp;number=0&amp;sourceID=14","0")</f>
        <v>0</v>
      </c>
    </row>
    <row r="634" spans="1:7">
      <c r="A634" s="3">
        <v>12</v>
      </c>
      <c r="B634" s="3">
        <v>5</v>
      </c>
      <c r="C634" s="3">
        <v>110</v>
      </c>
      <c r="D634" s="3">
        <v>7</v>
      </c>
      <c r="E634" s="3">
        <v>79.91</v>
      </c>
      <c r="F634" s="4" t="str">
        <f>HYPERLINK("http://141.218.60.56/~jnz1568/getInfo.php?workbook=12_05.xlsx&amp;sheet=A0&amp;row=634&amp;col=6&amp;number=3337000000&amp;sourceID=14","3337000000")</f>
        <v>3337000000</v>
      </c>
      <c r="G634" s="4" t="str">
        <f>HYPERLINK("http://141.218.60.56/~jnz1568/getInfo.php?workbook=12_05.xlsx&amp;sheet=A0&amp;row=634&amp;col=7&amp;number=0&amp;sourceID=14","0")</f>
        <v>0</v>
      </c>
    </row>
    <row r="635" spans="1:7">
      <c r="A635" s="3">
        <v>12</v>
      </c>
      <c r="B635" s="3">
        <v>5</v>
      </c>
      <c r="C635" s="3">
        <v>111</v>
      </c>
      <c r="D635" s="3">
        <v>7</v>
      </c>
      <c r="E635" s="3">
        <v>78.572</v>
      </c>
      <c r="F635" s="4" t="str">
        <f>HYPERLINK("http://141.218.60.56/~jnz1568/getInfo.php?workbook=12_05.xlsx&amp;sheet=A0&amp;row=635&amp;col=6&amp;number=31270000000&amp;sourceID=14","31270000000")</f>
        <v>31270000000</v>
      </c>
      <c r="G635" s="4" t="str">
        <f>HYPERLINK("http://141.218.60.56/~jnz1568/getInfo.php?workbook=12_05.xlsx&amp;sheet=A0&amp;row=635&amp;col=7&amp;number=0&amp;sourceID=14","0")</f>
        <v>0</v>
      </c>
    </row>
    <row r="636" spans="1:7">
      <c r="A636" s="3">
        <v>12</v>
      </c>
      <c r="B636" s="3">
        <v>5</v>
      </c>
      <c r="C636" s="3">
        <v>112</v>
      </c>
      <c r="D636" s="3">
        <v>7</v>
      </c>
      <c r="E636" s="3">
        <v>73.249</v>
      </c>
      <c r="F636" s="4" t="str">
        <f>HYPERLINK("http://141.218.60.56/~jnz1568/getInfo.php?workbook=12_05.xlsx&amp;sheet=A0&amp;row=636&amp;col=6&amp;number=23550000000&amp;sourceID=14","23550000000")</f>
        <v>23550000000</v>
      </c>
      <c r="G636" s="4" t="str">
        <f>HYPERLINK("http://141.218.60.56/~jnz1568/getInfo.php?workbook=12_05.xlsx&amp;sheet=A0&amp;row=636&amp;col=7&amp;number=0&amp;sourceID=14","0")</f>
        <v>0</v>
      </c>
    </row>
    <row r="637" spans="1:7">
      <c r="A637" s="3">
        <v>12</v>
      </c>
      <c r="B637" s="3">
        <v>5</v>
      </c>
      <c r="C637" s="3">
        <v>113</v>
      </c>
      <c r="D637" s="3">
        <v>7</v>
      </c>
      <c r="E637" s="3">
        <v>72.678</v>
      </c>
      <c r="F637" s="4" t="str">
        <f>HYPERLINK("http://141.218.60.56/~jnz1568/getInfo.php?workbook=12_05.xlsx&amp;sheet=A0&amp;row=637&amp;col=6&amp;number=43850000000&amp;sourceID=14","43850000000")</f>
        <v>43850000000</v>
      </c>
      <c r="G637" s="4" t="str">
        <f>HYPERLINK("http://141.218.60.56/~jnz1568/getInfo.php?workbook=12_05.xlsx&amp;sheet=A0&amp;row=637&amp;col=7&amp;number=0&amp;sourceID=14","0")</f>
        <v>0</v>
      </c>
    </row>
    <row r="638" spans="1:7">
      <c r="A638" s="3">
        <v>12</v>
      </c>
      <c r="B638" s="3">
        <v>5</v>
      </c>
      <c r="C638" s="3">
        <v>114</v>
      </c>
      <c r="D638" s="3">
        <v>7</v>
      </c>
      <c r="E638" s="3">
        <v>-71.226</v>
      </c>
      <c r="F638" s="4" t="str">
        <f>HYPERLINK("http://141.218.60.56/~jnz1568/getInfo.php?workbook=12_05.xlsx&amp;sheet=A0&amp;row=638&amp;col=6&amp;number=38380&amp;sourceID=14","38380")</f>
        <v>38380</v>
      </c>
      <c r="G638" s="4" t="str">
        <f>HYPERLINK("http://141.218.60.56/~jnz1568/getInfo.php?workbook=12_05.xlsx&amp;sheet=A0&amp;row=638&amp;col=7&amp;number=0&amp;sourceID=14","0")</f>
        <v>0</v>
      </c>
    </row>
    <row r="639" spans="1:7">
      <c r="A639" s="3">
        <v>12</v>
      </c>
      <c r="B639" s="3">
        <v>5</v>
      </c>
      <c r="C639" s="3">
        <v>115</v>
      </c>
      <c r="D639" s="3">
        <v>7</v>
      </c>
      <c r="E639" s="3">
        <v>70.421</v>
      </c>
      <c r="F639" s="4" t="str">
        <f>HYPERLINK("http://141.218.60.56/~jnz1568/getInfo.php?workbook=12_05.xlsx&amp;sheet=A0&amp;row=639&amp;col=6&amp;number=142900000&amp;sourceID=14","142900000")</f>
        <v>142900000</v>
      </c>
      <c r="G639" s="4" t="str">
        <f>HYPERLINK("http://141.218.60.56/~jnz1568/getInfo.php?workbook=12_05.xlsx&amp;sheet=A0&amp;row=639&amp;col=7&amp;number=0&amp;sourceID=14","0")</f>
        <v>0</v>
      </c>
    </row>
    <row r="640" spans="1:7">
      <c r="A640" s="3">
        <v>12</v>
      </c>
      <c r="B640" s="3">
        <v>5</v>
      </c>
      <c r="C640" s="3">
        <v>116</v>
      </c>
      <c r="D640" s="3">
        <v>7</v>
      </c>
      <c r="E640" s="3">
        <v>-70.32</v>
      </c>
      <c r="F640" s="4" t="str">
        <f>HYPERLINK("http://141.218.60.56/~jnz1568/getInfo.php?workbook=12_05.xlsx&amp;sheet=A0&amp;row=640&amp;col=6&amp;number=6988000000&amp;sourceID=14","6988000000")</f>
        <v>6988000000</v>
      </c>
      <c r="G640" s="4" t="str">
        <f>HYPERLINK("http://141.218.60.56/~jnz1568/getInfo.php?workbook=12_05.xlsx&amp;sheet=A0&amp;row=640&amp;col=7&amp;number=0&amp;sourceID=14","0")</f>
        <v>0</v>
      </c>
    </row>
    <row r="641" spans="1:7">
      <c r="A641" s="3">
        <v>12</v>
      </c>
      <c r="B641" s="3">
        <v>5</v>
      </c>
      <c r="C641" s="3">
        <v>117</v>
      </c>
      <c r="D641" s="3">
        <v>7</v>
      </c>
      <c r="E641" s="3">
        <v>68.579</v>
      </c>
      <c r="F641" s="4" t="str">
        <f>HYPERLINK("http://141.218.60.56/~jnz1568/getInfo.php?workbook=12_05.xlsx&amp;sheet=A0&amp;row=641&amp;col=6&amp;number=918000000&amp;sourceID=14","918000000")</f>
        <v>918000000</v>
      </c>
      <c r="G641" s="4" t="str">
        <f>HYPERLINK("http://141.218.60.56/~jnz1568/getInfo.php?workbook=12_05.xlsx&amp;sheet=A0&amp;row=641&amp;col=7&amp;number=0&amp;sourceID=14","0")</f>
        <v>0</v>
      </c>
    </row>
    <row r="642" spans="1:7">
      <c r="A642" s="3">
        <v>12</v>
      </c>
      <c r="B642" s="3">
        <v>5</v>
      </c>
      <c r="C642" s="3">
        <v>118</v>
      </c>
      <c r="D642" s="3">
        <v>7</v>
      </c>
      <c r="E642" s="3">
        <v>-67.792</v>
      </c>
      <c r="F642" s="4" t="str">
        <f>HYPERLINK("http://141.218.60.56/~jnz1568/getInfo.php?workbook=12_05.xlsx&amp;sheet=A0&amp;row=642&amp;col=6&amp;number=71520000000&amp;sourceID=14","71520000000")</f>
        <v>71520000000</v>
      </c>
      <c r="G642" s="4" t="str">
        <f>HYPERLINK("http://141.218.60.56/~jnz1568/getInfo.php?workbook=12_05.xlsx&amp;sheet=A0&amp;row=642&amp;col=7&amp;number=0&amp;sourceID=14","0")</f>
        <v>0</v>
      </c>
    </row>
    <row r="643" spans="1:7">
      <c r="A643" s="3">
        <v>12</v>
      </c>
      <c r="B643" s="3">
        <v>5</v>
      </c>
      <c r="C643" s="3">
        <v>119</v>
      </c>
      <c r="D643" s="3">
        <v>5</v>
      </c>
      <c r="E643" s="3">
        <v>-75.632</v>
      </c>
      <c r="F643" s="4" t="str">
        <f>HYPERLINK("http://141.218.60.56/~jnz1568/getInfo.php?workbook=12_05.xlsx&amp;sheet=A0&amp;row=643&amp;col=6&amp;number=3320000000&amp;sourceID=14","3320000000")</f>
        <v>3320000000</v>
      </c>
      <c r="G643" s="4" t="str">
        <f>HYPERLINK("http://141.218.60.56/~jnz1568/getInfo.php?workbook=12_05.xlsx&amp;sheet=A0&amp;row=643&amp;col=7&amp;number=0&amp;sourceID=14","0")</f>
        <v>0</v>
      </c>
    </row>
    <row r="644" spans="1:7">
      <c r="A644" s="3">
        <v>12</v>
      </c>
      <c r="B644" s="3">
        <v>5</v>
      </c>
      <c r="C644" s="3">
        <v>120</v>
      </c>
      <c r="D644" s="3">
        <v>5</v>
      </c>
      <c r="E644" s="3">
        <v>74.371</v>
      </c>
      <c r="F644" s="4" t="str">
        <f>HYPERLINK("http://141.218.60.56/~jnz1568/getInfo.php?workbook=12_05.xlsx&amp;sheet=A0&amp;row=644&amp;col=6&amp;number=599700000000&amp;sourceID=14","599700000000")</f>
        <v>599700000000</v>
      </c>
      <c r="G644" s="4" t="str">
        <f>HYPERLINK("http://141.218.60.56/~jnz1568/getInfo.php?workbook=12_05.xlsx&amp;sheet=A0&amp;row=644&amp;col=7&amp;number=0&amp;sourceID=14","0")</f>
        <v>0</v>
      </c>
    </row>
    <row r="645" spans="1:7">
      <c r="A645" s="3">
        <v>12</v>
      </c>
      <c r="B645" s="3">
        <v>5</v>
      </c>
      <c r="C645" s="3">
        <v>121</v>
      </c>
      <c r="D645" s="3">
        <v>5</v>
      </c>
      <c r="E645" s="3">
        <v>72.767</v>
      </c>
      <c r="F645" s="4" t="str">
        <f>HYPERLINK("http://141.218.60.56/~jnz1568/getInfo.php?workbook=12_05.xlsx&amp;sheet=A0&amp;row=645&amp;col=6&amp;number=2559000&amp;sourceID=14","2559000")</f>
        <v>2559000</v>
      </c>
      <c r="G645" s="4" t="str">
        <f>HYPERLINK("http://141.218.60.56/~jnz1568/getInfo.php?workbook=12_05.xlsx&amp;sheet=A0&amp;row=645&amp;col=7&amp;number=0&amp;sourceID=14","0")</f>
        <v>0</v>
      </c>
    </row>
    <row r="646" spans="1:7">
      <c r="A646" s="3">
        <v>12</v>
      </c>
      <c r="B646" s="3">
        <v>5</v>
      </c>
      <c r="C646" s="3">
        <v>122</v>
      </c>
      <c r="D646" s="3">
        <v>5</v>
      </c>
      <c r="E646" s="3">
        <v>-67.928</v>
      </c>
      <c r="F646" s="4" t="str">
        <f>HYPERLINK("http://141.218.60.56/~jnz1568/getInfo.php?workbook=12_05.xlsx&amp;sheet=A0&amp;row=646&amp;col=6&amp;number=19370000&amp;sourceID=14","19370000")</f>
        <v>19370000</v>
      </c>
      <c r="G646" s="4" t="str">
        <f>HYPERLINK("http://141.218.60.56/~jnz1568/getInfo.php?workbook=12_05.xlsx&amp;sheet=A0&amp;row=646&amp;col=7&amp;number=0&amp;sourceID=14","0")</f>
        <v>0</v>
      </c>
    </row>
    <row r="647" spans="1:7">
      <c r="A647" s="3">
        <v>12</v>
      </c>
      <c r="B647" s="3">
        <v>5</v>
      </c>
      <c r="C647" s="3">
        <v>123</v>
      </c>
      <c r="D647" s="3">
        <v>5</v>
      </c>
      <c r="E647" s="3">
        <v>66.073</v>
      </c>
      <c r="F647" s="4" t="str">
        <f>HYPERLINK("http://141.218.60.56/~jnz1568/getInfo.php?workbook=12_05.xlsx&amp;sheet=A0&amp;row=647&amp;col=6&amp;number=51720000000&amp;sourceID=14","51720000000")</f>
        <v>51720000000</v>
      </c>
      <c r="G647" s="4" t="str">
        <f>HYPERLINK("http://141.218.60.56/~jnz1568/getInfo.php?workbook=12_05.xlsx&amp;sheet=A0&amp;row=647&amp;col=7&amp;number=0&amp;sourceID=14","0")</f>
        <v>0</v>
      </c>
    </row>
    <row r="648" spans="1:7">
      <c r="A648" s="3">
        <v>12</v>
      </c>
      <c r="B648" s="3">
        <v>5</v>
      </c>
      <c r="C648" s="3">
        <v>124</v>
      </c>
      <c r="D648" s="3">
        <v>5</v>
      </c>
      <c r="E648" s="3">
        <v>64.174</v>
      </c>
      <c r="F648" s="4" t="str">
        <f>HYPERLINK("http://141.218.60.56/~jnz1568/getInfo.php?workbook=12_05.xlsx&amp;sheet=A0&amp;row=648&amp;col=6&amp;number=18130000&amp;sourceID=14","18130000")</f>
        <v>18130000</v>
      </c>
      <c r="G648" s="4" t="str">
        <f>HYPERLINK("http://141.218.60.56/~jnz1568/getInfo.php?workbook=12_05.xlsx&amp;sheet=A0&amp;row=648&amp;col=7&amp;number=0&amp;sourceID=14","0")</f>
        <v>0</v>
      </c>
    </row>
    <row r="649" spans="1:7">
      <c r="A649" s="3">
        <v>12</v>
      </c>
      <c r="B649" s="3">
        <v>5</v>
      </c>
      <c r="C649" s="3">
        <v>119</v>
      </c>
      <c r="D649" s="3">
        <v>7</v>
      </c>
      <c r="E649" s="3">
        <v>-81.791</v>
      </c>
      <c r="F649" s="4" t="str">
        <f>HYPERLINK("http://141.218.60.56/~jnz1568/getInfo.php?workbook=12_05.xlsx&amp;sheet=A0&amp;row=649&amp;col=6&amp;number=96100000&amp;sourceID=14","96100000")</f>
        <v>96100000</v>
      </c>
      <c r="G649" s="4" t="str">
        <f>HYPERLINK("http://141.218.60.56/~jnz1568/getInfo.php?workbook=12_05.xlsx&amp;sheet=A0&amp;row=649&amp;col=7&amp;number=0&amp;sourceID=14","0")</f>
        <v>0</v>
      </c>
    </row>
    <row r="650" spans="1:7">
      <c r="A650" s="3">
        <v>12</v>
      </c>
      <c r="B650" s="3">
        <v>5</v>
      </c>
      <c r="C650" s="3">
        <v>120</v>
      </c>
      <c r="D650" s="3">
        <v>7</v>
      </c>
      <c r="E650" s="3">
        <v>80.313</v>
      </c>
      <c r="F650" s="4" t="str">
        <f>HYPERLINK("http://141.218.60.56/~jnz1568/getInfo.php?workbook=12_05.xlsx&amp;sheet=A0&amp;row=650&amp;col=6&amp;number=6083000&amp;sourceID=14","6083000")</f>
        <v>6083000</v>
      </c>
      <c r="G650" s="4" t="str">
        <f>HYPERLINK("http://141.218.60.56/~jnz1568/getInfo.php?workbook=12_05.xlsx&amp;sheet=A0&amp;row=650&amp;col=7&amp;number=0&amp;sourceID=14","0")</f>
        <v>0</v>
      </c>
    </row>
    <row r="651" spans="1:7">
      <c r="A651" s="3">
        <v>12</v>
      </c>
      <c r="B651" s="3">
        <v>5</v>
      </c>
      <c r="C651" s="3">
        <v>121</v>
      </c>
      <c r="D651" s="3">
        <v>7</v>
      </c>
      <c r="E651" s="3">
        <v>78.446</v>
      </c>
      <c r="F651" s="4" t="str">
        <f>HYPERLINK("http://141.218.60.56/~jnz1568/getInfo.php?workbook=12_05.xlsx&amp;sheet=A0&amp;row=651&amp;col=6&amp;number=418400000000&amp;sourceID=14","418400000000")</f>
        <v>418400000000</v>
      </c>
      <c r="G651" s="4" t="str">
        <f>HYPERLINK("http://141.218.60.56/~jnz1568/getInfo.php?workbook=12_05.xlsx&amp;sheet=A0&amp;row=651&amp;col=7&amp;number=0&amp;sourceID=14","0")</f>
        <v>0</v>
      </c>
    </row>
    <row r="652" spans="1:7">
      <c r="A652" s="3">
        <v>12</v>
      </c>
      <c r="B652" s="3">
        <v>5</v>
      </c>
      <c r="C652" s="3">
        <v>122</v>
      </c>
      <c r="D652" s="3">
        <v>7</v>
      </c>
      <c r="E652" s="3">
        <v>-72.856</v>
      </c>
      <c r="F652" s="4" t="str">
        <f>HYPERLINK("http://141.218.60.56/~jnz1568/getInfo.php?workbook=12_05.xlsx&amp;sheet=A0&amp;row=652&amp;col=6&amp;number=328900000000&amp;sourceID=14","328900000000")</f>
        <v>328900000000</v>
      </c>
      <c r="G652" s="4" t="str">
        <f>HYPERLINK("http://141.218.60.56/~jnz1568/getInfo.php?workbook=12_05.xlsx&amp;sheet=A0&amp;row=652&amp;col=7&amp;number=0&amp;sourceID=14","0")</f>
        <v>0</v>
      </c>
    </row>
    <row r="653" spans="1:7">
      <c r="A653" s="3">
        <v>12</v>
      </c>
      <c r="B653" s="3">
        <v>5</v>
      </c>
      <c r="C653" s="3">
        <v>123</v>
      </c>
      <c r="D653" s="3">
        <v>7</v>
      </c>
      <c r="E653" s="3">
        <v>70.721</v>
      </c>
      <c r="F653" s="4" t="str">
        <f>HYPERLINK("http://141.218.60.56/~jnz1568/getInfo.php?workbook=12_05.xlsx&amp;sheet=A0&amp;row=653&amp;col=6&amp;number=18500000&amp;sourceID=14","18500000")</f>
        <v>18500000</v>
      </c>
      <c r="G653" s="4" t="str">
        <f>HYPERLINK("http://141.218.60.56/~jnz1568/getInfo.php?workbook=12_05.xlsx&amp;sheet=A0&amp;row=653&amp;col=7&amp;number=0&amp;sourceID=14","0")</f>
        <v>0</v>
      </c>
    </row>
    <row r="654" spans="1:7">
      <c r="A654" s="3">
        <v>12</v>
      </c>
      <c r="B654" s="3">
        <v>5</v>
      </c>
      <c r="C654" s="3">
        <v>124</v>
      </c>
      <c r="D654" s="3">
        <v>7</v>
      </c>
      <c r="E654" s="3">
        <v>68.55</v>
      </c>
      <c r="F654" s="4" t="str">
        <f>HYPERLINK("http://141.218.60.56/~jnz1568/getInfo.php?workbook=12_05.xlsx&amp;sheet=A0&amp;row=654&amp;col=6&amp;number=25620000000&amp;sourceID=14","25620000000")</f>
        <v>25620000000</v>
      </c>
      <c r="G654" s="4" t="str">
        <f>HYPERLINK("http://141.218.60.56/~jnz1568/getInfo.php?workbook=12_05.xlsx&amp;sheet=A0&amp;row=654&amp;col=7&amp;number=0&amp;sourceID=14","0")</f>
        <v>0</v>
      </c>
    </row>
    <row r="655" spans="1:7">
      <c r="A655" s="3">
        <v>12</v>
      </c>
      <c r="B655" s="3">
        <v>5</v>
      </c>
      <c r="C655" s="3">
        <v>71</v>
      </c>
      <c r="D655" s="3">
        <v>123</v>
      </c>
      <c r="E655" s="3">
        <v>-2081.472</v>
      </c>
      <c r="F655" s="4" t="str">
        <f>HYPERLINK("http://141.218.60.56/~jnz1568/getInfo.php?workbook=12_05.xlsx&amp;sheet=A0&amp;row=655&amp;col=6&amp;number=7632000000&amp;sourceID=14","7632000000")</f>
        <v>7632000000</v>
      </c>
      <c r="G655" s="4" t="str">
        <f>HYPERLINK("http://141.218.60.56/~jnz1568/getInfo.php?workbook=12_05.xlsx&amp;sheet=A0&amp;row=655&amp;col=7&amp;number=0&amp;sourceID=14","0")</f>
        <v>0</v>
      </c>
    </row>
    <row r="656" spans="1:7">
      <c r="A656" s="3">
        <v>12</v>
      </c>
      <c r="B656" s="3">
        <v>5</v>
      </c>
      <c r="C656" s="3">
        <v>72</v>
      </c>
      <c r="D656" s="3">
        <v>124</v>
      </c>
      <c r="E656" s="3">
        <v>-2096.313</v>
      </c>
      <c r="F656" s="4" t="str">
        <f>HYPERLINK("http://141.218.60.56/~jnz1568/getInfo.php?workbook=12_05.xlsx&amp;sheet=A0&amp;row=656&amp;col=6&amp;number=12380000000&amp;sourceID=14","12380000000")</f>
        <v>12380000000</v>
      </c>
      <c r="G656" s="4" t="str">
        <f>HYPERLINK("http://141.218.60.56/~jnz1568/getInfo.php?workbook=12_05.xlsx&amp;sheet=A0&amp;row=656&amp;col=7&amp;number=0&amp;sourceID=14","0")</f>
        <v>0</v>
      </c>
    </row>
    <row r="657" spans="1:7">
      <c r="A657" s="3">
        <v>12</v>
      </c>
      <c r="B657" s="3">
        <v>5</v>
      </c>
      <c r="C657" s="3">
        <v>125</v>
      </c>
      <c r="D657" s="3">
        <v>65</v>
      </c>
      <c r="E657" s="3">
        <v>-1910.013</v>
      </c>
      <c r="F657" s="4" t="str">
        <f>HYPERLINK("http://141.218.60.56/~jnz1568/getInfo.php?workbook=12_05.xlsx&amp;sheet=A0&amp;row=657&amp;col=6&amp;number=171000000&amp;sourceID=14","171000000")</f>
        <v>171000000</v>
      </c>
      <c r="G657" s="4" t="str">
        <f>HYPERLINK("http://141.218.60.56/~jnz1568/getInfo.php?workbook=12_05.xlsx&amp;sheet=A0&amp;row=657&amp;col=7&amp;number=0&amp;sourceID=14","0")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98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4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47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43</v>
      </c>
      <c r="D3" s="2" t="s">
        <v>4</v>
      </c>
      <c r="E3" s="2" t="s">
        <v>48</v>
      </c>
      <c r="F3" s="2" t="s">
        <v>49</v>
      </c>
      <c r="G3" s="2" t="s">
        <v>50</v>
      </c>
    </row>
    <row r="4" spans="1:7">
      <c r="A4" s="3">
        <v>12</v>
      </c>
      <c r="B4" s="3">
        <v>5</v>
      </c>
      <c r="C4" s="3">
        <v>1</v>
      </c>
      <c r="D4" s="3">
        <v>2</v>
      </c>
      <c r="E4" s="3">
        <v>1</v>
      </c>
      <c r="F4" s="4" t="str">
        <f>HYPERLINK("http://141.218.60.56/~jnz1568/getInfo.php?workbook=12_05.xlsx&amp;sheet=U0&amp;row=4&amp;col=6&amp;number=3&amp;sourceID=14","3")</f>
        <v>3</v>
      </c>
      <c r="G4" s="4" t="str">
        <f>HYPERLINK("http://141.218.60.56/~jnz1568/getInfo.php?workbook=12_05.xlsx&amp;sheet=U0&amp;row=4&amp;col=7&amp;number=0.877&amp;sourceID=14","0.877")</f>
        <v>0.877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HYPERLINK("http://141.218.60.56/~jnz1568/getInfo.php?workbook=12_05.xlsx&amp;sheet=U0&amp;row=5&amp;col=6&amp;number=3.1&amp;sourceID=14","3.1")</f>
        <v>3.1</v>
      </c>
      <c r="G5" s="4" t="str">
        <f>HYPERLINK("http://141.218.60.56/~jnz1568/getInfo.php?workbook=12_05.xlsx&amp;sheet=U0&amp;row=5&amp;col=7&amp;number=0.878&amp;sourceID=14","0.878")</f>
        <v>0.878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HYPERLINK("http://141.218.60.56/~jnz1568/getInfo.php?workbook=12_05.xlsx&amp;sheet=U0&amp;row=6&amp;col=6&amp;number=3.2&amp;sourceID=14","3.2")</f>
        <v>3.2</v>
      </c>
      <c r="G6" s="4" t="str">
        <f>HYPERLINK("http://141.218.60.56/~jnz1568/getInfo.php?workbook=12_05.xlsx&amp;sheet=U0&amp;row=6&amp;col=7&amp;number=0.879&amp;sourceID=14","0.879")</f>
        <v>0.879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HYPERLINK("http://141.218.60.56/~jnz1568/getInfo.php?workbook=12_05.xlsx&amp;sheet=U0&amp;row=7&amp;col=6&amp;number=3.3&amp;sourceID=14","3.3")</f>
        <v>3.3</v>
      </c>
      <c r="G7" s="4" t="str">
        <f>HYPERLINK("http://141.218.60.56/~jnz1568/getInfo.php?workbook=12_05.xlsx&amp;sheet=U0&amp;row=7&amp;col=7&amp;number=0.88&amp;sourceID=14","0.88")</f>
        <v>0.88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HYPERLINK("http://141.218.60.56/~jnz1568/getInfo.php?workbook=12_05.xlsx&amp;sheet=U0&amp;row=8&amp;col=6&amp;number=3.4&amp;sourceID=14","3.4")</f>
        <v>3.4</v>
      </c>
      <c r="G8" s="4" t="str">
        <f>HYPERLINK("http://141.218.60.56/~jnz1568/getInfo.php?workbook=12_05.xlsx&amp;sheet=U0&amp;row=8&amp;col=7&amp;number=0.882&amp;sourceID=14","0.882")</f>
        <v>0.882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HYPERLINK("http://141.218.60.56/~jnz1568/getInfo.php?workbook=12_05.xlsx&amp;sheet=U0&amp;row=9&amp;col=6&amp;number=3.5&amp;sourceID=14","3.5")</f>
        <v>3.5</v>
      </c>
      <c r="G9" s="4" t="str">
        <f>HYPERLINK("http://141.218.60.56/~jnz1568/getInfo.php?workbook=12_05.xlsx&amp;sheet=U0&amp;row=9&amp;col=7&amp;number=0.884&amp;sourceID=14","0.884")</f>
        <v>0.884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HYPERLINK("http://141.218.60.56/~jnz1568/getInfo.php?workbook=12_05.xlsx&amp;sheet=U0&amp;row=10&amp;col=6&amp;number=3.6&amp;sourceID=14","3.6")</f>
        <v>3.6</v>
      </c>
      <c r="G10" s="4" t="str">
        <f>HYPERLINK("http://141.218.60.56/~jnz1568/getInfo.php?workbook=12_05.xlsx&amp;sheet=U0&amp;row=10&amp;col=7&amp;number=0.886&amp;sourceID=14","0.886")</f>
        <v>0.886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HYPERLINK("http://141.218.60.56/~jnz1568/getInfo.php?workbook=12_05.xlsx&amp;sheet=U0&amp;row=11&amp;col=6&amp;number=3.7&amp;sourceID=14","3.7")</f>
        <v>3.7</v>
      </c>
      <c r="G11" s="4" t="str">
        <f>HYPERLINK("http://141.218.60.56/~jnz1568/getInfo.php?workbook=12_05.xlsx&amp;sheet=U0&amp;row=11&amp;col=7&amp;number=0.889&amp;sourceID=14","0.889")</f>
        <v>0.889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HYPERLINK("http://141.218.60.56/~jnz1568/getInfo.php?workbook=12_05.xlsx&amp;sheet=U0&amp;row=12&amp;col=6&amp;number=3.8&amp;sourceID=14","3.8")</f>
        <v>3.8</v>
      </c>
      <c r="G12" s="4" t="str">
        <f>HYPERLINK("http://141.218.60.56/~jnz1568/getInfo.php?workbook=12_05.xlsx&amp;sheet=U0&amp;row=12&amp;col=7&amp;number=0.893&amp;sourceID=14","0.893")</f>
        <v>0.893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HYPERLINK("http://141.218.60.56/~jnz1568/getInfo.php?workbook=12_05.xlsx&amp;sheet=U0&amp;row=13&amp;col=6&amp;number=3.9&amp;sourceID=14","3.9")</f>
        <v>3.9</v>
      </c>
      <c r="G13" s="4" t="str">
        <f>HYPERLINK("http://141.218.60.56/~jnz1568/getInfo.php?workbook=12_05.xlsx&amp;sheet=U0&amp;row=13&amp;col=7&amp;number=0.898&amp;sourceID=14","0.898")</f>
        <v>0.898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HYPERLINK("http://141.218.60.56/~jnz1568/getInfo.php?workbook=12_05.xlsx&amp;sheet=U0&amp;row=14&amp;col=6&amp;number=4&amp;sourceID=14","4")</f>
        <v>4</v>
      </c>
      <c r="G14" s="4" t="str">
        <f>HYPERLINK("http://141.218.60.56/~jnz1568/getInfo.php?workbook=12_05.xlsx&amp;sheet=U0&amp;row=14&amp;col=7&amp;number=0.904&amp;sourceID=14","0.904")</f>
        <v>0.904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HYPERLINK("http://141.218.60.56/~jnz1568/getInfo.php?workbook=12_05.xlsx&amp;sheet=U0&amp;row=15&amp;col=6&amp;number=4.1&amp;sourceID=14","4.1")</f>
        <v>4.1</v>
      </c>
      <c r="G15" s="4" t="str">
        <f>HYPERLINK("http://141.218.60.56/~jnz1568/getInfo.php?workbook=12_05.xlsx&amp;sheet=U0&amp;row=15&amp;col=7&amp;number=0.911&amp;sourceID=14","0.911")</f>
        <v>0.911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HYPERLINK("http://141.218.60.56/~jnz1568/getInfo.php?workbook=12_05.xlsx&amp;sheet=U0&amp;row=16&amp;col=6&amp;number=4.2&amp;sourceID=14","4.2")</f>
        <v>4.2</v>
      </c>
      <c r="G16" s="4" t="str">
        <f>HYPERLINK("http://141.218.60.56/~jnz1568/getInfo.php?workbook=12_05.xlsx&amp;sheet=U0&amp;row=16&amp;col=7&amp;number=0.92&amp;sourceID=14","0.92")</f>
        <v>0.92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HYPERLINK("http://141.218.60.56/~jnz1568/getInfo.php?workbook=12_05.xlsx&amp;sheet=U0&amp;row=17&amp;col=6&amp;number=4.3&amp;sourceID=14","4.3")</f>
        <v>4.3</v>
      </c>
      <c r="G17" s="4" t="str">
        <f>HYPERLINK("http://141.218.60.56/~jnz1568/getInfo.php?workbook=12_05.xlsx&amp;sheet=U0&amp;row=17&amp;col=7&amp;number=0.931&amp;sourceID=14","0.931")</f>
        <v>0.931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HYPERLINK("http://141.218.60.56/~jnz1568/getInfo.php?workbook=12_05.xlsx&amp;sheet=U0&amp;row=18&amp;col=6&amp;number=4.4&amp;sourceID=14","4.4")</f>
        <v>4.4</v>
      </c>
      <c r="G18" s="4" t="str">
        <f>HYPERLINK("http://141.218.60.56/~jnz1568/getInfo.php?workbook=12_05.xlsx&amp;sheet=U0&amp;row=18&amp;col=7&amp;number=0.944&amp;sourceID=14","0.944")</f>
        <v>0.944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HYPERLINK("http://141.218.60.56/~jnz1568/getInfo.php?workbook=12_05.xlsx&amp;sheet=U0&amp;row=19&amp;col=6&amp;number=4.5&amp;sourceID=14","4.5")</f>
        <v>4.5</v>
      </c>
      <c r="G19" s="4" t="str">
        <f>HYPERLINK("http://141.218.60.56/~jnz1568/getInfo.php?workbook=12_05.xlsx&amp;sheet=U0&amp;row=19&amp;col=7&amp;number=0.959&amp;sourceID=14","0.959")</f>
        <v>0.959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HYPERLINK("http://141.218.60.56/~jnz1568/getInfo.php?workbook=12_05.xlsx&amp;sheet=U0&amp;row=20&amp;col=6&amp;number=4.6&amp;sourceID=14","4.6")</f>
        <v>4.6</v>
      </c>
      <c r="G20" s="4" t="str">
        <f>HYPERLINK("http://141.218.60.56/~jnz1568/getInfo.php?workbook=12_05.xlsx&amp;sheet=U0&amp;row=20&amp;col=7&amp;number=0.977&amp;sourceID=14","0.977")</f>
        <v>0.977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HYPERLINK("http://141.218.60.56/~jnz1568/getInfo.php?workbook=12_05.xlsx&amp;sheet=U0&amp;row=21&amp;col=6&amp;number=4.7&amp;sourceID=14","4.7")</f>
        <v>4.7</v>
      </c>
      <c r="G21" s="4" t="str">
        <f>HYPERLINK("http://141.218.60.56/~jnz1568/getInfo.php?workbook=12_05.xlsx&amp;sheet=U0&amp;row=21&amp;col=7&amp;number=0.996&amp;sourceID=14","0.996")</f>
        <v>0.996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HYPERLINK("http://141.218.60.56/~jnz1568/getInfo.php?workbook=12_05.xlsx&amp;sheet=U0&amp;row=22&amp;col=6&amp;number=4.8&amp;sourceID=14","4.8")</f>
        <v>4.8</v>
      </c>
      <c r="G22" s="4" t="str">
        <f>HYPERLINK("http://141.218.60.56/~jnz1568/getInfo.php?workbook=12_05.xlsx&amp;sheet=U0&amp;row=22&amp;col=7&amp;number=1.02&amp;sourceID=14","1.02")</f>
        <v>1.02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HYPERLINK("http://141.218.60.56/~jnz1568/getInfo.php?workbook=12_05.xlsx&amp;sheet=U0&amp;row=23&amp;col=6&amp;number=4.9&amp;sourceID=14","4.9")</f>
        <v>4.9</v>
      </c>
      <c r="G23" s="4" t="str">
        <f>HYPERLINK("http://141.218.60.56/~jnz1568/getInfo.php?workbook=12_05.xlsx&amp;sheet=U0&amp;row=23&amp;col=7&amp;number=1.03&amp;sourceID=14","1.03")</f>
        <v>1.03</v>
      </c>
    </row>
    <row r="24" spans="1:7">
      <c r="A24" s="3">
        <v>12</v>
      </c>
      <c r="B24" s="3">
        <v>5</v>
      </c>
      <c r="C24" s="3">
        <v>1</v>
      </c>
      <c r="D24" s="3">
        <v>3</v>
      </c>
      <c r="E24" s="3">
        <v>1</v>
      </c>
      <c r="F24" s="4" t="str">
        <f>HYPERLINK("http://141.218.60.56/~jnz1568/getInfo.php?workbook=12_05.xlsx&amp;sheet=U0&amp;row=24&amp;col=6&amp;number=3&amp;sourceID=14","3")</f>
        <v>3</v>
      </c>
      <c r="G24" s="4" t="str">
        <f>HYPERLINK("http://141.218.60.56/~jnz1568/getInfo.php?workbook=12_05.xlsx&amp;sheet=U0&amp;row=24&amp;col=7&amp;number=0.0502&amp;sourceID=14","0.0502")</f>
        <v>0.0502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HYPERLINK("http://141.218.60.56/~jnz1568/getInfo.php?workbook=12_05.xlsx&amp;sheet=U0&amp;row=25&amp;col=6&amp;number=3.1&amp;sourceID=14","3.1")</f>
        <v>3.1</v>
      </c>
      <c r="G25" s="4" t="str">
        <f>HYPERLINK("http://141.218.60.56/~jnz1568/getInfo.php?workbook=12_05.xlsx&amp;sheet=U0&amp;row=25&amp;col=7&amp;number=0.0503&amp;sourceID=14","0.0503")</f>
        <v>0.0503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HYPERLINK("http://141.218.60.56/~jnz1568/getInfo.php?workbook=12_05.xlsx&amp;sheet=U0&amp;row=26&amp;col=6&amp;number=3.2&amp;sourceID=14","3.2")</f>
        <v>3.2</v>
      </c>
      <c r="G26" s="4" t="str">
        <f>HYPERLINK("http://141.218.60.56/~jnz1568/getInfo.php?workbook=12_05.xlsx&amp;sheet=U0&amp;row=26&amp;col=7&amp;number=0.0504&amp;sourceID=14","0.0504")</f>
        <v>0.0504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HYPERLINK("http://141.218.60.56/~jnz1568/getInfo.php?workbook=12_05.xlsx&amp;sheet=U0&amp;row=27&amp;col=6&amp;number=3.3&amp;sourceID=14","3.3")</f>
        <v>3.3</v>
      </c>
      <c r="G27" s="4" t="str">
        <f>HYPERLINK("http://141.218.60.56/~jnz1568/getInfo.php?workbook=12_05.xlsx&amp;sheet=U0&amp;row=27&amp;col=7&amp;number=0.0505&amp;sourceID=14","0.0505")</f>
        <v>0.0505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HYPERLINK("http://141.218.60.56/~jnz1568/getInfo.php?workbook=12_05.xlsx&amp;sheet=U0&amp;row=28&amp;col=6&amp;number=3.4&amp;sourceID=14","3.4")</f>
        <v>3.4</v>
      </c>
      <c r="G28" s="4" t="str">
        <f>HYPERLINK("http://141.218.60.56/~jnz1568/getInfo.php?workbook=12_05.xlsx&amp;sheet=U0&amp;row=28&amp;col=7&amp;number=0.0507&amp;sourceID=14","0.0507")</f>
        <v>0.0507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HYPERLINK("http://141.218.60.56/~jnz1568/getInfo.php?workbook=12_05.xlsx&amp;sheet=U0&amp;row=29&amp;col=6&amp;number=3.5&amp;sourceID=14","3.5")</f>
        <v>3.5</v>
      </c>
      <c r="G29" s="4" t="str">
        <f>HYPERLINK("http://141.218.60.56/~jnz1568/getInfo.php?workbook=12_05.xlsx&amp;sheet=U0&amp;row=29&amp;col=7&amp;number=0.0509&amp;sourceID=14","0.0509")</f>
        <v>0.0509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HYPERLINK("http://141.218.60.56/~jnz1568/getInfo.php?workbook=12_05.xlsx&amp;sheet=U0&amp;row=30&amp;col=6&amp;number=3.6&amp;sourceID=14","3.6")</f>
        <v>3.6</v>
      </c>
      <c r="G30" s="4" t="str">
        <f>HYPERLINK("http://141.218.60.56/~jnz1568/getInfo.php?workbook=12_05.xlsx&amp;sheet=U0&amp;row=30&amp;col=7&amp;number=0.0512&amp;sourceID=14","0.0512")</f>
        <v>0.0512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HYPERLINK("http://141.218.60.56/~jnz1568/getInfo.php?workbook=12_05.xlsx&amp;sheet=U0&amp;row=31&amp;col=6&amp;number=3.7&amp;sourceID=14","3.7")</f>
        <v>3.7</v>
      </c>
      <c r="G31" s="4" t="str">
        <f>HYPERLINK("http://141.218.60.56/~jnz1568/getInfo.php?workbook=12_05.xlsx&amp;sheet=U0&amp;row=31&amp;col=7&amp;number=0.0515&amp;sourceID=14","0.0515")</f>
        <v>0.0515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HYPERLINK("http://141.218.60.56/~jnz1568/getInfo.php?workbook=12_05.xlsx&amp;sheet=U0&amp;row=32&amp;col=6&amp;number=3.8&amp;sourceID=14","3.8")</f>
        <v>3.8</v>
      </c>
      <c r="G32" s="4" t="str">
        <f>HYPERLINK("http://141.218.60.56/~jnz1568/getInfo.php?workbook=12_05.xlsx&amp;sheet=U0&amp;row=32&amp;col=7&amp;number=0.0519&amp;sourceID=14","0.0519")</f>
        <v>0.0519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HYPERLINK("http://141.218.60.56/~jnz1568/getInfo.php?workbook=12_05.xlsx&amp;sheet=U0&amp;row=33&amp;col=6&amp;number=3.9&amp;sourceID=14","3.9")</f>
        <v>3.9</v>
      </c>
      <c r="G33" s="4" t="str">
        <f>HYPERLINK("http://141.218.60.56/~jnz1568/getInfo.php?workbook=12_05.xlsx&amp;sheet=U0&amp;row=33&amp;col=7&amp;number=0.0524&amp;sourceID=14","0.0524")</f>
        <v>0.0524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HYPERLINK("http://141.218.60.56/~jnz1568/getInfo.php?workbook=12_05.xlsx&amp;sheet=U0&amp;row=34&amp;col=6&amp;number=4&amp;sourceID=14","4")</f>
        <v>4</v>
      </c>
      <c r="G34" s="4" t="str">
        <f>HYPERLINK("http://141.218.60.56/~jnz1568/getInfo.php?workbook=12_05.xlsx&amp;sheet=U0&amp;row=34&amp;col=7&amp;number=0.053&amp;sourceID=14","0.053")</f>
        <v>0.053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HYPERLINK("http://141.218.60.56/~jnz1568/getInfo.php?workbook=12_05.xlsx&amp;sheet=U0&amp;row=35&amp;col=6&amp;number=4.1&amp;sourceID=14","4.1")</f>
        <v>4.1</v>
      </c>
      <c r="G35" s="4" t="str">
        <f>HYPERLINK("http://141.218.60.56/~jnz1568/getInfo.php?workbook=12_05.xlsx&amp;sheet=U0&amp;row=35&amp;col=7&amp;number=0.0536&amp;sourceID=14","0.0536")</f>
        <v>0.0536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HYPERLINK("http://141.218.60.56/~jnz1568/getInfo.php?workbook=12_05.xlsx&amp;sheet=U0&amp;row=36&amp;col=6&amp;number=4.2&amp;sourceID=14","4.2")</f>
        <v>4.2</v>
      </c>
      <c r="G36" s="4" t="str">
        <f>HYPERLINK("http://141.218.60.56/~jnz1568/getInfo.php?workbook=12_05.xlsx&amp;sheet=U0&amp;row=36&amp;col=7&amp;number=0.0543&amp;sourceID=14","0.0543")</f>
        <v>0.0543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HYPERLINK("http://141.218.60.56/~jnz1568/getInfo.php?workbook=12_05.xlsx&amp;sheet=U0&amp;row=37&amp;col=6&amp;number=4.3&amp;sourceID=14","4.3")</f>
        <v>4.3</v>
      </c>
      <c r="G37" s="4" t="str">
        <f>HYPERLINK("http://141.218.60.56/~jnz1568/getInfo.php?workbook=12_05.xlsx&amp;sheet=U0&amp;row=37&amp;col=7&amp;number=0.0551&amp;sourceID=14","0.0551")</f>
        <v>0.0551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HYPERLINK("http://141.218.60.56/~jnz1568/getInfo.php?workbook=12_05.xlsx&amp;sheet=U0&amp;row=38&amp;col=6&amp;number=4.4&amp;sourceID=14","4.4")</f>
        <v>4.4</v>
      </c>
      <c r="G38" s="4" t="str">
        <f>HYPERLINK("http://141.218.60.56/~jnz1568/getInfo.php?workbook=12_05.xlsx&amp;sheet=U0&amp;row=38&amp;col=7&amp;number=0.0557&amp;sourceID=14","0.0557")</f>
        <v>0.0557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HYPERLINK("http://141.218.60.56/~jnz1568/getInfo.php?workbook=12_05.xlsx&amp;sheet=U0&amp;row=39&amp;col=6&amp;number=4.5&amp;sourceID=14","4.5")</f>
        <v>4.5</v>
      </c>
      <c r="G39" s="4" t="str">
        <f>HYPERLINK("http://141.218.60.56/~jnz1568/getInfo.php?workbook=12_05.xlsx&amp;sheet=U0&amp;row=39&amp;col=7&amp;number=0.0562&amp;sourceID=14","0.0562")</f>
        <v>0.0562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HYPERLINK("http://141.218.60.56/~jnz1568/getInfo.php?workbook=12_05.xlsx&amp;sheet=U0&amp;row=40&amp;col=6&amp;number=4.6&amp;sourceID=14","4.6")</f>
        <v>4.6</v>
      </c>
      <c r="G40" s="4" t="str">
        <f>HYPERLINK("http://141.218.60.56/~jnz1568/getInfo.php?workbook=12_05.xlsx&amp;sheet=U0&amp;row=40&amp;col=7&amp;number=0.0562&amp;sourceID=14","0.0562")</f>
        <v>0.0562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HYPERLINK("http://141.218.60.56/~jnz1568/getInfo.php?workbook=12_05.xlsx&amp;sheet=U0&amp;row=41&amp;col=6&amp;number=4.7&amp;sourceID=14","4.7")</f>
        <v>4.7</v>
      </c>
      <c r="G41" s="4" t="str">
        <f>HYPERLINK("http://141.218.60.56/~jnz1568/getInfo.php?workbook=12_05.xlsx&amp;sheet=U0&amp;row=41&amp;col=7&amp;number=0.0556&amp;sourceID=14","0.0556")</f>
        <v>0.0556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HYPERLINK("http://141.218.60.56/~jnz1568/getInfo.php?workbook=12_05.xlsx&amp;sheet=U0&amp;row=42&amp;col=6&amp;number=4.8&amp;sourceID=14","4.8")</f>
        <v>4.8</v>
      </c>
      <c r="G42" s="4" t="str">
        <f>HYPERLINK("http://141.218.60.56/~jnz1568/getInfo.php?workbook=12_05.xlsx&amp;sheet=U0&amp;row=42&amp;col=7&amp;number=0.0542&amp;sourceID=14","0.0542")</f>
        <v>0.0542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HYPERLINK("http://141.218.60.56/~jnz1568/getInfo.php?workbook=12_05.xlsx&amp;sheet=U0&amp;row=43&amp;col=6&amp;number=4.9&amp;sourceID=14","4.9")</f>
        <v>4.9</v>
      </c>
      <c r="G43" s="4" t="str">
        <f>HYPERLINK("http://141.218.60.56/~jnz1568/getInfo.php?workbook=12_05.xlsx&amp;sheet=U0&amp;row=43&amp;col=7&amp;number=0.0523&amp;sourceID=14","0.0523")</f>
        <v>0.0523</v>
      </c>
    </row>
    <row r="44" spans="1:7">
      <c r="A44" s="3">
        <v>12</v>
      </c>
      <c r="B44" s="3">
        <v>5</v>
      </c>
      <c r="C44" s="3">
        <v>1</v>
      </c>
      <c r="D44" s="3">
        <v>4</v>
      </c>
      <c r="E44" s="3">
        <v>1</v>
      </c>
      <c r="F44" s="4" t="str">
        <f>HYPERLINK("http://141.218.60.56/~jnz1568/getInfo.php?workbook=12_05.xlsx&amp;sheet=U0&amp;row=44&amp;col=6&amp;number=3&amp;sourceID=14","3")</f>
        <v>3</v>
      </c>
      <c r="G44" s="4" t="str">
        <f>HYPERLINK("http://141.218.60.56/~jnz1568/getInfo.php?workbook=12_05.xlsx&amp;sheet=U0&amp;row=44&amp;col=7&amp;number=0.0809&amp;sourceID=14","0.0809")</f>
        <v>0.0809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HYPERLINK("http://141.218.60.56/~jnz1568/getInfo.php?workbook=12_05.xlsx&amp;sheet=U0&amp;row=45&amp;col=6&amp;number=3.1&amp;sourceID=14","3.1")</f>
        <v>3.1</v>
      </c>
      <c r="G45" s="4" t="str">
        <f>HYPERLINK("http://141.218.60.56/~jnz1568/getInfo.php?workbook=12_05.xlsx&amp;sheet=U0&amp;row=45&amp;col=7&amp;number=0.081&amp;sourceID=14","0.081")</f>
        <v>0.081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HYPERLINK("http://141.218.60.56/~jnz1568/getInfo.php?workbook=12_05.xlsx&amp;sheet=U0&amp;row=46&amp;col=6&amp;number=3.2&amp;sourceID=14","3.2")</f>
        <v>3.2</v>
      </c>
      <c r="G46" s="4" t="str">
        <f>HYPERLINK("http://141.218.60.56/~jnz1568/getInfo.php?workbook=12_05.xlsx&amp;sheet=U0&amp;row=46&amp;col=7&amp;number=0.0812&amp;sourceID=14","0.0812")</f>
        <v>0.0812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HYPERLINK("http://141.218.60.56/~jnz1568/getInfo.php?workbook=12_05.xlsx&amp;sheet=U0&amp;row=47&amp;col=6&amp;number=3.3&amp;sourceID=14","3.3")</f>
        <v>3.3</v>
      </c>
      <c r="G47" s="4" t="str">
        <f>HYPERLINK("http://141.218.60.56/~jnz1568/getInfo.php?workbook=12_05.xlsx&amp;sheet=U0&amp;row=47&amp;col=7&amp;number=0.0814&amp;sourceID=14","0.0814")</f>
        <v>0.0814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HYPERLINK("http://141.218.60.56/~jnz1568/getInfo.php?workbook=12_05.xlsx&amp;sheet=U0&amp;row=48&amp;col=6&amp;number=3.4&amp;sourceID=14","3.4")</f>
        <v>3.4</v>
      </c>
      <c r="G48" s="4" t="str">
        <f>HYPERLINK("http://141.218.60.56/~jnz1568/getInfo.php?workbook=12_05.xlsx&amp;sheet=U0&amp;row=48&amp;col=7&amp;number=0.0817&amp;sourceID=14","0.0817")</f>
        <v>0.0817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HYPERLINK("http://141.218.60.56/~jnz1568/getInfo.php?workbook=12_05.xlsx&amp;sheet=U0&amp;row=49&amp;col=6&amp;number=3.5&amp;sourceID=14","3.5")</f>
        <v>3.5</v>
      </c>
      <c r="G49" s="4" t="str">
        <f>HYPERLINK("http://141.218.60.56/~jnz1568/getInfo.php?workbook=12_05.xlsx&amp;sheet=U0&amp;row=49&amp;col=7&amp;number=0.0821&amp;sourceID=14","0.0821")</f>
        <v>0.0821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HYPERLINK("http://141.218.60.56/~jnz1568/getInfo.php?workbook=12_05.xlsx&amp;sheet=U0&amp;row=50&amp;col=6&amp;number=3.6&amp;sourceID=14","3.6")</f>
        <v>3.6</v>
      </c>
      <c r="G50" s="4" t="str">
        <f>HYPERLINK("http://141.218.60.56/~jnz1568/getInfo.php?workbook=12_05.xlsx&amp;sheet=U0&amp;row=50&amp;col=7&amp;number=0.0825&amp;sourceID=14","0.0825")</f>
        <v>0.0825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HYPERLINK("http://141.218.60.56/~jnz1568/getInfo.php?workbook=12_05.xlsx&amp;sheet=U0&amp;row=51&amp;col=6&amp;number=3.7&amp;sourceID=14","3.7")</f>
        <v>3.7</v>
      </c>
      <c r="G51" s="4" t="str">
        <f>HYPERLINK("http://141.218.60.56/~jnz1568/getInfo.php?workbook=12_05.xlsx&amp;sheet=U0&amp;row=51&amp;col=7&amp;number=0.083&amp;sourceID=14","0.083")</f>
        <v>0.083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HYPERLINK("http://141.218.60.56/~jnz1568/getInfo.php?workbook=12_05.xlsx&amp;sheet=U0&amp;row=52&amp;col=6&amp;number=3.8&amp;sourceID=14","3.8")</f>
        <v>3.8</v>
      </c>
      <c r="G52" s="4" t="str">
        <f>HYPERLINK("http://141.218.60.56/~jnz1568/getInfo.php?workbook=12_05.xlsx&amp;sheet=U0&amp;row=52&amp;col=7&amp;number=0.0837&amp;sourceID=14","0.0837")</f>
        <v>0.0837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HYPERLINK("http://141.218.60.56/~jnz1568/getInfo.php?workbook=12_05.xlsx&amp;sheet=U0&amp;row=53&amp;col=6&amp;number=3.9&amp;sourceID=14","3.9")</f>
        <v>3.9</v>
      </c>
      <c r="G53" s="4" t="str">
        <f>HYPERLINK("http://141.218.60.56/~jnz1568/getInfo.php?workbook=12_05.xlsx&amp;sheet=U0&amp;row=53&amp;col=7&amp;number=0.0844&amp;sourceID=14","0.0844")</f>
        <v>0.0844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HYPERLINK("http://141.218.60.56/~jnz1568/getInfo.php?workbook=12_05.xlsx&amp;sheet=U0&amp;row=54&amp;col=6&amp;number=4&amp;sourceID=14","4")</f>
        <v>4</v>
      </c>
      <c r="G54" s="4" t="str">
        <f>HYPERLINK("http://141.218.60.56/~jnz1568/getInfo.php?workbook=12_05.xlsx&amp;sheet=U0&amp;row=54&amp;col=7&amp;number=0.0854&amp;sourceID=14","0.0854")</f>
        <v>0.0854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HYPERLINK("http://141.218.60.56/~jnz1568/getInfo.php?workbook=12_05.xlsx&amp;sheet=U0&amp;row=55&amp;col=6&amp;number=4.1&amp;sourceID=14","4.1")</f>
        <v>4.1</v>
      </c>
      <c r="G55" s="4" t="str">
        <f>HYPERLINK("http://141.218.60.56/~jnz1568/getInfo.php?workbook=12_05.xlsx&amp;sheet=U0&amp;row=55&amp;col=7&amp;number=0.0864&amp;sourceID=14","0.0864")</f>
        <v>0.0864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HYPERLINK("http://141.218.60.56/~jnz1568/getInfo.php?workbook=12_05.xlsx&amp;sheet=U0&amp;row=56&amp;col=6&amp;number=4.2&amp;sourceID=14","4.2")</f>
        <v>4.2</v>
      </c>
      <c r="G56" s="4" t="str">
        <f>HYPERLINK("http://141.218.60.56/~jnz1568/getInfo.php?workbook=12_05.xlsx&amp;sheet=U0&amp;row=56&amp;col=7&amp;number=0.0876&amp;sourceID=14","0.0876")</f>
        <v>0.0876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HYPERLINK("http://141.218.60.56/~jnz1568/getInfo.php?workbook=12_05.xlsx&amp;sheet=U0&amp;row=57&amp;col=6&amp;number=4.3&amp;sourceID=14","4.3")</f>
        <v>4.3</v>
      </c>
      <c r="G57" s="4" t="str">
        <f>HYPERLINK("http://141.218.60.56/~jnz1568/getInfo.php?workbook=12_05.xlsx&amp;sheet=U0&amp;row=57&amp;col=7&amp;number=0.0888&amp;sourceID=14","0.0888")</f>
        <v>0.0888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HYPERLINK("http://141.218.60.56/~jnz1568/getInfo.php?workbook=12_05.xlsx&amp;sheet=U0&amp;row=58&amp;col=6&amp;number=4.4&amp;sourceID=14","4.4")</f>
        <v>4.4</v>
      </c>
      <c r="G58" s="4" t="str">
        <f>HYPERLINK("http://141.218.60.56/~jnz1568/getInfo.php?workbook=12_05.xlsx&amp;sheet=U0&amp;row=58&amp;col=7&amp;number=0.0899&amp;sourceID=14","0.0899")</f>
        <v>0.0899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HYPERLINK("http://141.218.60.56/~jnz1568/getInfo.php?workbook=12_05.xlsx&amp;sheet=U0&amp;row=59&amp;col=6&amp;number=4.5&amp;sourceID=14","4.5")</f>
        <v>4.5</v>
      </c>
      <c r="G59" s="4" t="str">
        <f>HYPERLINK("http://141.218.60.56/~jnz1568/getInfo.php?workbook=12_05.xlsx&amp;sheet=U0&amp;row=59&amp;col=7&amp;number=0.0906&amp;sourceID=14","0.0906")</f>
        <v>0.0906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HYPERLINK("http://141.218.60.56/~jnz1568/getInfo.php?workbook=12_05.xlsx&amp;sheet=U0&amp;row=60&amp;col=6&amp;number=4.6&amp;sourceID=14","4.6")</f>
        <v>4.6</v>
      </c>
      <c r="G60" s="4" t="str">
        <f>HYPERLINK("http://141.218.60.56/~jnz1568/getInfo.php?workbook=12_05.xlsx&amp;sheet=U0&amp;row=60&amp;col=7&amp;number=0.0907&amp;sourceID=14","0.0907")</f>
        <v>0.0907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HYPERLINK("http://141.218.60.56/~jnz1568/getInfo.php?workbook=12_05.xlsx&amp;sheet=U0&amp;row=61&amp;col=6&amp;number=4.7&amp;sourceID=14","4.7")</f>
        <v>4.7</v>
      </c>
      <c r="G61" s="4" t="str">
        <f>HYPERLINK("http://141.218.60.56/~jnz1568/getInfo.php?workbook=12_05.xlsx&amp;sheet=U0&amp;row=61&amp;col=7&amp;number=0.0897&amp;sourceID=14","0.0897")</f>
        <v>0.0897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HYPERLINK("http://141.218.60.56/~jnz1568/getInfo.php?workbook=12_05.xlsx&amp;sheet=U0&amp;row=62&amp;col=6&amp;number=4.8&amp;sourceID=14","4.8")</f>
        <v>4.8</v>
      </c>
      <c r="G62" s="4" t="str">
        <f>HYPERLINK("http://141.218.60.56/~jnz1568/getInfo.php?workbook=12_05.xlsx&amp;sheet=U0&amp;row=62&amp;col=7&amp;number=0.0876&amp;sourceID=14","0.0876")</f>
        <v>0.0876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HYPERLINK("http://141.218.60.56/~jnz1568/getInfo.php?workbook=12_05.xlsx&amp;sheet=U0&amp;row=63&amp;col=6&amp;number=4.9&amp;sourceID=14","4.9")</f>
        <v>4.9</v>
      </c>
      <c r="G63" s="4" t="str">
        <f>HYPERLINK("http://141.218.60.56/~jnz1568/getInfo.php?workbook=12_05.xlsx&amp;sheet=U0&amp;row=63&amp;col=7&amp;number=0.0844&amp;sourceID=14","0.0844")</f>
        <v>0.0844</v>
      </c>
    </row>
    <row r="64" spans="1:7">
      <c r="A64" s="3">
        <v>12</v>
      </c>
      <c r="B64" s="3">
        <v>5</v>
      </c>
      <c r="C64" s="3">
        <v>1</v>
      </c>
      <c r="D64" s="3">
        <v>5</v>
      </c>
      <c r="E64" s="3">
        <v>1</v>
      </c>
      <c r="F64" s="4" t="str">
        <f>HYPERLINK("http://141.218.60.56/~jnz1568/getInfo.php?workbook=12_05.xlsx&amp;sheet=U0&amp;row=64&amp;col=6&amp;number=3&amp;sourceID=14","3")</f>
        <v>3</v>
      </c>
      <c r="G64" s="4" t="str">
        <f>HYPERLINK("http://141.218.60.56/~jnz1568/getInfo.php?workbook=12_05.xlsx&amp;sheet=U0&amp;row=64&amp;col=7&amp;number=0.0638&amp;sourceID=14","0.0638")</f>
        <v>0.0638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HYPERLINK("http://141.218.60.56/~jnz1568/getInfo.php?workbook=12_05.xlsx&amp;sheet=U0&amp;row=65&amp;col=6&amp;number=3.1&amp;sourceID=14","3.1")</f>
        <v>3.1</v>
      </c>
      <c r="G65" s="4" t="str">
        <f>HYPERLINK("http://141.218.60.56/~jnz1568/getInfo.php?workbook=12_05.xlsx&amp;sheet=U0&amp;row=65&amp;col=7&amp;number=0.064&amp;sourceID=14","0.064")</f>
        <v>0.064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HYPERLINK("http://141.218.60.56/~jnz1568/getInfo.php?workbook=12_05.xlsx&amp;sheet=U0&amp;row=66&amp;col=6&amp;number=3.2&amp;sourceID=14","3.2")</f>
        <v>3.2</v>
      </c>
      <c r="G66" s="4" t="str">
        <f>HYPERLINK("http://141.218.60.56/~jnz1568/getInfo.php?workbook=12_05.xlsx&amp;sheet=U0&amp;row=66&amp;col=7&amp;number=0.0642&amp;sourceID=14","0.0642")</f>
        <v>0.0642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HYPERLINK("http://141.218.60.56/~jnz1568/getInfo.php?workbook=12_05.xlsx&amp;sheet=U0&amp;row=67&amp;col=6&amp;number=3.3&amp;sourceID=14","3.3")</f>
        <v>3.3</v>
      </c>
      <c r="G67" s="4" t="str">
        <f>HYPERLINK("http://141.218.60.56/~jnz1568/getInfo.php?workbook=12_05.xlsx&amp;sheet=U0&amp;row=67&amp;col=7&amp;number=0.0645&amp;sourceID=14","0.0645")</f>
        <v>0.0645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HYPERLINK("http://141.218.60.56/~jnz1568/getInfo.php?workbook=12_05.xlsx&amp;sheet=U0&amp;row=68&amp;col=6&amp;number=3.4&amp;sourceID=14","3.4")</f>
        <v>3.4</v>
      </c>
      <c r="G68" s="4" t="str">
        <f>HYPERLINK("http://141.218.60.56/~jnz1568/getInfo.php?workbook=12_05.xlsx&amp;sheet=U0&amp;row=68&amp;col=7&amp;number=0.0649&amp;sourceID=14","0.0649")</f>
        <v>0.0649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HYPERLINK("http://141.218.60.56/~jnz1568/getInfo.php?workbook=12_05.xlsx&amp;sheet=U0&amp;row=69&amp;col=6&amp;number=3.5&amp;sourceID=14","3.5")</f>
        <v>3.5</v>
      </c>
      <c r="G69" s="4" t="str">
        <f>HYPERLINK("http://141.218.60.56/~jnz1568/getInfo.php?workbook=12_05.xlsx&amp;sheet=U0&amp;row=69&amp;col=7&amp;number=0.0653&amp;sourceID=14","0.0653")</f>
        <v>0.0653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HYPERLINK("http://141.218.60.56/~jnz1568/getInfo.php?workbook=12_05.xlsx&amp;sheet=U0&amp;row=70&amp;col=6&amp;number=3.6&amp;sourceID=14","3.6")</f>
        <v>3.6</v>
      </c>
      <c r="G70" s="4" t="str">
        <f>HYPERLINK("http://141.218.60.56/~jnz1568/getInfo.php?workbook=12_05.xlsx&amp;sheet=U0&amp;row=70&amp;col=7&amp;number=0.0659&amp;sourceID=14","0.0659")</f>
        <v>0.0659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HYPERLINK("http://141.218.60.56/~jnz1568/getInfo.php?workbook=12_05.xlsx&amp;sheet=U0&amp;row=71&amp;col=6&amp;number=3.7&amp;sourceID=14","3.7")</f>
        <v>3.7</v>
      </c>
      <c r="G71" s="4" t="str">
        <f>HYPERLINK("http://141.218.60.56/~jnz1568/getInfo.php?workbook=12_05.xlsx&amp;sheet=U0&amp;row=71&amp;col=7&amp;number=0.0666&amp;sourceID=14","0.0666")</f>
        <v>0.0666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HYPERLINK("http://141.218.60.56/~jnz1568/getInfo.php?workbook=12_05.xlsx&amp;sheet=U0&amp;row=72&amp;col=6&amp;number=3.8&amp;sourceID=14","3.8")</f>
        <v>3.8</v>
      </c>
      <c r="G72" s="4" t="str">
        <f>HYPERLINK("http://141.218.60.56/~jnz1568/getInfo.php?workbook=12_05.xlsx&amp;sheet=U0&amp;row=72&amp;col=7&amp;number=0.0674&amp;sourceID=14","0.0674")</f>
        <v>0.0674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HYPERLINK("http://141.218.60.56/~jnz1568/getInfo.php?workbook=12_05.xlsx&amp;sheet=U0&amp;row=73&amp;col=6&amp;number=3.9&amp;sourceID=14","3.9")</f>
        <v>3.9</v>
      </c>
      <c r="G73" s="4" t="str">
        <f>HYPERLINK("http://141.218.60.56/~jnz1568/getInfo.php?workbook=12_05.xlsx&amp;sheet=U0&amp;row=73&amp;col=7&amp;number=0.0684&amp;sourceID=14","0.0684")</f>
        <v>0.0684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HYPERLINK("http://141.218.60.56/~jnz1568/getInfo.php?workbook=12_05.xlsx&amp;sheet=U0&amp;row=74&amp;col=6&amp;number=4&amp;sourceID=14","4")</f>
        <v>4</v>
      </c>
      <c r="G74" s="4" t="str">
        <f>HYPERLINK("http://141.218.60.56/~jnz1568/getInfo.php?workbook=12_05.xlsx&amp;sheet=U0&amp;row=74&amp;col=7&amp;number=0.0696&amp;sourceID=14","0.0696")</f>
        <v>0.0696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HYPERLINK("http://141.218.60.56/~jnz1568/getInfo.php?workbook=12_05.xlsx&amp;sheet=U0&amp;row=75&amp;col=6&amp;number=4.1&amp;sourceID=14","4.1")</f>
        <v>4.1</v>
      </c>
      <c r="G75" s="4" t="str">
        <f>HYPERLINK("http://141.218.60.56/~jnz1568/getInfo.php?workbook=12_05.xlsx&amp;sheet=U0&amp;row=75&amp;col=7&amp;number=0.071&amp;sourceID=14","0.071")</f>
        <v>0.071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HYPERLINK("http://141.218.60.56/~jnz1568/getInfo.php?workbook=12_05.xlsx&amp;sheet=U0&amp;row=76&amp;col=6&amp;number=4.2&amp;sourceID=14","4.2")</f>
        <v>4.2</v>
      </c>
      <c r="G76" s="4" t="str">
        <f>HYPERLINK("http://141.218.60.56/~jnz1568/getInfo.php?workbook=12_05.xlsx&amp;sheet=U0&amp;row=76&amp;col=7&amp;number=0.0725&amp;sourceID=14","0.0725")</f>
        <v>0.0725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HYPERLINK("http://141.218.60.56/~jnz1568/getInfo.php?workbook=12_05.xlsx&amp;sheet=U0&amp;row=77&amp;col=6&amp;number=4.3&amp;sourceID=14","4.3")</f>
        <v>4.3</v>
      </c>
      <c r="G77" s="4" t="str">
        <f>HYPERLINK("http://141.218.60.56/~jnz1568/getInfo.php?workbook=12_05.xlsx&amp;sheet=U0&amp;row=77&amp;col=7&amp;number=0.0742&amp;sourceID=14","0.0742")</f>
        <v>0.0742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HYPERLINK("http://141.218.60.56/~jnz1568/getInfo.php?workbook=12_05.xlsx&amp;sheet=U0&amp;row=78&amp;col=6&amp;number=4.4&amp;sourceID=14","4.4")</f>
        <v>4.4</v>
      </c>
      <c r="G78" s="4" t="str">
        <f>HYPERLINK("http://141.218.60.56/~jnz1568/getInfo.php?workbook=12_05.xlsx&amp;sheet=U0&amp;row=78&amp;col=7&amp;number=0.0758&amp;sourceID=14","0.0758")</f>
        <v>0.0758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HYPERLINK("http://141.218.60.56/~jnz1568/getInfo.php?workbook=12_05.xlsx&amp;sheet=U0&amp;row=79&amp;col=6&amp;number=4.5&amp;sourceID=14","4.5")</f>
        <v>4.5</v>
      </c>
      <c r="G79" s="4" t="str">
        <f>HYPERLINK("http://141.218.60.56/~jnz1568/getInfo.php?workbook=12_05.xlsx&amp;sheet=U0&amp;row=79&amp;col=7&amp;number=0.0771&amp;sourceID=14","0.0771")</f>
        <v>0.0771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HYPERLINK("http://141.218.60.56/~jnz1568/getInfo.php?workbook=12_05.xlsx&amp;sheet=U0&amp;row=80&amp;col=6&amp;number=4.6&amp;sourceID=14","4.6")</f>
        <v>4.6</v>
      </c>
      <c r="G80" s="4" t="str">
        <f>HYPERLINK("http://141.218.60.56/~jnz1568/getInfo.php?workbook=12_05.xlsx&amp;sheet=U0&amp;row=80&amp;col=7&amp;number=0.0777&amp;sourceID=14","0.0777")</f>
        <v>0.0777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HYPERLINK("http://141.218.60.56/~jnz1568/getInfo.php?workbook=12_05.xlsx&amp;sheet=U0&amp;row=81&amp;col=6&amp;number=4.7&amp;sourceID=14","4.7")</f>
        <v>4.7</v>
      </c>
      <c r="G81" s="4" t="str">
        <f>HYPERLINK("http://141.218.60.56/~jnz1568/getInfo.php?workbook=12_05.xlsx&amp;sheet=U0&amp;row=81&amp;col=7&amp;number=0.0772&amp;sourceID=14","0.0772")</f>
        <v>0.0772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HYPERLINK("http://141.218.60.56/~jnz1568/getInfo.php?workbook=12_05.xlsx&amp;sheet=U0&amp;row=82&amp;col=6&amp;number=4.8&amp;sourceID=14","4.8")</f>
        <v>4.8</v>
      </c>
      <c r="G82" s="4" t="str">
        <f>HYPERLINK("http://141.218.60.56/~jnz1568/getInfo.php?workbook=12_05.xlsx&amp;sheet=U0&amp;row=82&amp;col=7&amp;number=0.0754&amp;sourceID=14","0.0754")</f>
        <v>0.0754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HYPERLINK("http://141.218.60.56/~jnz1568/getInfo.php?workbook=12_05.xlsx&amp;sheet=U0&amp;row=83&amp;col=6&amp;number=4.9&amp;sourceID=14","4.9")</f>
        <v>4.9</v>
      </c>
      <c r="G83" s="4" t="str">
        <f>HYPERLINK("http://141.218.60.56/~jnz1568/getInfo.php?workbook=12_05.xlsx&amp;sheet=U0&amp;row=83&amp;col=7&amp;number=0.0725&amp;sourceID=14","0.0725")</f>
        <v>0.0725</v>
      </c>
    </row>
    <row r="84" spans="1:7">
      <c r="A84" s="3">
        <v>12</v>
      </c>
      <c r="B84" s="3">
        <v>5</v>
      </c>
      <c r="C84" s="3">
        <v>1</v>
      </c>
      <c r="D84" s="3">
        <v>6</v>
      </c>
      <c r="E84" s="3">
        <v>1</v>
      </c>
      <c r="F84" s="4" t="str">
        <f>HYPERLINK("http://141.218.60.56/~jnz1568/getInfo.php?workbook=12_05.xlsx&amp;sheet=U0&amp;row=84&amp;col=6&amp;number=3&amp;sourceID=14","3")</f>
        <v>3</v>
      </c>
      <c r="G84" s="4" t="str">
        <f>HYPERLINK("http://141.218.60.56/~jnz1568/getInfo.php?workbook=12_05.xlsx&amp;sheet=U0&amp;row=84&amp;col=7&amp;number=0.951&amp;sourceID=14","0.951")</f>
        <v>0.951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HYPERLINK("http://141.218.60.56/~jnz1568/getInfo.php?workbook=12_05.xlsx&amp;sheet=U0&amp;row=85&amp;col=6&amp;number=3.1&amp;sourceID=14","3.1")</f>
        <v>3.1</v>
      </c>
      <c r="G85" s="4" t="str">
        <f>HYPERLINK("http://141.218.60.56/~jnz1568/getInfo.php?workbook=12_05.xlsx&amp;sheet=U0&amp;row=85&amp;col=7&amp;number=0.95&amp;sourceID=14","0.95")</f>
        <v>0.95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HYPERLINK("http://141.218.60.56/~jnz1568/getInfo.php?workbook=12_05.xlsx&amp;sheet=U0&amp;row=86&amp;col=6&amp;number=3.2&amp;sourceID=14","3.2")</f>
        <v>3.2</v>
      </c>
      <c r="G86" s="4" t="str">
        <f>HYPERLINK("http://141.218.60.56/~jnz1568/getInfo.php?workbook=12_05.xlsx&amp;sheet=U0&amp;row=86&amp;col=7&amp;number=0.949&amp;sourceID=14","0.949")</f>
        <v>0.949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HYPERLINK("http://141.218.60.56/~jnz1568/getInfo.php?workbook=12_05.xlsx&amp;sheet=U0&amp;row=87&amp;col=6&amp;number=3.3&amp;sourceID=14","3.3")</f>
        <v>3.3</v>
      </c>
      <c r="G87" s="4" t="str">
        <f>HYPERLINK("http://141.218.60.56/~jnz1568/getInfo.php?workbook=12_05.xlsx&amp;sheet=U0&amp;row=87&amp;col=7&amp;number=0.948&amp;sourceID=14","0.948")</f>
        <v>0.948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HYPERLINK("http://141.218.60.56/~jnz1568/getInfo.php?workbook=12_05.xlsx&amp;sheet=U0&amp;row=88&amp;col=6&amp;number=3.4&amp;sourceID=14","3.4")</f>
        <v>3.4</v>
      </c>
      <c r="G88" s="4" t="str">
        <f>HYPERLINK("http://141.218.60.56/~jnz1568/getInfo.php?workbook=12_05.xlsx&amp;sheet=U0&amp;row=88&amp;col=7&amp;number=0.947&amp;sourceID=14","0.947")</f>
        <v>0.947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HYPERLINK("http://141.218.60.56/~jnz1568/getInfo.php?workbook=12_05.xlsx&amp;sheet=U0&amp;row=89&amp;col=6&amp;number=3.5&amp;sourceID=14","3.5")</f>
        <v>3.5</v>
      </c>
      <c r="G89" s="4" t="str">
        <f>HYPERLINK("http://141.218.60.56/~jnz1568/getInfo.php?workbook=12_05.xlsx&amp;sheet=U0&amp;row=89&amp;col=7&amp;number=0.945&amp;sourceID=14","0.945")</f>
        <v>0.945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HYPERLINK("http://141.218.60.56/~jnz1568/getInfo.php?workbook=12_05.xlsx&amp;sheet=U0&amp;row=90&amp;col=6&amp;number=3.6&amp;sourceID=14","3.6")</f>
        <v>3.6</v>
      </c>
      <c r="G90" s="4" t="str">
        <f>HYPERLINK("http://141.218.60.56/~jnz1568/getInfo.php?workbook=12_05.xlsx&amp;sheet=U0&amp;row=90&amp;col=7&amp;number=0.943&amp;sourceID=14","0.943")</f>
        <v>0.943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HYPERLINK("http://141.218.60.56/~jnz1568/getInfo.php?workbook=12_05.xlsx&amp;sheet=U0&amp;row=91&amp;col=6&amp;number=3.7&amp;sourceID=14","3.7")</f>
        <v>3.7</v>
      </c>
      <c r="G91" s="4" t="str">
        <f>HYPERLINK("http://141.218.60.56/~jnz1568/getInfo.php?workbook=12_05.xlsx&amp;sheet=U0&amp;row=91&amp;col=7&amp;number=0.94&amp;sourceID=14","0.94")</f>
        <v>0.94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HYPERLINK("http://141.218.60.56/~jnz1568/getInfo.php?workbook=12_05.xlsx&amp;sheet=U0&amp;row=92&amp;col=6&amp;number=3.8&amp;sourceID=14","3.8")</f>
        <v>3.8</v>
      </c>
      <c r="G92" s="4" t="str">
        <f>HYPERLINK("http://141.218.60.56/~jnz1568/getInfo.php?workbook=12_05.xlsx&amp;sheet=U0&amp;row=92&amp;col=7&amp;number=0.937&amp;sourceID=14","0.937")</f>
        <v>0.937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HYPERLINK("http://141.218.60.56/~jnz1568/getInfo.php?workbook=12_05.xlsx&amp;sheet=U0&amp;row=93&amp;col=6&amp;number=3.9&amp;sourceID=14","3.9")</f>
        <v>3.9</v>
      </c>
      <c r="G93" s="4" t="str">
        <f>HYPERLINK("http://141.218.60.56/~jnz1568/getInfo.php?workbook=12_05.xlsx&amp;sheet=U0&amp;row=93&amp;col=7&amp;number=0.933&amp;sourceID=14","0.933")</f>
        <v>0.933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HYPERLINK("http://141.218.60.56/~jnz1568/getInfo.php?workbook=12_05.xlsx&amp;sheet=U0&amp;row=94&amp;col=6&amp;number=4&amp;sourceID=14","4")</f>
        <v>4</v>
      </c>
      <c r="G94" s="4" t="str">
        <f>HYPERLINK("http://141.218.60.56/~jnz1568/getInfo.php?workbook=12_05.xlsx&amp;sheet=U0&amp;row=94&amp;col=7&amp;number=0.929&amp;sourceID=14","0.929")</f>
        <v>0.929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HYPERLINK("http://141.218.60.56/~jnz1568/getInfo.php?workbook=12_05.xlsx&amp;sheet=U0&amp;row=95&amp;col=6&amp;number=4.1&amp;sourceID=14","4.1")</f>
        <v>4.1</v>
      </c>
      <c r="G95" s="4" t="str">
        <f>HYPERLINK("http://141.218.60.56/~jnz1568/getInfo.php?workbook=12_05.xlsx&amp;sheet=U0&amp;row=95&amp;col=7&amp;number=0.923&amp;sourceID=14","0.923")</f>
        <v>0.923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HYPERLINK("http://141.218.60.56/~jnz1568/getInfo.php?workbook=12_05.xlsx&amp;sheet=U0&amp;row=96&amp;col=6&amp;number=4.2&amp;sourceID=14","4.2")</f>
        <v>4.2</v>
      </c>
      <c r="G96" s="4" t="str">
        <f>HYPERLINK("http://141.218.60.56/~jnz1568/getInfo.php?workbook=12_05.xlsx&amp;sheet=U0&amp;row=96&amp;col=7&amp;number=0.916&amp;sourceID=14","0.916")</f>
        <v>0.916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HYPERLINK("http://141.218.60.56/~jnz1568/getInfo.php?workbook=12_05.xlsx&amp;sheet=U0&amp;row=97&amp;col=6&amp;number=4.3&amp;sourceID=14","4.3")</f>
        <v>4.3</v>
      </c>
      <c r="G97" s="4" t="str">
        <f>HYPERLINK("http://141.218.60.56/~jnz1568/getInfo.php?workbook=12_05.xlsx&amp;sheet=U0&amp;row=97&amp;col=7&amp;number=0.907&amp;sourceID=14","0.907")</f>
        <v>0.907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HYPERLINK("http://141.218.60.56/~jnz1568/getInfo.php?workbook=12_05.xlsx&amp;sheet=U0&amp;row=98&amp;col=6&amp;number=4.4&amp;sourceID=14","4.4")</f>
        <v>4.4</v>
      </c>
      <c r="G98" s="4" t="str">
        <f>HYPERLINK("http://141.218.60.56/~jnz1568/getInfo.php?workbook=12_05.xlsx&amp;sheet=U0&amp;row=98&amp;col=7&amp;number=0.897&amp;sourceID=14","0.897")</f>
        <v>0.897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HYPERLINK("http://141.218.60.56/~jnz1568/getInfo.php?workbook=12_05.xlsx&amp;sheet=U0&amp;row=99&amp;col=6&amp;number=4.5&amp;sourceID=14","4.5")</f>
        <v>4.5</v>
      </c>
      <c r="G99" s="4" t="str">
        <f>HYPERLINK("http://141.218.60.56/~jnz1568/getInfo.php?workbook=12_05.xlsx&amp;sheet=U0&amp;row=99&amp;col=7&amp;number=0.885&amp;sourceID=14","0.885")</f>
        <v>0.885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HYPERLINK("http://141.218.60.56/~jnz1568/getInfo.php?workbook=12_05.xlsx&amp;sheet=U0&amp;row=100&amp;col=6&amp;number=4.6&amp;sourceID=14","4.6")</f>
        <v>4.6</v>
      </c>
      <c r="G100" s="4" t="str">
        <f>HYPERLINK("http://141.218.60.56/~jnz1568/getInfo.php?workbook=12_05.xlsx&amp;sheet=U0&amp;row=100&amp;col=7&amp;number=0.872&amp;sourceID=14","0.872")</f>
        <v>0.872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HYPERLINK("http://141.218.60.56/~jnz1568/getInfo.php?workbook=12_05.xlsx&amp;sheet=U0&amp;row=101&amp;col=6&amp;number=4.7&amp;sourceID=14","4.7")</f>
        <v>4.7</v>
      </c>
      <c r="G101" s="4" t="str">
        <f>HYPERLINK("http://141.218.60.56/~jnz1568/getInfo.php?workbook=12_05.xlsx&amp;sheet=U0&amp;row=101&amp;col=7&amp;number=0.857&amp;sourceID=14","0.857")</f>
        <v>0.857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HYPERLINK("http://141.218.60.56/~jnz1568/getInfo.php?workbook=12_05.xlsx&amp;sheet=U0&amp;row=102&amp;col=6&amp;number=4.8&amp;sourceID=14","4.8")</f>
        <v>4.8</v>
      </c>
      <c r="G102" s="4" t="str">
        <f>HYPERLINK("http://141.218.60.56/~jnz1568/getInfo.php?workbook=12_05.xlsx&amp;sheet=U0&amp;row=102&amp;col=7&amp;number=0.842&amp;sourceID=14","0.842")</f>
        <v>0.842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HYPERLINK("http://141.218.60.56/~jnz1568/getInfo.php?workbook=12_05.xlsx&amp;sheet=U0&amp;row=103&amp;col=6&amp;number=4.9&amp;sourceID=14","4.9")</f>
        <v>4.9</v>
      </c>
      <c r="G103" s="4" t="str">
        <f>HYPERLINK("http://141.218.60.56/~jnz1568/getInfo.php?workbook=12_05.xlsx&amp;sheet=U0&amp;row=103&amp;col=7&amp;number=0.826&amp;sourceID=14","0.826")</f>
        <v>0.826</v>
      </c>
    </row>
    <row r="104" spans="1:7">
      <c r="A104" s="3">
        <v>12</v>
      </c>
      <c r="B104" s="3">
        <v>5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HYPERLINK("http://141.218.60.56/~jnz1568/getInfo.php?workbook=12_05.xlsx&amp;sheet=U0&amp;row=104&amp;col=6&amp;number=3&amp;sourceID=14","3")</f>
        <v>3</v>
      </c>
      <c r="G104" s="4" t="str">
        <f>HYPERLINK("http://141.218.60.56/~jnz1568/getInfo.php?workbook=12_05.xlsx&amp;sheet=U0&amp;row=104&amp;col=7&amp;number=0.263&amp;sourceID=14","0.263")</f>
        <v>0.263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HYPERLINK("http://141.218.60.56/~jnz1568/getInfo.php?workbook=12_05.xlsx&amp;sheet=U0&amp;row=105&amp;col=6&amp;number=3.1&amp;sourceID=14","3.1")</f>
        <v>3.1</v>
      </c>
      <c r="G105" s="4" t="str">
        <f>HYPERLINK("http://141.218.60.56/~jnz1568/getInfo.php?workbook=12_05.xlsx&amp;sheet=U0&amp;row=105&amp;col=7&amp;number=0.263&amp;sourceID=14","0.263")</f>
        <v>0.263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HYPERLINK("http://141.218.60.56/~jnz1568/getInfo.php?workbook=12_05.xlsx&amp;sheet=U0&amp;row=106&amp;col=6&amp;number=3.2&amp;sourceID=14","3.2")</f>
        <v>3.2</v>
      </c>
      <c r="G106" s="4" t="str">
        <f>HYPERLINK("http://141.218.60.56/~jnz1568/getInfo.php?workbook=12_05.xlsx&amp;sheet=U0&amp;row=106&amp;col=7&amp;number=0.262&amp;sourceID=14","0.262")</f>
        <v>0.262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HYPERLINK("http://141.218.60.56/~jnz1568/getInfo.php?workbook=12_05.xlsx&amp;sheet=U0&amp;row=107&amp;col=6&amp;number=3.3&amp;sourceID=14","3.3")</f>
        <v>3.3</v>
      </c>
      <c r="G107" s="4" t="str">
        <f>HYPERLINK("http://141.218.60.56/~jnz1568/getInfo.php?workbook=12_05.xlsx&amp;sheet=U0&amp;row=107&amp;col=7&amp;number=0.262&amp;sourceID=14","0.262")</f>
        <v>0.262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HYPERLINK("http://141.218.60.56/~jnz1568/getInfo.php?workbook=12_05.xlsx&amp;sheet=U0&amp;row=108&amp;col=6&amp;number=3.4&amp;sourceID=14","3.4")</f>
        <v>3.4</v>
      </c>
      <c r="G108" s="4" t="str">
        <f>HYPERLINK("http://141.218.60.56/~jnz1568/getInfo.php?workbook=12_05.xlsx&amp;sheet=U0&amp;row=108&amp;col=7&amp;number=0.261&amp;sourceID=14","0.261")</f>
        <v>0.261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HYPERLINK("http://141.218.60.56/~jnz1568/getInfo.php?workbook=12_05.xlsx&amp;sheet=U0&amp;row=109&amp;col=6&amp;number=3.5&amp;sourceID=14","3.5")</f>
        <v>3.5</v>
      </c>
      <c r="G109" s="4" t="str">
        <f>HYPERLINK("http://141.218.60.56/~jnz1568/getInfo.php?workbook=12_05.xlsx&amp;sheet=U0&amp;row=109&amp;col=7&amp;number=0.26&amp;sourceID=14","0.26")</f>
        <v>0.26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HYPERLINK("http://141.218.60.56/~jnz1568/getInfo.php?workbook=12_05.xlsx&amp;sheet=U0&amp;row=110&amp;col=6&amp;number=3.6&amp;sourceID=14","3.6")</f>
        <v>3.6</v>
      </c>
      <c r="G110" s="4" t="str">
        <f>HYPERLINK("http://141.218.60.56/~jnz1568/getInfo.php?workbook=12_05.xlsx&amp;sheet=U0&amp;row=110&amp;col=7&amp;number=0.258&amp;sourceID=14","0.258")</f>
        <v>0.258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HYPERLINK("http://141.218.60.56/~jnz1568/getInfo.php?workbook=12_05.xlsx&amp;sheet=U0&amp;row=111&amp;col=6&amp;number=3.7&amp;sourceID=14","3.7")</f>
        <v>3.7</v>
      </c>
      <c r="G111" s="4" t="str">
        <f>HYPERLINK("http://141.218.60.56/~jnz1568/getInfo.php?workbook=12_05.xlsx&amp;sheet=U0&amp;row=111&amp;col=7&amp;number=0.257&amp;sourceID=14","0.257")</f>
        <v>0.257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HYPERLINK("http://141.218.60.56/~jnz1568/getInfo.php?workbook=12_05.xlsx&amp;sheet=U0&amp;row=112&amp;col=6&amp;number=3.8&amp;sourceID=14","3.8")</f>
        <v>3.8</v>
      </c>
      <c r="G112" s="4" t="str">
        <f>HYPERLINK("http://141.218.60.56/~jnz1568/getInfo.php?workbook=12_05.xlsx&amp;sheet=U0&amp;row=112&amp;col=7&amp;number=0.255&amp;sourceID=14","0.255")</f>
        <v>0.255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HYPERLINK("http://141.218.60.56/~jnz1568/getInfo.php?workbook=12_05.xlsx&amp;sheet=U0&amp;row=113&amp;col=6&amp;number=3.9&amp;sourceID=14","3.9")</f>
        <v>3.9</v>
      </c>
      <c r="G113" s="4" t="str">
        <f>HYPERLINK("http://141.218.60.56/~jnz1568/getInfo.php?workbook=12_05.xlsx&amp;sheet=U0&amp;row=113&amp;col=7&amp;number=0.252&amp;sourceID=14","0.252")</f>
        <v>0.252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HYPERLINK("http://141.218.60.56/~jnz1568/getInfo.php?workbook=12_05.xlsx&amp;sheet=U0&amp;row=114&amp;col=6&amp;number=4&amp;sourceID=14","4")</f>
        <v>4</v>
      </c>
      <c r="G114" s="4" t="str">
        <f>HYPERLINK("http://141.218.60.56/~jnz1568/getInfo.php?workbook=12_05.xlsx&amp;sheet=U0&amp;row=114&amp;col=7&amp;number=0.249&amp;sourceID=14","0.249")</f>
        <v>0.249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HYPERLINK("http://141.218.60.56/~jnz1568/getInfo.php?workbook=12_05.xlsx&amp;sheet=U0&amp;row=115&amp;col=6&amp;number=4.1&amp;sourceID=14","4.1")</f>
        <v>4.1</v>
      </c>
      <c r="G115" s="4" t="str">
        <f>HYPERLINK("http://141.218.60.56/~jnz1568/getInfo.php?workbook=12_05.xlsx&amp;sheet=U0&amp;row=115&amp;col=7&amp;number=0.245&amp;sourceID=14","0.245")</f>
        <v>0.245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HYPERLINK("http://141.218.60.56/~jnz1568/getInfo.php?workbook=12_05.xlsx&amp;sheet=U0&amp;row=116&amp;col=6&amp;number=4.2&amp;sourceID=14","4.2")</f>
        <v>4.2</v>
      </c>
      <c r="G116" s="4" t="str">
        <f>HYPERLINK("http://141.218.60.56/~jnz1568/getInfo.php?workbook=12_05.xlsx&amp;sheet=U0&amp;row=116&amp;col=7&amp;number=0.24&amp;sourceID=14","0.24")</f>
        <v>0.24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HYPERLINK("http://141.218.60.56/~jnz1568/getInfo.php?workbook=12_05.xlsx&amp;sheet=U0&amp;row=117&amp;col=6&amp;number=4.3&amp;sourceID=14","4.3")</f>
        <v>4.3</v>
      </c>
      <c r="G117" s="4" t="str">
        <f>HYPERLINK("http://141.218.60.56/~jnz1568/getInfo.php?workbook=12_05.xlsx&amp;sheet=U0&amp;row=117&amp;col=7&amp;number=0.234&amp;sourceID=14","0.234")</f>
        <v>0.234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HYPERLINK("http://141.218.60.56/~jnz1568/getInfo.php?workbook=12_05.xlsx&amp;sheet=U0&amp;row=118&amp;col=6&amp;number=4.4&amp;sourceID=14","4.4")</f>
        <v>4.4</v>
      </c>
      <c r="G118" s="4" t="str">
        <f>HYPERLINK("http://141.218.60.56/~jnz1568/getInfo.php?workbook=12_05.xlsx&amp;sheet=U0&amp;row=118&amp;col=7&amp;number=0.227&amp;sourceID=14","0.227")</f>
        <v>0.227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HYPERLINK("http://141.218.60.56/~jnz1568/getInfo.php?workbook=12_05.xlsx&amp;sheet=U0&amp;row=119&amp;col=6&amp;number=4.5&amp;sourceID=14","4.5")</f>
        <v>4.5</v>
      </c>
      <c r="G119" s="4" t="str">
        <f>HYPERLINK("http://141.218.60.56/~jnz1568/getInfo.php?workbook=12_05.xlsx&amp;sheet=U0&amp;row=119&amp;col=7&amp;number=0.218&amp;sourceID=14","0.218")</f>
        <v>0.218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HYPERLINK("http://141.218.60.56/~jnz1568/getInfo.php?workbook=12_05.xlsx&amp;sheet=U0&amp;row=120&amp;col=6&amp;number=4.6&amp;sourceID=14","4.6")</f>
        <v>4.6</v>
      </c>
      <c r="G120" s="4" t="str">
        <f>HYPERLINK("http://141.218.60.56/~jnz1568/getInfo.php?workbook=12_05.xlsx&amp;sheet=U0&amp;row=120&amp;col=7&amp;number=0.208&amp;sourceID=14","0.208")</f>
        <v>0.208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HYPERLINK("http://141.218.60.56/~jnz1568/getInfo.php?workbook=12_05.xlsx&amp;sheet=U0&amp;row=121&amp;col=6&amp;number=4.7&amp;sourceID=14","4.7")</f>
        <v>4.7</v>
      </c>
      <c r="G121" s="4" t="str">
        <f>HYPERLINK("http://141.218.60.56/~jnz1568/getInfo.php?workbook=12_05.xlsx&amp;sheet=U0&amp;row=121&amp;col=7&amp;number=0.197&amp;sourceID=14","0.197")</f>
        <v>0.197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HYPERLINK("http://141.218.60.56/~jnz1568/getInfo.php?workbook=12_05.xlsx&amp;sheet=U0&amp;row=122&amp;col=6&amp;number=4.8&amp;sourceID=14","4.8")</f>
        <v>4.8</v>
      </c>
      <c r="G122" s="4" t="str">
        <f>HYPERLINK("http://141.218.60.56/~jnz1568/getInfo.php?workbook=12_05.xlsx&amp;sheet=U0&amp;row=122&amp;col=7&amp;number=0.184&amp;sourceID=14","0.184")</f>
        <v>0.184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HYPERLINK("http://141.218.60.56/~jnz1568/getInfo.php?workbook=12_05.xlsx&amp;sheet=U0&amp;row=123&amp;col=6&amp;number=4.9&amp;sourceID=14","4.9")</f>
        <v>4.9</v>
      </c>
      <c r="G123" s="4" t="str">
        <f>HYPERLINK("http://141.218.60.56/~jnz1568/getInfo.php?workbook=12_05.xlsx&amp;sheet=U0&amp;row=123&amp;col=7&amp;number=0.17&amp;sourceID=14","0.17")</f>
        <v>0.17</v>
      </c>
    </row>
    <row r="124" spans="1:7">
      <c r="A124" s="3">
        <v>12</v>
      </c>
      <c r="B124" s="3">
        <v>5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HYPERLINK("http://141.218.60.56/~jnz1568/getInfo.php?workbook=12_05.xlsx&amp;sheet=U0&amp;row=124&amp;col=6&amp;number=3&amp;sourceID=14","3")</f>
        <v>3</v>
      </c>
      <c r="G124" s="4" t="str">
        <f>HYPERLINK("http://141.218.60.56/~jnz1568/getInfo.php?workbook=12_05.xlsx&amp;sheet=U0&amp;row=124&amp;col=7&amp;number=0.288&amp;sourceID=14","0.288")</f>
        <v>0.288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HYPERLINK("http://141.218.60.56/~jnz1568/getInfo.php?workbook=12_05.xlsx&amp;sheet=U0&amp;row=125&amp;col=6&amp;number=3.1&amp;sourceID=14","3.1")</f>
        <v>3.1</v>
      </c>
      <c r="G125" s="4" t="str">
        <f>HYPERLINK("http://141.218.60.56/~jnz1568/getInfo.php?workbook=12_05.xlsx&amp;sheet=U0&amp;row=125&amp;col=7&amp;number=0.288&amp;sourceID=14","0.288")</f>
        <v>0.288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HYPERLINK("http://141.218.60.56/~jnz1568/getInfo.php?workbook=12_05.xlsx&amp;sheet=U0&amp;row=126&amp;col=6&amp;number=3.2&amp;sourceID=14","3.2")</f>
        <v>3.2</v>
      </c>
      <c r="G126" s="4" t="str">
        <f>HYPERLINK("http://141.218.60.56/~jnz1568/getInfo.php?workbook=12_05.xlsx&amp;sheet=U0&amp;row=126&amp;col=7&amp;number=0.288&amp;sourceID=14","0.288")</f>
        <v>0.288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HYPERLINK("http://141.218.60.56/~jnz1568/getInfo.php?workbook=12_05.xlsx&amp;sheet=U0&amp;row=127&amp;col=6&amp;number=3.3&amp;sourceID=14","3.3")</f>
        <v>3.3</v>
      </c>
      <c r="G127" s="4" t="str">
        <f>HYPERLINK("http://141.218.60.56/~jnz1568/getInfo.php?workbook=12_05.xlsx&amp;sheet=U0&amp;row=127&amp;col=7&amp;number=0.288&amp;sourceID=14","0.288")</f>
        <v>0.288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HYPERLINK("http://141.218.60.56/~jnz1568/getInfo.php?workbook=12_05.xlsx&amp;sheet=U0&amp;row=128&amp;col=6&amp;number=3.4&amp;sourceID=14","3.4")</f>
        <v>3.4</v>
      </c>
      <c r="G128" s="4" t="str">
        <f>HYPERLINK("http://141.218.60.56/~jnz1568/getInfo.php?workbook=12_05.xlsx&amp;sheet=U0&amp;row=128&amp;col=7&amp;number=0.288&amp;sourceID=14","0.288")</f>
        <v>0.288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HYPERLINK("http://141.218.60.56/~jnz1568/getInfo.php?workbook=12_05.xlsx&amp;sheet=U0&amp;row=129&amp;col=6&amp;number=3.5&amp;sourceID=14","3.5")</f>
        <v>3.5</v>
      </c>
      <c r="G129" s="4" t="str">
        <f>HYPERLINK("http://141.218.60.56/~jnz1568/getInfo.php?workbook=12_05.xlsx&amp;sheet=U0&amp;row=129&amp;col=7&amp;number=0.288&amp;sourceID=14","0.288")</f>
        <v>0.288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HYPERLINK("http://141.218.60.56/~jnz1568/getInfo.php?workbook=12_05.xlsx&amp;sheet=U0&amp;row=130&amp;col=6&amp;number=3.6&amp;sourceID=14","3.6")</f>
        <v>3.6</v>
      </c>
      <c r="G130" s="4" t="str">
        <f>HYPERLINK("http://141.218.60.56/~jnz1568/getInfo.php?workbook=12_05.xlsx&amp;sheet=U0&amp;row=130&amp;col=7&amp;number=0.288&amp;sourceID=14","0.288")</f>
        <v>0.288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HYPERLINK("http://141.218.60.56/~jnz1568/getInfo.php?workbook=12_05.xlsx&amp;sheet=U0&amp;row=131&amp;col=6&amp;number=3.7&amp;sourceID=14","3.7")</f>
        <v>3.7</v>
      </c>
      <c r="G131" s="4" t="str">
        <f>HYPERLINK("http://141.218.60.56/~jnz1568/getInfo.php?workbook=12_05.xlsx&amp;sheet=U0&amp;row=131&amp;col=7&amp;number=0.288&amp;sourceID=14","0.288")</f>
        <v>0.288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HYPERLINK("http://141.218.60.56/~jnz1568/getInfo.php?workbook=12_05.xlsx&amp;sheet=U0&amp;row=132&amp;col=6&amp;number=3.8&amp;sourceID=14","3.8")</f>
        <v>3.8</v>
      </c>
      <c r="G132" s="4" t="str">
        <f>HYPERLINK("http://141.218.60.56/~jnz1568/getInfo.php?workbook=12_05.xlsx&amp;sheet=U0&amp;row=132&amp;col=7&amp;number=0.288&amp;sourceID=14","0.288")</f>
        <v>0.288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HYPERLINK("http://141.218.60.56/~jnz1568/getInfo.php?workbook=12_05.xlsx&amp;sheet=U0&amp;row=133&amp;col=6&amp;number=3.9&amp;sourceID=14","3.9")</f>
        <v>3.9</v>
      </c>
      <c r="G133" s="4" t="str">
        <f>HYPERLINK("http://141.218.60.56/~jnz1568/getInfo.php?workbook=12_05.xlsx&amp;sheet=U0&amp;row=133&amp;col=7&amp;number=0.288&amp;sourceID=14","0.288")</f>
        <v>0.288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HYPERLINK("http://141.218.60.56/~jnz1568/getInfo.php?workbook=12_05.xlsx&amp;sheet=U0&amp;row=134&amp;col=6&amp;number=4&amp;sourceID=14","4")</f>
        <v>4</v>
      </c>
      <c r="G134" s="4" t="str">
        <f>HYPERLINK("http://141.218.60.56/~jnz1568/getInfo.php?workbook=12_05.xlsx&amp;sheet=U0&amp;row=134&amp;col=7&amp;number=0.288&amp;sourceID=14","0.288")</f>
        <v>0.288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HYPERLINK("http://141.218.60.56/~jnz1568/getInfo.php?workbook=12_05.xlsx&amp;sheet=U0&amp;row=135&amp;col=6&amp;number=4.1&amp;sourceID=14","4.1")</f>
        <v>4.1</v>
      </c>
      <c r="G135" s="4" t="str">
        <f>HYPERLINK("http://141.218.60.56/~jnz1568/getInfo.php?workbook=12_05.xlsx&amp;sheet=U0&amp;row=135&amp;col=7&amp;number=0.288&amp;sourceID=14","0.288")</f>
        <v>0.288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HYPERLINK("http://141.218.60.56/~jnz1568/getInfo.php?workbook=12_05.xlsx&amp;sheet=U0&amp;row=136&amp;col=6&amp;number=4.2&amp;sourceID=14","4.2")</f>
        <v>4.2</v>
      </c>
      <c r="G136" s="4" t="str">
        <f>HYPERLINK("http://141.218.60.56/~jnz1568/getInfo.php?workbook=12_05.xlsx&amp;sheet=U0&amp;row=136&amp;col=7&amp;number=0.288&amp;sourceID=14","0.288")</f>
        <v>0.288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HYPERLINK("http://141.218.60.56/~jnz1568/getInfo.php?workbook=12_05.xlsx&amp;sheet=U0&amp;row=137&amp;col=6&amp;number=4.3&amp;sourceID=14","4.3")</f>
        <v>4.3</v>
      </c>
      <c r="G137" s="4" t="str">
        <f>HYPERLINK("http://141.218.60.56/~jnz1568/getInfo.php?workbook=12_05.xlsx&amp;sheet=U0&amp;row=137&amp;col=7&amp;number=0.288&amp;sourceID=14","0.288")</f>
        <v>0.288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HYPERLINK("http://141.218.60.56/~jnz1568/getInfo.php?workbook=12_05.xlsx&amp;sheet=U0&amp;row=138&amp;col=6&amp;number=4.4&amp;sourceID=14","4.4")</f>
        <v>4.4</v>
      </c>
      <c r="G138" s="4" t="str">
        <f>HYPERLINK("http://141.218.60.56/~jnz1568/getInfo.php?workbook=12_05.xlsx&amp;sheet=U0&amp;row=138&amp;col=7&amp;number=0.287&amp;sourceID=14","0.287")</f>
        <v>0.287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HYPERLINK("http://141.218.60.56/~jnz1568/getInfo.php?workbook=12_05.xlsx&amp;sheet=U0&amp;row=139&amp;col=6&amp;number=4.5&amp;sourceID=14","4.5")</f>
        <v>4.5</v>
      </c>
      <c r="G139" s="4" t="str">
        <f>HYPERLINK("http://141.218.60.56/~jnz1568/getInfo.php?workbook=12_05.xlsx&amp;sheet=U0&amp;row=139&amp;col=7&amp;number=0.287&amp;sourceID=14","0.287")</f>
        <v>0.287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HYPERLINK("http://141.218.60.56/~jnz1568/getInfo.php?workbook=12_05.xlsx&amp;sheet=U0&amp;row=140&amp;col=6&amp;number=4.6&amp;sourceID=14","4.6")</f>
        <v>4.6</v>
      </c>
      <c r="G140" s="4" t="str">
        <f>HYPERLINK("http://141.218.60.56/~jnz1568/getInfo.php?workbook=12_05.xlsx&amp;sheet=U0&amp;row=140&amp;col=7&amp;number=0.287&amp;sourceID=14","0.287")</f>
        <v>0.287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HYPERLINK("http://141.218.60.56/~jnz1568/getInfo.php?workbook=12_05.xlsx&amp;sheet=U0&amp;row=141&amp;col=6&amp;number=4.7&amp;sourceID=14","4.7")</f>
        <v>4.7</v>
      </c>
      <c r="G141" s="4" t="str">
        <f>HYPERLINK("http://141.218.60.56/~jnz1568/getInfo.php?workbook=12_05.xlsx&amp;sheet=U0&amp;row=141&amp;col=7&amp;number=0.287&amp;sourceID=14","0.287")</f>
        <v>0.287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HYPERLINK("http://141.218.60.56/~jnz1568/getInfo.php?workbook=12_05.xlsx&amp;sheet=U0&amp;row=142&amp;col=6&amp;number=4.8&amp;sourceID=14","4.8")</f>
        <v>4.8</v>
      </c>
      <c r="G142" s="4" t="str">
        <f>HYPERLINK("http://141.218.60.56/~jnz1568/getInfo.php?workbook=12_05.xlsx&amp;sheet=U0&amp;row=142&amp;col=7&amp;number=0.287&amp;sourceID=14","0.287")</f>
        <v>0.287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HYPERLINK("http://141.218.60.56/~jnz1568/getInfo.php?workbook=12_05.xlsx&amp;sheet=U0&amp;row=143&amp;col=6&amp;number=4.9&amp;sourceID=14","4.9")</f>
        <v>4.9</v>
      </c>
      <c r="G143" s="4" t="str">
        <f>HYPERLINK("http://141.218.60.56/~jnz1568/getInfo.php?workbook=12_05.xlsx&amp;sheet=U0&amp;row=143&amp;col=7&amp;number=0.287&amp;sourceID=14","0.287")</f>
        <v>0.287</v>
      </c>
    </row>
    <row r="144" spans="1:7">
      <c r="A144" s="3">
        <v>12</v>
      </c>
      <c r="B144" s="3">
        <v>5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HYPERLINK("http://141.218.60.56/~jnz1568/getInfo.php?workbook=12_05.xlsx&amp;sheet=U0&amp;row=144&amp;col=6&amp;number=3&amp;sourceID=14","3")</f>
        <v>3</v>
      </c>
      <c r="G144" s="4" t="str">
        <f>HYPERLINK("http://141.218.60.56/~jnz1568/getInfo.php?workbook=12_05.xlsx&amp;sheet=U0&amp;row=144&amp;col=7&amp;number=0.859&amp;sourceID=14","0.859")</f>
        <v>0.859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HYPERLINK("http://141.218.60.56/~jnz1568/getInfo.php?workbook=12_05.xlsx&amp;sheet=U0&amp;row=145&amp;col=6&amp;number=3.1&amp;sourceID=14","3.1")</f>
        <v>3.1</v>
      </c>
      <c r="G145" s="4" t="str">
        <f>HYPERLINK("http://141.218.60.56/~jnz1568/getInfo.php?workbook=12_05.xlsx&amp;sheet=U0&amp;row=145&amp;col=7&amp;number=0.859&amp;sourceID=14","0.859")</f>
        <v>0.859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HYPERLINK("http://141.218.60.56/~jnz1568/getInfo.php?workbook=12_05.xlsx&amp;sheet=U0&amp;row=146&amp;col=6&amp;number=3.2&amp;sourceID=14","3.2")</f>
        <v>3.2</v>
      </c>
      <c r="G146" s="4" t="str">
        <f>HYPERLINK("http://141.218.60.56/~jnz1568/getInfo.php?workbook=12_05.xlsx&amp;sheet=U0&amp;row=146&amp;col=7&amp;number=0.859&amp;sourceID=14","0.859")</f>
        <v>0.859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HYPERLINK("http://141.218.60.56/~jnz1568/getInfo.php?workbook=12_05.xlsx&amp;sheet=U0&amp;row=147&amp;col=6&amp;number=3.3&amp;sourceID=14","3.3")</f>
        <v>3.3</v>
      </c>
      <c r="G147" s="4" t="str">
        <f>HYPERLINK("http://141.218.60.56/~jnz1568/getInfo.php?workbook=12_05.xlsx&amp;sheet=U0&amp;row=147&amp;col=7&amp;number=0.859&amp;sourceID=14","0.859")</f>
        <v>0.859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HYPERLINK("http://141.218.60.56/~jnz1568/getInfo.php?workbook=12_05.xlsx&amp;sheet=U0&amp;row=148&amp;col=6&amp;number=3.4&amp;sourceID=14","3.4")</f>
        <v>3.4</v>
      </c>
      <c r="G148" s="4" t="str">
        <f>HYPERLINK("http://141.218.60.56/~jnz1568/getInfo.php?workbook=12_05.xlsx&amp;sheet=U0&amp;row=148&amp;col=7&amp;number=0.859&amp;sourceID=14","0.859")</f>
        <v>0.859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HYPERLINK("http://141.218.60.56/~jnz1568/getInfo.php?workbook=12_05.xlsx&amp;sheet=U0&amp;row=149&amp;col=6&amp;number=3.5&amp;sourceID=14","3.5")</f>
        <v>3.5</v>
      </c>
      <c r="G149" s="4" t="str">
        <f>HYPERLINK("http://141.218.60.56/~jnz1568/getInfo.php?workbook=12_05.xlsx&amp;sheet=U0&amp;row=149&amp;col=7&amp;number=0.859&amp;sourceID=14","0.859")</f>
        <v>0.859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HYPERLINK("http://141.218.60.56/~jnz1568/getInfo.php?workbook=12_05.xlsx&amp;sheet=U0&amp;row=150&amp;col=6&amp;number=3.6&amp;sourceID=14","3.6")</f>
        <v>3.6</v>
      </c>
      <c r="G150" s="4" t="str">
        <f>HYPERLINK("http://141.218.60.56/~jnz1568/getInfo.php?workbook=12_05.xlsx&amp;sheet=U0&amp;row=150&amp;col=7&amp;number=0.859&amp;sourceID=14","0.859")</f>
        <v>0.859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HYPERLINK("http://141.218.60.56/~jnz1568/getInfo.php?workbook=12_05.xlsx&amp;sheet=U0&amp;row=151&amp;col=6&amp;number=3.7&amp;sourceID=14","3.7")</f>
        <v>3.7</v>
      </c>
      <c r="G151" s="4" t="str">
        <f>HYPERLINK("http://141.218.60.56/~jnz1568/getInfo.php?workbook=12_05.xlsx&amp;sheet=U0&amp;row=151&amp;col=7&amp;number=0.859&amp;sourceID=14","0.859")</f>
        <v>0.859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HYPERLINK("http://141.218.60.56/~jnz1568/getInfo.php?workbook=12_05.xlsx&amp;sheet=U0&amp;row=152&amp;col=6&amp;number=3.8&amp;sourceID=14","3.8")</f>
        <v>3.8</v>
      </c>
      <c r="G152" s="4" t="str">
        <f>HYPERLINK("http://141.218.60.56/~jnz1568/getInfo.php?workbook=12_05.xlsx&amp;sheet=U0&amp;row=152&amp;col=7&amp;number=0.858&amp;sourceID=14","0.858")</f>
        <v>0.858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HYPERLINK("http://141.218.60.56/~jnz1568/getInfo.php?workbook=12_05.xlsx&amp;sheet=U0&amp;row=153&amp;col=6&amp;number=3.9&amp;sourceID=14","3.9")</f>
        <v>3.9</v>
      </c>
      <c r="G153" s="4" t="str">
        <f>HYPERLINK("http://141.218.60.56/~jnz1568/getInfo.php?workbook=12_05.xlsx&amp;sheet=U0&amp;row=153&amp;col=7&amp;number=0.858&amp;sourceID=14","0.858")</f>
        <v>0.858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HYPERLINK("http://141.218.60.56/~jnz1568/getInfo.php?workbook=12_05.xlsx&amp;sheet=U0&amp;row=154&amp;col=6&amp;number=4&amp;sourceID=14","4")</f>
        <v>4</v>
      </c>
      <c r="G154" s="4" t="str">
        <f>HYPERLINK("http://141.218.60.56/~jnz1568/getInfo.php?workbook=12_05.xlsx&amp;sheet=U0&amp;row=154&amp;col=7&amp;number=0.858&amp;sourceID=14","0.858")</f>
        <v>0.858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HYPERLINK("http://141.218.60.56/~jnz1568/getInfo.php?workbook=12_05.xlsx&amp;sheet=U0&amp;row=155&amp;col=6&amp;number=4.1&amp;sourceID=14","4.1")</f>
        <v>4.1</v>
      </c>
      <c r="G155" s="4" t="str">
        <f>HYPERLINK("http://141.218.60.56/~jnz1568/getInfo.php?workbook=12_05.xlsx&amp;sheet=U0&amp;row=155&amp;col=7&amp;number=0.858&amp;sourceID=14","0.858")</f>
        <v>0.858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HYPERLINK("http://141.218.60.56/~jnz1568/getInfo.php?workbook=12_05.xlsx&amp;sheet=U0&amp;row=156&amp;col=6&amp;number=4.2&amp;sourceID=14","4.2")</f>
        <v>4.2</v>
      </c>
      <c r="G156" s="4" t="str">
        <f>HYPERLINK("http://141.218.60.56/~jnz1568/getInfo.php?workbook=12_05.xlsx&amp;sheet=U0&amp;row=156&amp;col=7&amp;number=0.858&amp;sourceID=14","0.858")</f>
        <v>0.858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HYPERLINK("http://141.218.60.56/~jnz1568/getInfo.php?workbook=12_05.xlsx&amp;sheet=U0&amp;row=157&amp;col=6&amp;number=4.3&amp;sourceID=14","4.3")</f>
        <v>4.3</v>
      </c>
      <c r="G157" s="4" t="str">
        <f>HYPERLINK("http://141.218.60.56/~jnz1568/getInfo.php?workbook=12_05.xlsx&amp;sheet=U0&amp;row=157&amp;col=7&amp;number=0.857&amp;sourceID=14","0.857")</f>
        <v>0.857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HYPERLINK("http://141.218.60.56/~jnz1568/getInfo.php?workbook=12_05.xlsx&amp;sheet=U0&amp;row=158&amp;col=6&amp;number=4.4&amp;sourceID=14","4.4")</f>
        <v>4.4</v>
      </c>
      <c r="G158" s="4" t="str">
        <f>HYPERLINK("http://141.218.60.56/~jnz1568/getInfo.php?workbook=12_05.xlsx&amp;sheet=U0&amp;row=158&amp;col=7&amp;number=0.857&amp;sourceID=14","0.857")</f>
        <v>0.857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HYPERLINK("http://141.218.60.56/~jnz1568/getInfo.php?workbook=12_05.xlsx&amp;sheet=U0&amp;row=159&amp;col=6&amp;number=4.5&amp;sourceID=14","4.5")</f>
        <v>4.5</v>
      </c>
      <c r="G159" s="4" t="str">
        <f>HYPERLINK("http://141.218.60.56/~jnz1568/getInfo.php?workbook=12_05.xlsx&amp;sheet=U0&amp;row=159&amp;col=7&amp;number=0.857&amp;sourceID=14","0.857")</f>
        <v>0.857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HYPERLINK("http://141.218.60.56/~jnz1568/getInfo.php?workbook=12_05.xlsx&amp;sheet=U0&amp;row=160&amp;col=6&amp;number=4.6&amp;sourceID=14","4.6")</f>
        <v>4.6</v>
      </c>
      <c r="G160" s="4" t="str">
        <f>HYPERLINK("http://141.218.60.56/~jnz1568/getInfo.php?workbook=12_05.xlsx&amp;sheet=U0&amp;row=160&amp;col=7&amp;number=0.856&amp;sourceID=14","0.856")</f>
        <v>0.856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HYPERLINK("http://141.218.60.56/~jnz1568/getInfo.php?workbook=12_05.xlsx&amp;sheet=U0&amp;row=161&amp;col=6&amp;number=4.7&amp;sourceID=14","4.7")</f>
        <v>4.7</v>
      </c>
      <c r="G161" s="4" t="str">
        <f>HYPERLINK("http://141.218.60.56/~jnz1568/getInfo.php?workbook=12_05.xlsx&amp;sheet=U0&amp;row=161&amp;col=7&amp;number=0.856&amp;sourceID=14","0.856")</f>
        <v>0.856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HYPERLINK("http://141.218.60.56/~jnz1568/getInfo.php?workbook=12_05.xlsx&amp;sheet=U0&amp;row=162&amp;col=6&amp;number=4.8&amp;sourceID=14","4.8")</f>
        <v>4.8</v>
      </c>
      <c r="G162" s="4" t="str">
        <f>HYPERLINK("http://141.218.60.56/~jnz1568/getInfo.php?workbook=12_05.xlsx&amp;sheet=U0&amp;row=162&amp;col=7&amp;number=0.857&amp;sourceID=14","0.857")</f>
        <v>0.857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HYPERLINK("http://141.218.60.56/~jnz1568/getInfo.php?workbook=12_05.xlsx&amp;sheet=U0&amp;row=163&amp;col=6&amp;number=4.9&amp;sourceID=14","4.9")</f>
        <v>4.9</v>
      </c>
      <c r="G163" s="4" t="str">
        <f>HYPERLINK("http://141.218.60.56/~jnz1568/getInfo.php?workbook=12_05.xlsx&amp;sheet=U0&amp;row=163&amp;col=7&amp;number=0.857&amp;sourceID=14","0.857")</f>
        <v>0.857</v>
      </c>
    </row>
    <row r="164" spans="1:7">
      <c r="A164" s="3">
        <v>12</v>
      </c>
      <c r="B164" s="3">
        <v>5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HYPERLINK("http://141.218.60.56/~jnz1568/getInfo.php?workbook=12_05.xlsx&amp;sheet=U0&amp;row=164&amp;col=6&amp;number=3&amp;sourceID=14","3")</f>
        <v>3</v>
      </c>
      <c r="G164" s="4" t="str">
        <f>HYPERLINK("http://141.218.60.56/~jnz1568/getInfo.php?workbook=12_05.xlsx&amp;sheet=U0&amp;row=164&amp;col=7&amp;number=0.44&amp;sourceID=14","0.44")</f>
        <v>0.44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HYPERLINK("http://141.218.60.56/~jnz1568/getInfo.php?workbook=12_05.xlsx&amp;sheet=U0&amp;row=165&amp;col=6&amp;number=3.1&amp;sourceID=14","3.1")</f>
        <v>3.1</v>
      </c>
      <c r="G165" s="4" t="str">
        <f>HYPERLINK("http://141.218.60.56/~jnz1568/getInfo.php?workbook=12_05.xlsx&amp;sheet=U0&amp;row=165&amp;col=7&amp;number=0.44&amp;sourceID=14","0.44")</f>
        <v>0.44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HYPERLINK("http://141.218.60.56/~jnz1568/getInfo.php?workbook=12_05.xlsx&amp;sheet=U0&amp;row=166&amp;col=6&amp;number=3.2&amp;sourceID=14","3.2")</f>
        <v>3.2</v>
      </c>
      <c r="G166" s="4" t="str">
        <f>HYPERLINK("http://141.218.60.56/~jnz1568/getInfo.php?workbook=12_05.xlsx&amp;sheet=U0&amp;row=166&amp;col=7&amp;number=0.44&amp;sourceID=14","0.44")</f>
        <v>0.44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HYPERLINK("http://141.218.60.56/~jnz1568/getInfo.php?workbook=12_05.xlsx&amp;sheet=U0&amp;row=167&amp;col=6&amp;number=3.3&amp;sourceID=14","3.3")</f>
        <v>3.3</v>
      </c>
      <c r="G167" s="4" t="str">
        <f>HYPERLINK("http://141.218.60.56/~jnz1568/getInfo.php?workbook=12_05.xlsx&amp;sheet=U0&amp;row=167&amp;col=7&amp;number=0.44&amp;sourceID=14","0.44")</f>
        <v>0.44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HYPERLINK("http://141.218.60.56/~jnz1568/getInfo.php?workbook=12_05.xlsx&amp;sheet=U0&amp;row=168&amp;col=6&amp;number=3.4&amp;sourceID=14","3.4")</f>
        <v>3.4</v>
      </c>
      <c r="G168" s="4" t="str">
        <f>HYPERLINK("http://141.218.60.56/~jnz1568/getInfo.php?workbook=12_05.xlsx&amp;sheet=U0&amp;row=168&amp;col=7&amp;number=0.44&amp;sourceID=14","0.44")</f>
        <v>0.44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HYPERLINK("http://141.218.60.56/~jnz1568/getInfo.php?workbook=12_05.xlsx&amp;sheet=U0&amp;row=169&amp;col=6&amp;number=3.5&amp;sourceID=14","3.5")</f>
        <v>3.5</v>
      </c>
      <c r="G169" s="4" t="str">
        <f>HYPERLINK("http://141.218.60.56/~jnz1568/getInfo.php?workbook=12_05.xlsx&amp;sheet=U0&amp;row=169&amp;col=7&amp;number=0.44&amp;sourceID=14","0.44")</f>
        <v>0.44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HYPERLINK("http://141.218.60.56/~jnz1568/getInfo.php?workbook=12_05.xlsx&amp;sheet=U0&amp;row=170&amp;col=6&amp;number=3.6&amp;sourceID=14","3.6")</f>
        <v>3.6</v>
      </c>
      <c r="G170" s="4" t="str">
        <f>HYPERLINK("http://141.218.60.56/~jnz1568/getInfo.php?workbook=12_05.xlsx&amp;sheet=U0&amp;row=170&amp;col=7&amp;number=0.44&amp;sourceID=14","0.44")</f>
        <v>0.44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HYPERLINK("http://141.218.60.56/~jnz1568/getInfo.php?workbook=12_05.xlsx&amp;sheet=U0&amp;row=171&amp;col=6&amp;number=3.7&amp;sourceID=14","3.7")</f>
        <v>3.7</v>
      </c>
      <c r="G171" s="4" t="str">
        <f>HYPERLINK("http://141.218.60.56/~jnz1568/getInfo.php?workbook=12_05.xlsx&amp;sheet=U0&amp;row=171&amp;col=7&amp;number=0.44&amp;sourceID=14","0.44")</f>
        <v>0.44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HYPERLINK("http://141.218.60.56/~jnz1568/getInfo.php?workbook=12_05.xlsx&amp;sheet=U0&amp;row=172&amp;col=6&amp;number=3.8&amp;sourceID=14","3.8")</f>
        <v>3.8</v>
      </c>
      <c r="G172" s="4" t="str">
        <f>HYPERLINK("http://141.218.60.56/~jnz1568/getInfo.php?workbook=12_05.xlsx&amp;sheet=U0&amp;row=172&amp;col=7&amp;number=0.44&amp;sourceID=14","0.44")</f>
        <v>0.44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HYPERLINK("http://141.218.60.56/~jnz1568/getInfo.php?workbook=12_05.xlsx&amp;sheet=U0&amp;row=173&amp;col=6&amp;number=3.9&amp;sourceID=14","3.9")</f>
        <v>3.9</v>
      </c>
      <c r="G173" s="4" t="str">
        <f>HYPERLINK("http://141.218.60.56/~jnz1568/getInfo.php?workbook=12_05.xlsx&amp;sheet=U0&amp;row=173&amp;col=7&amp;number=0.44&amp;sourceID=14","0.44")</f>
        <v>0.44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HYPERLINK("http://141.218.60.56/~jnz1568/getInfo.php?workbook=12_05.xlsx&amp;sheet=U0&amp;row=174&amp;col=6&amp;number=4&amp;sourceID=14","4")</f>
        <v>4</v>
      </c>
      <c r="G174" s="4" t="str">
        <f>HYPERLINK("http://141.218.60.56/~jnz1568/getInfo.php?workbook=12_05.xlsx&amp;sheet=U0&amp;row=174&amp;col=7&amp;number=0.44&amp;sourceID=14","0.44")</f>
        <v>0.44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HYPERLINK("http://141.218.60.56/~jnz1568/getInfo.php?workbook=12_05.xlsx&amp;sheet=U0&amp;row=175&amp;col=6&amp;number=4.1&amp;sourceID=14","4.1")</f>
        <v>4.1</v>
      </c>
      <c r="G175" s="4" t="str">
        <f>HYPERLINK("http://141.218.60.56/~jnz1568/getInfo.php?workbook=12_05.xlsx&amp;sheet=U0&amp;row=175&amp;col=7&amp;number=0.44&amp;sourceID=14","0.44")</f>
        <v>0.44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HYPERLINK("http://141.218.60.56/~jnz1568/getInfo.php?workbook=12_05.xlsx&amp;sheet=U0&amp;row=176&amp;col=6&amp;number=4.2&amp;sourceID=14","4.2")</f>
        <v>4.2</v>
      </c>
      <c r="G176" s="4" t="str">
        <f>HYPERLINK("http://141.218.60.56/~jnz1568/getInfo.php?workbook=12_05.xlsx&amp;sheet=U0&amp;row=176&amp;col=7&amp;number=0.44&amp;sourceID=14","0.44")</f>
        <v>0.44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HYPERLINK("http://141.218.60.56/~jnz1568/getInfo.php?workbook=12_05.xlsx&amp;sheet=U0&amp;row=177&amp;col=6&amp;number=4.3&amp;sourceID=14","4.3")</f>
        <v>4.3</v>
      </c>
      <c r="G177" s="4" t="str">
        <f>HYPERLINK("http://141.218.60.56/~jnz1568/getInfo.php?workbook=12_05.xlsx&amp;sheet=U0&amp;row=177&amp;col=7&amp;number=0.44&amp;sourceID=14","0.44")</f>
        <v>0.44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HYPERLINK("http://141.218.60.56/~jnz1568/getInfo.php?workbook=12_05.xlsx&amp;sheet=U0&amp;row=178&amp;col=6&amp;number=4.4&amp;sourceID=14","4.4")</f>
        <v>4.4</v>
      </c>
      <c r="G178" s="4" t="str">
        <f>HYPERLINK("http://141.218.60.56/~jnz1568/getInfo.php?workbook=12_05.xlsx&amp;sheet=U0&amp;row=178&amp;col=7&amp;number=0.44&amp;sourceID=14","0.44")</f>
        <v>0.44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HYPERLINK("http://141.218.60.56/~jnz1568/getInfo.php?workbook=12_05.xlsx&amp;sheet=U0&amp;row=179&amp;col=6&amp;number=4.5&amp;sourceID=14","4.5")</f>
        <v>4.5</v>
      </c>
      <c r="G179" s="4" t="str">
        <f>HYPERLINK("http://141.218.60.56/~jnz1568/getInfo.php?workbook=12_05.xlsx&amp;sheet=U0&amp;row=179&amp;col=7&amp;number=0.44&amp;sourceID=14","0.44")</f>
        <v>0.44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HYPERLINK("http://141.218.60.56/~jnz1568/getInfo.php?workbook=12_05.xlsx&amp;sheet=U0&amp;row=180&amp;col=6&amp;number=4.6&amp;sourceID=14","4.6")</f>
        <v>4.6</v>
      </c>
      <c r="G180" s="4" t="str">
        <f>HYPERLINK("http://141.218.60.56/~jnz1568/getInfo.php?workbook=12_05.xlsx&amp;sheet=U0&amp;row=180&amp;col=7&amp;number=0.44&amp;sourceID=14","0.44")</f>
        <v>0.44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HYPERLINK("http://141.218.60.56/~jnz1568/getInfo.php?workbook=12_05.xlsx&amp;sheet=U0&amp;row=181&amp;col=6&amp;number=4.7&amp;sourceID=14","4.7")</f>
        <v>4.7</v>
      </c>
      <c r="G181" s="4" t="str">
        <f>HYPERLINK("http://141.218.60.56/~jnz1568/getInfo.php?workbook=12_05.xlsx&amp;sheet=U0&amp;row=181&amp;col=7&amp;number=0.44&amp;sourceID=14","0.44")</f>
        <v>0.44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HYPERLINK("http://141.218.60.56/~jnz1568/getInfo.php?workbook=12_05.xlsx&amp;sheet=U0&amp;row=182&amp;col=6&amp;number=4.8&amp;sourceID=14","4.8")</f>
        <v>4.8</v>
      </c>
      <c r="G182" s="4" t="str">
        <f>HYPERLINK("http://141.218.60.56/~jnz1568/getInfo.php?workbook=12_05.xlsx&amp;sheet=U0&amp;row=182&amp;col=7&amp;number=0.441&amp;sourceID=14","0.441")</f>
        <v>0.441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HYPERLINK("http://141.218.60.56/~jnz1568/getInfo.php?workbook=12_05.xlsx&amp;sheet=U0&amp;row=183&amp;col=6&amp;number=4.9&amp;sourceID=14","4.9")</f>
        <v>4.9</v>
      </c>
      <c r="G183" s="4" t="str">
        <f>HYPERLINK("http://141.218.60.56/~jnz1568/getInfo.php?workbook=12_05.xlsx&amp;sheet=U0&amp;row=183&amp;col=7&amp;number=0.441&amp;sourceID=14","0.441")</f>
        <v>0.441</v>
      </c>
    </row>
    <row r="184" spans="1:7">
      <c r="A184" s="3">
        <v>12</v>
      </c>
      <c r="B184" s="3">
        <v>5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HYPERLINK("http://141.218.60.56/~jnz1568/getInfo.php?workbook=12_05.xlsx&amp;sheet=U0&amp;row=184&amp;col=6&amp;number=3&amp;sourceID=14","3")</f>
        <v>3</v>
      </c>
      <c r="G184" s="4" t="str">
        <f>HYPERLINK("http://141.218.60.56/~jnz1568/getInfo.php?workbook=12_05.xlsx&amp;sheet=U0&amp;row=184&amp;col=7&amp;number=0.00202&amp;sourceID=14","0.00202")</f>
        <v>0.00202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HYPERLINK("http://141.218.60.56/~jnz1568/getInfo.php?workbook=12_05.xlsx&amp;sheet=U0&amp;row=185&amp;col=6&amp;number=3.1&amp;sourceID=14","3.1")</f>
        <v>3.1</v>
      </c>
      <c r="G185" s="4" t="str">
        <f>HYPERLINK("http://141.218.60.56/~jnz1568/getInfo.php?workbook=12_05.xlsx&amp;sheet=U0&amp;row=185&amp;col=7&amp;number=0.00202&amp;sourceID=14","0.00202")</f>
        <v>0.00202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HYPERLINK("http://141.218.60.56/~jnz1568/getInfo.php?workbook=12_05.xlsx&amp;sheet=U0&amp;row=186&amp;col=6&amp;number=3.2&amp;sourceID=14","3.2")</f>
        <v>3.2</v>
      </c>
      <c r="G186" s="4" t="str">
        <f>HYPERLINK("http://141.218.60.56/~jnz1568/getInfo.php?workbook=12_05.xlsx&amp;sheet=U0&amp;row=186&amp;col=7&amp;number=0.00202&amp;sourceID=14","0.00202")</f>
        <v>0.00202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HYPERLINK("http://141.218.60.56/~jnz1568/getInfo.php?workbook=12_05.xlsx&amp;sheet=U0&amp;row=187&amp;col=6&amp;number=3.3&amp;sourceID=14","3.3")</f>
        <v>3.3</v>
      </c>
      <c r="G187" s="4" t="str">
        <f>HYPERLINK("http://141.218.60.56/~jnz1568/getInfo.php?workbook=12_05.xlsx&amp;sheet=U0&amp;row=187&amp;col=7&amp;number=0.00202&amp;sourceID=14","0.00202")</f>
        <v>0.00202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HYPERLINK("http://141.218.60.56/~jnz1568/getInfo.php?workbook=12_05.xlsx&amp;sheet=U0&amp;row=188&amp;col=6&amp;number=3.4&amp;sourceID=14","3.4")</f>
        <v>3.4</v>
      </c>
      <c r="G188" s="4" t="str">
        <f>HYPERLINK("http://141.218.60.56/~jnz1568/getInfo.php?workbook=12_05.xlsx&amp;sheet=U0&amp;row=188&amp;col=7&amp;number=0.00202&amp;sourceID=14","0.00202")</f>
        <v>0.00202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HYPERLINK("http://141.218.60.56/~jnz1568/getInfo.php?workbook=12_05.xlsx&amp;sheet=U0&amp;row=189&amp;col=6&amp;number=3.5&amp;sourceID=14","3.5")</f>
        <v>3.5</v>
      </c>
      <c r="G189" s="4" t="str">
        <f>HYPERLINK("http://141.218.60.56/~jnz1568/getInfo.php?workbook=12_05.xlsx&amp;sheet=U0&amp;row=189&amp;col=7&amp;number=0.00201&amp;sourceID=14","0.00201")</f>
        <v>0.00201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HYPERLINK("http://141.218.60.56/~jnz1568/getInfo.php?workbook=12_05.xlsx&amp;sheet=U0&amp;row=190&amp;col=6&amp;number=3.6&amp;sourceID=14","3.6")</f>
        <v>3.6</v>
      </c>
      <c r="G190" s="4" t="str">
        <f>HYPERLINK("http://141.218.60.56/~jnz1568/getInfo.php?workbook=12_05.xlsx&amp;sheet=U0&amp;row=190&amp;col=7&amp;number=0.00201&amp;sourceID=14","0.00201")</f>
        <v>0.00201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HYPERLINK("http://141.218.60.56/~jnz1568/getInfo.php?workbook=12_05.xlsx&amp;sheet=U0&amp;row=191&amp;col=6&amp;number=3.7&amp;sourceID=14","3.7")</f>
        <v>3.7</v>
      </c>
      <c r="G191" s="4" t="str">
        <f>HYPERLINK("http://141.218.60.56/~jnz1568/getInfo.php?workbook=12_05.xlsx&amp;sheet=U0&amp;row=191&amp;col=7&amp;number=0.002&amp;sourceID=14","0.002")</f>
        <v>0.002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HYPERLINK("http://141.218.60.56/~jnz1568/getInfo.php?workbook=12_05.xlsx&amp;sheet=U0&amp;row=192&amp;col=6&amp;number=3.8&amp;sourceID=14","3.8")</f>
        <v>3.8</v>
      </c>
      <c r="G192" s="4" t="str">
        <f>HYPERLINK("http://141.218.60.56/~jnz1568/getInfo.php?workbook=12_05.xlsx&amp;sheet=U0&amp;row=192&amp;col=7&amp;number=0.002&amp;sourceID=14","0.002")</f>
        <v>0.002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HYPERLINK("http://141.218.60.56/~jnz1568/getInfo.php?workbook=12_05.xlsx&amp;sheet=U0&amp;row=193&amp;col=6&amp;number=3.9&amp;sourceID=14","3.9")</f>
        <v>3.9</v>
      </c>
      <c r="G193" s="4" t="str">
        <f>HYPERLINK("http://141.218.60.56/~jnz1568/getInfo.php?workbook=12_05.xlsx&amp;sheet=U0&amp;row=193&amp;col=7&amp;number=0.00199&amp;sourceID=14","0.00199")</f>
        <v>0.00199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HYPERLINK("http://141.218.60.56/~jnz1568/getInfo.php?workbook=12_05.xlsx&amp;sheet=U0&amp;row=194&amp;col=6&amp;number=4&amp;sourceID=14","4")</f>
        <v>4</v>
      </c>
      <c r="G194" s="4" t="str">
        <f>HYPERLINK("http://141.218.60.56/~jnz1568/getInfo.php?workbook=12_05.xlsx&amp;sheet=U0&amp;row=194&amp;col=7&amp;number=0.00198&amp;sourceID=14","0.00198")</f>
        <v>0.00198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HYPERLINK("http://141.218.60.56/~jnz1568/getInfo.php?workbook=12_05.xlsx&amp;sheet=U0&amp;row=195&amp;col=6&amp;number=4.1&amp;sourceID=14","4.1")</f>
        <v>4.1</v>
      </c>
      <c r="G195" s="4" t="str">
        <f>HYPERLINK("http://141.218.60.56/~jnz1568/getInfo.php?workbook=12_05.xlsx&amp;sheet=U0&amp;row=195&amp;col=7&amp;number=0.00197&amp;sourceID=14","0.00197")</f>
        <v>0.00197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HYPERLINK("http://141.218.60.56/~jnz1568/getInfo.php?workbook=12_05.xlsx&amp;sheet=U0&amp;row=196&amp;col=6&amp;number=4.2&amp;sourceID=14","4.2")</f>
        <v>4.2</v>
      </c>
      <c r="G196" s="4" t="str">
        <f>HYPERLINK("http://141.218.60.56/~jnz1568/getInfo.php?workbook=12_05.xlsx&amp;sheet=U0&amp;row=196&amp;col=7&amp;number=0.00195&amp;sourceID=14","0.00195")</f>
        <v>0.00195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HYPERLINK("http://141.218.60.56/~jnz1568/getInfo.php?workbook=12_05.xlsx&amp;sheet=U0&amp;row=197&amp;col=6&amp;number=4.3&amp;sourceID=14","4.3")</f>
        <v>4.3</v>
      </c>
      <c r="G197" s="4" t="str">
        <f>HYPERLINK("http://141.218.60.56/~jnz1568/getInfo.php?workbook=12_05.xlsx&amp;sheet=U0&amp;row=197&amp;col=7&amp;number=0.00194&amp;sourceID=14","0.00194")</f>
        <v>0.00194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HYPERLINK("http://141.218.60.56/~jnz1568/getInfo.php?workbook=12_05.xlsx&amp;sheet=U0&amp;row=198&amp;col=6&amp;number=4.4&amp;sourceID=14","4.4")</f>
        <v>4.4</v>
      </c>
      <c r="G198" s="4" t="str">
        <f>HYPERLINK("http://141.218.60.56/~jnz1568/getInfo.php?workbook=12_05.xlsx&amp;sheet=U0&amp;row=198&amp;col=7&amp;number=0.00191&amp;sourceID=14","0.00191")</f>
        <v>0.00191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HYPERLINK("http://141.218.60.56/~jnz1568/getInfo.php?workbook=12_05.xlsx&amp;sheet=U0&amp;row=199&amp;col=6&amp;number=4.5&amp;sourceID=14","4.5")</f>
        <v>4.5</v>
      </c>
      <c r="G199" s="4" t="str">
        <f>HYPERLINK("http://141.218.60.56/~jnz1568/getInfo.php?workbook=12_05.xlsx&amp;sheet=U0&amp;row=199&amp;col=7&amp;number=0.00189&amp;sourceID=14","0.00189")</f>
        <v>0.00189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HYPERLINK("http://141.218.60.56/~jnz1568/getInfo.php?workbook=12_05.xlsx&amp;sheet=U0&amp;row=200&amp;col=6&amp;number=4.6&amp;sourceID=14","4.6")</f>
        <v>4.6</v>
      </c>
      <c r="G200" s="4" t="str">
        <f>HYPERLINK("http://141.218.60.56/~jnz1568/getInfo.php?workbook=12_05.xlsx&amp;sheet=U0&amp;row=200&amp;col=7&amp;number=0.00185&amp;sourceID=14","0.00185")</f>
        <v>0.00185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HYPERLINK("http://141.218.60.56/~jnz1568/getInfo.php?workbook=12_05.xlsx&amp;sheet=U0&amp;row=201&amp;col=6&amp;number=4.7&amp;sourceID=14","4.7")</f>
        <v>4.7</v>
      </c>
      <c r="G201" s="4" t="str">
        <f>HYPERLINK("http://141.218.60.56/~jnz1568/getInfo.php?workbook=12_05.xlsx&amp;sheet=U0&amp;row=201&amp;col=7&amp;number=0.00181&amp;sourceID=14","0.00181")</f>
        <v>0.00181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HYPERLINK("http://141.218.60.56/~jnz1568/getInfo.php?workbook=12_05.xlsx&amp;sheet=U0&amp;row=202&amp;col=6&amp;number=4.8&amp;sourceID=14","4.8")</f>
        <v>4.8</v>
      </c>
      <c r="G202" s="4" t="str">
        <f>HYPERLINK("http://141.218.60.56/~jnz1568/getInfo.php?workbook=12_05.xlsx&amp;sheet=U0&amp;row=202&amp;col=7&amp;number=0.00176&amp;sourceID=14","0.00176")</f>
        <v>0.00176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HYPERLINK("http://141.218.60.56/~jnz1568/getInfo.php?workbook=12_05.xlsx&amp;sheet=U0&amp;row=203&amp;col=6&amp;number=4.9&amp;sourceID=14","4.9")</f>
        <v>4.9</v>
      </c>
      <c r="G203" s="4" t="str">
        <f>HYPERLINK("http://141.218.60.56/~jnz1568/getInfo.php?workbook=12_05.xlsx&amp;sheet=U0&amp;row=203&amp;col=7&amp;number=0.0017&amp;sourceID=14","0.0017")</f>
        <v>0.0017</v>
      </c>
    </row>
    <row r="204" spans="1:7">
      <c r="A204" s="3">
        <v>12</v>
      </c>
      <c r="B204" s="3">
        <v>5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HYPERLINK("http://141.218.60.56/~jnz1568/getInfo.php?workbook=12_05.xlsx&amp;sheet=U0&amp;row=204&amp;col=6&amp;number=3&amp;sourceID=14","3")</f>
        <v>3</v>
      </c>
      <c r="G204" s="4" t="str">
        <f>HYPERLINK("http://141.218.60.56/~jnz1568/getInfo.php?workbook=12_05.xlsx&amp;sheet=U0&amp;row=204&amp;col=7&amp;number=0.0135&amp;sourceID=14","0.0135")</f>
        <v>0.0135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HYPERLINK("http://141.218.60.56/~jnz1568/getInfo.php?workbook=12_05.xlsx&amp;sheet=U0&amp;row=205&amp;col=6&amp;number=3.1&amp;sourceID=14","3.1")</f>
        <v>3.1</v>
      </c>
      <c r="G205" s="4" t="str">
        <f>HYPERLINK("http://141.218.60.56/~jnz1568/getInfo.php?workbook=12_05.xlsx&amp;sheet=U0&amp;row=205&amp;col=7&amp;number=0.0135&amp;sourceID=14","0.0135")</f>
        <v>0.0135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HYPERLINK("http://141.218.60.56/~jnz1568/getInfo.php?workbook=12_05.xlsx&amp;sheet=U0&amp;row=206&amp;col=6&amp;number=3.2&amp;sourceID=14","3.2")</f>
        <v>3.2</v>
      </c>
      <c r="G206" s="4" t="str">
        <f>HYPERLINK("http://141.218.60.56/~jnz1568/getInfo.php?workbook=12_05.xlsx&amp;sheet=U0&amp;row=206&amp;col=7&amp;number=0.0135&amp;sourceID=14","0.0135")</f>
        <v>0.0135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HYPERLINK("http://141.218.60.56/~jnz1568/getInfo.php?workbook=12_05.xlsx&amp;sheet=U0&amp;row=207&amp;col=6&amp;number=3.3&amp;sourceID=14","3.3")</f>
        <v>3.3</v>
      </c>
      <c r="G207" s="4" t="str">
        <f>HYPERLINK("http://141.218.60.56/~jnz1568/getInfo.php?workbook=12_05.xlsx&amp;sheet=U0&amp;row=207&amp;col=7&amp;number=0.0135&amp;sourceID=14","0.0135")</f>
        <v>0.0135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HYPERLINK("http://141.218.60.56/~jnz1568/getInfo.php?workbook=12_05.xlsx&amp;sheet=U0&amp;row=208&amp;col=6&amp;number=3.4&amp;sourceID=14","3.4")</f>
        <v>3.4</v>
      </c>
      <c r="G208" s="4" t="str">
        <f>HYPERLINK("http://141.218.60.56/~jnz1568/getInfo.php?workbook=12_05.xlsx&amp;sheet=U0&amp;row=208&amp;col=7&amp;number=0.0135&amp;sourceID=14","0.0135")</f>
        <v>0.0135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HYPERLINK("http://141.218.60.56/~jnz1568/getInfo.php?workbook=12_05.xlsx&amp;sheet=U0&amp;row=209&amp;col=6&amp;number=3.5&amp;sourceID=14","3.5")</f>
        <v>3.5</v>
      </c>
      <c r="G209" s="4" t="str">
        <f>HYPERLINK("http://141.218.60.56/~jnz1568/getInfo.php?workbook=12_05.xlsx&amp;sheet=U0&amp;row=209&amp;col=7&amp;number=0.0135&amp;sourceID=14","0.0135")</f>
        <v>0.0135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HYPERLINK("http://141.218.60.56/~jnz1568/getInfo.php?workbook=12_05.xlsx&amp;sheet=U0&amp;row=210&amp;col=6&amp;number=3.6&amp;sourceID=14","3.6")</f>
        <v>3.6</v>
      </c>
      <c r="G210" s="4" t="str">
        <f>HYPERLINK("http://141.218.60.56/~jnz1568/getInfo.php?workbook=12_05.xlsx&amp;sheet=U0&amp;row=210&amp;col=7&amp;number=0.0135&amp;sourceID=14","0.0135")</f>
        <v>0.0135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HYPERLINK("http://141.218.60.56/~jnz1568/getInfo.php?workbook=12_05.xlsx&amp;sheet=U0&amp;row=211&amp;col=6&amp;number=3.7&amp;sourceID=14","3.7")</f>
        <v>3.7</v>
      </c>
      <c r="G211" s="4" t="str">
        <f>HYPERLINK("http://141.218.60.56/~jnz1568/getInfo.php?workbook=12_05.xlsx&amp;sheet=U0&amp;row=211&amp;col=7&amp;number=0.0134&amp;sourceID=14","0.0134")</f>
        <v>0.0134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HYPERLINK("http://141.218.60.56/~jnz1568/getInfo.php?workbook=12_05.xlsx&amp;sheet=U0&amp;row=212&amp;col=6&amp;number=3.8&amp;sourceID=14","3.8")</f>
        <v>3.8</v>
      </c>
      <c r="G212" s="4" t="str">
        <f>HYPERLINK("http://141.218.60.56/~jnz1568/getInfo.php?workbook=12_05.xlsx&amp;sheet=U0&amp;row=212&amp;col=7&amp;number=0.0134&amp;sourceID=14","0.0134")</f>
        <v>0.0134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HYPERLINK("http://141.218.60.56/~jnz1568/getInfo.php?workbook=12_05.xlsx&amp;sheet=U0&amp;row=213&amp;col=6&amp;number=3.9&amp;sourceID=14","3.9")</f>
        <v>3.9</v>
      </c>
      <c r="G213" s="4" t="str">
        <f>HYPERLINK("http://141.218.60.56/~jnz1568/getInfo.php?workbook=12_05.xlsx&amp;sheet=U0&amp;row=213&amp;col=7&amp;number=0.0134&amp;sourceID=14","0.0134")</f>
        <v>0.0134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HYPERLINK("http://141.218.60.56/~jnz1568/getInfo.php?workbook=12_05.xlsx&amp;sheet=U0&amp;row=214&amp;col=6&amp;number=4&amp;sourceID=14","4")</f>
        <v>4</v>
      </c>
      <c r="G214" s="4" t="str">
        <f>HYPERLINK("http://141.218.60.56/~jnz1568/getInfo.php?workbook=12_05.xlsx&amp;sheet=U0&amp;row=214&amp;col=7&amp;number=0.0133&amp;sourceID=14","0.0133")</f>
        <v>0.0133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HYPERLINK("http://141.218.60.56/~jnz1568/getInfo.php?workbook=12_05.xlsx&amp;sheet=U0&amp;row=215&amp;col=6&amp;number=4.1&amp;sourceID=14","4.1")</f>
        <v>4.1</v>
      </c>
      <c r="G215" s="4" t="str">
        <f>HYPERLINK("http://141.218.60.56/~jnz1568/getInfo.php?workbook=12_05.xlsx&amp;sheet=U0&amp;row=215&amp;col=7&amp;number=0.0133&amp;sourceID=14","0.0133")</f>
        <v>0.0133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HYPERLINK("http://141.218.60.56/~jnz1568/getInfo.php?workbook=12_05.xlsx&amp;sheet=U0&amp;row=216&amp;col=6&amp;number=4.2&amp;sourceID=14","4.2")</f>
        <v>4.2</v>
      </c>
      <c r="G216" s="4" t="str">
        <f>HYPERLINK("http://141.218.60.56/~jnz1568/getInfo.php?workbook=12_05.xlsx&amp;sheet=U0&amp;row=216&amp;col=7&amp;number=0.0132&amp;sourceID=14","0.0132")</f>
        <v>0.0132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HYPERLINK("http://141.218.60.56/~jnz1568/getInfo.php?workbook=12_05.xlsx&amp;sheet=U0&amp;row=217&amp;col=6&amp;number=4.3&amp;sourceID=14","4.3")</f>
        <v>4.3</v>
      </c>
      <c r="G217" s="4" t="str">
        <f>HYPERLINK("http://141.218.60.56/~jnz1568/getInfo.php?workbook=12_05.xlsx&amp;sheet=U0&amp;row=217&amp;col=7&amp;number=0.0131&amp;sourceID=14","0.0131")</f>
        <v>0.0131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HYPERLINK("http://141.218.60.56/~jnz1568/getInfo.php?workbook=12_05.xlsx&amp;sheet=U0&amp;row=218&amp;col=6&amp;number=4.4&amp;sourceID=14","4.4")</f>
        <v>4.4</v>
      </c>
      <c r="G218" s="4" t="str">
        <f>HYPERLINK("http://141.218.60.56/~jnz1568/getInfo.php?workbook=12_05.xlsx&amp;sheet=U0&amp;row=218&amp;col=7&amp;number=0.013&amp;sourceID=14","0.013")</f>
        <v>0.013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HYPERLINK("http://141.218.60.56/~jnz1568/getInfo.php?workbook=12_05.xlsx&amp;sheet=U0&amp;row=219&amp;col=6&amp;number=4.5&amp;sourceID=14","4.5")</f>
        <v>4.5</v>
      </c>
      <c r="G219" s="4" t="str">
        <f>HYPERLINK("http://141.218.60.56/~jnz1568/getInfo.php?workbook=12_05.xlsx&amp;sheet=U0&amp;row=219&amp;col=7&amp;number=0.0129&amp;sourceID=14","0.0129")</f>
        <v>0.0129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HYPERLINK("http://141.218.60.56/~jnz1568/getInfo.php?workbook=12_05.xlsx&amp;sheet=U0&amp;row=220&amp;col=6&amp;number=4.6&amp;sourceID=14","4.6")</f>
        <v>4.6</v>
      </c>
      <c r="G220" s="4" t="str">
        <f>HYPERLINK("http://141.218.60.56/~jnz1568/getInfo.php?workbook=12_05.xlsx&amp;sheet=U0&amp;row=220&amp;col=7&amp;number=0.0127&amp;sourceID=14","0.0127")</f>
        <v>0.0127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HYPERLINK("http://141.218.60.56/~jnz1568/getInfo.php?workbook=12_05.xlsx&amp;sheet=U0&amp;row=221&amp;col=6&amp;number=4.7&amp;sourceID=14","4.7")</f>
        <v>4.7</v>
      </c>
      <c r="G221" s="4" t="str">
        <f>HYPERLINK("http://141.218.60.56/~jnz1568/getInfo.php?workbook=12_05.xlsx&amp;sheet=U0&amp;row=221&amp;col=7&amp;number=0.0126&amp;sourceID=14","0.0126")</f>
        <v>0.0126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HYPERLINK("http://141.218.60.56/~jnz1568/getInfo.php?workbook=12_05.xlsx&amp;sheet=U0&amp;row=222&amp;col=6&amp;number=4.8&amp;sourceID=14","4.8")</f>
        <v>4.8</v>
      </c>
      <c r="G222" s="4" t="str">
        <f>HYPERLINK("http://141.218.60.56/~jnz1568/getInfo.php?workbook=12_05.xlsx&amp;sheet=U0&amp;row=222&amp;col=7&amp;number=0.0124&amp;sourceID=14","0.0124")</f>
        <v>0.0124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HYPERLINK("http://141.218.60.56/~jnz1568/getInfo.php?workbook=12_05.xlsx&amp;sheet=U0&amp;row=223&amp;col=6&amp;number=4.9&amp;sourceID=14","4.9")</f>
        <v>4.9</v>
      </c>
      <c r="G223" s="4" t="str">
        <f>HYPERLINK("http://141.218.60.56/~jnz1568/getInfo.php?workbook=12_05.xlsx&amp;sheet=U0&amp;row=223&amp;col=7&amp;number=0.0123&amp;sourceID=14","0.0123")</f>
        <v>0.0123</v>
      </c>
    </row>
    <row r="224" spans="1:7">
      <c r="A224" s="3">
        <v>12</v>
      </c>
      <c r="B224" s="3">
        <v>5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HYPERLINK("http://141.218.60.56/~jnz1568/getInfo.php?workbook=12_05.xlsx&amp;sheet=U0&amp;row=224&amp;col=6&amp;number=3&amp;sourceID=14","3")</f>
        <v>3</v>
      </c>
      <c r="G224" s="4" t="str">
        <f>HYPERLINK("http://141.218.60.56/~jnz1568/getInfo.php?workbook=12_05.xlsx&amp;sheet=U0&amp;row=224&amp;col=7&amp;number=0.0108&amp;sourceID=14","0.0108")</f>
        <v>0.0108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HYPERLINK("http://141.218.60.56/~jnz1568/getInfo.php?workbook=12_05.xlsx&amp;sheet=U0&amp;row=225&amp;col=6&amp;number=3.1&amp;sourceID=14","3.1")</f>
        <v>3.1</v>
      </c>
      <c r="G225" s="4" t="str">
        <f>HYPERLINK("http://141.218.60.56/~jnz1568/getInfo.php?workbook=12_05.xlsx&amp;sheet=U0&amp;row=225&amp;col=7&amp;number=0.0108&amp;sourceID=14","0.0108")</f>
        <v>0.0108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HYPERLINK("http://141.218.60.56/~jnz1568/getInfo.php?workbook=12_05.xlsx&amp;sheet=U0&amp;row=226&amp;col=6&amp;number=3.2&amp;sourceID=14","3.2")</f>
        <v>3.2</v>
      </c>
      <c r="G226" s="4" t="str">
        <f>HYPERLINK("http://141.218.60.56/~jnz1568/getInfo.php?workbook=12_05.xlsx&amp;sheet=U0&amp;row=226&amp;col=7&amp;number=0.0108&amp;sourceID=14","0.0108")</f>
        <v>0.0108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HYPERLINK("http://141.218.60.56/~jnz1568/getInfo.php?workbook=12_05.xlsx&amp;sheet=U0&amp;row=227&amp;col=6&amp;number=3.3&amp;sourceID=14","3.3")</f>
        <v>3.3</v>
      </c>
      <c r="G227" s="4" t="str">
        <f>HYPERLINK("http://141.218.60.56/~jnz1568/getInfo.php?workbook=12_05.xlsx&amp;sheet=U0&amp;row=227&amp;col=7&amp;number=0.0107&amp;sourceID=14","0.0107")</f>
        <v>0.0107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HYPERLINK("http://141.218.60.56/~jnz1568/getInfo.php?workbook=12_05.xlsx&amp;sheet=U0&amp;row=228&amp;col=6&amp;number=3.4&amp;sourceID=14","3.4")</f>
        <v>3.4</v>
      </c>
      <c r="G228" s="4" t="str">
        <f>HYPERLINK("http://141.218.60.56/~jnz1568/getInfo.php?workbook=12_05.xlsx&amp;sheet=U0&amp;row=228&amp;col=7&amp;number=0.0107&amp;sourceID=14","0.0107")</f>
        <v>0.0107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HYPERLINK("http://141.218.60.56/~jnz1568/getInfo.php?workbook=12_05.xlsx&amp;sheet=U0&amp;row=229&amp;col=6&amp;number=3.5&amp;sourceID=14","3.5")</f>
        <v>3.5</v>
      </c>
      <c r="G229" s="4" t="str">
        <f>HYPERLINK("http://141.218.60.56/~jnz1568/getInfo.php?workbook=12_05.xlsx&amp;sheet=U0&amp;row=229&amp;col=7&amp;number=0.0107&amp;sourceID=14","0.0107")</f>
        <v>0.0107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HYPERLINK("http://141.218.60.56/~jnz1568/getInfo.php?workbook=12_05.xlsx&amp;sheet=U0&amp;row=230&amp;col=6&amp;number=3.6&amp;sourceID=14","3.6")</f>
        <v>3.6</v>
      </c>
      <c r="G230" s="4" t="str">
        <f>HYPERLINK("http://141.218.60.56/~jnz1568/getInfo.php?workbook=12_05.xlsx&amp;sheet=U0&amp;row=230&amp;col=7&amp;number=0.0107&amp;sourceID=14","0.0107")</f>
        <v>0.0107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HYPERLINK("http://141.218.60.56/~jnz1568/getInfo.php?workbook=12_05.xlsx&amp;sheet=U0&amp;row=231&amp;col=6&amp;number=3.7&amp;sourceID=14","3.7")</f>
        <v>3.7</v>
      </c>
      <c r="G231" s="4" t="str">
        <f>HYPERLINK("http://141.218.60.56/~jnz1568/getInfo.php?workbook=12_05.xlsx&amp;sheet=U0&amp;row=231&amp;col=7&amp;number=0.0107&amp;sourceID=14","0.0107")</f>
        <v>0.0107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HYPERLINK("http://141.218.60.56/~jnz1568/getInfo.php?workbook=12_05.xlsx&amp;sheet=U0&amp;row=232&amp;col=6&amp;number=3.8&amp;sourceID=14","3.8")</f>
        <v>3.8</v>
      </c>
      <c r="G232" s="4" t="str">
        <f>HYPERLINK("http://141.218.60.56/~jnz1568/getInfo.php?workbook=12_05.xlsx&amp;sheet=U0&amp;row=232&amp;col=7&amp;number=0.0106&amp;sourceID=14","0.0106")</f>
        <v>0.0106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HYPERLINK("http://141.218.60.56/~jnz1568/getInfo.php?workbook=12_05.xlsx&amp;sheet=U0&amp;row=233&amp;col=6&amp;number=3.9&amp;sourceID=14","3.9")</f>
        <v>3.9</v>
      </c>
      <c r="G233" s="4" t="str">
        <f>HYPERLINK("http://141.218.60.56/~jnz1568/getInfo.php?workbook=12_05.xlsx&amp;sheet=U0&amp;row=233&amp;col=7&amp;number=0.0106&amp;sourceID=14","0.0106")</f>
        <v>0.0106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HYPERLINK("http://141.218.60.56/~jnz1568/getInfo.php?workbook=12_05.xlsx&amp;sheet=U0&amp;row=234&amp;col=6&amp;number=4&amp;sourceID=14","4")</f>
        <v>4</v>
      </c>
      <c r="G234" s="4" t="str">
        <f>HYPERLINK("http://141.218.60.56/~jnz1568/getInfo.php?workbook=12_05.xlsx&amp;sheet=U0&amp;row=234&amp;col=7&amp;number=0.0105&amp;sourceID=14","0.0105")</f>
        <v>0.0105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HYPERLINK("http://141.218.60.56/~jnz1568/getInfo.php?workbook=12_05.xlsx&amp;sheet=U0&amp;row=235&amp;col=6&amp;number=4.1&amp;sourceID=14","4.1")</f>
        <v>4.1</v>
      </c>
      <c r="G235" s="4" t="str">
        <f>HYPERLINK("http://141.218.60.56/~jnz1568/getInfo.php?workbook=12_05.xlsx&amp;sheet=U0&amp;row=235&amp;col=7&amp;number=0.0105&amp;sourceID=14","0.0105")</f>
        <v>0.0105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HYPERLINK("http://141.218.60.56/~jnz1568/getInfo.php?workbook=12_05.xlsx&amp;sheet=U0&amp;row=236&amp;col=6&amp;number=4.2&amp;sourceID=14","4.2")</f>
        <v>4.2</v>
      </c>
      <c r="G236" s="4" t="str">
        <f>HYPERLINK("http://141.218.60.56/~jnz1568/getInfo.php?workbook=12_05.xlsx&amp;sheet=U0&amp;row=236&amp;col=7&amp;number=0.0104&amp;sourceID=14","0.0104")</f>
        <v>0.0104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HYPERLINK("http://141.218.60.56/~jnz1568/getInfo.php?workbook=12_05.xlsx&amp;sheet=U0&amp;row=237&amp;col=6&amp;number=4.3&amp;sourceID=14","4.3")</f>
        <v>4.3</v>
      </c>
      <c r="G237" s="4" t="str">
        <f>HYPERLINK("http://141.218.60.56/~jnz1568/getInfo.php?workbook=12_05.xlsx&amp;sheet=U0&amp;row=237&amp;col=7&amp;number=0.0103&amp;sourceID=14","0.0103")</f>
        <v>0.0103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HYPERLINK("http://141.218.60.56/~jnz1568/getInfo.php?workbook=12_05.xlsx&amp;sheet=U0&amp;row=238&amp;col=6&amp;number=4.4&amp;sourceID=14","4.4")</f>
        <v>4.4</v>
      </c>
      <c r="G238" s="4" t="str">
        <f>HYPERLINK("http://141.218.60.56/~jnz1568/getInfo.php?workbook=12_05.xlsx&amp;sheet=U0&amp;row=238&amp;col=7&amp;number=0.0102&amp;sourceID=14","0.0102")</f>
        <v>0.0102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HYPERLINK("http://141.218.60.56/~jnz1568/getInfo.php?workbook=12_05.xlsx&amp;sheet=U0&amp;row=239&amp;col=6&amp;number=4.5&amp;sourceID=14","4.5")</f>
        <v>4.5</v>
      </c>
      <c r="G239" s="4" t="str">
        <f>HYPERLINK("http://141.218.60.56/~jnz1568/getInfo.php?workbook=12_05.xlsx&amp;sheet=U0&amp;row=239&amp;col=7&amp;number=0.01&amp;sourceID=14","0.01")</f>
        <v>0.01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HYPERLINK("http://141.218.60.56/~jnz1568/getInfo.php?workbook=12_05.xlsx&amp;sheet=U0&amp;row=240&amp;col=6&amp;number=4.6&amp;sourceID=14","4.6")</f>
        <v>4.6</v>
      </c>
      <c r="G240" s="4" t="str">
        <f>HYPERLINK("http://141.218.60.56/~jnz1568/getInfo.php?workbook=12_05.xlsx&amp;sheet=U0&amp;row=240&amp;col=7&amp;number=0.00989&amp;sourceID=14","0.00989")</f>
        <v>0.00989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HYPERLINK("http://141.218.60.56/~jnz1568/getInfo.php?workbook=12_05.xlsx&amp;sheet=U0&amp;row=241&amp;col=6&amp;number=4.7&amp;sourceID=14","4.7")</f>
        <v>4.7</v>
      </c>
      <c r="G241" s="4" t="str">
        <f>HYPERLINK("http://141.218.60.56/~jnz1568/getInfo.php?workbook=12_05.xlsx&amp;sheet=U0&amp;row=241&amp;col=7&amp;number=0.00972&amp;sourceID=14","0.00972")</f>
        <v>0.00972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HYPERLINK("http://141.218.60.56/~jnz1568/getInfo.php?workbook=12_05.xlsx&amp;sheet=U0&amp;row=242&amp;col=6&amp;number=4.8&amp;sourceID=14","4.8")</f>
        <v>4.8</v>
      </c>
      <c r="G242" s="4" t="str">
        <f>HYPERLINK("http://141.218.60.56/~jnz1568/getInfo.php?workbook=12_05.xlsx&amp;sheet=U0&amp;row=242&amp;col=7&amp;number=0.00955&amp;sourceID=14","0.00955")</f>
        <v>0.00955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HYPERLINK("http://141.218.60.56/~jnz1568/getInfo.php?workbook=12_05.xlsx&amp;sheet=U0&amp;row=243&amp;col=6&amp;number=4.9&amp;sourceID=14","4.9")</f>
        <v>4.9</v>
      </c>
      <c r="G243" s="4" t="str">
        <f>HYPERLINK("http://141.218.60.56/~jnz1568/getInfo.php?workbook=12_05.xlsx&amp;sheet=U0&amp;row=243&amp;col=7&amp;number=0.00937&amp;sourceID=14","0.00937")</f>
        <v>0.00937</v>
      </c>
    </row>
    <row r="244" spans="1:7">
      <c r="A244" s="3">
        <v>12</v>
      </c>
      <c r="B244" s="3">
        <v>5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HYPERLINK("http://141.218.60.56/~jnz1568/getInfo.php?workbook=12_05.xlsx&amp;sheet=U0&amp;row=244&amp;col=6&amp;number=3&amp;sourceID=14","3")</f>
        <v>3</v>
      </c>
      <c r="G244" s="4" t="str">
        <f>HYPERLINK("http://141.218.60.56/~jnz1568/getInfo.php?workbook=12_05.xlsx&amp;sheet=U0&amp;row=244&amp;col=7&amp;number=0.0054&amp;sourceID=14","0.0054")</f>
        <v>0.0054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HYPERLINK("http://141.218.60.56/~jnz1568/getInfo.php?workbook=12_05.xlsx&amp;sheet=U0&amp;row=245&amp;col=6&amp;number=3.1&amp;sourceID=14","3.1")</f>
        <v>3.1</v>
      </c>
      <c r="G245" s="4" t="str">
        <f>HYPERLINK("http://141.218.60.56/~jnz1568/getInfo.php?workbook=12_05.xlsx&amp;sheet=U0&amp;row=245&amp;col=7&amp;number=0.0054&amp;sourceID=14","0.0054")</f>
        <v>0.0054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HYPERLINK("http://141.218.60.56/~jnz1568/getInfo.php?workbook=12_05.xlsx&amp;sheet=U0&amp;row=246&amp;col=6&amp;number=3.2&amp;sourceID=14","3.2")</f>
        <v>3.2</v>
      </c>
      <c r="G246" s="4" t="str">
        <f>HYPERLINK("http://141.218.60.56/~jnz1568/getInfo.php?workbook=12_05.xlsx&amp;sheet=U0&amp;row=246&amp;col=7&amp;number=0.0054&amp;sourceID=14","0.0054")</f>
        <v>0.0054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HYPERLINK("http://141.218.60.56/~jnz1568/getInfo.php?workbook=12_05.xlsx&amp;sheet=U0&amp;row=247&amp;col=6&amp;number=3.3&amp;sourceID=14","3.3")</f>
        <v>3.3</v>
      </c>
      <c r="G247" s="4" t="str">
        <f>HYPERLINK("http://141.218.60.56/~jnz1568/getInfo.php?workbook=12_05.xlsx&amp;sheet=U0&amp;row=247&amp;col=7&amp;number=0.00541&amp;sourceID=14","0.00541")</f>
        <v>0.00541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HYPERLINK("http://141.218.60.56/~jnz1568/getInfo.php?workbook=12_05.xlsx&amp;sheet=U0&amp;row=248&amp;col=6&amp;number=3.4&amp;sourceID=14","3.4")</f>
        <v>3.4</v>
      </c>
      <c r="G248" s="4" t="str">
        <f>HYPERLINK("http://141.218.60.56/~jnz1568/getInfo.php?workbook=12_05.xlsx&amp;sheet=U0&amp;row=248&amp;col=7&amp;number=0.00542&amp;sourceID=14","0.00542")</f>
        <v>0.00542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HYPERLINK("http://141.218.60.56/~jnz1568/getInfo.php?workbook=12_05.xlsx&amp;sheet=U0&amp;row=249&amp;col=6&amp;number=3.5&amp;sourceID=14","3.5")</f>
        <v>3.5</v>
      </c>
      <c r="G249" s="4" t="str">
        <f>HYPERLINK("http://141.218.60.56/~jnz1568/getInfo.php?workbook=12_05.xlsx&amp;sheet=U0&amp;row=249&amp;col=7&amp;number=0.00542&amp;sourceID=14","0.00542")</f>
        <v>0.00542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HYPERLINK("http://141.218.60.56/~jnz1568/getInfo.php?workbook=12_05.xlsx&amp;sheet=U0&amp;row=250&amp;col=6&amp;number=3.6&amp;sourceID=14","3.6")</f>
        <v>3.6</v>
      </c>
      <c r="G250" s="4" t="str">
        <f>HYPERLINK("http://141.218.60.56/~jnz1568/getInfo.php?workbook=12_05.xlsx&amp;sheet=U0&amp;row=250&amp;col=7&amp;number=0.00543&amp;sourceID=14","0.00543")</f>
        <v>0.00543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HYPERLINK("http://141.218.60.56/~jnz1568/getInfo.php?workbook=12_05.xlsx&amp;sheet=U0&amp;row=251&amp;col=6&amp;number=3.7&amp;sourceID=14","3.7")</f>
        <v>3.7</v>
      </c>
      <c r="G251" s="4" t="str">
        <f>HYPERLINK("http://141.218.60.56/~jnz1568/getInfo.php?workbook=12_05.xlsx&amp;sheet=U0&amp;row=251&amp;col=7&amp;number=0.00545&amp;sourceID=14","0.00545")</f>
        <v>0.00545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HYPERLINK("http://141.218.60.56/~jnz1568/getInfo.php?workbook=12_05.xlsx&amp;sheet=U0&amp;row=252&amp;col=6&amp;number=3.8&amp;sourceID=14","3.8")</f>
        <v>3.8</v>
      </c>
      <c r="G252" s="4" t="str">
        <f>HYPERLINK("http://141.218.60.56/~jnz1568/getInfo.php?workbook=12_05.xlsx&amp;sheet=U0&amp;row=252&amp;col=7&amp;number=0.00546&amp;sourceID=14","0.00546")</f>
        <v>0.00546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HYPERLINK("http://141.218.60.56/~jnz1568/getInfo.php?workbook=12_05.xlsx&amp;sheet=U0&amp;row=253&amp;col=6&amp;number=3.9&amp;sourceID=14","3.9")</f>
        <v>3.9</v>
      </c>
      <c r="G253" s="4" t="str">
        <f>HYPERLINK("http://141.218.60.56/~jnz1568/getInfo.php?workbook=12_05.xlsx&amp;sheet=U0&amp;row=253&amp;col=7&amp;number=0.00548&amp;sourceID=14","0.00548")</f>
        <v>0.00548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HYPERLINK("http://141.218.60.56/~jnz1568/getInfo.php?workbook=12_05.xlsx&amp;sheet=U0&amp;row=254&amp;col=6&amp;number=4&amp;sourceID=14","4")</f>
        <v>4</v>
      </c>
      <c r="G254" s="4" t="str">
        <f>HYPERLINK("http://141.218.60.56/~jnz1568/getInfo.php?workbook=12_05.xlsx&amp;sheet=U0&amp;row=254&amp;col=7&amp;number=0.0055&amp;sourceID=14","0.0055")</f>
        <v>0.0055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HYPERLINK("http://141.218.60.56/~jnz1568/getInfo.php?workbook=12_05.xlsx&amp;sheet=U0&amp;row=255&amp;col=6&amp;number=4.1&amp;sourceID=14","4.1")</f>
        <v>4.1</v>
      </c>
      <c r="G255" s="4" t="str">
        <f>HYPERLINK("http://141.218.60.56/~jnz1568/getInfo.php?workbook=12_05.xlsx&amp;sheet=U0&amp;row=255&amp;col=7&amp;number=0.00553&amp;sourceID=14","0.00553")</f>
        <v>0.00553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HYPERLINK("http://141.218.60.56/~jnz1568/getInfo.php?workbook=12_05.xlsx&amp;sheet=U0&amp;row=256&amp;col=6&amp;number=4.2&amp;sourceID=14","4.2")</f>
        <v>4.2</v>
      </c>
      <c r="G256" s="4" t="str">
        <f>HYPERLINK("http://141.218.60.56/~jnz1568/getInfo.php?workbook=12_05.xlsx&amp;sheet=U0&amp;row=256&amp;col=7&amp;number=0.00557&amp;sourceID=14","0.00557")</f>
        <v>0.00557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HYPERLINK("http://141.218.60.56/~jnz1568/getInfo.php?workbook=12_05.xlsx&amp;sheet=U0&amp;row=257&amp;col=6&amp;number=4.3&amp;sourceID=14","4.3")</f>
        <v>4.3</v>
      </c>
      <c r="G257" s="4" t="str">
        <f>HYPERLINK("http://141.218.60.56/~jnz1568/getInfo.php?workbook=12_05.xlsx&amp;sheet=U0&amp;row=257&amp;col=7&amp;number=0.00561&amp;sourceID=14","0.00561")</f>
        <v>0.00561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HYPERLINK("http://141.218.60.56/~jnz1568/getInfo.php?workbook=12_05.xlsx&amp;sheet=U0&amp;row=258&amp;col=6&amp;number=4.4&amp;sourceID=14","4.4")</f>
        <v>4.4</v>
      </c>
      <c r="G258" s="4" t="str">
        <f>HYPERLINK("http://141.218.60.56/~jnz1568/getInfo.php?workbook=12_05.xlsx&amp;sheet=U0&amp;row=258&amp;col=7&amp;number=0.00567&amp;sourceID=14","0.00567")</f>
        <v>0.00567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HYPERLINK("http://141.218.60.56/~jnz1568/getInfo.php?workbook=12_05.xlsx&amp;sheet=U0&amp;row=259&amp;col=6&amp;number=4.5&amp;sourceID=14","4.5")</f>
        <v>4.5</v>
      </c>
      <c r="G259" s="4" t="str">
        <f>HYPERLINK("http://141.218.60.56/~jnz1568/getInfo.php?workbook=12_05.xlsx&amp;sheet=U0&amp;row=259&amp;col=7&amp;number=0.00573&amp;sourceID=14","0.00573")</f>
        <v>0.00573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HYPERLINK("http://141.218.60.56/~jnz1568/getInfo.php?workbook=12_05.xlsx&amp;sheet=U0&amp;row=260&amp;col=6&amp;number=4.6&amp;sourceID=14","4.6")</f>
        <v>4.6</v>
      </c>
      <c r="G260" s="4" t="str">
        <f>HYPERLINK("http://141.218.60.56/~jnz1568/getInfo.php?workbook=12_05.xlsx&amp;sheet=U0&amp;row=260&amp;col=7&amp;number=0.0058&amp;sourceID=14","0.0058")</f>
        <v>0.0058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HYPERLINK("http://141.218.60.56/~jnz1568/getInfo.php?workbook=12_05.xlsx&amp;sheet=U0&amp;row=261&amp;col=6&amp;number=4.7&amp;sourceID=14","4.7")</f>
        <v>4.7</v>
      </c>
      <c r="G261" s="4" t="str">
        <f>HYPERLINK("http://141.218.60.56/~jnz1568/getInfo.php?workbook=12_05.xlsx&amp;sheet=U0&amp;row=261&amp;col=7&amp;number=0.00589&amp;sourceID=14","0.00589")</f>
        <v>0.00589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HYPERLINK("http://141.218.60.56/~jnz1568/getInfo.php?workbook=12_05.xlsx&amp;sheet=U0&amp;row=262&amp;col=6&amp;number=4.8&amp;sourceID=14","4.8")</f>
        <v>4.8</v>
      </c>
      <c r="G262" s="4" t="str">
        <f>HYPERLINK("http://141.218.60.56/~jnz1568/getInfo.php?workbook=12_05.xlsx&amp;sheet=U0&amp;row=262&amp;col=7&amp;number=0.00598&amp;sourceID=14","0.00598")</f>
        <v>0.00598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HYPERLINK("http://141.218.60.56/~jnz1568/getInfo.php?workbook=12_05.xlsx&amp;sheet=U0&amp;row=263&amp;col=6&amp;number=4.9&amp;sourceID=14","4.9")</f>
        <v>4.9</v>
      </c>
      <c r="G263" s="4" t="str">
        <f>HYPERLINK("http://141.218.60.56/~jnz1568/getInfo.php?workbook=12_05.xlsx&amp;sheet=U0&amp;row=263&amp;col=7&amp;number=0.00607&amp;sourceID=14","0.00607")</f>
        <v>0.00607</v>
      </c>
    </row>
    <row r="264" spans="1:7">
      <c r="A264" s="3">
        <v>12</v>
      </c>
      <c r="B264" s="3">
        <v>5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HYPERLINK("http://141.218.60.56/~jnz1568/getInfo.php?workbook=12_05.xlsx&amp;sheet=U0&amp;row=264&amp;col=6&amp;number=3&amp;sourceID=14","3")</f>
        <v>3</v>
      </c>
      <c r="G264" s="4" t="str">
        <f>HYPERLINK("http://141.218.60.56/~jnz1568/getInfo.php?workbook=12_05.xlsx&amp;sheet=U0&amp;row=264&amp;col=7&amp;number=0.00775&amp;sourceID=14","0.00775")</f>
        <v>0.00775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HYPERLINK("http://141.218.60.56/~jnz1568/getInfo.php?workbook=12_05.xlsx&amp;sheet=U0&amp;row=265&amp;col=6&amp;number=3.1&amp;sourceID=14","3.1")</f>
        <v>3.1</v>
      </c>
      <c r="G265" s="4" t="str">
        <f>HYPERLINK("http://141.218.60.56/~jnz1568/getInfo.php?workbook=12_05.xlsx&amp;sheet=U0&amp;row=265&amp;col=7&amp;number=0.00776&amp;sourceID=14","0.00776")</f>
        <v>0.00776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HYPERLINK("http://141.218.60.56/~jnz1568/getInfo.php?workbook=12_05.xlsx&amp;sheet=U0&amp;row=266&amp;col=6&amp;number=3.2&amp;sourceID=14","3.2")</f>
        <v>3.2</v>
      </c>
      <c r="G266" s="4" t="str">
        <f>HYPERLINK("http://141.218.60.56/~jnz1568/getInfo.php?workbook=12_05.xlsx&amp;sheet=U0&amp;row=266&amp;col=7&amp;number=0.00776&amp;sourceID=14","0.00776")</f>
        <v>0.00776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HYPERLINK("http://141.218.60.56/~jnz1568/getInfo.php?workbook=12_05.xlsx&amp;sheet=U0&amp;row=267&amp;col=6&amp;number=3.3&amp;sourceID=14","3.3")</f>
        <v>3.3</v>
      </c>
      <c r="G267" s="4" t="str">
        <f>HYPERLINK("http://141.218.60.56/~jnz1568/getInfo.php?workbook=12_05.xlsx&amp;sheet=U0&amp;row=267&amp;col=7&amp;number=0.00777&amp;sourceID=14","0.00777")</f>
        <v>0.00777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HYPERLINK("http://141.218.60.56/~jnz1568/getInfo.php?workbook=12_05.xlsx&amp;sheet=U0&amp;row=268&amp;col=6&amp;number=3.4&amp;sourceID=14","3.4")</f>
        <v>3.4</v>
      </c>
      <c r="G268" s="4" t="str">
        <f>HYPERLINK("http://141.218.60.56/~jnz1568/getInfo.php?workbook=12_05.xlsx&amp;sheet=U0&amp;row=268&amp;col=7&amp;number=0.00778&amp;sourceID=14","0.00778")</f>
        <v>0.00778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HYPERLINK("http://141.218.60.56/~jnz1568/getInfo.php?workbook=12_05.xlsx&amp;sheet=U0&amp;row=269&amp;col=6&amp;number=3.5&amp;sourceID=14","3.5")</f>
        <v>3.5</v>
      </c>
      <c r="G269" s="4" t="str">
        <f>HYPERLINK("http://141.218.60.56/~jnz1568/getInfo.php?workbook=12_05.xlsx&amp;sheet=U0&amp;row=269&amp;col=7&amp;number=0.00779&amp;sourceID=14","0.00779")</f>
        <v>0.00779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HYPERLINK("http://141.218.60.56/~jnz1568/getInfo.php?workbook=12_05.xlsx&amp;sheet=U0&amp;row=270&amp;col=6&amp;number=3.6&amp;sourceID=14","3.6")</f>
        <v>3.6</v>
      </c>
      <c r="G270" s="4" t="str">
        <f>HYPERLINK("http://141.218.60.56/~jnz1568/getInfo.php?workbook=12_05.xlsx&amp;sheet=U0&amp;row=270&amp;col=7&amp;number=0.0078&amp;sourceID=14","0.0078")</f>
        <v>0.0078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HYPERLINK("http://141.218.60.56/~jnz1568/getInfo.php?workbook=12_05.xlsx&amp;sheet=U0&amp;row=271&amp;col=6&amp;number=3.7&amp;sourceID=14","3.7")</f>
        <v>3.7</v>
      </c>
      <c r="G271" s="4" t="str">
        <f>HYPERLINK("http://141.218.60.56/~jnz1568/getInfo.php?workbook=12_05.xlsx&amp;sheet=U0&amp;row=271&amp;col=7&amp;number=0.00782&amp;sourceID=14","0.00782")</f>
        <v>0.00782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HYPERLINK("http://141.218.60.56/~jnz1568/getInfo.php?workbook=12_05.xlsx&amp;sheet=U0&amp;row=272&amp;col=6&amp;number=3.8&amp;sourceID=14","3.8")</f>
        <v>3.8</v>
      </c>
      <c r="G272" s="4" t="str">
        <f>HYPERLINK("http://141.218.60.56/~jnz1568/getInfo.php?workbook=12_05.xlsx&amp;sheet=U0&amp;row=272&amp;col=7&amp;number=0.00784&amp;sourceID=14","0.00784")</f>
        <v>0.00784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HYPERLINK("http://141.218.60.56/~jnz1568/getInfo.php?workbook=12_05.xlsx&amp;sheet=U0&amp;row=273&amp;col=6&amp;number=3.9&amp;sourceID=14","3.9")</f>
        <v>3.9</v>
      </c>
      <c r="G273" s="4" t="str">
        <f>HYPERLINK("http://141.218.60.56/~jnz1568/getInfo.php?workbook=12_05.xlsx&amp;sheet=U0&amp;row=273&amp;col=7&amp;number=0.00787&amp;sourceID=14","0.00787")</f>
        <v>0.00787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HYPERLINK("http://141.218.60.56/~jnz1568/getInfo.php?workbook=12_05.xlsx&amp;sheet=U0&amp;row=274&amp;col=6&amp;number=4&amp;sourceID=14","4")</f>
        <v>4</v>
      </c>
      <c r="G274" s="4" t="str">
        <f>HYPERLINK("http://141.218.60.56/~jnz1568/getInfo.php?workbook=12_05.xlsx&amp;sheet=U0&amp;row=274&amp;col=7&amp;number=0.0079&amp;sourceID=14","0.0079")</f>
        <v>0.0079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HYPERLINK("http://141.218.60.56/~jnz1568/getInfo.php?workbook=12_05.xlsx&amp;sheet=U0&amp;row=275&amp;col=6&amp;number=4.1&amp;sourceID=14","4.1")</f>
        <v>4.1</v>
      </c>
      <c r="G275" s="4" t="str">
        <f>HYPERLINK("http://141.218.60.56/~jnz1568/getInfo.php?workbook=12_05.xlsx&amp;sheet=U0&amp;row=275&amp;col=7&amp;number=0.00795&amp;sourceID=14","0.00795")</f>
        <v>0.00795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HYPERLINK("http://141.218.60.56/~jnz1568/getInfo.php?workbook=12_05.xlsx&amp;sheet=U0&amp;row=276&amp;col=6&amp;number=4.2&amp;sourceID=14","4.2")</f>
        <v>4.2</v>
      </c>
      <c r="G276" s="4" t="str">
        <f>HYPERLINK("http://141.218.60.56/~jnz1568/getInfo.php?workbook=12_05.xlsx&amp;sheet=U0&amp;row=276&amp;col=7&amp;number=0.008&amp;sourceID=14","0.008")</f>
        <v>0.008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HYPERLINK("http://141.218.60.56/~jnz1568/getInfo.php?workbook=12_05.xlsx&amp;sheet=U0&amp;row=277&amp;col=6&amp;number=4.3&amp;sourceID=14","4.3")</f>
        <v>4.3</v>
      </c>
      <c r="G277" s="4" t="str">
        <f>HYPERLINK("http://141.218.60.56/~jnz1568/getInfo.php?workbook=12_05.xlsx&amp;sheet=U0&amp;row=277&amp;col=7&amp;number=0.00806&amp;sourceID=14","0.00806")</f>
        <v>0.00806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HYPERLINK("http://141.218.60.56/~jnz1568/getInfo.php?workbook=12_05.xlsx&amp;sheet=U0&amp;row=278&amp;col=6&amp;number=4.4&amp;sourceID=14","4.4")</f>
        <v>4.4</v>
      </c>
      <c r="G278" s="4" t="str">
        <f>HYPERLINK("http://141.218.60.56/~jnz1568/getInfo.php?workbook=12_05.xlsx&amp;sheet=U0&amp;row=278&amp;col=7&amp;number=0.00813&amp;sourceID=14","0.00813")</f>
        <v>0.00813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HYPERLINK("http://141.218.60.56/~jnz1568/getInfo.php?workbook=12_05.xlsx&amp;sheet=U0&amp;row=279&amp;col=6&amp;number=4.5&amp;sourceID=14","4.5")</f>
        <v>4.5</v>
      </c>
      <c r="G279" s="4" t="str">
        <f>HYPERLINK("http://141.218.60.56/~jnz1568/getInfo.php?workbook=12_05.xlsx&amp;sheet=U0&amp;row=279&amp;col=7&amp;number=0.00822&amp;sourceID=14","0.00822")</f>
        <v>0.00822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HYPERLINK("http://141.218.60.56/~jnz1568/getInfo.php?workbook=12_05.xlsx&amp;sheet=U0&amp;row=280&amp;col=6&amp;number=4.6&amp;sourceID=14","4.6")</f>
        <v>4.6</v>
      </c>
      <c r="G280" s="4" t="str">
        <f>HYPERLINK("http://141.218.60.56/~jnz1568/getInfo.php?workbook=12_05.xlsx&amp;sheet=U0&amp;row=280&amp;col=7&amp;number=0.00833&amp;sourceID=14","0.00833")</f>
        <v>0.00833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HYPERLINK("http://141.218.60.56/~jnz1568/getInfo.php?workbook=12_05.xlsx&amp;sheet=U0&amp;row=281&amp;col=6&amp;number=4.7&amp;sourceID=14","4.7")</f>
        <v>4.7</v>
      </c>
      <c r="G281" s="4" t="str">
        <f>HYPERLINK("http://141.218.60.56/~jnz1568/getInfo.php?workbook=12_05.xlsx&amp;sheet=U0&amp;row=281&amp;col=7&amp;number=0.00844&amp;sourceID=14","0.00844")</f>
        <v>0.00844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HYPERLINK("http://141.218.60.56/~jnz1568/getInfo.php?workbook=12_05.xlsx&amp;sheet=U0&amp;row=282&amp;col=6&amp;number=4.8&amp;sourceID=14","4.8")</f>
        <v>4.8</v>
      </c>
      <c r="G282" s="4" t="str">
        <f>HYPERLINK("http://141.218.60.56/~jnz1568/getInfo.php?workbook=12_05.xlsx&amp;sheet=U0&amp;row=282&amp;col=7&amp;number=0.00856&amp;sourceID=14","0.00856")</f>
        <v>0.00856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HYPERLINK("http://141.218.60.56/~jnz1568/getInfo.php?workbook=12_05.xlsx&amp;sheet=U0&amp;row=283&amp;col=6&amp;number=4.9&amp;sourceID=14","4.9")</f>
        <v>4.9</v>
      </c>
      <c r="G283" s="4" t="str">
        <f>HYPERLINK("http://141.218.60.56/~jnz1568/getInfo.php?workbook=12_05.xlsx&amp;sheet=U0&amp;row=283&amp;col=7&amp;number=0.00868&amp;sourceID=14","0.00868")</f>
        <v>0.00868</v>
      </c>
    </row>
    <row r="284" spans="1:7">
      <c r="A284" s="3">
        <v>12</v>
      </c>
      <c r="B284" s="3">
        <v>5</v>
      </c>
      <c r="C284" s="3">
        <v>2</v>
      </c>
      <c r="D284" s="3">
        <v>3</v>
      </c>
      <c r="E284" s="3">
        <v>1</v>
      </c>
      <c r="F284" s="4" t="str">
        <f>HYPERLINK("http://141.218.60.56/~jnz1568/getInfo.php?workbook=12_05.xlsx&amp;sheet=U0&amp;row=284&amp;col=6&amp;number=3&amp;sourceID=14","3")</f>
        <v>3</v>
      </c>
      <c r="G284" s="4" t="str">
        <f>HYPERLINK("http://141.218.60.56/~jnz1568/getInfo.php?workbook=12_05.xlsx&amp;sheet=U0&amp;row=284&amp;col=7&amp;number=0.062&amp;sourceID=14","0.062")</f>
        <v>0.062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HYPERLINK("http://141.218.60.56/~jnz1568/getInfo.php?workbook=12_05.xlsx&amp;sheet=U0&amp;row=285&amp;col=6&amp;number=3.1&amp;sourceID=14","3.1")</f>
        <v>3.1</v>
      </c>
      <c r="G285" s="4" t="str">
        <f>HYPERLINK("http://141.218.60.56/~jnz1568/getInfo.php?workbook=12_05.xlsx&amp;sheet=U0&amp;row=285&amp;col=7&amp;number=0.0619&amp;sourceID=14","0.0619")</f>
        <v>0.0619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HYPERLINK("http://141.218.60.56/~jnz1568/getInfo.php?workbook=12_05.xlsx&amp;sheet=U0&amp;row=286&amp;col=6&amp;number=3.2&amp;sourceID=14","3.2")</f>
        <v>3.2</v>
      </c>
      <c r="G286" s="4" t="str">
        <f>HYPERLINK("http://141.218.60.56/~jnz1568/getInfo.php?workbook=12_05.xlsx&amp;sheet=U0&amp;row=286&amp;col=7&amp;number=0.0619&amp;sourceID=14","0.0619")</f>
        <v>0.0619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HYPERLINK("http://141.218.60.56/~jnz1568/getInfo.php?workbook=12_05.xlsx&amp;sheet=U0&amp;row=287&amp;col=6&amp;number=3.3&amp;sourceID=14","3.3")</f>
        <v>3.3</v>
      </c>
      <c r="G287" s="4" t="str">
        <f>HYPERLINK("http://141.218.60.56/~jnz1568/getInfo.php?workbook=12_05.xlsx&amp;sheet=U0&amp;row=287&amp;col=7&amp;number=0.0618&amp;sourceID=14","0.0618")</f>
        <v>0.0618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HYPERLINK("http://141.218.60.56/~jnz1568/getInfo.php?workbook=12_05.xlsx&amp;sheet=U0&amp;row=288&amp;col=6&amp;number=3.4&amp;sourceID=14","3.4")</f>
        <v>3.4</v>
      </c>
      <c r="G288" s="4" t="str">
        <f>HYPERLINK("http://141.218.60.56/~jnz1568/getInfo.php?workbook=12_05.xlsx&amp;sheet=U0&amp;row=288&amp;col=7&amp;number=0.0617&amp;sourceID=14","0.0617")</f>
        <v>0.0617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HYPERLINK("http://141.218.60.56/~jnz1568/getInfo.php?workbook=12_05.xlsx&amp;sheet=U0&amp;row=289&amp;col=6&amp;number=3.5&amp;sourceID=14","3.5")</f>
        <v>3.5</v>
      </c>
      <c r="G289" s="4" t="str">
        <f>HYPERLINK("http://141.218.60.56/~jnz1568/getInfo.php?workbook=12_05.xlsx&amp;sheet=U0&amp;row=289&amp;col=7&amp;number=0.0616&amp;sourceID=14","0.0616")</f>
        <v>0.0616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HYPERLINK("http://141.218.60.56/~jnz1568/getInfo.php?workbook=12_05.xlsx&amp;sheet=U0&amp;row=290&amp;col=6&amp;number=3.6&amp;sourceID=14","3.6")</f>
        <v>3.6</v>
      </c>
      <c r="G290" s="4" t="str">
        <f>HYPERLINK("http://141.218.60.56/~jnz1568/getInfo.php?workbook=12_05.xlsx&amp;sheet=U0&amp;row=290&amp;col=7&amp;number=0.0615&amp;sourceID=14","0.0615")</f>
        <v>0.0615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HYPERLINK("http://141.218.60.56/~jnz1568/getInfo.php?workbook=12_05.xlsx&amp;sheet=U0&amp;row=291&amp;col=6&amp;number=3.7&amp;sourceID=14","3.7")</f>
        <v>3.7</v>
      </c>
      <c r="G291" s="4" t="str">
        <f>HYPERLINK("http://141.218.60.56/~jnz1568/getInfo.php?workbook=12_05.xlsx&amp;sheet=U0&amp;row=291&amp;col=7&amp;number=0.0613&amp;sourceID=14","0.0613")</f>
        <v>0.0613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HYPERLINK("http://141.218.60.56/~jnz1568/getInfo.php?workbook=12_05.xlsx&amp;sheet=U0&amp;row=292&amp;col=6&amp;number=3.8&amp;sourceID=14","3.8")</f>
        <v>3.8</v>
      </c>
      <c r="G292" s="4" t="str">
        <f>HYPERLINK("http://141.218.60.56/~jnz1568/getInfo.php?workbook=12_05.xlsx&amp;sheet=U0&amp;row=292&amp;col=7&amp;number=0.0611&amp;sourceID=14","0.0611")</f>
        <v>0.0611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HYPERLINK("http://141.218.60.56/~jnz1568/getInfo.php?workbook=12_05.xlsx&amp;sheet=U0&amp;row=293&amp;col=6&amp;number=3.9&amp;sourceID=14","3.9")</f>
        <v>3.9</v>
      </c>
      <c r="G293" s="4" t="str">
        <f>HYPERLINK("http://141.218.60.56/~jnz1568/getInfo.php?workbook=12_05.xlsx&amp;sheet=U0&amp;row=293&amp;col=7&amp;number=0.0609&amp;sourceID=14","0.0609")</f>
        <v>0.0609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HYPERLINK("http://141.218.60.56/~jnz1568/getInfo.php?workbook=12_05.xlsx&amp;sheet=U0&amp;row=294&amp;col=6&amp;number=4&amp;sourceID=14","4")</f>
        <v>4</v>
      </c>
      <c r="G294" s="4" t="str">
        <f>HYPERLINK("http://141.218.60.56/~jnz1568/getInfo.php?workbook=12_05.xlsx&amp;sheet=U0&amp;row=294&amp;col=7&amp;number=0.0606&amp;sourceID=14","0.0606")</f>
        <v>0.0606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HYPERLINK("http://141.218.60.56/~jnz1568/getInfo.php?workbook=12_05.xlsx&amp;sheet=U0&amp;row=295&amp;col=6&amp;number=4.1&amp;sourceID=14","4.1")</f>
        <v>4.1</v>
      </c>
      <c r="G295" s="4" t="str">
        <f>HYPERLINK("http://141.218.60.56/~jnz1568/getInfo.php?workbook=12_05.xlsx&amp;sheet=U0&amp;row=295&amp;col=7&amp;number=0.0602&amp;sourceID=14","0.0602")</f>
        <v>0.0602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HYPERLINK("http://141.218.60.56/~jnz1568/getInfo.php?workbook=12_05.xlsx&amp;sheet=U0&amp;row=296&amp;col=6&amp;number=4.2&amp;sourceID=14","4.2")</f>
        <v>4.2</v>
      </c>
      <c r="G296" s="4" t="str">
        <f>HYPERLINK("http://141.218.60.56/~jnz1568/getInfo.php?workbook=12_05.xlsx&amp;sheet=U0&amp;row=296&amp;col=7&amp;number=0.0597&amp;sourceID=14","0.0597")</f>
        <v>0.0597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HYPERLINK("http://141.218.60.56/~jnz1568/getInfo.php?workbook=12_05.xlsx&amp;sheet=U0&amp;row=297&amp;col=6&amp;number=4.3&amp;sourceID=14","4.3")</f>
        <v>4.3</v>
      </c>
      <c r="G297" s="4" t="str">
        <f>HYPERLINK("http://141.218.60.56/~jnz1568/getInfo.php?workbook=12_05.xlsx&amp;sheet=U0&amp;row=297&amp;col=7&amp;number=0.0591&amp;sourceID=14","0.0591")</f>
        <v>0.0591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HYPERLINK("http://141.218.60.56/~jnz1568/getInfo.php?workbook=12_05.xlsx&amp;sheet=U0&amp;row=298&amp;col=6&amp;number=4.4&amp;sourceID=14","4.4")</f>
        <v>4.4</v>
      </c>
      <c r="G298" s="4" t="str">
        <f>HYPERLINK("http://141.218.60.56/~jnz1568/getInfo.php?workbook=12_05.xlsx&amp;sheet=U0&amp;row=298&amp;col=7&amp;number=0.0584&amp;sourceID=14","0.0584")</f>
        <v>0.0584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HYPERLINK("http://141.218.60.56/~jnz1568/getInfo.php?workbook=12_05.xlsx&amp;sheet=U0&amp;row=299&amp;col=6&amp;number=4.5&amp;sourceID=14","4.5")</f>
        <v>4.5</v>
      </c>
      <c r="G299" s="4" t="str">
        <f>HYPERLINK("http://141.218.60.56/~jnz1568/getInfo.php?workbook=12_05.xlsx&amp;sheet=U0&amp;row=299&amp;col=7&amp;number=0.0575&amp;sourceID=14","0.0575")</f>
        <v>0.0575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HYPERLINK("http://141.218.60.56/~jnz1568/getInfo.php?workbook=12_05.xlsx&amp;sheet=U0&amp;row=300&amp;col=6&amp;number=4.6&amp;sourceID=14","4.6")</f>
        <v>4.6</v>
      </c>
      <c r="G300" s="4" t="str">
        <f>HYPERLINK("http://141.218.60.56/~jnz1568/getInfo.php?workbook=12_05.xlsx&amp;sheet=U0&amp;row=300&amp;col=7&amp;number=0.0564&amp;sourceID=14","0.0564")</f>
        <v>0.0564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HYPERLINK("http://141.218.60.56/~jnz1568/getInfo.php?workbook=12_05.xlsx&amp;sheet=U0&amp;row=301&amp;col=6&amp;number=4.7&amp;sourceID=14","4.7")</f>
        <v>4.7</v>
      </c>
      <c r="G301" s="4" t="str">
        <f>HYPERLINK("http://141.218.60.56/~jnz1568/getInfo.php?workbook=12_05.xlsx&amp;sheet=U0&amp;row=301&amp;col=7&amp;number=0.0551&amp;sourceID=14","0.0551")</f>
        <v>0.0551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HYPERLINK("http://141.218.60.56/~jnz1568/getInfo.php?workbook=12_05.xlsx&amp;sheet=U0&amp;row=302&amp;col=6&amp;number=4.8&amp;sourceID=14","4.8")</f>
        <v>4.8</v>
      </c>
      <c r="G302" s="4" t="str">
        <f>HYPERLINK("http://141.218.60.56/~jnz1568/getInfo.php?workbook=12_05.xlsx&amp;sheet=U0&amp;row=302&amp;col=7&amp;number=0.0534&amp;sourceID=14","0.0534")</f>
        <v>0.0534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HYPERLINK("http://141.218.60.56/~jnz1568/getInfo.php?workbook=12_05.xlsx&amp;sheet=U0&amp;row=303&amp;col=6&amp;number=4.9&amp;sourceID=14","4.9")</f>
        <v>4.9</v>
      </c>
      <c r="G303" s="4" t="str">
        <f>HYPERLINK("http://141.218.60.56/~jnz1568/getInfo.php?workbook=12_05.xlsx&amp;sheet=U0&amp;row=303&amp;col=7&amp;number=0.0515&amp;sourceID=14","0.0515")</f>
        <v>0.0515</v>
      </c>
    </row>
    <row r="304" spans="1:7">
      <c r="A304" s="3">
        <v>12</v>
      </c>
      <c r="B304" s="3">
        <v>5</v>
      </c>
      <c r="C304" s="3">
        <v>2</v>
      </c>
      <c r="D304" s="3">
        <v>4</v>
      </c>
      <c r="E304" s="3">
        <v>1</v>
      </c>
      <c r="F304" s="4" t="str">
        <f>HYPERLINK("http://141.218.60.56/~jnz1568/getInfo.php?workbook=12_05.xlsx&amp;sheet=U0&amp;row=304&amp;col=6&amp;number=3&amp;sourceID=14","3")</f>
        <v>3</v>
      </c>
      <c r="G304" s="4" t="str">
        <f>HYPERLINK("http://141.218.60.56/~jnz1568/getInfo.php?workbook=12_05.xlsx&amp;sheet=U0&amp;row=304&amp;col=7&amp;number=0.14&amp;sourceID=14","0.14")</f>
        <v>0.14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HYPERLINK("http://141.218.60.56/~jnz1568/getInfo.php?workbook=12_05.xlsx&amp;sheet=U0&amp;row=305&amp;col=6&amp;number=3.1&amp;sourceID=14","3.1")</f>
        <v>3.1</v>
      </c>
      <c r="G305" s="4" t="str">
        <f>HYPERLINK("http://141.218.60.56/~jnz1568/getInfo.php?workbook=12_05.xlsx&amp;sheet=U0&amp;row=305&amp;col=7&amp;number=0.14&amp;sourceID=14","0.14")</f>
        <v>0.14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HYPERLINK("http://141.218.60.56/~jnz1568/getInfo.php?workbook=12_05.xlsx&amp;sheet=U0&amp;row=306&amp;col=6&amp;number=3.2&amp;sourceID=14","3.2")</f>
        <v>3.2</v>
      </c>
      <c r="G306" s="4" t="str">
        <f>HYPERLINK("http://141.218.60.56/~jnz1568/getInfo.php?workbook=12_05.xlsx&amp;sheet=U0&amp;row=306&amp;col=7&amp;number=0.14&amp;sourceID=14","0.14")</f>
        <v>0.14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HYPERLINK("http://141.218.60.56/~jnz1568/getInfo.php?workbook=12_05.xlsx&amp;sheet=U0&amp;row=307&amp;col=6&amp;number=3.3&amp;sourceID=14","3.3")</f>
        <v>3.3</v>
      </c>
      <c r="G307" s="4" t="str">
        <f>HYPERLINK("http://141.218.60.56/~jnz1568/getInfo.php?workbook=12_05.xlsx&amp;sheet=U0&amp;row=307&amp;col=7&amp;number=0.139&amp;sourceID=14","0.139")</f>
        <v>0.139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HYPERLINK("http://141.218.60.56/~jnz1568/getInfo.php?workbook=12_05.xlsx&amp;sheet=U0&amp;row=308&amp;col=6&amp;number=3.4&amp;sourceID=14","3.4")</f>
        <v>3.4</v>
      </c>
      <c r="G308" s="4" t="str">
        <f>HYPERLINK("http://141.218.60.56/~jnz1568/getInfo.php?workbook=12_05.xlsx&amp;sheet=U0&amp;row=308&amp;col=7&amp;number=0.139&amp;sourceID=14","0.139")</f>
        <v>0.139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HYPERLINK("http://141.218.60.56/~jnz1568/getInfo.php?workbook=12_05.xlsx&amp;sheet=U0&amp;row=309&amp;col=6&amp;number=3.5&amp;sourceID=14","3.5")</f>
        <v>3.5</v>
      </c>
      <c r="G309" s="4" t="str">
        <f>HYPERLINK("http://141.218.60.56/~jnz1568/getInfo.php?workbook=12_05.xlsx&amp;sheet=U0&amp;row=309&amp;col=7&amp;number=0.139&amp;sourceID=14","0.139")</f>
        <v>0.139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HYPERLINK("http://141.218.60.56/~jnz1568/getInfo.php?workbook=12_05.xlsx&amp;sheet=U0&amp;row=310&amp;col=6&amp;number=3.6&amp;sourceID=14","3.6")</f>
        <v>3.6</v>
      </c>
      <c r="G310" s="4" t="str">
        <f>HYPERLINK("http://141.218.60.56/~jnz1568/getInfo.php?workbook=12_05.xlsx&amp;sheet=U0&amp;row=310&amp;col=7&amp;number=0.139&amp;sourceID=14","0.139")</f>
        <v>0.139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HYPERLINK("http://141.218.60.56/~jnz1568/getInfo.php?workbook=12_05.xlsx&amp;sheet=U0&amp;row=311&amp;col=6&amp;number=3.7&amp;sourceID=14","3.7")</f>
        <v>3.7</v>
      </c>
      <c r="G311" s="4" t="str">
        <f>HYPERLINK("http://141.218.60.56/~jnz1568/getInfo.php?workbook=12_05.xlsx&amp;sheet=U0&amp;row=311&amp;col=7&amp;number=0.139&amp;sourceID=14","0.139")</f>
        <v>0.139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HYPERLINK("http://141.218.60.56/~jnz1568/getInfo.php?workbook=12_05.xlsx&amp;sheet=U0&amp;row=312&amp;col=6&amp;number=3.8&amp;sourceID=14","3.8")</f>
        <v>3.8</v>
      </c>
      <c r="G312" s="4" t="str">
        <f>HYPERLINK("http://141.218.60.56/~jnz1568/getInfo.php?workbook=12_05.xlsx&amp;sheet=U0&amp;row=312&amp;col=7&amp;number=0.139&amp;sourceID=14","0.139")</f>
        <v>0.139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HYPERLINK("http://141.218.60.56/~jnz1568/getInfo.php?workbook=12_05.xlsx&amp;sheet=U0&amp;row=313&amp;col=6&amp;number=3.9&amp;sourceID=14","3.9")</f>
        <v>3.9</v>
      </c>
      <c r="G313" s="4" t="str">
        <f>HYPERLINK("http://141.218.60.56/~jnz1568/getInfo.php?workbook=12_05.xlsx&amp;sheet=U0&amp;row=313&amp;col=7&amp;number=0.139&amp;sourceID=14","0.139")</f>
        <v>0.139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HYPERLINK("http://141.218.60.56/~jnz1568/getInfo.php?workbook=12_05.xlsx&amp;sheet=U0&amp;row=314&amp;col=6&amp;number=4&amp;sourceID=14","4")</f>
        <v>4</v>
      </c>
      <c r="G314" s="4" t="str">
        <f>HYPERLINK("http://141.218.60.56/~jnz1568/getInfo.php?workbook=12_05.xlsx&amp;sheet=U0&amp;row=314&amp;col=7&amp;number=0.139&amp;sourceID=14","0.139")</f>
        <v>0.139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HYPERLINK("http://141.218.60.56/~jnz1568/getInfo.php?workbook=12_05.xlsx&amp;sheet=U0&amp;row=315&amp;col=6&amp;number=4.1&amp;sourceID=14","4.1")</f>
        <v>4.1</v>
      </c>
      <c r="G315" s="4" t="str">
        <f>HYPERLINK("http://141.218.60.56/~jnz1568/getInfo.php?workbook=12_05.xlsx&amp;sheet=U0&amp;row=315&amp;col=7&amp;number=0.138&amp;sourceID=14","0.138")</f>
        <v>0.138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HYPERLINK("http://141.218.60.56/~jnz1568/getInfo.php?workbook=12_05.xlsx&amp;sheet=U0&amp;row=316&amp;col=6&amp;number=4.2&amp;sourceID=14","4.2")</f>
        <v>4.2</v>
      </c>
      <c r="G316" s="4" t="str">
        <f>HYPERLINK("http://141.218.60.56/~jnz1568/getInfo.php?workbook=12_05.xlsx&amp;sheet=U0&amp;row=316&amp;col=7&amp;number=0.138&amp;sourceID=14","0.138")</f>
        <v>0.138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HYPERLINK("http://141.218.60.56/~jnz1568/getInfo.php?workbook=12_05.xlsx&amp;sheet=U0&amp;row=317&amp;col=6&amp;number=4.3&amp;sourceID=14","4.3")</f>
        <v>4.3</v>
      </c>
      <c r="G317" s="4" t="str">
        <f>HYPERLINK("http://141.218.60.56/~jnz1568/getInfo.php?workbook=12_05.xlsx&amp;sheet=U0&amp;row=317&amp;col=7&amp;number=0.137&amp;sourceID=14","0.137")</f>
        <v>0.137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HYPERLINK("http://141.218.60.56/~jnz1568/getInfo.php?workbook=12_05.xlsx&amp;sheet=U0&amp;row=318&amp;col=6&amp;number=4.4&amp;sourceID=14","4.4")</f>
        <v>4.4</v>
      </c>
      <c r="G318" s="4" t="str">
        <f>HYPERLINK("http://141.218.60.56/~jnz1568/getInfo.php?workbook=12_05.xlsx&amp;sheet=U0&amp;row=318&amp;col=7&amp;number=0.137&amp;sourceID=14","0.137")</f>
        <v>0.137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HYPERLINK("http://141.218.60.56/~jnz1568/getInfo.php?workbook=12_05.xlsx&amp;sheet=U0&amp;row=319&amp;col=6&amp;number=4.5&amp;sourceID=14","4.5")</f>
        <v>4.5</v>
      </c>
      <c r="G319" s="4" t="str">
        <f>HYPERLINK("http://141.218.60.56/~jnz1568/getInfo.php?workbook=12_05.xlsx&amp;sheet=U0&amp;row=319&amp;col=7&amp;number=0.136&amp;sourceID=14","0.136")</f>
        <v>0.136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HYPERLINK("http://141.218.60.56/~jnz1568/getInfo.php?workbook=12_05.xlsx&amp;sheet=U0&amp;row=320&amp;col=6&amp;number=4.6&amp;sourceID=14","4.6")</f>
        <v>4.6</v>
      </c>
      <c r="G320" s="4" t="str">
        <f>HYPERLINK("http://141.218.60.56/~jnz1568/getInfo.php?workbook=12_05.xlsx&amp;sheet=U0&amp;row=320&amp;col=7&amp;number=0.134&amp;sourceID=14","0.134")</f>
        <v>0.134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HYPERLINK("http://141.218.60.56/~jnz1568/getInfo.php?workbook=12_05.xlsx&amp;sheet=U0&amp;row=321&amp;col=6&amp;number=4.7&amp;sourceID=14","4.7")</f>
        <v>4.7</v>
      </c>
      <c r="G321" s="4" t="str">
        <f>HYPERLINK("http://141.218.60.56/~jnz1568/getInfo.php?workbook=12_05.xlsx&amp;sheet=U0&amp;row=321&amp;col=7&amp;number=0.132&amp;sourceID=14","0.132")</f>
        <v>0.132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HYPERLINK("http://141.218.60.56/~jnz1568/getInfo.php?workbook=12_05.xlsx&amp;sheet=U0&amp;row=322&amp;col=6&amp;number=4.8&amp;sourceID=14","4.8")</f>
        <v>4.8</v>
      </c>
      <c r="G322" s="4" t="str">
        <f>HYPERLINK("http://141.218.60.56/~jnz1568/getInfo.php?workbook=12_05.xlsx&amp;sheet=U0&amp;row=322&amp;col=7&amp;number=0.13&amp;sourceID=14","0.13")</f>
        <v>0.13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HYPERLINK("http://141.218.60.56/~jnz1568/getInfo.php?workbook=12_05.xlsx&amp;sheet=U0&amp;row=323&amp;col=6&amp;number=4.9&amp;sourceID=14","4.9")</f>
        <v>4.9</v>
      </c>
      <c r="G323" s="4" t="str">
        <f>HYPERLINK("http://141.218.60.56/~jnz1568/getInfo.php?workbook=12_05.xlsx&amp;sheet=U0&amp;row=323&amp;col=7&amp;number=0.126&amp;sourceID=14","0.126")</f>
        <v>0.126</v>
      </c>
    </row>
    <row r="324" spans="1:7">
      <c r="A324" s="3">
        <v>12</v>
      </c>
      <c r="B324" s="3">
        <v>5</v>
      </c>
      <c r="C324" s="3">
        <v>2</v>
      </c>
      <c r="D324" s="3">
        <v>5</v>
      </c>
      <c r="E324" s="3">
        <v>1</v>
      </c>
      <c r="F324" s="4" t="str">
        <f>HYPERLINK("http://141.218.60.56/~jnz1568/getInfo.php?workbook=12_05.xlsx&amp;sheet=U0&amp;row=324&amp;col=6&amp;number=3&amp;sourceID=14","3")</f>
        <v>3</v>
      </c>
      <c r="G324" s="4" t="str">
        <f>HYPERLINK("http://141.218.60.56/~jnz1568/getInfo.php?workbook=12_05.xlsx&amp;sheet=U0&amp;row=324&amp;col=7&amp;number=0.28&amp;sourceID=14","0.28")</f>
        <v>0.28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HYPERLINK("http://141.218.60.56/~jnz1568/getInfo.php?workbook=12_05.xlsx&amp;sheet=U0&amp;row=325&amp;col=6&amp;number=3.1&amp;sourceID=14","3.1")</f>
        <v>3.1</v>
      </c>
      <c r="G325" s="4" t="str">
        <f>HYPERLINK("http://141.218.60.56/~jnz1568/getInfo.php?workbook=12_05.xlsx&amp;sheet=U0&amp;row=325&amp;col=7&amp;number=0.28&amp;sourceID=14","0.28")</f>
        <v>0.28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HYPERLINK("http://141.218.60.56/~jnz1568/getInfo.php?workbook=12_05.xlsx&amp;sheet=U0&amp;row=326&amp;col=6&amp;number=3.2&amp;sourceID=14","3.2")</f>
        <v>3.2</v>
      </c>
      <c r="G326" s="4" t="str">
        <f>HYPERLINK("http://141.218.60.56/~jnz1568/getInfo.php?workbook=12_05.xlsx&amp;sheet=U0&amp;row=326&amp;col=7&amp;number=0.28&amp;sourceID=14","0.28")</f>
        <v>0.28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HYPERLINK("http://141.218.60.56/~jnz1568/getInfo.php?workbook=12_05.xlsx&amp;sheet=U0&amp;row=327&amp;col=6&amp;number=3.3&amp;sourceID=14","3.3")</f>
        <v>3.3</v>
      </c>
      <c r="G327" s="4" t="str">
        <f>HYPERLINK("http://141.218.60.56/~jnz1568/getInfo.php?workbook=12_05.xlsx&amp;sheet=U0&amp;row=327&amp;col=7&amp;number=0.279&amp;sourceID=14","0.279")</f>
        <v>0.279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HYPERLINK("http://141.218.60.56/~jnz1568/getInfo.php?workbook=12_05.xlsx&amp;sheet=U0&amp;row=328&amp;col=6&amp;number=3.4&amp;sourceID=14","3.4")</f>
        <v>3.4</v>
      </c>
      <c r="G328" s="4" t="str">
        <f>HYPERLINK("http://141.218.60.56/~jnz1568/getInfo.php?workbook=12_05.xlsx&amp;sheet=U0&amp;row=328&amp;col=7&amp;number=0.279&amp;sourceID=14","0.279")</f>
        <v>0.279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HYPERLINK("http://141.218.60.56/~jnz1568/getInfo.php?workbook=12_05.xlsx&amp;sheet=U0&amp;row=329&amp;col=6&amp;number=3.5&amp;sourceID=14","3.5")</f>
        <v>3.5</v>
      </c>
      <c r="G329" s="4" t="str">
        <f>HYPERLINK("http://141.218.60.56/~jnz1568/getInfo.php?workbook=12_05.xlsx&amp;sheet=U0&amp;row=329&amp;col=7&amp;number=0.279&amp;sourceID=14","0.279")</f>
        <v>0.279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HYPERLINK("http://141.218.60.56/~jnz1568/getInfo.php?workbook=12_05.xlsx&amp;sheet=U0&amp;row=330&amp;col=6&amp;number=3.6&amp;sourceID=14","3.6")</f>
        <v>3.6</v>
      </c>
      <c r="G330" s="4" t="str">
        <f>HYPERLINK("http://141.218.60.56/~jnz1568/getInfo.php?workbook=12_05.xlsx&amp;sheet=U0&amp;row=330&amp;col=7&amp;number=0.278&amp;sourceID=14","0.278")</f>
        <v>0.278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HYPERLINK("http://141.218.60.56/~jnz1568/getInfo.php?workbook=12_05.xlsx&amp;sheet=U0&amp;row=331&amp;col=6&amp;number=3.7&amp;sourceID=14","3.7")</f>
        <v>3.7</v>
      </c>
      <c r="G331" s="4" t="str">
        <f>HYPERLINK("http://141.218.60.56/~jnz1568/getInfo.php?workbook=12_05.xlsx&amp;sheet=U0&amp;row=331&amp;col=7&amp;number=0.278&amp;sourceID=14","0.278")</f>
        <v>0.278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HYPERLINK("http://141.218.60.56/~jnz1568/getInfo.php?workbook=12_05.xlsx&amp;sheet=U0&amp;row=332&amp;col=6&amp;number=3.8&amp;sourceID=14","3.8")</f>
        <v>3.8</v>
      </c>
      <c r="G332" s="4" t="str">
        <f>HYPERLINK("http://141.218.60.56/~jnz1568/getInfo.php?workbook=12_05.xlsx&amp;sheet=U0&amp;row=332&amp;col=7&amp;number=0.277&amp;sourceID=14","0.277")</f>
        <v>0.277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HYPERLINK("http://141.218.60.56/~jnz1568/getInfo.php?workbook=12_05.xlsx&amp;sheet=U0&amp;row=333&amp;col=6&amp;number=3.9&amp;sourceID=14","3.9")</f>
        <v>3.9</v>
      </c>
      <c r="G333" s="4" t="str">
        <f>HYPERLINK("http://141.218.60.56/~jnz1568/getInfo.php?workbook=12_05.xlsx&amp;sheet=U0&amp;row=333&amp;col=7&amp;number=0.276&amp;sourceID=14","0.276")</f>
        <v>0.276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HYPERLINK("http://141.218.60.56/~jnz1568/getInfo.php?workbook=12_05.xlsx&amp;sheet=U0&amp;row=334&amp;col=6&amp;number=4&amp;sourceID=14","4")</f>
        <v>4</v>
      </c>
      <c r="G334" s="4" t="str">
        <f>HYPERLINK("http://141.218.60.56/~jnz1568/getInfo.php?workbook=12_05.xlsx&amp;sheet=U0&amp;row=334&amp;col=7&amp;number=0.275&amp;sourceID=14","0.275")</f>
        <v>0.275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HYPERLINK("http://141.218.60.56/~jnz1568/getInfo.php?workbook=12_05.xlsx&amp;sheet=U0&amp;row=335&amp;col=6&amp;number=4.1&amp;sourceID=14","4.1")</f>
        <v>4.1</v>
      </c>
      <c r="G335" s="4" t="str">
        <f>HYPERLINK("http://141.218.60.56/~jnz1568/getInfo.php?workbook=12_05.xlsx&amp;sheet=U0&amp;row=335&amp;col=7&amp;number=0.274&amp;sourceID=14","0.274")</f>
        <v>0.274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HYPERLINK("http://141.218.60.56/~jnz1568/getInfo.php?workbook=12_05.xlsx&amp;sheet=U0&amp;row=336&amp;col=6&amp;number=4.2&amp;sourceID=14","4.2")</f>
        <v>4.2</v>
      </c>
      <c r="G336" s="4" t="str">
        <f>HYPERLINK("http://141.218.60.56/~jnz1568/getInfo.php?workbook=12_05.xlsx&amp;sheet=U0&amp;row=336&amp;col=7&amp;number=0.272&amp;sourceID=14","0.272")</f>
        <v>0.272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HYPERLINK("http://141.218.60.56/~jnz1568/getInfo.php?workbook=12_05.xlsx&amp;sheet=U0&amp;row=337&amp;col=6&amp;number=4.3&amp;sourceID=14","4.3")</f>
        <v>4.3</v>
      </c>
      <c r="G337" s="4" t="str">
        <f>HYPERLINK("http://141.218.60.56/~jnz1568/getInfo.php?workbook=12_05.xlsx&amp;sheet=U0&amp;row=337&amp;col=7&amp;number=0.27&amp;sourceID=14","0.27")</f>
        <v>0.27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HYPERLINK("http://141.218.60.56/~jnz1568/getInfo.php?workbook=12_05.xlsx&amp;sheet=U0&amp;row=338&amp;col=6&amp;number=4.4&amp;sourceID=14","4.4")</f>
        <v>4.4</v>
      </c>
      <c r="G338" s="4" t="str">
        <f>HYPERLINK("http://141.218.60.56/~jnz1568/getInfo.php?workbook=12_05.xlsx&amp;sheet=U0&amp;row=338&amp;col=7&amp;number=0.267&amp;sourceID=14","0.267")</f>
        <v>0.267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HYPERLINK("http://141.218.60.56/~jnz1568/getInfo.php?workbook=12_05.xlsx&amp;sheet=U0&amp;row=339&amp;col=6&amp;number=4.5&amp;sourceID=14","4.5")</f>
        <v>4.5</v>
      </c>
      <c r="G339" s="4" t="str">
        <f>HYPERLINK("http://141.218.60.56/~jnz1568/getInfo.php?workbook=12_05.xlsx&amp;sheet=U0&amp;row=339&amp;col=7&amp;number=0.264&amp;sourceID=14","0.264")</f>
        <v>0.264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HYPERLINK("http://141.218.60.56/~jnz1568/getInfo.php?workbook=12_05.xlsx&amp;sheet=U0&amp;row=340&amp;col=6&amp;number=4.6&amp;sourceID=14","4.6")</f>
        <v>4.6</v>
      </c>
      <c r="G340" s="4" t="str">
        <f>HYPERLINK("http://141.218.60.56/~jnz1568/getInfo.php?workbook=12_05.xlsx&amp;sheet=U0&amp;row=340&amp;col=7&amp;number=0.26&amp;sourceID=14","0.26")</f>
        <v>0.26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HYPERLINK("http://141.218.60.56/~jnz1568/getInfo.php?workbook=12_05.xlsx&amp;sheet=U0&amp;row=341&amp;col=6&amp;number=4.7&amp;sourceID=14","4.7")</f>
        <v>4.7</v>
      </c>
      <c r="G341" s="4" t="str">
        <f>HYPERLINK("http://141.218.60.56/~jnz1568/getInfo.php?workbook=12_05.xlsx&amp;sheet=U0&amp;row=341&amp;col=7&amp;number=0.255&amp;sourceID=14","0.255")</f>
        <v>0.255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HYPERLINK("http://141.218.60.56/~jnz1568/getInfo.php?workbook=12_05.xlsx&amp;sheet=U0&amp;row=342&amp;col=6&amp;number=4.8&amp;sourceID=14","4.8")</f>
        <v>4.8</v>
      </c>
      <c r="G342" s="4" t="str">
        <f>HYPERLINK("http://141.218.60.56/~jnz1568/getInfo.php?workbook=12_05.xlsx&amp;sheet=U0&amp;row=342&amp;col=7&amp;number=0.249&amp;sourceID=14","0.249")</f>
        <v>0.249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HYPERLINK("http://141.218.60.56/~jnz1568/getInfo.php?workbook=12_05.xlsx&amp;sheet=U0&amp;row=343&amp;col=6&amp;number=4.9&amp;sourceID=14","4.9")</f>
        <v>4.9</v>
      </c>
      <c r="G343" s="4" t="str">
        <f>HYPERLINK("http://141.218.60.56/~jnz1568/getInfo.php?workbook=12_05.xlsx&amp;sheet=U0&amp;row=343&amp;col=7&amp;number=0.241&amp;sourceID=14","0.241")</f>
        <v>0.241</v>
      </c>
    </row>
    <row r="344" spans="1:7">
      <c r="A344" s="3">
        <v>12</v>
      </c>
      <c r="B344" s="3">
        <v>5</v>
      </c>
      <c r="C344" s="3">
        <v>2</v>
      </c>
      <c r="D344" s="3">
        <v>6</v>
      </c>
      <c r="E344" s="3">
        <v>1</v>
      </c>
      <c r="F344" s="4" t="str">
        <f>HYPERLINK("http://141.218.60.56/~jnz1568/getInfo.php?workbook=12_05.xlsx&amp;sheet=U0&amp;row=344&amp;col=6&amp;number=3&amp;sourceID=14","3")</f>
        <v>3</v>
      </c>
      <c r="G344" s="4" t="str">
        <f>HYPERLINK("http://141.218.60.56/~jnz1568/getInfo.php?workbook=12_05.xlsx&amp;sheet=U0&amp;row=344&amp;col=7&amp;number=0.516&amp;sourceID=14","0.516")</f>
        <v>0.516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HYPERLINK("http://141.218.60.56/~jnz1568/getInfo.php?workbook=12_05.xlsx&amp;sheet=U0&amp;row=345&amp;col=6&amp;number=3.1&amp;sourceID=14","3.1")</f>
        <v>3.1</v>
      </c>
      <c r="G345" s="4" t="str">
        <f>HYPERLINK("http://141.218.60.56/~jnz1568/getInfo.php?workbook=12_05.xlsx&amp;sheet=U0&amp;row=345&amp;col=7&amp;number=0.515&amp;sourceID=14","0.515")</f>
        <v>0.515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HYPERLINK("http://141.218.60.56/~jnz1568/getInfo.php?workbook=12_05.xlsx&amp;sheet=U0&amp;row=346&amp;col=6&amp;number=3.2&amp;sourceID=14","3.2")</f>
        <v>3.2</v>
      </c>
      <c r="G346" s="4" t="str">
        <f>HYPERLINK("http://141.218.60.56/~jnz1568/getInfo.php?workbook=12_05.xlsx&amp;sheet=U0&amp;row=346&amp;col=7&amp;number=0.514&amp;sourceID=14","0.514")</f>
        <v>0.514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HYPERLINK("http://141.218.60.56/~jnz1568/getInfo.php?workbook=12_05.xlsx&amp;sheet=U0&amp;row=347&amp;col=6&amp;number=3.3&amp;sourceID=14","3.3")</f>
        <v>3.3</v>
      </c>
      <c r="G347" s="4" t="str">
        <f>HYPERLINK("http://141.218.60.56/~jnz1568/getInfo.php?workbook=12_05.xlsx&amp;sheet=U0&amp;row=347&amp;col=7&amp;number=0.513&amp;sourceID=14","0.513")</f>
        <v>0.513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HYPERLINK("http://141.218.60.56/~jnz1568/getInfo.php?workbook=12_05.xlsx&amp;sheet=U0&amp;row=348&amp;col=6&amp;number=3.4&amp;sourceID=14","3.4")</f>
        <v>3.4</v>
      </c>
      <c r="G348" s="4" t="str">
        <f>HYPERLINK("http://141.218.60.56/~jnz1568/getInfo.php?workbook=12_05.xlsx&amp;sheet=U0&amp;row=348&amp;col=7&amp;number=0.511&amp;sourceID=14","0.511")</f>
        <v>0.511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HYPERLINK("http://141.218.60.56/~jnz1568/getInfo.php?workbook=12_05.xlsx&amp;sheet=U0&amp;row=349&amp;col=6&amp;number=3.5&amp;sourceID=14","3.5")</f>
        <v>3.5</v>
      </c>
      <c r="G349" s="4" t="str">
        <f>HYPERLINK("http://141.218.60.56/~jnz1568/getInfo.php?workbook=12_05.xlsx&amp;sheet=U0&amp;row=349&amp;col=7&amp;number=0.509&amp;sourceID=14","0.509")</f>
        <v>0.509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HYPERLINK("http://141.218.60.56/~jnz1568/getInfo.php?workbook=12_05.xlsx&amp;sheet=U0&amp;row=350&amp;col=6&amp;number=3.6&amp;sourceID=14","3.6")</f>
        <v>3.6</v>
      </c>
      <c r="G350" s="4" t="str">
        <f>HYPERLINK("http://141.218.60.56/~jnz1568/getInfo.php?workbook=12_05.xlsx&amp;sheet=U0&amp;row=350&amp;col=7&amp;number=0.507&amp;sourceID=14","0.507")</f>
        <v>0.507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HYPERLINK("http://141.218.60.56/~jnz1568/getInfo.php?workbook=12_05.xlsx&amp;sheet=U0&amp;row=351&amp;col=6&amp;number=3.7&amp;sourceID=14","3.7")</f>
        <v>3.7</v>
      </c>
      <c r="G351" s="4" t="str">
        <f>HYPERLINK("http://141.218.60.56/~jnz1568/getInfo.php?workbook=12_05.xlsx&amp;sheet=U0&amp;row=351&amp;col=7&amp;number=0.504&amp;sourceID=14","0.504")</f>
        <v>0.504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HYPERLINK("http://141.218.60.56/~jnz1568/getInfo.php?workbook=12_05.xlsx&amp;sheet=U0&amp;row=352&amp;col=6&amp;number=3.8&amp;sourceID=14","3.8")</f>
        <v>3.8</v>
      </c>
      <c r="G352" s="4" t="str">
        <f>HYPERLINK("http://141.218.60.56/~jnz1568/getInfo.php?workbook=12_05.xlsx&amp;sheet=U0&amp;row=352&amp;col=7&amp;number=0.5&amp;sourceID=14","0.5")</f>
        <v>0.5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HYPERLINK("http://141.218.60.56/~jnz1568/getInfo.php?workbook=12_05.xlsx&amp;sheet=U0&amp;row=353&amp;col=6&amp;number=3.9&amp;sourceID=14","3.9")</f>
        <v>3.9</v>
      </c>
      <c r="G353" s="4" t="str">
        <f>HYPERLINK("http://141.218.60.56/~jnz1568/getInfo.php?workbook=12_05.xlsx&amp;sheet=U0&amp;row=353&amp;col=7&amp;number=0.495&amp;sourceID=14","0.495")</f>
        <v>0.495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HYPERLINK("http://141.218.60.56/~jnz1568/getInfo.php?workbook=12_05.xlsx&amp;sheet=U0&amp;row=354&amp;col=6&amp;number=4&amp;sourceID=14","4")</f>
        <v>4</v>
      </c>
      <c r="G354" s="4" t="str">
        <f>HYPERLINK("http://141.218.60.56/~jnz1568/getInfo.php?workbook=12_05.xlsx&amp;sheet=U0&amp;row=354&amp;col=7&amp;number=0.49&amp;sourceID=14","0.49")</f>
        <v>0.49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HYPERLINK("http://141.218.60.56/~jnz1568/getInfo.php?workbook=12_05.xlsx&amp;sheet=U0&amp;row=355&amp;col=6&amp;number=4.1&amp;sourceID=14","4.1")</f>
        <v>4.1</v>
      </c>
      <c r="G355" s="4" t="str">
        <f>HYPERLINK("http://141.218.60.56/~jnz1568/getInfo.php?workbook=12_05.xlsx&amp;sheet=U0&amp;row=355&amp;col=7&amp;number=0.483&amp;sourceID=14","0.483")</f>
        <v>0.483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HYPERLINK("http://141.218.60.56/~jnz1568/getInfo.php?workbook=12_05.xlsx&amp;sheet=U0&amp;row=356&amp;col=6&amp;number=4.2&amp;sourceID=14","4.2")</f>
        <v>4.2</v>
      </c>
      <c r="G356" s="4" t="str">
        <f>HYPERLINK("http://141.218.60.56/~jnz1568/getInfo.php?workbook=12_05.xlsx&amp;sheet=U0&amp;row=356&amp;col=7&amp;number=0.475&amp;sourceID=14","0.475")</f>
        <v>0.475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HYPERLINK("http://141.218.60.56/~jnz1568/getInfo.php?workbook=12_05.xlsx&amp;sheet=U0&amp;row=357&amp;col=6&amp;number=4.3&amp;sourceID=14","4.3")</f>
        <v>4.3</v>
      </c>
      <c r="G357" s="4" t="str">
        <f>HYPERLINK("http://141.218.60.56/~jnz1568/getInfo.php?workbook=12_05.xlsx&amp;sheet=U0&amp;row=357&amp;col=7&amp;number=0.465&amp;sourceID=14","0.465")</f>
        <v>0.465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HYPERLINK("http://141.218.60.56/~jnz1568/getInfo.php?workbook=12_05.xlsx&amp;sheet=U0&amp;row=358&amp;col=6&amp;number=4.4&amp;sourceID=14","4.4")</f>
        <v>4.4</v>
      </c>
      <c r="G358" s="4" t="str">
        <f>HYPERLINK("http://141.218.60.56/~jnz1568/getInfo.php?workbook=12_05.xlsx&amp;sheet=U0&amp;row=358&amp;col=7&amp;number=0.453&amp;sourceID=14","0.453")</f>
        <v>0.453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HYPERLINK("http://141.218.60.56/~jnz1568/getInfo.php?workbook=12_05.xlsx&amp;sheet=U0&amp;row=359&amp;col=6&amp;number=4.5&amp;sourceID=14","4.5")</f>
        <v>4.5</v>
      </c>
      <c r="G359" s="4" t="str">
        <f>HYPERLINK("http://141.218.60.56/~jnz1568/getInfo.php?workbook=12_05.xlsx&amp;sheet=U0&amp;row=359&amp;col=7&amp;number=0.44&amp;sourceID=14","0.44")</f>
        <v>0.44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HYPERLINK("http://141.218.60.56/~jnz1568/getInfo.php?workbook=12_05.xlsx&amp;sheet=U0&amp;row=360&amp;col=6&amp;number=4.6&amp;sourceID=14","4.6")</f>
        <v>4.6</v>
      </c>
      <c r="G360" s="4" t="str">
        <f>HYPERLINK("http://141.218.60.56/~jnz1568/getInfo.php?workbook=12_05.xlsx&amp;sheet=U0&amp;row=360&amp;col=7&amp;number=0.425&amp;sourceID=14","0.425")</f>
        <v>0.425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HYPERLINK("http://141.218.60.56/~jnz1568/getInfo.php?workbook=12_05.xlsx&amp;sheet=U0&amp;row=361&amp;col=6&amp;number=4.7&amp;sourceID=14","4.7")</f>
        <v>4.7</v>
      </c>
      <c r="G361" s="4" t="str">
        <f>HYPERLINK("http://141.218.60.56/~jnz1568/getInfo.php?workbook=12_05.xlsx&amp;sheet=U0&amp;row=361&amp;col=7&amp;number=0.408&amp;sourceID=14","0.408")</f>
        <v>0.408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HYPERLINK("http://141.218.60.56/~jnz1568/getInfo.php?workbook=12_05.xlsx&amp;sheet=U0&amp;row=362&amp;col=6&amp;number=4.8&amp;sourceID=14","4.8")</f>
        <v>4.8</v>
      </c>
      <c r="G362" s="4" t="str">
        <f>HYPERLINK("http://141.218.60.56/~jnz1568/getInfo.php?workbook=12_05.xlsx&amp;sheet=U0&amp;row=362&amp;col=7&amp;number=0.389&amp;sourceID=14","0.389")</f>
        <v>0.389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HYPERLINK("http://141.218.60.56/~jnz1568/getInfo.php?workbook=12_05.xlsx&amp;sheet=U0&amp;row=363&amp;col=6&amp;number=4.9&amp;sourceID=14","4.9")</f>
        <v>4.9</v>
      </c>
      <c r="G363" s="4" t="str">
        <f>HYPERLINK("http://141.218.60.56/~jnz1568/getInfo.php?workbook=12_05.xlsx&amp;sheet=U0&amp;row=363&amp;col=7&amp;number=0.369&amp;sourceID=14","0.369")</f>
        <v>0.369</v>
      </c>
    </row>
    <row r="364" spans="1:7">
      <c r="A364" s="3">
        <v>12</v>
      </c>
      <c r="B364" s="3">
        <v>5</v>
      </c>
      <c r="C364" s="3">
        <v>2</v>
      </c>
      <c r="D364" s="3">
        <v>7</v>
      </c>
      <c r="E364" s="3">
        <v>1</v>
      </c>
      <c r="F364" s="4" t="str">
        <f>HYPERLINK("http://141.218.60.56/~jnz1568/getInfo.php?workbook=12_05.xlsx&amp;sheet=U0&amp;row=364&amp;col=6&amp;number=3&amp;sourceID=14","3")</f>
        <v>3</v>
      </c>
      <c r="G364" s="4" t="str">
        <f>HYPERLINK("http://141.218.60.56/~jnz1568/getInfo.php?workbook=12_05.xlsx&amp;sheet=U0&amp;row=364&amp;col=7&amp;number=1.92&amp;sourceID=14","1.92")</f>
        <v>1.92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HYPERLINK("http://141.218.60.56/~jnz1568/getInfo.php?workbook=12_05.xlsx&amp;sheet=U0&amp;row=365&amp;col=6&amp;number=3.1&amp;sourceID=14","3.1")</f>
        <v>3.1</v>
      </c>
      <c r="G365" s="4" t="str">
        <f>HYPERLINK("http://141.218.60.56/~jnz1568/getInfo.php?workbook=12_05.xlsx&amp;sheet=U0&amp;row=365&amp;col=7&amp;number=1.92&amp;sourceID=14","1.92")</f>
        <v>1.92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HYPERLINK("http://141.218.60.56/~jnz1568/getInfo.php?workbook=12_05.xlsx&amp;sheet=U0&amp;row=366&amp;col=6&amp;number=3.2&amp;sourceID=14","3.2")</f>
        <v>3.2</v>
      </c>
      <c r="G366" s="4" t="str">
        <f>HYPERLINK("http://141.218.60.56/~jnz1568/getInfo.php?workbook=12_05.xlsx&amp;sheet=U0&amp;row=366&amp;col=7&amp;number=1.92&amp;sourceID=14","1.92")</f>
        <v>1.92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HYPERLINK("http://141.218.60.56/~jnz1568/getInfo.php?workbook=12_05.xlsx&amp;sheet=U0&amp;row=367&amp;col=6&amp;number=3.3&amp;sourceID=14","3.3")</f>
        <v>3.3</v>
      </c>
      <c r="G367" s="4" t="str">
        <f>HYPERLINK("http://141.218.60.56/~jnz1568/getInfo.php?workbook=12_05.xlsx&amp;sheet=U0&amp;row=367&amp;col=7&amp;number=1.91&amp;sourceID=14","1.91")</f>
        <v>1.91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HYPERLINK("http://141.218.60.56/~jnz1568/getInfo.php?workbook=12_05.xlsx&amp;sheet=U0&amp;row=368&amp;col=6&amp;number=3.4&amp;sourceID=14","3.4")</f>
        <v>3.4</v>
      </c>
      <c r="G368" s="4" t="str">
        <f>HYPERLINK("http://141.218.60.56/~jnz1568/getInfo.php?workbook=12_05.xlsx&amp;sheet=U0&amp;row=368&amp;col=7&amp;number=1.91&amp;sourceID=14","1.91")</f>
        <v>1.91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HYPERLINK("http://141.218.60.56/~jnz1568/getInfo.php?workbook=12_05.xlsx&amp;sheet=U0&amp;row=369&amp;col=6&amp;number=3.5&amp;sourceID=14","3.5")</f>
        <v>3.5</v>
      </c>
      <c r="G369" s="4" t="str">
        <f>HYPERLINK("http://141.218.60.56/~jnz1568/getInfo.php?workbook=12_05.xlsx&amp;sheet=U0&amp;row=369&amp;col=7&amp;number=1.91&amp;sourceID=14","1.91")</f>
        <v>1.91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HYPERLINK("http://141.218.60.56/~jnz1568/getInfo.php?workbook=12_05.xlsx&amp;sheet=U0&amp;row=370&amp;col=6&amp;number=3.6&amp;sourceID=14","3.6")</f>
        <v>3.6</v>
      </c>
      <c r="G370" s="4" t="str">
        <f>HYPERLINK("http://141.218.60.56/~jnz1568/getInfo.php?workbook=12_05.xlsx&amp;sheet=U0&amp;row=370&amp;col=7&amp;number=1.9&amp;sourceID=14","1.9")</f>
        <v>1.9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HYPERLINK("http://141.218.60.56/~jnz1568/getInfo.php?workbook=12_05.xlsx&amp;sheet=U0&amp;row=371&amp;col=6&amp;number=3.7&amp;sourceID=14","3.7")</f>
        <v>3.7</v>
      </c>
      <c r="G371" s="4" t="str">
        <f>HYPERLINK("http://141.218.60.56/~jnz1568/getInfo.php?workbook=12_05.xlsx&amp;sheet=U0&amp;row=371&amp;col=7&amp;number=1.9&amp;sourceID=14","1.9")</f>
        <v>1.9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HYPERLINK("http://141.218.60.56/~jnz1568/getInfo.php?workbook=12_05.xlsx&amp;sheet=U0&amp;row=372&amp;col=6&amp;number=3.8&amp;sourceID=14","3.8")</f>
        <v>3.8</v>
      </c>
      <c r="G372" s="4" t="str">
        <f>HYPERLINK("http://141.218.60.56/~jnz1568/getInfo.php?workbook=12_05.xlsx&amp;sheet=U0&amp;row=372&amp;col=7&amp;number=1.89&amp;sourceID=14","1.89")</f>
        <v>1.89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HYPERLINK("http://141.218.60.56/~jnz1568/getInfo.php?workbook=12_05.xlsx&amp;sheet=U0&amp;row=373&amp;col=6&amp;number=3.9&amp;sourceID=14","3.9")</f>
        <v>3.9</v>
      </c>
      <c r="G373" s="4" t="str">
        <f>HYPERLINK("http://141.218.60.56/~jnz1568/getInfo.php?workbook=12_05.xlsx&amp;sheet=U0&amp;row=373&amp;col=7&amp;number=1.88&amp;sourceID=14","1.88")</f>
        <v>1.88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HYPERLINK("http://141.218.60.56/~jnz1568/getInfo.php?workbook=12_05.xlsx&amp;sheet=U0&amp;row=374&amp;col=6&amp;number=4&amp;sourceID=14","4")</f>
        <v>4</v>
      </c>
      <c r="G374" s="4" t="str">
        <f>HYPERLINK("http://141.218.60.56/~jnz1568/getInfo.php?workbook=12_05.xlsx&amp;sheet=U0&amp;row=374&amp;col=7&amp;number=1.87&amp;sourceID=14","1.87")</f>
        <v>1.87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HYPERLINK("http://141.218.60.56/~jnz1568/getInfo.php?workbook=12_05.xlsx&amp;sheet=U0&amp;row=375&amp;col=6&amp;number=4.1&amp;sourceID=14","4.1")</f>
        <v>4.1</v>
      </c>
      <c r="G375" s="4" t="str">
        <f>HYPERLINK("http://141.218.60.56/~jnz1568/getInfo.php?workbook=12_05.xlsx&amp;sheet=U0&amp;row=375&amp;col=7&amp;number=1.85&amp;sourceID=14","1.85")</f>
        <v>1.85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HYPERLINK("http://141.218.60.56/~jnz1568/getInfo.php?workbook=12_05.xlsx&amp;sheet=U0&amp;row=376&amp;col=6&amp;number=4.2&amp;sourceID=14","4.2")</f>
        <v>4.2</v>
      </c>
      <c r="G376" s="4" t="str">
        <f>HYPERLINK("http://141.218.60.56/~jnz1568/getInfo.php?workbook=12_05.xlsx&amp;sheet=U0&amp;row=376&amp;col=7&amp;number=1.83&amp;sourceID=14","1.83")</f>
        <v>1.83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HYPERLINK("http://141.218.60.56/~jnz1568/getInfo.php?workbook=12_05.xlsx&amp;sheet=U0&amp;row=377&amp;col=6&amp;number=4.3&amp;sourceID=14","4.3")</f>
        <v>4.3</v>
      </c>
      <c r="G377" s="4" t="str">
        <f>HYPERLINK("http://141.218.60.56/~jnz1568/getInfo.php?workbook=12_05.xlsx&amp;sheet=U0&amp;row=377&amp;col=7&amp;number=1.81&amp;sourceID=14","1.81")</f>
        <v>1.81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HYPERLINK("http://141.218.60.56/~jnz1568/getInfo.php?workbook=12_05.xlsx&amp;sheet=U0&amp;row=378&amp;col=6&amp;number=4.4&amp;sourceID=14","4.4")</f>
        <v>4.4</v>
      </c>
      <c r="G378" s="4" t="str">
        <f>HYPERLINK("http://141.218.60.56/~jnz1568/getInfo.php?workbook=12_05.xlsx&amp;sheet=U0&amp;row=378&amp;col=7&amp;number=1.79&amp;sourceID=14","1.79")</f>
        <v>1.79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HYPERLINK("http://141.218.60.56/~jnz1568/getInfo.php?workbook=12_05.xlsx&amp;sheet=U0&amp;row=379&amp;col=6&amp;number=4.5&amp;sourceID=14","4.5")</f>
        <v>4.5</v>
      </c>
      <c r="G379" s="4" t="str">
        <f>HYPERLINK("http://141.218.60.56/~jnz1568/getInfo.php?workbook=12_05.xlsx&amp;sheet=U0&amp;row=379&amp;col=7&amp;number=1.76&amp;sourceID=14","1.76")</f>
        <v>1.76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HYPERLINK("http://141.218.60.56/~jnz1568/getInfo.php?workbook=12_05.xlsx&amp;sheet=U0&amp;row=380&amp;col=6&amp;number=4.6&amp;sourceID=14","4.6")</f>
        <v>4.6</v>
      </c>
      <c r="G380" s="4" t="str">
        <f>HYPERLINK("http://141.218.60.56/~jnz1568/getInfo.php?workbook=12_05.xlsx&amp;sheet=U0&amp;row=380&amp;col=7&amp;number=1.73&amp;sourceID=14","1.73")</f>
        <v>1.73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HYPERLINK("http://141.218.60.56/~jnz1568/getInfo.php?workbook=12_05.xlsx&amp;sheet=U0&amp;row=381&amp;col=6&amp;number=4.7&amp;sourceID=14","4.7")</f>
        <v>4.7</v>
      </c>
      <c r="G381" s="4" t="str">
        <f>HYPERLINK("http://141.218.60.56/~jnz1568/getInfo.php?workbook=12_05.xlsx&amp;sheet=U0&amp;row=381&amp;col=7&amp;number=1.69&amp;sourceID=14","1.69")</f>
        <v>1.69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HYPERLINK("http://141.218.60.56/~jnz1568/getInfo.php?workbook=12_05.xlsx&amp;sheet=U0&amp;row=382&amp;col=6&amp;number=4.8&amp;sourceID=14","4.8")</f>
        <v>4.8</v>
      </c>
      <c r="G382" s="4" t="str">
        <f>HYPERLINK("http://141.218.60.56/~jnz1568/getInfo.php?workbook=12_05.xlsx&amp;sheet=U0&amp;row=382&amp;col=7&amp;number=1.65&amp;sourceID=14","1.65")</f>
        <v>1.65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HYPERLINK("http://141.218.60.56/~jnz1568/getInfo.php?workbook=12_05.xlsx&amp;sheet=U0&amp;row=383&amp;col=6&amp;number=4.9&amp;sourceID=14","4.9")</f>
        <v>4.9</v>
      </c>
      <c r="G383" s="4" t="str">
        <f>HYPERLINK("http://141.218.60.56/~jnz1568/getInfo.php?workbook=12_05.xlsx&amp;sheet=U0&amp;row=383&amp;col=7&amp;number=1.61&amp;sourceID=14","1.61")</f>
        <v>1.61</v>
      </c>
    </row>
    <row r="384" spans="1:7">
      <c r="A384" s="3">
        <v>12</v>
      </c>
      <c r="B384" s="3">
        <v>5</v>
      </c>
      <c r="C384" s="3">
        <v>2</v>
      </c>
      <c r="D384" s="3">
        <v>8</v>
      </c>
      <c r="E384" s="3">
        <v>1</v>
      </c>
      <c r="F384" s="4" t="str">
        <f>HYPERLINK("http://141.218.60.56/~jnz1568/getInfo.php?workbook=12_05.xlsx&amp;sheet=U0&amp;row=384&amp;col=6&amp;number=3&amp;sourceID=14","3")</f>
        <v>3</v>
      </c>
      <c r="G384" s="4" t="str">
        <f>HYPERLINK("http://141.218.60.56/~jnz1568/getInfo.php?workbook=12_05.xlsx&amp;sheet=U0&amp;row=384&amp;col=7&amp;number=0.582&amp;sourceID=14","0.582")</f>
        <v>0.582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HYPERLINK("http://141.218.60.56/~jnz1568/getInfo.php?workbook=12_05.xlsx&amp;sheet=U0&amp;row=385&amp;col=6&amp;number=3.1&amp;sourceID=14","3.1")</f>
        <v>3.1</v>
      </c>
      <c r="G385" s="4" t="str">
        <f>HYPERLINK("http://141.218.60.56/~jnz1568/getInfo.php?workbook=12_05.xlsx&amp;sheet=U0&amp;row=385&amp;col=7&amp;number=0.582&amp;sourceID=14","0.582")</f>
        <v>0.582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HYPERLINK("http://141.218.60.56/~jnz1568/getInfo.php?workbook=12_05.xlsx&amp;sheet=U0&amp;row=386&amp;col=6&amp;number=3.2&amp;sourceID=14","3.2")</f>
        <v>3.2</v>
      </c>
      <c r="G386" s="4" t="str">
        <f>HYPERLINK("http://141.218.60.56/~jnz1568/getInfo.php?workbook=12_05.xlsx&amp;sheet=U0&amp;row=386&amp;col=7&amp;number=0.582&amp;sourceID=14","0.582")</f>
        <v>0.582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HYPERLINK("http://141.218.60.56/~jnz1568/getInfo.php?workbook=12_05.xlsx&amp;sheet=U0&amp;row=387&amp;col=6&amp;number=3.3&amp;sourceID=14","3.3")</f>
        <v>3.3</v>
      </c>
      <c r="G387" s="4" t="str">
        <f>HYPERLINK("http://141.218.60.56/~jnz1568/getInfo.php?workbook=12_05.xlsx&amp;sheet=U0&amp;row=387&amp;col=7&amp;number=0.581&amp;sourceID=14","0.581")</f>
        <v>0.581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HYPERLINK("http://141.218.60.56/~jnz1568/getInfo.php?workbook=12_05.xlsx&amp;sheet=U0&amp;row=388&amp;col=6&amp;number=3.4&amp;sourceID=14","3.4")</f>
        <v>3.4</v>
      </c>
      <c r="G388" s="4" t="str">
        <f>HYPERLINK("http://141.218.60.56/~jnz1568/getInfo.php?workbook=12_05.xlsx&amp;sheet=U0&amp;row=388&amp;col=7&amp;number=0.581&amp;sourceID=14","0.581")</f>
        <v>0.581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HYPERLINK("http://141.218.60.56/~jnz1568/getInfo.php?workbook=12_05.xlsx&amp;sheet=U0&amp;row=389&amp;col=6&amp;number=3.5&amp;sourceID=14","3.5")</f>
        <v>3.5</v>
      </c>
      <c r="G389" s="4" t="str">
        <f>HYPERLINK("http://141.218.60.56/~jnz1568/getInfo.php?workbook=12_05.xlsx&amp;sheet=U0&amp;row=389&amp;col=7&amp;number=0.581&amp;sourceID=14","0.581")</f>
        <v>0.581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HYPERLINK("http://141.218.60.56/~jnz1568/getInfo.php?workbook=12_05.xlsx&amp;sheet=U0&amp;row=390&amp;col=6&amp;number=3.6&amp;sourceID=14","3.6")</f>
        <v>3.6</v>
      </c>
      <c r="G390" s="4" t="str">
        <f>HYPERLINK("http://141.218.60.56/~jnz1568/getInfo.php?workbook=12_05.xlsx&amp;sheet=U0&amp;row=390&amp;col=7&amp;number=0.581&amp;sourceID=14","0.581")</f>
        <v>0.581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HYPERLINK("http://141.218.60.56/~jnz1568/getInfo.php?workbook=12_05.xlsx&amp;sheet=U0&amp;row=391&amp;col=6&amp;number=3.7&amp;sourceID=14","3.7")</f>
        <v>3.7</v>
      </c>
      <c r="G391" s="4" t="str">
        <f>HYPERLINK("http://141.218.60.56/~jnz1568/getInfo.php?workbook=12_05.xlsx&amp;sheet=U0&amp;row=391&amp;col=7&amp;number=0.581&amp;sourceID=14","0.581")</f>
        <v>0.581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HYPERLINK("http://141.218.60.56/~jnz1568/getInfo.php?workbook=12_05.xlsx&amp;sheet=U0&amp;row=392&amp;col=6&amp;number=3.8&amp;sourceID=14","3.8")</f>
        <v>3.8</v>
      </c>
      <c r="G392" s="4" t="str">
        <f>HYPERLINK("http://141.218.60.56/~jnz1568/getInfo.php?workbook=12_05.xlsx&amp;sheet=U0&amp;row=392&amp;col=7&amp;number=0.58&amp;sourceID=14","0.58")</f>
        <v>0.58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HYPERLINK("http://141.218.60.56/~jnz1568/getInfo.php?workbook=12_05.xlsx&amp;sheet=U0&amp;row=393&amp;col=6&amp;number=3.9&amp;sourceID=14","3.9")</f>
        <v>3.9</v>
      </c>
      <c r="G393" s="4" t="str">
        <f>HYPERLINK("http://141.218.60.56/~jnz1568/getInfo.php?workbook=12_05.xlsx&amp;sheet=U0&amp;row=393&amp;col=7&amp;number=0.58&amp;sourceID=14","0.58")</f>
        <v>0.58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HYPERLINK("http://141.218.60.56/~jnz1568/getInfo.php?workbook=12_05.xlsx&amp;sheet=U0&amp;row=394&amp;col=6&amp;number=4&amp;sourceID=14","4")</f>
        <v>4</v>
      </c>
      <c r="G394" s="4" t="str">
        <f>HYPERLINK("http://141.218.60.56/~jnz1568/getInfo.php?workbook=12_05.xlsx&amp;sheet=U0&amp;row=394&amp;col=7&amp;number=0.58&amp;sourceID=14","0.58")</f>
        <v>0.58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HYPERLINK("http://141.218.60.56/~jnz1568/getInfo.php?workbook=12_05.xlsx&amp;sheet=U0&amp;row=395&amp;col=6&amp;number=4.1&amp;sourceID=14","4.1")</f>
        <v>4.1</v>
      </c>
      <c r="G395" s="4" t="str">
        <f>HYPERLINK("http://141.218.60.56/~jnz1568/getInfo.php?workbook=12_05.xlsx&amp;sheet=U0&amp;row=395&amp;col=7&amp;number=0.579&amp;sourceID=14","0.579")</f>
        <v>0.579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HYPERLINK("http://141.218.60.56/~jnz1568/getInfo.php?workbook=12_05.xlsx&amp;sheet=U0&amp;row=396&amp;col=6&amp;number=4.2&amp;sourceID=14","4.2")</f>
        <v>4.2</v>
      </c>
      <c r="G396" s="4" t="str">
        <f>HYPERLINK("http://141.218.60.56/~jnz1568/getInfo.php?workbook=12_05.xlsx&amp;sheet=U0&amp;row=396&amp;col=7&amp;number=0.578&amp;sourceID=14","0.578")</f>
        <v>0.578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HYPERLINK("http://141.218.60.56/~jnz1568/getInfo.php?workbook=12_05.xlsx&amp;sheet=U0&amp;row=397&amp;col=6&amp;number=4.3&amp;sourceID=14","4.3")</f>
        <v>4.3</v>
      </c>
      <c r="G397" s="4" t="str">
        <f>HYPERLINK("http://141.218.60.56/~jnz1568/getInfo.php?workbook=12_05.xlsx&amp;sheet=U0&amp;row=397&amp;col=7&amp;number=0.578&amp;sourceID=14","0.578")</f>
        <v>0.578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HYPERLINK("http://141.218.60.56/~jnz1568/getInfo.php?workbook=12_05.xlsx&amp;sheet=U0&amp;row=398&amp;col=6&amp;number=4.4&amp;sourceID=14","4.4")</f>
        <v>4.4</v>
      </c>
      <c r="G398" s="4" t="str">
        <f>HYPERLINK("http://141.218.60.56/~jnz1568/getInfo.php?workbook=12_05.xlsx&amp;sheet=U0&amp;row=398&amp;col=7&amp;number=0.577&amp;sourceID=14","0.577")</f>
        <v>0.577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HYPERLINK("http://141.218.60.56/~jnz1568/getInfo.php?workbook=12_05.xlsx&amp;sheet=U0&amp;row=399&amp;col=6&amp;number=4.5&amp;sourceID=14","4.5")</f>
        <v>4.5</v>
      </c>
      <c r="G399" s="4" t="str">
        <f>HYPERLINK("http://141.218.60.56/~jnz1568/getInfo.php?workbook=12_05.xlsx&amp;sheet=U0&amp;row=399&amp;col=7&amp;number=0.576&amp;sourceID=14","0.576")</f>
        <v>0.576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HYPERLINK("http://141.218.60.56/~jnz1568/getInfo.php?workbook=12_05.xlsx&amp;sheet=U0&amp;row=400&amp;col=6&amp;number=4.6&amp;sourceID=14","4.6")</f>
        <v>4.6</v>
      </c>
      <c r="G400" s="4" t="str">
        <f>HYPERLINK("http://141.218.60.56/~jnz1568/getInfo.php?workbook=12_05.xlsx&amp;sheet=U0&amp;row=400&amp;col=7&amp;number=0.575&amp;sourceID=14","0.575")</f>
        <v>0.575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HYPERLINK("http://141.218.60.56/~jnz1568/getInfo.php?workbook=12_05.xlsx&amp;sheet=U0&amp;row=401&amp;col=6&amp;number=4.7&amp;sourceID=14","4.7")</f>
        <v>4.7</v>
      </c>
      <c r="G401" s="4" t="str">
        <f>HYPERLINK("http://141.218.60.56/~jnz1568/getInfo.php?workbook=12_05.xlsx&amp;sheet=U0&amp;row=401&amp;col=7&amp;number=0.574&amp;sourceID=14","0.574")</f>
        <v>0.574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HYPERLINK("http://141.218.60.56/~jnz1568/getInfo.php?workbook=12_05.xlsx&amp;sheet=U0&amp;row=402&amp;col=6&amp;number=4.8&amp;sourceID=14","4.8")</f>
        <v>4.8</v>
      </c>
      <c r="G402" s="4" t="str">
        <f>HYPERLINK("http://141.218.60.56/~jnz1568/getInfo.php?workbook=12_05.xlsx&amp;sheet=U0&amp;row=402&amp;col=7&amp;number=0.573&amp;sourceID=14","0.573")</f>
        <v>0.573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HYPERLINK("http://141.218.60.56/~jnz1568/getInfo.php?workbook=12_05.xlsx&amp;sheet=U0&amp;row=403&amp;col=6&amp;number=4.9&amp;sourceID=14","4.9")</f>
        <v>4.9</v>
      </c>
      <c r="G403" s="4" t="str">
        <f>HYPERLINK("http://141.218.60.56/~jnz1568/getInfo.php?workbook=12_05.xlsx&amp;sheet=U0&amp;row=403&amp;col=7&amp;number=0.573&amp;sourceID=14","0.573")</f>
        <v>0.573</v>
      </c>
    </row>
    <row r="404" spans="1:7">
      <c r="A404" s="3">
        <v>12</v>
      </c>
      <c r="B404" s="3">
        <v>5</v>
      </c>
      <c r="C404" s="3">
        <v>2</v>
      </c>
      <c r="D404" s="3">
        <v>9</v>
      </c>
      <c r="E404" s="3">
        <v>1</v>
      </c>
      <c r="F404" s="4" t="str">
        <f>HYPERLINK("http://141.218.60.56/~jnz1568/getInfo.php?workbook=12_05.xlsx&amp;sheet=U0&amp;row=404&amp;col=6&amp;number=3&amp;sourceID=14","3")</f>
        <v>3</v>
      </c>
      <c r="G404" s="4" t="str">
        <f>HYPERLINK("http://141.218.60.56/~jnz1568/getInfo.php?workbook=12_05.xlsx&amp;sheet=U0&amp;row=404&amp;col=7&amp;number=0.439&amp;sourceID=14","0.439")</f>
        <v>0.439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HYPERLINK("http://141.218.60.56/~jnz1568/getInfo.php?workbook=12_05.xlsx&amp;sheet=U0&amp;row=405&amp;col=6&amp;number=3.1&amp;sourceID=14","3.1")</f>
        <v>3.1</v>
      </c>
      <c r="G405" s="4" t="str">
        <f>HYPERLINK("http://141.218.60.56/~jnz1568/getInfo.php?workbook=12_05.xlsx&amp;sheet=U0&amp;row=405&amp;col=7&amp;number=0.439&amp;sourceID=14","0.439")</f>
        <v>0.439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HYPERLINK("http://141.218.60.56/~jnz1568/getInfo.php?workbook=12_05.xlsx&amp;sheet=U0&amp;row=406&amp;col=6&amp;number=3.2&amp;sourceID=14","3.2")</f>
        <v>3.2</v>
      </c>
      <c r="G406" s="4" t="str">
        <f>HYPERLINK("http://141.218.60.56/~jnz1568/getInfo.php?workbook=12_05.xlsx&amp;sheet=U0&amp;row=406&amp;col=7&amp;number=0.439&amp;sourceID=14","0.439")</f>
        <v>0.439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HYPERLINK("http://141.218.60.56/~jnz1568/getInfo.php?workbook=12_05.xlsx&amp;sheet=U0&amp;row=407&amp;col=6&amp;number=3.3&amp;sourceID=14","3.3")</f>
        <v>3.3</v>
      </c>
      <c r="G407" s="4" t="str">
        <f>HYPERLINK("http://141.218.60.56/~jnz1568/getInfo.php?workbook=12_05.xlsx&amp;sheet=U0&amp;row=407&amp;col=7&amp;number=0.439&amp;sourceID=14","0.439")</f>
        <v>0.439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HYPERLINK("http://141.218.60.56/~jnz1568/getInfo.php?workbook=12_05.xlsx&amp;sheet=U0&amp;row=408&amp;col=6&amp;number=3.4&amp;sourceID=14","3.4")</f>
        <v>3.4</v>
      </c>
      <c r="G408" s="4" t="str">
        <f>HYPERLINK("http://141.218.60.56/~jnz1568/getInfo.php?workbook=12_05.xlsx&amp;sheet=U0&amp;row=408&amp;col=7&amp;number=0.439&amp;sourceID=14","0.439")</f>
        <v>0.439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HYPERLINK("http://141.218.60.56/~jnz1568/getInfo.php?workbook=12_05.xlsx&amp;sheet=U0&amp;row=409&amp;col=6&amp;number=3.5&amp;sourceID=14","3.5")</f>
        <v>3.5</v>
      </c>
      <c r="G409" s="4" t="str">
        <f>HYPERLINK("http://141.218.60.56/~jnz1568/getInfo.php?workbook=12_05.xlsx&amp;sheet=U0&amp;row=409&amp;col=7&amp;number=0.439&amp;sourceID=14","0.439")</f>
        <v>0.439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HYPERLINK("http://141.218.60.56/~jnz1568/getInfo.php?workbook=12_05.xlsx&amp;sheet=U0&amp;row=410&amp;col=6&amp;number=3.6&amp;sourceID=14","3.6")</f>
        <v>3.6</v>
      </c>
      <c r="G410" s="4" t="str">
        <f>HYPERLINK("http://141.218.60.56/~jnz1568/getInfo.php?workbook=12_05.xlsx&amp;sheet=U0&amp;row=410&amp;col=7&amp;number=0.439&amp;sourceID=14","0.439")</f>
        <v>0.439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HYPERLINK("http://141.218.60.56/~jnz1568/getInfo.php?workbook=12_05.xlsx&amp;sheet=U0&amp;row=411&amp;col=6&amp;number=3.7&amp;sourceID=14","3.7")</f>
        <v>3.7</v>
      </c>
      <c r="G411" s="4" t="str">
        <f>HYPERLINK("http://141.218.60.56/~jnz1568/getInfo.php?workbook=12_05.xlsx&amp;sheet=U0&amp;row=411&amp;col=7&amp;number=0.439&amp;sourceID=14","0.439")</f>
        <v>0.439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HYPERLINK("http://141.218.60.56/~jnz1568/getInfo.php?workbook=12_05.xlsx&amp;sheet=U0&amp;row=412&amp;col=6&amp;number=3.8&amp;sourceID=14","3.8")</f>
        <v>3.8</v>
      </c>
      <c r="G412" s="4" t="str">
        <f>HYPERLINK("http://141.218.60.56/~jnz1568/getInfo.php?workbook=12_05.xlsx&amp;sheet=U0&amp;row=412&amp;col=7&amp;number=0.439&amp;sourceID=14","0.439")</f>
        <v>0.439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HYPERLINK("http://141.218.60.56/~jnz1568/getInfo.php?workbook=12_05.xlsx&amp;sheet=U0&amp;row=413&amp;col=6&amp;number=3.9&amp;sourceID=14","3.9")</f>
        <v>3.9</v>
      </c>
      <c r="G413" s="4" t="str">
        <f>HYPERLINK("http://141.218.60.56/~jnz1568/getInfo.php?workbook=12_05.xlsx&amp;sheet=U0&amp;row=413&amp;col=7&amp;number=0.439&amp;sourceID=14","0.439")</f>
        <v>0.439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HYPERLINK("http://141.218.60.56/~jnz1568/getInfo.php?workbook=12_05.xlsx&amp;sheet=U0&amp;row=414&amp;col=6&amp;number=4&amp;sourceID=14","4")</f>
        <v>4</v>
      </c>
      <c r="G414" s="4" t="str">
        <f>HYPERLINK("http://141.218.60.56/~jnz1568/getInfo.php?workbook=12_05.xlsx&amp;sheet=U0&amp;row=414&amp;col=7&amp;number=0.439&amp;sourceID=14","0.439")</f>
        <v>0.439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HYPERLINK("http://141.218.60.56/~jnz1568/getInfo.php?workbook=12_05.xlsx&amp;sheet=U0&amp;row=415&amp;col=6&amp;number=4.1&amp;sourceID=14","4.1")</f>
        <v>4.1</v>
      </c>
      <c r="G415" s="4" t="str">
        <f>HYPERLINK("http://141.218.60.56/~jnz1568/getInfo.php?workbook=12_05.xlsx&amp;sheet=U0&amp;row=415&amp;col=7&amp;number=0.439&amp;sourceID=14","0.439")</f>
        <v>0.439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HYPERLINK("http://141.218.60.56/~jnz1568/getInfo.php?workbook=12_05.xlsx&amp;sheet=U0&amp;row=416&amp;col=6&amp;number=4.2&amp;sourceID=14","4.2")</f>
        <v>4.2</v>
      </c>
      <c r="G416" s="4" t="str">
        <f>HYPERLINK("http://141.218.60.56/~jnz1568/getInfo.php?workbook=12_05.xlsx&amp;sheet=U0&amp;row=416&amp;col=7&amp;number=0.439&amp;sourceID=14","0.439")</f>
        <v>0.439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HYPERLINK("http://141.218.60.56/~jnz1568/getInfo.php?workbook=12_05.xlsx&amp;sheet=U0&amp;row=417&amp;col=6&amp;number=4.3&amp;sourceID=14","4.3")</f>
        <v>4.3</v>
      </c>
      <c r="G417" s="4" t="str">
        <f>HYPERLINK("http://141.218.60.56/~jnz1568/getInfo.php?workbook=12_05.xlsx&amp;sheet=U0&amp;row=417&amp;col=7&amp;number=0.439&amp;sourceID=14","0.439")</f>
        <v>0.439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HYPERLINK("http://141.218.60.56/~jnz1568/getInfo.php?workbook=12_05.xlsx&amp;sheet=U0&amp;row=418&amp;col=6&amp;number=4.4&amp;sourceID=14","4.4")</f>
        <v>4.4</v>
      </c>
      <c r="G418" s="4" t="str">
        <f>HYPERLINK("http://141.218.60.56/~jnz1568/getInfo.php?workbook=12_05.xlsx&amp;sheet=U0&amp;row=418&amp;col=7&amp;number=0.44&amp;sourceID=14","0.44")</f>
        <v>0.44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HYPERLINK("http://141.218.60.56/~jnz1568/getInfo.php?workbook=12_05.xlsx&amp;sheet=U0&amp;row=419&amp;col=6&amp;number=4.5&amp;sourceID=14","4.5")</f>
        <v>4.5</v>
      </c>
      <c r="G419" s="4" t="str">
        <f>HYPERLINK("http://141.218.60.56/~jnz1568/getInfo.php?workbook=12_05.xlsx&amp;sheet=U0&amp;row=419&amp;col=7&amp;number=0.44&amp;sourceID=14","0.44")</f>
        <v>0.44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HYPERLINK("http://141.218.60.56/~jnz1568/getInfo.php?workbook=12_05.xlsx&amp;sheet=U0&amp;row=420&amp;col=6&amp;number=4.6&amp;sourceID=14","4.6")</f>
        <v>4.6</v>
      </c>
      <c r="G420" s="4" t="str">
        <f>HYPERLINK("http://141.218.60.56/~jnz1568/getInfo.php?workbook=12_05.xlsx&amp;sheet=U0&amp;row=420&amp;col=7&amp;number=0.44&amp;sourceID=14","0.44")</f>
        <v>0.44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HYPERLINK("http://141.218.60.56/~jnz1568/getInfo.php?workbook=12_05.xlsx&amp;sheet=U0&amp;row=421&amp;col=6&amp;number=4.7&amp;sourceID=14","4.7")</f>
        <v>4.7</v>
      </c>
      <c r="G421" s="4" t="str">
        <f>HYPERLINK("http://141.218.60.56/~jnz1568/getInfo.php?workbook=12_05.xlsx&amp;sheet=U0&amp;row=421&amp;col=7&amp;number=0.44&amp;sourceID=14","0.44")</f>
        <v>0.44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HYPERLINK("http://141.218.60.56/~jnz1568/getInfo.php?workbook=12_05.xlsx&amp;sheet=U0&amp;row=422&amp;col=6&amp;number=4.8&amp;sourceID=14","4.8")</f>
        <v>4.8</v>
      </c>
      <c r="G422" s="4" t="str">
        <f>HYPERLINK("http://141.218.60.56/~jnz1568/getInfo.php?workbook=12_05.xlsx&amp;sheet=U0&amp;row=422&amp;col=7&amp;number=0.441&amp;sourceID=14","0.441")</f>
        <v>0.441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HYPERLINK("http://141.218.60.56/~jnz1568/getInfo.php?workbook=12_05.xlsx&amp;sheet=U0&amp;row=423&amp;col=6&amp;number=4.9&amp;sourceID=14","4.9")</f>
        <v>4.9</v>
      </c>
      <c r="G423" s="4" t="str">
        <f>HYPERLINK("http://141.218.60.56/~jnz1568/getInfo.php?workbook=12_05.xlsx&amp;sheet=U0&amp;row=423&amp;col=7&amp;number=0.442&amp;sourceID=14","0.442")</f>
        <v>0.442</v>
      </c>
    </row>
    <row r="424" spans="1:7">
      <c r="A424" s="3">
        <v>12</v>
      </c>
      <c r="B424" s="3">
        <v>5</v>
      </c>
      <c r="C424" s="3">
        <v>2</v>
      </c>
      <c r="D424" s="3">
        <v>10</v>
      </c>
      <c r="E424" s="3">
        <v>1</v>
      </c>
      <c r="F424" s="4" t="str">
        <f>HYPERLINK("http://141.218.60.56/~jnz1568/getInfo.php?workbook=12_05.xlsx&amp;sheet=U0&amp;row=424&amp;col=6&amp;number=3&amp;sourceID=14","3")</f>
        <v>3</v>
      </c>
      <c r="G424" s="4" t="str">
        <f>HYPERLINK("http://141.218.60.56/~jnz1568/getInfo.php?workbook=12_05.xlsx&amp;sheet=U0&amp;row=424&amp;col=7&amp;number=2.16&amp;sourceID=14","2.16")</f>
        <v>2.16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HYPERLINK("http://141.218.60.56/~jnz1568/getInfo.php?workbook=12_05.xlsx&amp;sheet=U0&amp;row=425&amp;col=6&amp;number=3.1&amp;sourceID=14","3.1")</f>
        <v>3.1</v>
      </c>
      <c r="G425" s="4" t="str">
        <f>HYPERLINK("http://141.218.60.56/~jnz1568/getInfo.php?workbook=12_05.xlsx&amp;sheet=U0&amp;row=425&amp;col=7&amp;number=2.16&amp;sourceID=14","2.16")</f>
        <v>2.16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HYPERLINK("http://141.218.60.56/~jnz1568/getInfo.php?workbook=12_05.xlsx&amp;sheet=U0&amp;row=426&amp;col=6&amp;number=3.2&amp;sourceID=14","3.2")</f>
        <v>3.2</v>
      </c>
      <c r="G426" s="4" t="str">
        <f>HYPERLINK("http://141.218.60.56/~jnz1568/getInfo.php?workbook=12_05.xlsx&amp;sheet=U0&amp;row=426&amp;col=7&amp;number=2.16&amp;sourceID=14","2.16")</f>
        <v>2.16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HYPERLINK("http://141.218.60.56/~jnz1568/getInfo.php?workbook=12_05.xlsx&amp;sheet=U0&amp;row=427&amp;col=6&amp;number=3.3&amp;sourceID=14","3.3")</f>
        <v>3.3</v>
      </c>
      <c r="G427" s="4" t="str">
        <f>HYPERLINK("http://141.218.60.56/~jnz1568/getInfo.php?workbook=12_05.xlsx&amp;sheet=U0&amp;row=427&amp;col=7&amp;number=2.16&amp;sourceID=14","2.16")</f>
        <v>2.16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HYPERLINK("http://141.218.60.56/~jnz1568/getInfo.php?workbook=12_05.xlsx&amp;sheet=U0&amp;row=428&amp;col=6&amp;number=3.4&amp;sourceID=14","3.4")</f>
        <v>3.4</v>
      </c>
      <c r="G428" s="4" t="str">
        <f>HYPERLINK("http://141.218.60.56/~jnz1568/getInfo.php?workbook=12_05.xlsx&amp;sheet=U0&amp;row=428&amp;col=7&amp;number=2.16&amp;sourceID=14","2.16")</f>
        <v>2.16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HYPERLINK("http://141.218.60.56/~jnz1568/getInfo.php?workbook=12_05.xlsx&amp;sheet=U0&amp;row=429&amp;col=6&amp;number=3.5&amp;sourceID=14","3.5")</f>
        <v>3.5</v>
      </c>
      <c r="G429" s="4" t="str">
        <f>HYPERLINK("http://141.218.60.56/~jnz1568/getInfo.php?workbook=12_05.xlsx&amp;sheet=U0&amp;row=429&amp;col=7&amp;number=2.16&amp;sourceID=14","2.16")</f>
        <v>2.16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HYPERLINK("http://141.218.60.56/~jnz1568/getInfo.php?workbook=12_05.xlsx&amp;sheet=U0&amp;row=430&amp;col=6&amp;number=3.6&amp;sourceID=14","3.6")</f>
        <v>3.6</v>
      </c>
      <c r="G430" s="4" t="str">
        <f>HYPERLINK("http://141.218.60.56/~jnz1568/getInfo.php?workbook=12_05.xlsx&amp;sheet=U0&amp;row=430&amp;col=7&amp;number=2.16&amp;sourceID=14","2.16")</f>
        <v>2.16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HYPERLINK("http://141.218.60.56/~jnz1568/getInfo.php?workbook=12_05.xlsx&amp;sheet=U0&amp;row=431&amp;col=6&amp;number=3.7&amp;sourceID=14","3.7")</f>
        <v>3.7</v>
      </c>
      <c r="G431" s="4" t="str">
        <f>HYPERLINK("http://141.218.60.56/~jnz1568/getInfo.php?workbook=12_05.xlsx&amp;sheet=U0&amp;row=431&amp;col=7&amp;number=2.16&amp;sourceID=14","2.16")</f>
        <v>2.16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HYPERLINK("http://141.218.60.56/~jnz1568/getInfo.php?workbook=12_05.xlsx&amp;sheet=U0&amp;row=432&amp;col=6&amp;number=3.8&amp;sourceID=14","3.8")</f>
        <v>3.8</v>
      </c>
      <c r="G432" s="4" t="str">
        <f>HYPERLINK("http://141.218.60.56/~jnz1568/getInfo.php?workbook=12_05.xlsx&amp;sheet=U0&amp;row=432&amp;col=7&amp;number=2.16&amp;sourceID=14","2.16")</f>
        <v>2.16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HYPERLINK("http://141.218.60.56/~jnz1568/getInfo.php?workbook=12_05.xlsx&amp;sheet=U0&amp;row=433&amp;col=6&amp;number=3.9&amp;sourceID=14","3.9")</f>
        <v>3.9</v>
      </c>
      <c r="G433" s="4" t="str">
        <f>HYPERLINK("http://141.218.60.56/~jnz1568/getInfo.php?workbook=12_05.xlsx&amp;sheet=U0&amp;row=433&amp;col=7&amp;number=2.16&amp;sourceID=14","2.16")</f>
        <v>2.16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HYPERLINK("http://141.218.60.56/~jnz1568/getInfo.php?workbook=12_05.xlsx&amp;sheet=U0&amp;row=434&amp;col=6&amp;number=4&amp;sourceID=14","4")</f>
        <v>4</v>
      </c>
      <c r="G434" s="4" t="str">
        <f>HYPERLINK("http://141.218.60.56/~jnz1568/getInfo.php?workbook=12_05.xlsx&amp;sheet=U0&amp;row=434&amp;col=7&amp;number=2.16&amp;sourceID=14","2.16")</f>
        <v>2.16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HYPERLINK("http://141.218.60.56/~jnz1568/getInfo.php?workbook=12_05.xlsx&amp;sheet=U0&amp;row=435&amp;col=6&amp;number=4.1&amp;sourceID=14","4.1")</f>
        <v>4.1</v>
      </c>
      <c r="G435" s="4" t="str">
        <f>HYPERLINK("http://141.218.60.56/~jnz1568/getInfo.php?workbook=12_05.xlsx&amp;sheet=U0&amp;row=435&amp;col=7&amp;number=2.16&amp;sourceID=14","2.16")</f>
        <v>2.16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HYPERLINK("http://141.218.60.56/~jnz1568/getInfo.php?workbook=12_05.xlsx&amp;sheet=U0&amp;row=436&amp;col=6&amp;number=4.2&amp;sourceID=14","4.2")</f>
        <v>4.2</v>
      </c>
      <c r="G436" s="4" t="str">
        <f>HYPERLINK("http://141.218.60.56/~jnz1568/getInfo.php?workbook=12_05.xlsx&amp;sheet=U0&amp;row=436&amp;col=7&amp;number=2.15&amp;sourceID=14","2.15")</f>
        <v>2.15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HYPERLINK("http://141.218.60.56/~jnz1568/getInfo.php?workbook=12_05.xlsx&amp;sheet=U0&amp;row=437&amp;col=6&amp;number=4.3&amp;sourceID=14","4.3")</f>
        <v>4.3</v>
      </c>
      <c r="G437" s="4" t="str">
        <f>HYPERLINK("http://141.218.60.56/~jnz1568/getInfo.php?workbook=12_05.xlsx&amp;sheet=U0&amp;row=437&amp;col=7&amp;number=2.15&amp;sourceID=14","2.15")</f>
        <v>2.15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HYPERLINK("http://141.218.60.56/~jnz1568/getInfo.php?workbook=12_05.xlsx&amp;sheet=U0&amp;row=438&amp;col=6&amp;number=4.4&amp;sourceID=14","4.4")</f>
        <v>4.4</v>
      </c>
      <c r="G438" s="4" t="str">
        <f>HYPERLINK("http://141.218.60.56/~jnz1568/getInfo.php?workbook=12_05.xlsx&amp;sheet=U0&amp;row=438&amp;col=7&amp;number=2.15&amp;sourceID=14","2.15")</f>
        <v>2.15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HYPERLINK("http://141.218.60.56/~jnz1568/getInfo.php?workbook=12_05.xlsx&amp;sheet=U0&amp;row=439&amp;col=6&amp;number=4.5&amp;sourceID=14","4.5")</f>
        <v>4.5</v>
      </c>
      <c r="G439" s="4" t="str">
        <f>HYPERLINK("http://141.218.60.56/~jnz1568/getInfo.php?workbook=12_05.xlsx&amp;sheet=U0&amp;row=439&amp;col=7&amp;number=2.15&amp;sourceID=14","2.15")</f>
        <v>2.15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HYPERLINK("http://141.218.60.56/~jnz1568/getInfo.php?workbook=12_05.xlsx&amp;sheet=U0&amp;row=440&amp;col=6&amp;number=4.6&amp;sourceID=14","4.6")</f>
        <v>4.6</v>
      </c>
      <c r="G440" s="4" t="str">
        <f>HYPERLINK("http://141.218.60.56/~jnz1568/getInfo.php?workbook=12_05.xlsx&amp;sheet=U0&amp;row=440&amp;col=7&amp;number=2.15&amp;sourceID=14","2.15")</f>
        <v>2.15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HYPERLINK("http://141.218.60.56/~jnz1568/getInfo.php?workbook=12_05.xlsx&amp;sheet=U0&amp;row=441&amp;col=6&amp;number=4.7&amp;sourceID=14","4.7")</f>
        <v>4.7</v>
      </c>
      <c r="G441" s="4" t="str">
        <f>HYPERLINK("http://141.218.60.56/~jnz1568/getInfo.php?workbook=12_05.xlsx&amp;sheet=U0&amp;row=441&amp;col=7&amp;number=2.15&amp;sourceID=14","2.15")</f>
        <v>2.15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HYPERLINK("http://141.218.60.56/~jnz1568/getInfo.php?workbook=12_05.xlsx&amp;sheet=U0&amp;row=442&amp;col=6&amp;number=4.8&amp;sourceID=14","4.8")</f>
        <v>4.8</v>
      </c>
      <c r="G442" s="4" t="str">
        <f>HYPERLINK("http://141.218.60.56/~jnz1568/getInfo.php?workbook=12_05.xlsx&amp;sheet=U0&amp;row=442&amp;col=7&amp;number=2.15&amp;sourceID=14","2.15")</f>
        <v>2.15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HYPERLINK("http://141.218.60.56/~jnz1568/getInfo.php?workbook=12_05.xlsx&amp;sheet=U0&amp;row=443&amp;col=6&amp;number=4.9&amp;sourceID=14","4.9")</f>
        <v>4.9</v>
      </c>
      <c r="G443" s="4" t="str">
        <f>HYPERLINK("http://141.218.60.56/~jnz1568/getInfo.php?workbook=12_05.xlsx&amp;sheet=U0&amp;row=443&amp;col=7&amp;number=2.16&amp;sourceID=14","2.16")</f>
        <v>2.16</v>
      </c>
    </row>
    <row r="444" spans="1:7">
      <c r="A444" s="3">
        <v>12</v>
      </c>
      <c r="B444" s="3">
        <v>5</v>
      </c>
      <c r="C444" s="3">
        <v>2</v>
      </c>
      <c r="D444" s="3">
        <v>11</v>
      </c>
      <c r="E444" s="3">
        <v>1</v>
      </c>
      <c r="F444" s="4" t="str">
        <f>HYPERLINK("http://141.218.60.56/~jnz1568/getInfo.php?workbook=12_05.xlsx&amp;sheet=U0&amp;row=444&amp;col=6&amp;number=3&amp;sourceID=14","3")</f>
        <v>3</v>
      </c>
      <c r="G444" s="4" t="str">
        <f>HYPERLINK("http://141.218.60.56/~jnz1568/getInfo.php?workbook=12_05.xlsx&amp;sheet=U0&amp;row=444&amp;col=7&amp;number=0.00397&amp;sourceID=14","0.00397")</f>
        <v>0.00397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HYPERLINK("http://141.218.60.56/~jnz1568/getInfo.php?workbook=12_05.xlsx&amp;sheet=U0&amp;row=445&amp;col=6&amp;number=3.1&amp;sourceID=14","3.1")</f>
        <v>3.1</v>
      </c>
      <c r="G445" s="4" t="str">
        <f>HYPERLINK("http://141.218.60.56/~jnz1568/getInfo.php?workbook=12_05.xlsx&amp;sheet=U0&amp;row=445&amp;col=7&amp;number=0.00397&amp;sourceID=14","0.00397")</f>
        <v>0.00397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HYPERLINK("http://141.218.60.56/~jnz1568/getInfo.php?workbook=12_05.xlsx&amp;sheet=U0&amp;row=446&amp;col=6&amp;number=3.2&amp;sourceID=14","3.2")</f>
        <v>3.2</v>
      </c>
      <c r="G446" s="4" t="str">
        <f>HYPERLINK("http://141.218.60.56/~jnz1568/getInfo.php?workbook=12_05.xlsx&amp;sheet=U0&amp;row=446&amp;col=7&amp;number=0.00397&amp;sourceID=14","0.00397")</f>
        <v>0.00397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HYPERLINK("http://141.218.60.56/~jnz1568/getInfo.php?workbook=12_05.xlsx&amp;sheet=U0&amp;row=447&amp;col=6&amp;number=3.3&amp;sourceID=14","3.3")</f>
        <v>3.3</v>
      </c>
      <c r="G447" s="4" t="str">
        <f>HYPERLINK("http://141.218.60.56/~jnz1568/getInfo.php?workbook=12_05.xlsx&amp;sheet=U0&amp;row=447&amp;col=7&amp;number=0.00397&amp;sourceID=14","0.00397")</f>
        <v>0.00397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HYPERLINK("http://141.218.60.56/~jnz1568/getInfo.php?workbook=12_05.xlsx&amp;sheet=U0&amp;row=448&amp;col=6&amp;number=3.4&amp;sourceID=14","3.4")</f>
        <v>3.4</v>
      </c>
      <c r="G448" s="4" t="str">
        <f>HYPERLINK("http://141.218.60.56/~jnz1568/getInfo.php?workbook=12_05.xlsx&amp;sheet=U0&amp;row=448&amp;col=7&amp;number=0.00396&amp;sourceID=14","0.00396")</f>
        <v>0.00396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HYPERLINK("http://141.218.60.56/~jnz1568/getInfo.php?workbook=12_05.xlsx&amp;sheet=U0&amp;row=449&amp;col=6&amp;number=3.5&amp;sourceID=14","3.5")</f>
        <v>3.5</v>
      </c>
      <c r="G449" s="4" t="str">
        <f>HYPERLINK("http://141.218.60.56/~jnz1568/getInfo.php?workbook=12_05.xlsx&amp;sheet=U0&amp;row=449&amp;col=7&amp;number=0.00396&amp;sourceID=14","0.00396")</f>
        <v>0.00396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HYPERLINK("http://141.218.60.56/~jnz1568/getInfo.php?workbook=12_05.xlsx&amp;sheet=U0&amp;row=450&amp;col=6&amp;number=3.6&amp;sourceID=14","3.6")</f>
        <v>3.6</v>
      </c>
      <c r="G450" s="4" t="str">
        <f>HYPERLINK("http://141.218.60.56/~jnz1568/getInfo.php?workbook=12_05.xlsx&amp;sheet=U0&amp;row=450&amp;col=7&amp;number=0.00395&amp;sourceID=14","0.00395")</f>
        <v>0.00395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HYPERLINK("http://141.218.60.56/~jnz1568/getInfo.php?workbook=12_05.xlsx&amp;sheet=U0&amp;row=451&amp;col=6&amp;number=3.7&amp;sourceID=14","3.7")</f>
        <v>3.7</v>
      </c>
      <c r="G451" s="4" t="str">
        <f>HYPERLINK("http://141.218.60.56/~jnz1568/getInfo.php?workbook=12_05.xlsx&amp;sheet=U0&amp;row=451&amp;col=7&amp;number=0.00394&amp;sourceID=14","0.00394")</f>
        <v>0.00394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HYPERLINK("http://141.218.60.56/~jnz1568/getInfo.php?workbook=12_05.xlsx&amp;sheet=U0&amp;row=452&amp;col=6&amp;number=3.8&amp;sourceID=14","3.8")</f>
        <v>3.8</v>
      </c>
      <c r="G452" s="4" t="str">
        <f>HYPERLINK("http://141.218.60.56/~jnz1568/getInfo.php?workbook=12_05.xlsx&amp;sheet=U0&amp;row=452&amp;col=7&amp;number=0.00393&amp;sourceID=14","0.00393")</f>
        <v>0.00393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HYPERLINK("http://141.218.60.56/~jnz1568/getInfo.php?workbook=12_05.xlsx&amp;sheet=U0&amp;row=453&amp;col=6&amp;number=3.9&amp;sourceID=14","3.9")</f>
        <v>3.9</v>
      </c>
      <c r="G453" s="4" t="str">
        <f>HYPERLINK("http://141.218.60.56/~jnz1568/getInfo.php?workbook=12_05.xlsx&amp;sheet=U0&amp;row=453&amp;col=7&amp;number=0.00392&amp;sourceID=14","0.00392")</f>
        <v>0.00392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HYPERLINK("http://141.218.60.56/~jnz1568/getInfo.php?workbook=12_05.xlsx&amp;sheet=U0&amp;row=454&amp;col=6&amp;number=4&amp;sourceID=14","4")</f>
        <v>4</v>
      </c>
      <c r="G454" s="4" t="str">
        <f>HYPERLINK("http://141.218.60.56/~jnz1568/getInfo.php?workbook=12_05.xlsx&amp;sheet=U0&amp;row=454&amp;col=7&amp;number=0.00391&amp;sourceID=14","0.00391")</f>
        <v>0.00391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HYPERLINK("http://141.218.60.56/~jnz1568/getInfo.php?workbook=12_05.xlsx&amp;sheet=U0&amp;row=455&amp;col=6&amp;number=4.1&amp;sourceID=14","4.1")</f>
        <v>4.1</v>
      </c>
      <c r="G455" s="4" t="str">
        <f>HYPERLINK("http://141.218.60.56/~jnz1568/getInfo.php?workbook=12_05.xlsx&amp;sheet=U0&amp;row=455&amp;col=7&amp;number=0.00389&amp;sourceID=14","0.00389")</f>
        <v>0.00389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HYPERLINK("http://141.218.60.56/~jnz1568/getInfo.php?workbook=12_05.xlsx&amp;sheet=U0&amp;row=456&amp;col=6&amp;number=4.2&amp;sourceID=14","4.2")</f>
        <v>4.2</v>
      </c>
      <c r="G456" s="4" t="str">
        <f>HYPERLINK("http://141.218.60.56/~jnz1568/getInfo.php?workbook=12_05.xlsx&amp;sheet=U0&amp;row=456&amp;col=7&amp;number=0.00386&amp;sourceID=14","0.00386")</f>
        <v>0.00386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HYPERLINK("http://141.218.60.56/~jnz1568/getInfo.php?workbook=12_05.xlsx&amp;sheet=U0&amp;row=457&amp;col=6&amp;number=4.3&amp;sourceID=14","4.3")</f>
        <v>4.3</v>
      </c>
      <c r="G457" s="4" t="str">
        <f>HYPERLINK("http://141.218.60.56/~jnz1568/getInfo.php?workbook=12_05.xlsx&amp;sheet=U0&amp;row=457&amp;col=7&amp;number=0.00383&amp;sourceID=14","0.00383")</f>
        <v>0.00383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HYPERLINK("http://141.218.60.56/~jnz1568/getInfo.php?workbook=12_05.xlsx&amp;sheet=U0&amp;row=458&amp;col=6&amp;number=4.4&amp;sourceID=14","4.4")</f>
        <v>4.4</v>
      </c>
      <c r="G458" s="4" t="str">
        <f>HYPERLINK("http://141.218.60.56/~jnz1568/getInfo.php?workbook=12_05.xlsx&amp;sheet=U0&amp;row=458&amp;col=7&amp;number=0.0038&amp;sourceID=14","0.0038")</f>
        <v>0.0038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HYPERLINK("http://141.218.60.56/~jnz1568/getInfo.php?workbook=12_05.xlsx&amp;sheet=U0&amp;row=459&amp;col=6&amp;number=4.5&amp;sourceID=14","4.5")</f>
        <v>4.5</v>
      </c>
      <c r="G459" s="4" t="str">
        <f>HYPERLINK("http://141.218.60.56/~jnz1568/getInfo.php?workbook=12_05.xlsx&amp;sheet=U0&amp;row=459&amp;col=7&amp;number=0.00375&amp;sourceID=14","0.00375")</f>
        <v>0.00375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HYPERLINK("http://141.218.60.56/~jnz1568/getInfo.php?workbook=12_05.xlsx&amp;sheet=U0&amp;row=460&amp;col=6&amp;number=4.6&amp;sourceID=14","4.6")</f>
        <v>4.6</v>
      </c>
      <c r="G460" s="4" t="str">
        <f>HYPERLINK("http://141.218.60.56/~jnz1568/getInfo.php?workbook=12_05.xlsx&amp;sheet=U0&amp;row=460&amp;col=7&amp;number=0.00369&amp;sourceID=14","0.00369")</f>
        <v>0.00369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HYPERLINK("http://141.218.60.56/~jnz1568/getInfo.php?workbook=12_05.xlsx&amp;sheet=U0&amp;row=461&amp;col=6&amp;number=4.7&amp;sourceID=14","4.7")</f>
        <v>4.7</v>
      </c>
      <c r="G461" s="4" t="str">
        <f>HYPERLINK("http://141.218.60.56/~jnz1568/getInfo.php?workbook=12_05.xlsx&amp;sheet=U0&amp;row=461&amp;col=7&amp;number=0.00362&amp;sourceID=14","0.00362")</f>
        <v>0.00362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HYPERLINK("http://141.218.60.56/~jnz1568/getInfo.php?workbook=12_05.xlsx&amp;sheet=U0&amp;row=462&amp;col=6&amp;number=4.8&amp;sourceID=14","4.8")</f>
        <v>4.8</v>
      </c>
      <c r="G462" s="4" t="str">
        <f>HYPERLINK("http://141.218.60.56/~jnz1568/getInfo.php?workbook=12_05.xlsx&amp;sheet=U0&amp;row=462&amp;col=7&amp;number=0.00353&amp;sourceID=14","0.00353")</f>
        <v>0.00353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HYPERLINK("http://141.218.60.56/~jnz1568/getInfo.php?workbook=12_05.xlsx&amp;sheet=U0&amp;row=463&amp;col=6&amp;number=4.9&amp;sourceID=14","4.9")</f>
        <v>4.9</v>
      </c>
      <c r="G463" s="4" t="str">
        <f>HYPERLINK("http://141.218.60.56/~jnz1568/getInfo.php?workbook=12_05.xlsx&amp;sheet=U0&amp;row=463&amp;col=7&amp;number=0.00342&amp;sourceID=14","0.00342")</f>
        <v>0.00342</v>
      </c>
    </row>
    <row r="464" spans="1:7">
      <c r="A464" s="3">
        <v>12</v>
      </c>
      <c r="B464" s="3">
        <v>5</v>
      </c>
      <c r="C464" s="3">
        <v>2</v>
      </c>
      <c r="D464" s="3">
        <v>12</v>
      </c>
      <c r="E464" s="3">
        <v>1</v>
      </c>
      <c r="F464" s="4" t="str">
        <f>HYPERLINK("http://141.218.60.56/~jnz1568/getInfo.php?workbook=12_05.xlsx&amp;sheet=U0&amp;row=464&amp;col=6&amp;number=3&amp;sourceID=14","3")</f>
        <v>3</v>
      </c>
      <c r="G464" s="4" t="str">
        <f>HYPERLINK("http://141.218.60.56/~jnz1568/getInfo.php?workbook=12_05.xlsx&amp;sheet=U0&amp;row=464&amp;col=7&amp;number=0.0156&amp;sourceID=14","0.0156")</f>
        <v>0.0156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HYPERLINK("http://141.218.60.56/~jnz1568/getInfo.php?workbook=12_05.xlsx&amp;sheet=U0&amp;row=465&amp;col=6&amp;number=3.1&amp;sourceID=14","3.1")</f>
        <v>3.1</v>
      </c>
      <c r="G465" s="4" t="str">
        <f>HYPERLINK("http://141.218.60.56/~jnz1568/getInfo.php?workbook=12_05.xlsx&amp;sheet=U0&amp;row=465&amp;col=7&amp;number=0.0156&amp;sourceID=14","0.0156")</f>
        <v>0.0156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HYPERLINK("http://141.218.60.56/~jnz1568/getInfo.php?workbook=12_05.xlsx&amp;sheet=U0&amp;row=466&amp;col=6&amp;number=3.2&amp;sourceID=14","3.2")</f>
        <v>3.2</v>
      </c>
      <c r="G466" s="4" t="str">
        <f>HYPERLINK("http://141.218.60.56/~jnz1568/getInfo.php?workbook=12_05.xlsx&amp;sheet=U0&amp;row=466&amp;col=7&amp;number=0.0156&amp;sourceID=14","0.0156")</f>
        <v>0.0156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HYPERLINK("http://141.218.60.56/~jnz1568/getInfo.php?workbook=12_05.xlsx&amp;sheet=U0&amp;row=467&amp;col=6&amp;number=3.3&amp;sourceID=14","3.3")</f>
        <v>3.3</v>
      </c>
      <c r="G467" s="4" t="str">
        <f>HYPERLINK("http://141.218.60.56/~jnz1568/getInfo.php?workbook=12_05.xlsx&amp;sheet=U0&amp;row=467&amp;col=7&amp;number=0.0156&amp;sourceID=14","0.0156")</f>
        <v>0.0156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HYPERLINK("http://141.218.60.56/~jnz1568/getInfo.php?workbook=12_05.xlsx&amp;sheet=U0&amp;row=468&amp;col=6&amp;number=3.4&amp;sourceID=14","3.4")</f>
        <v>3.4</v>
      </c>
      <c r="G468" s="4" t="str">
        <f>HYPERLINK("http://141.218.60.56/~jnz1568/getInfo.php?workbook=12_05.xlsx&amp;sheet=U0&amp;row=468&amp;col=7&amp;number=0.0156&amp;sourceID=14","0.0156")</f>
        <v>0.0156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HYPERLINK("http://141.218.60.56/~jnz1568/getInfo.php?workbook=12_05.xlsx&amp;sheet=U0&amp;row=469&amp;col=6&amp;number=3.5&amp;sourceID=14","3.5")</f>
        <v>3.5</v>
      </c>
      <c r="G469" s="4" t="str">
        <f>HYPERLINK("http://141.218.60.56/~jnz1568/getInfo.php?workbook=12_05.xlsx&amp;sheet=U0&amp;row=469&amp;col=7&amp;number=0.0156&amp;sourceID=14","0.0156")</f>
        <v>0.0156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HYPERLINK("http://141.218.60.56/~jnz1568/getInfo.php?workbook=12_05.xlsx&amp;sheet=U0&amp;row=470&amp;col=6&amp;number=3.6&amp;sourceID=14","3.6")</f>
        <v>3.6</v>
      </c>
      <c r="G470" s="4" t="str">
        <f>HYPERLINK("http://141.218.60.56/~jnz1568/getInfo.php?workbook=12_05.xlsx&amp;sheet=U0&amp;row=470&amp;col=7&amp;number=0.0155&amp;sourceID=14","0.0155")</f>
        <v>0.0155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HYPERLINK("http://141.218.60.56/~jnz1568/getInfo.php?workbook=12_05.xlsx&amp;sheet=U0&amp;row=471&amp;col=6&amp;number=3.7&amp;sourceID=14","3.7")</f>
        <v>3.7</v>
      </c>
      <c r="G471" s="4" t="str">
        <f>HYPERLINK("http://141.218.60.56/~jnz1568/getInfo.php?workbook=12_05.xlsx&amp;sheet=U0&amp;row=471&amp;col=7&amp;number=0.0155&amp;sourceID=14","0.0155")</f>
        <v>0.0155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HYPERLINK("http://141.218.60.56/~jnz1568/getInfo.php?workbook=12_05.xlsx&amp;sheet=U0&amp;row=472&amp;col=6&amp;number=3.8&amp;sourceID=14","3.8")</f>
        <v>3.8</v>
      </c>
      <c r="G472" s="4" t="str">
        <f>HYPERLINK("http://141.218.60.56/~jnz1568/getInfo.php?workbook=12_05.xlsx&amp;sheet=U0&amp;row=472&amp;col=7&amp;number=0.0154&amp;sourceID=14","0.0154")</f>
        <v>0.0154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HYPERLINK("http://141.218.60.56/~jnz1568/getInfo.php?workbook=12_05.xlsx&amp;sheet=U0&amp;row=473&amp;col=6&amp;number=3.9&amp;sourceID=14","3.9")</f>
        <v>3.9</v>
      </c>
      <c r="G473" s="4" t="str">
        <f>HYPERLINK("http://141.218.60.56/~jnz1568/getInfo.php?workbook=12_05.xlsx&amp;sheet=U0&amp;row=473&amp;col=7&amp;number=0.0154&amp;sourceID=14","0.0154")</f>
        <v>0.0154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HYPERLINK("http://141.218.60.56/~jnz1568/getInfo.php?workbook=12_05.xlsx&amp;sheet=U0&amp;row=474&amp;col=6&amp;number=4&amp;sourceID=14","4")</f>
        <v>4</v>
      </c>
      <c r="G474" s="4" t="str">
        <f>HYPERLINK("http://141.218.60.56/~jnz1568/getInfo.php?workbook=12_05.xlsx&amp;sheet=U0&amp;row=474&amp;col=7&amp;number=0.0153&amp;sourceID=14","0.0153")</f>
        <v>0.0153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HYPERLINK("http://141.218.60.56/~jnz1568/getInfo.php?workbook=12_05.xlsx&amp;sheet=U0&amp;row=475&amp;col=6&amp;number=4.1&amp;sourceID=14","4.1")</f>
        <v>4.1</v>
      </c>
      <c r="G475" s="4" t="str">
        <f>HYPERLINK("http://141.218.60.56/~jnz1568/getInfo.php?workbook=12_05.xlsx&amp;sheet=U0&amp;row=475&amp;col=7&amp;number=0.0152&amp;sourceID=14","0.0152")</f>
        <v>0.0152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HYPERLINK("http://141.218.60.56/~jnz1568/getInfo.php?workbook=12_05.xlsx&amp;sheet=U0&amp;row=476&amp;col=6&amp;number=4.2&amp;sourceID=14","4.2")</f>
        <v>4.2</v>
      </c>
      <c r="G476" s="4" t="str">
        <f>HYPERLINK("http://141.218.60.56/~jnz1568/getInfo.php?workbook=12_05.xlsx&amp;sheet=U0&amp;row=476&amp;col=7&amp;number=0.0151&amp;sourceID=14","0.0151")</f>
        <v>0.0151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HYPERLINK("http://141.218.60.56/~jnz1568/getInfo.php?workbook=12_05.xlsx&amp;sheet=U0&amp;row=477&amp;col=6&amp;number=4.3&amp;sourceID=14","4.3")</f>
        <v>4.3</v>
      </c>
      <c r="G477" s="4" t="str">
        <f>HYPERLINK("http://141.218.60.56/~jnz1568/getInfo.php?workbook=12_05.xlsx&amp;sheet=U0&amp;row=477&amp;col=7&amp;number=0.015&amp;sourceID=14","0.015")</f>
        <v>0.015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HYPERLINK("http://141.218.60.56/~jnz1568/getInfo.php?workbook=12_05.xlsx&amp;sheet=U0&amp;row=478&amp;col=6&amp;number=4.4&amp;sourceID=14","4.4")</f>
        <v>4.4</v>
      </c>
      <c r="G478" s="4" t="str">
        <f>HYPERLINK("http://141.218.60.56/~jnz1568/getInfo.php?workbook=12_05.xlsx&amp;sheet=U0&amp;row=478&amp;col=7&amp;number=0.0149&amp;sourceID=14","0.0149")</f>
        <v>0.0149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HYPERLINK("http://141.218.60.56/~jnz1568/getInfo.php?workbook=12_05.xlsx&amp;sheet=U0&amp;row=479&amp;col=6&amp;number=4.5&amp;sourceID=14","4.5")</f>
        <v>4.5</v>
      </c>
      <c r="G479" s="4" t="str">
        <f>HYPERLINK("http://141.218.60.56/~jnz1568/getInfo.php?workbook=12_05.xlsx&amp;sheet=U0&amp;row=479&amp;col=7&amp;number=0.0147&amp;sourceID=14","0.0147")</f>
        <v>0.0147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HYPERLINK("http://141.218.60.56/~jnz1568/getInfo.php?workbook=12_05.xlsx&amp;sheet=U0&amp;row=480&amp;col=6&amp;number=4.6&amp;sourceID=14","4.6")</f>
        <v>4.6</v>
      </c>
      <c r="G480" s="4" t="str">
        <f>HYPERLINK("http://141.218.60.56/~jnz1568/getInfo.php?workbook=12_05.xlsx&amp;sheet=U0&amp;row=480&amp;col=7&amp;number=0.0145&amp;sourceID=14","0.0145")</f>
        <v>0.0145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HYPERLINK("http://141.218.60.56/~jnz1568/getInfo.php?workbook=12_05.xlsx&amp;sheet=U0&amp;row=481&amp;col=6&amp;number=4.7&amp;sourceID=14","4.7")</f>
        <v>4.7</v>
      </c>
      <c r="G481" s="4" t="str">
        <f>HYPERLINK("http://141.218.60.56/~jnz1568/getInfo.php?workbook=12_05.xlsx&amp;sheet=U0&amp;row=481&amp;col=7&amp;number=0.0142&amp;sourceID=14","0.0142")</f>
        <v>0.0142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HYPERLINK("http://141.218.60.56/~jnz1568/getInfo.php?workbook=12_05.xlsx&amp;sheet=U0&amp;row=482&amp;col=6&amp;number=4.8&amp;sourceID=14","4.8")</f>
        <v>4.8</v>
      </c>
      <c r="G482" s="4" t="str">
        <f>HYPERLINK("http://141.218.60.56/~jnz1568/getInfo.php?workbook=12_05.xlsx&amp;sheet=U0&amp;row=482&amp;col=7&amp;number=0.014&amp;sourceID=14","0.014")</f>
        <v>0.014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HYPERLINK("http://141.218.60.56/~jnz1568/getInfo.php?workbook=12_05.xlsx&amp;sheet=U0&amp;row=483&amp;col=6&amp;number=4.9&amp;sourceID=14","4.9")</f>
        <v>4.9</v>
      </c>
      <c r="G483" s="4" t="str">
        <f>HYPERLINK("http://141.218.60.56/~jnz1568/getInfo.php?workbook=12_05.xlsx&amp;sheet=U0&amp;row=483&amp;col=7&amp;number=0.0137&amp;sourceID=14","0.0137")</f>
        <v>0.0137</v>
      </c>
    </row>
    <row r="484" spans="1:7">
      <c r="A484" s="3">
        <v>12</v>
      </c>
      <c r="B484" s="3">
        <v>5</v>
      </c>
      <c r="C484" s="3">
        <v>2</v>
      </c>
      <c r="D484" s="3">
        <v>13</v>
      </c>
      <c r="E484" s="3">
        <v>1</v>
      </c>
      <c r="F484" s="4" t="str">
        <f>HYPERLINK("http://141.218.60.56/~jnz1568/getInfo.php?workbook=12_05.xlsx&amp;sheet=U0&amp;row=484&amp;col=6&amp;number=3&amp;sourceID=14","3")</f>
        <v>3</v>
      </c>
      <c r="G484" s="4" t="str">
        <f>HYPERLINK("http://141.218.60.56/~jnz1568/getInfo.php?workbook=12_05.xlsx&amp;sheet=U0&amp;row=484&amp;col=7&amp;number=0.0332&amp;sourceID=14","0.0332")</f>
        <v>0.0332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HYPERLINK("http://141.218.60.56/~jnz1568/getInfo.php?workbook=12_05.xlsx&amp;sheet=U0&amp;row=485&amp;col=6&amp;number=3.1&amp;sourceID=14","3.1")</f>
        <v>3.1</v>
      </c>
      <c r="G485" s="4" t="str">
        <f>HYPERLINK("http://141.218.60.56/~jnz1568/getInfo.php?workbook=12_05.xlsx&amp;sheet=U0&amp;row=485&amp;col=7&amp;number=0.0332&amp;sourceID=14","0.0332")</f>
        <v>0.0332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HYPERLINK("http://141.218.60.56/~jnz1568/getInfo.php?workbook=12_05.xlsx&amp;sheet=U0&amp;row=486&amp;col=6&amp;number=3.2&amp;sourceID=14","3.2")</f>
        <v>3.2</v>
      </c>
      <c r="G486" s="4" t="str">
        <f>HYPERLINK("http://141.218.60.56/~jnz1568/getInfo.php?workbook=12_05.xlsx&amp;sheet=U0&amp;row=486&amp;col=7&amp;number=0.0331&amp;sourceID=14","0.0331")</f>
        <v>0.0331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HYPERLINK("http://141.218.60.56/~jnz1568/getInfo.php?workbook=12_05.xlsx&amp;sheet=U0&amp;row=487&amp;col=6&amp;number=3.3&amp;sourceID=14","3.3")</f>
        <v>3.3</v>
      </c>
      <c r="G487" s="4" t="str">
        <f>HYPERLINK("http://141.218.60.56/~jnz1568/getInfo.php?workbook=12_05.xlsx&amp;sheet=U0&amp;row=487&amp;col=7&amp;number=0.0331&amp;sourceID=14","0.0331")</f>
        <v>0.0331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HYPERLINK("http://141.218.60.56/~jnz1568/getInfo.php?workbook=12_05.xlsx&amp;sheet=U0&amp;row=488&amp;col=6&amp;number=3.4&amp;sourceID=14","3.4")</f>
        <v>3.4</v>
      </c>
      <c r="G488" s="4" t="str">
        <f>HYPERLINK("http://141.218.60.56/~jnz1568/getInfo.php?workbook=12_05.xlsx&amp;sheet=U0&amp;row=488&amp;col=7&amp;number=0.0331&amp;sourceID=14","0.0331")</f>
        <v>0.0331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HYPERLINK("http://141.218.60.56/~jnz1568/getInfo.php?workbook=12_05.xlsx&amp;sheet=U0&amp;row=489&amp;col=6&amp;number=3.5&amp;sourceID=14","3.5")</f>
        <v>3.5</v>
      </c>
      <c r="G489" s="4" t="str">
        <f>HYPERLINK("http://141.218.60.56/~jnz1568/getInfo.php?workbook=12_05.xlsx&amp;sheet=U0&amp;row=489&amp;col=7&amp;number=0.033&amp;sourceID=14","0.033")</f>
        <v>0.033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HYPERLINK("http://141.218.60.56/~jnz1568/getInfo.php?workbook=12_05.xlsx&amp;sheet=U0&amp;row=490&amp;col=6&amp;number=3.6&amp;sourceID=14","3.6")</f>
        <v>3.6</v>
      </c>
      <c r="G490" s="4" t="str">
        <f>HYPERLINK("http://141.218.60.56/~jnz1568/getInfo.php?workbook=12_05.xlsx&amp;sheet=U0&amp;row=490&amp;col=7&amp;number=0.033&amp;sourceID=14","0.033")</f>
        <v>0.033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HYPERLINK("http://141.218.60.56/~jnz1568/getInfo.php?workbook=12_05.xlsx&amp;sheet=U0&amp;row=491&amp;col=6&amp;number=3.7&amp;sourceID=14","3.7")</f>
        <v>3.7</v>
      </c>
      <c r="G491" s="4" t="str">
        <f>HYPERLINK("http://141.218.60.56/~jnz1568/getInfo.php?workbook=12_05.xlsx&amp;sheet=U0&amp;row=491&amp;col=7&amp;number=0.0329&amp;sourceID=14","0.0329")</f>
        <v>0.0329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HYPERLINK("http://141.218.60.56/~jnz1568/getInfo.php?workbook=12_05.xlsx&amp;sheet=U0&amp;row=492&amp;col=6&amp;number=3.8&amp;sourceID=14","3.8")</f>
        <v>3.8</v>
      </c>
      <c r="G492" s="4" t="str">
        <f>HYPERLINK("http://141.218.60.56/~jnz1568/getInfo.php?workbook=12_05.xlsx&amp;sheet=U0&amp;row=492&amp;col=7&amp;number=0.0328&amp;sourceID=14","0.0328")</f>
        <v>0.0328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HYPERLINK("http://141.218.60.56/~jnz1568/getInfo.php?workbook=12_05.xlsx&amp;sheet=U0&amp;row=493&amp;col=6&amp;number=3.9&amp;sourceID=14","3.9")</f>
        <v>3.9</v>
      </c>
      <c r="G493" s="4" t="str">
        <f>HYPERLINK("http://141.218.60.56/~jnz1568/getInfo.php?workbook=12_05.xlsx&amp;sheet=U0&amp;row=493&amp;col=7&amp;number=0.0327&amp;sourceID=14","0.0327")</f>
        <v>0.0327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HYPERLINK("http://141.218.60.56/~jnz1568/getInfo.php?workbook=12_05.xlsx&amp;sheet=U0&amp;row=494&amp;col=6&amp;number=4&amp;sourceID=14","4")</f>
        <v>4</v>
      </c>
      <c r="G494" s="4" t="str">
        <f>HYPERLINK("http://141.218.60.56/~jnz1568/getInfo.php?workbook=12_05.xlsx&amp;sheet=U0&amp;row=494&amp;col=7&amp;number=0.0326&amp;sourceID=14","0.0326")</f>
        <v>0.0326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HYPERLINK("http://141.218.60.56/~jnz1568/getInfo.php?workbook=12_05.xlsx&amp;sheet=U0&amp;row=495&amp;col=6&amp;number=4.1&amp;sourceID=14","4.1")</f>
        <v>4.1</v>
      </c>
      <c r="G495" s="4" t="str">
        <f>HYPERLINK("http://141.218.60.56/~jnz1568/getInfo.php?workbook=12_05.xlsx&amp;sheet=U0&amp;row=495&amp;col=7&amp;number=0.0324&amp;sourceID=14","0.0324")</f>
        <v>0.0324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HYPERLINK("http://141.218.60.56/~jnz1568/getInfo.php?workbook=12_05.xlsx&amp;sheet=U0&amp;row=496&amp;col=6&amp;number=4.2&amp;sourceID=14","4.2")</f>
        <v>4.2</v>
      </c>
      <c r="G496" s="4" t="str">
        <f>HYPERLINK("http://141.218.60.56/~jnz1568/getInfo.php?workbook=12_05.xlsx&amp;sheet=U0&amp;row=496&amp;col=7&amp;number=0.0322&amp;sourceID=14","0.0322")</f>
        <v>0.0322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HYPERLINK("http://141.218.60.56/~jnz1568/getInfo.php?workbook=12_05.xlsx&amp;sheet=U0&amp;row=497&amp;col=6&amp;number=4.3&amp;sourceID=14","4.3")</f>
        <v>4.3</v>
      </c>
      <c r="G497" s="4" t="str">
        <f>HYPERLINK("http://141.218.60.56/~jnz1568/getInfo.php?workbook=12_05.xlsx&amp;sheet=U0&amp;row=497&amp;col=7&amp;number=0.032&amp;sourceID=14","0.032")</f>
        <v>0.032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HYPERLINK("http://141.218.60.56/~jnz1568/getInfo.php?workbook=12_05.xlsx&amp;sheet=U0&amp;row=498&amp;col=6&amp;number=4.4&amp;sourceID=14","4.4")</f>
        <v>4.4</v>
      </c>
      <c r="G498" s="4" t="str">
        <f>HYPERLINK("http://141.218.60.56/~jnz1568/getInfo.php?workbook=12_05.xlsx&amp;sheet=U0&amp;row=498&amp;col=7&amp;number=0.0317&amp;sourceID=14","0.0317")</f>
        <v>0.0317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HYPERLINK("http://141.218.60.56/~jnz1568/getInfo.php?workbook=12_05.xlsx&amp;sheet=U0&amp;row=499&amp;col=6&amp;number=4.5&amp;sourceID=14","4.5")</f>
        <v>4.5</v>
      </c>
      <c r="G499" s="4" t="str">
        <f>HYPERLINK("http://141.218.60.56/~jnz1568/getInfo.php?workbook=12_05.xlsx&amp;sheet=U0&amp;row=499&amp;col=7&amp;number=0.0313&amp;sourceID=14","0.0313")</f>
        <v>0.0313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HYPERLINK("http://141.218.60.56/~jnz1568/getInfo.php?workbook=12_05.xlsx&amp;sheet=U0&amp;row=500&amp;col=6&amp;number=4.6&amp;sourceID=14","4.6")</f>
        <v>4.6</v>
      </c>
      <c r="G500" s="4" t="str">
        <f>HYPERLINK("http://141.218.60.56/~jnz1568/getInfo.php?workbook=12_05.xlsx&amp;sheet=U0&amp;row=500&amp;col=7&amp;number=0.0309&amp;sourceID=14","0.0309")</f>
        <v>0.0309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HYPERLINK("http://141.218.60.56/~jnz1568/getInfo.php?workbook=12_05.xlsx&amp;sheet=U0&amp;row=501&amp;col=6&amp;number=4.7&amp;sourceID=14","4.7")</f>
        <v>4.7</v>
      </c>
      <c r="G501" s="4" t="str">
        <f>HYPERLINK("http://141.218.60.56/~jnz1568/getInfo.php?workbook=12_05.xlsx&amp;sheet=U0&amp;row=501&amp;col=7&amp;number=0.0304&amp;sourceID=14","0.0304")</f>
        <v>0.0304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HYPERLINK("http://141.218.60.56/~jnz1568/getInfo.php?workbook=12_05.xlsx&amp;sheet=U0&amp;row=502&amp;col=6&amp;number=4.8&amp;sourceID=14","4.8")</f>
        <v>4.8</v>
      </c>
      <c r="G502" s="4" t="str">
        <f>HYPERLINK("http://141.218.60.56/~jnz1568/getInfo.php?workbook=12_05.xlsx&amp;sheet=U0&amp;row=502&amp;col=7&amp;number=0.03&amp;sourceID=14","0.03")</f>
        <v>0.03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HYPERLINK("http://141.218.60.56/~jnz1568/getInfo.php?workbook=12_05.xlsx&amp;sheet=U0&amp;row=503&amp;col=6&amp;number=4.9&amp;sourceID=14","4.9")</f>
        <v>4.9</v>
      </c>
      <c r="G503" s="4" t="str">
        <f>HYPERLINK("http://141.218.60.56/~jnz1568/getInfo.php?workbook=12_05.xlsx&amp;sheet=U0&amp;row=503&amp;col=7&amp;number=0.0295&amp;sourceID=14","0.0295")</f>
        <v>0.0295</v>
      </c>
    </row>
    <row r="504" spans="1:7">
      <c r="A504" s="3">
        <v>12</v>
      </c>
      <c r="B504" s="3">
        <v>5</v>
      </c>
      <c r="C504" s="3">
        <v>2</v>
      </c>
      <c r="D504" s="3">
        <v>14</v>
      </c>
      <c r="E504" s="3">
        <v>1</v>
      </c>
      <c r="F504" s="4" t="str">
        <f>HYPERLINK("http://141.218.60.56/~jnz1568/getInfo.php?workbook=12_05.xlsx&amp;sheet=U0&amp;row=504&amp;col=6&amp;number=3&amp;sourceID=14","3")</f>
        <v>3</v>
      </c>
      <c r="G504" s="4" t="str">
        <f>HYPERLINK("http://141.218.60.56/~jnz1568/getInfo.php?workbook=12_05.xlsx&amp;sheet=U0&amp;row=504&amp;col=7&amp;number=0.00775&amp;sourceID=14","0.00775")</f>
        <v>0.00775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HYPERLINK("http://141.218.60.56/~jnz1568/getInfo.php?workbook=12_05.xlsx&amp;sheet=U0&amp;row=505&amp;col=6&amp;number=3.1&amp;sourceID=14","3.1")</f>
        <v>3.1</v>
      </c>
      <c r="G505" s="4" t="str">
        <f>HYPERLINK("http://141.218.60.56/~jnz1568/getInfo.php?workbook=12_05.xlsx&amp;sheet=U0&amp;row=505&amp;col=7&amp;number=0.00776&amp;sourceID=14","0.00776")</f>
        <v>0.00776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HYPERLINK("http://141.218.60.56/~jnz1568/getInfo.php?workbook=12_05.xlsx&amp;sheet=U0&amp;row=506&amp;col=6&amp;number=3.2&amp;sourceID=14","3.2")</f>
        <v>3.2</v>
      </c>
      <c r="G506" s="4" t="str">
        <f>HYPERLINK("http://141.218.60.56/~jnz1568/getInfo.php?workbook=12_05.xlsx&amp;sheet=U0&amp;row=506&amp;col=7&amp;number=0.00776&amp;sourceID=14","0.00776")</f>
        <v>0.00776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HYPERLINK("http://141.218.60.56/~jnz1568/getInfo.php?workbook=12_05.xlsx&amp;sheet=U0&amp;row=507&amp;col=6&amp;number=3.3&amp;sourceID=14","3.3")</f>
        <v>3.3</v>
      </c>
      <c r="G507" s="4" t="str">
        <f>HYPERLINK("http://141.218.60.56/~jnz1568/getInfo.php?workbook=12_05.xlsx&amp;sheet=U0&amp;row=507&amp;col=7&amp;number=0.00777&amp;sourceID=14","0.00777")</f>
        <v>0.00777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HYPERLINK("http://141.218.60.56/~jnz1568/getInfo.php?workbook=12_05.xlsx&amp;sheet=U0&amp;row=508&amp;col=6&amp;number=3.4&amp;sourceID=14","3.4")</f>
        <v>3.4</v>
      </c>
      <c r="G508" s="4" t="str">
        <f>HYPERLINK("http://141.218.60.56/~jnz1568/getInfo.php?workbook=12_05.xlsx&amp;sheet=U0&amp;row=508&amp;col=7&amp;number=0.00778&amp;sourceID=14","0.00778")</f>
        <v>0.00778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HYPERLINK("http://141.218.60.56/~jnz1568/getInfo.php?workbook=12_05.xlsx&amp;sheet=U0&amp;row=509&amp;col=6&amp;number=3.5&amp;sourceID=14","3.5")</f>
        <v>3.5</v>
      </c>
      <c r="G509" s="4" t="str">
        <f>HYPERLINK("http://141.218.60.56/~jnz1568/getInfo.php?workbook=12_05.xlsx&amp;sheet=U0&amp;row=509&amp;col=7&amp;number=0.00779&amp;sourceID=14","0.00779")</f>
        <v>0.00779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HYPERLINK("http://141.218.60.56/~jnz1568/getInfo.php?workbook=12_05.xlsx&amp;sheet=U0&amp;row=510&amp;col=6&amp;number=3.6&amp;sourceID=14","3.6")</f>
        <v>3.6</v>
      </c>
      <c r="G510" s="4" t="str">
        <f>HYPERLINK("http://141.218.60.56/~jnz1568/getInfo.php?workbook=12_05.xlsx&amp;sheet=U0&amp;row=510&amp;col=7&amp;number=0.0078&amp;sourceID=14","0.0078")</f>
        <v>0.0078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HYPERLINK("http://141.218.60.56/~jnz1568/getInfo.php?workbook=12_05.xlsx&amp;sheet=U0&amp;row=511&amp;col=6&amp;number=3.7&amp;sourceID=14","3.7")</f>
        <v>3.7</v>
      </c>
      <c r="G511" s="4" t="str">
        <f>HYPERLINK("http://141.218.60.56/~jnz1568/getInfo.php?workbook=12_05.xlsx&amp;sheet=U0&amp;row=511&amp;col=7&amp;number=0.00782&amp;sourceID=14","0.00782")</f>
        <v>0.00782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HYPERLINK("http://141.218.60.56/~jnz1568/getInfo.php?workbook=12_05.xlsx&amp;sheet=U0&amp;row=512&amp;col=6&amp;number=3.8&amp;sourceID=14","3.8")</f>
        <v>3.8</v>
      </c>
      <c r="G512" s="4" t="str">
        <f>HYPERLINK("http://141.218.60.56/~jnz1568/getInfo.php?workbook=12_05.xlsx&amp;sheet=U0&amp;row=512&amp;col=7&amp;number=0.00785&amp;sourceID=14","0.00785")</f>
        <v>0.00785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HYPERLINK("http://141.218.60.56/~jnz1568/getInfo.php?workbook=12_05.xlsx&amp;sheet=U0&amp;row=513&amp;col=6&amp;number=3.9&amp;sourceID=14","3.9")</f>
        <v>3.9</v>
      </c>
      <c r="G513" s="4" t="str">
        <f>HYPERLINK("http://141.218.60.56/~jnz1568/getInfo.php?workbook=12_05.xlsx&amp;sheet=U0&amp;row=513&amp;col=7&amp;number=0.00787&amp;sourceID=14","0.00787")</f>
        <v>0.00787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HYPERLINK("http://141.218.60.56/~jnz1568/getInfo.php?workbook=12_05.xlsx&amp;sheet=U0&amp;row=514&amp;col=6&amp;number=4&amp;sourceID=14","4")</f>
        <v>4</v>
      </c>
      <c r="G514" s="4" t="str">
        <f>HYPERLINK("http://141.218.60.56/~jnz1568/getInfo.php?workbook=12_05.xlsx&amp;sheet=U0&amp;row=514&amp;col=7&amp;number=0.00791&amp;sourceID=14","0.00791")</f>
        <v>0.00791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HYPERLINK("http://141.218.60.56/~jnz1568/getInfo.php?workbook=12_05.xlsx&amp;sheet=U0&amp;row=515&amp;col=6&amp;number=4.1&amp;sourceID=14","4.1")</f>
        <v>4.1</v>
      </c>
      <c r="G515" s="4" t="str">
        <f>HYPERLINK("http://141.218.60.56/~jnz1568/getInfo.php?workbook=12_05.xlsx&amp;sheet=U0&amp;row=515&amp;col=7&amp;number=0.00795&amp;sourceID=14","0.00795")</f>
        <v>0.00795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HYPERLINK("http://141.218.60.56/~jnz1568/getInfo.php?workbook=12_05.xlsx&amp;sheet=U0&amp;row=516&amp;col=6&amp;number=4.2&amp;sourceID=14","4.2")</f>
        <v>4.2</v>
      </c>
      <c r="G516" s="4" t="str">
        <f>HYPERLINK("http://141.218.60.56/~jnz1568/getInfo.php?workbook=12_05.xlsx&amp;sheet=U0&amp;row=516&amp;col=7&amp;number=0.008&amp;sourceID=14","0.008")</f>
        <v>0.008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HYPERLINK("http://141.218.60.56/~jnz1568/getInfo.php?workbook=12_05.xlsx&amp;sheet=U0&amp;row=517&amp;col=6&amp;number=4.3&amp;sourceID=14","4.3")</f>
        <v>4.3</v>
      </c>
      <c r="G517" s="4" t="str">
        <f>HYPERLINK("http://141.218.60.56/~jnz1568/getInfo.php?workbook=12_05.xlsx&amp;sheet=U0&amp;row=517&amp;col=7&amp;number=0.00807&amp;sourceID=14","0.00807")</f>
        <v>0.00807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HYPERLINK("http://141.218.60.56/~jnz1568/getInfo.php?workbook=12_05.xlsx&amp;sheet=U0&amp;row=518&amp;col=6&amp;number=4.4&amp;sourceID=14","4.4")</f>
        <v>4.4</v>
      </c>
      <c r="G518" s="4" t="str">
        <f>HYPERLINK("http://141.218.60.56/~jnz1568/getInfo.php?workbook=12_05.xlsx&amp;sheet=U0&amp;row=518&amp;col=7&amp;number=0.00814&amp;sourceID=14","0.00814")</f>
        <v>0.00814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HYPERLINK("http://141.218.60.56/~jnz1568/getInfo.php?workbook=12_05.xlsx&amp;sheet=U0&amp;row=519&amp;col=6&amp;number=4.5&amp;sourceID=14","4.5")</f>
        <v>4.5</v>
      </c>
      <c r="G519" s="4" t="str">
        <f>HYPERLINK("http://141.218.60.56/~jnz1568/getInfo.php?workbook=12_05.xlsx&amp;sheet=U0&amp;row=519&amp;col=7&amp;number=0.00824&amp;sourceID=14","0.00824")</f>
        <v>0.00824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HYPERLINK("http://141.218.60.56/~jnz1568/getInfo.php?workbook=12_05.xlsx&amp;sheet=U0&amp;row=520&amp;col=6&amp;number=4.6&amp;sourceID=14","4.6")</f>
        <v>4.6</v>
      </c>
      <c r="G520" s="4" t="str">
        <f>HYPERLINK("http://141.218.60.56/~jnz1568/getInfo.php?workbook=12_05.xlsx&amp;sheet=U0&amp;row=520&amp;col=7&amp;number=0.00834&amp;sourceID=14","0.00834")</f>
        <v>0.00834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HYPERLINK("http://141.218.60.56/~jnz1568/getInfo.php?workbook=12_05.xlsx&amp;sheet=U0&amp;row=521&amp;col=6&amp;number=4.7&amp;sourceID=14","4.7")</f>
        <v>4.7</v>
      </c>
      <c r="G521" s="4" t="str">
        <f>HYPERLINK("http://141.218.60.56/~jnz1568/getInfo.php?workbook=12_05.xlsx&amp;sheet=U0&amp;row=521&amp;col=7&amp;number=0.00846&amp;sourceID=14","0.00846")</f>
        <v>0.00846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HYPERLINK("http://141.218.60.56/~jnz1568/getInfo.php?workbook=12_05.xlsx&amp;sheet=U0&amp;row=522&amp;col=6&amp;number=4.8&amp;sourceID=14","4.8")</f>
        <v>4.8</v>
      </c>
      <c r="G522" s="4" t="str">
        <f>HYPERLINK("http://141.218.60.56/~jnz1568/getInfo.php?workbook=12_05.xlsx&amp;sheet=U0&amp;row=522&amp;col=7&amp;number=0.00859&amp;sourceID=14","0.00859")</f>
        <v>0.00859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HYPERLINK("http://141.218.60.56/~jnz1568/getInfo.php?workbook=12_05.xlsx&amp;sheet=U0&amp;row=523&amp;col=6&amp;number=4.9&amp;sourceID=14","4.9")</f>
        <v>4.9</v>
      </c>
      <c r="G523" s="4" t="str">
        <f>HYPERLINK("http://141.218.60.56/~jnz1568/getInfo.php?workbook=12_05.xlsx&amp;sheet=U0&amp;row=523&amp;col=7&amp;number=0.00872&amp;sourceID=14","0.00872")</f>
        <v>0.00872</v>
      </c>
    </row>
    <row r="524" spans="1:7">
      <c r="A524" s="3">
        <v>12</v>
      </c>
      <c r="B524" s="3">
        <v>5</v>
      </c>
      <c r="C524" s="3">
        <v>2</v>
      </c>
      <c r="D524" s="3">
        <v>15</v>
      </c>
      <c r="E524" s="3">
        <v>1</v>
      </c>
      <c r="F524" s="4" t="str">
        <f>HYPERLINK("http://141.218.60.56/~jnz1568/getInfo.php?workbook=12_05.xlsx&amp;sheet=U0&amp;row=524&amp;col=6&amp;number=3&amp;sourceID=14","3")</f>
        <v>3</v>
      </c>
      <c r="G524" s="4" t="str">
        <f>HYPERLINK("http://141.218.60.56/~jnz1568/getInfo.php?workbook=12_05.xlsx&amp;sheet=U0&amp;row=524&amp;col=7&amp;number=0.0186&amp;sourceID=14","0.0186")</f>
        <v>0.0186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HYPERLINK("http://141.218.60.56/~jnz1568/getInfo.php?workbook=12_05.xlsx&amp;sheet=U0&amp;row=525&amp;col=6&amp;number=3.1&amp;sourceID=14","3.1")</f>
        <v>3.1</v>
      </c>
      <c r="G525" s="4" t="str">
        <f>HYPERLINK("http://141.218.60.56/~jnz1568/getInfo.php?workbook=12_05.xlsx&amp;sheet=U0&amp;row=525&amp;col=7&amp;number=0.0186&amp;sourceID=14","0.0186")</f>
        <v>0.0186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HYPERLINK("http://141.218.60.56/~jnz1568/getInfo.php?workbook=12_05.xlsx&amp;sheet=U0&amp;row=526&amp;col=6&amp;number=3.2&amp;sourceID=14","3.2")</f>
        <v>3.2</v>
      </c>
      <c r="G526" s="4" t="str">
        <f>HYPERLINK("http://141.218.60.56/~jnz1568/getInfo.php?workbook=12_05.xlsx&amp;sheet=U0&amp;row=526&amp;col=7&amp;number=0.0186&amp;sourceID=14","0.0186")</f>
        <v>0.0186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HYPERLINK("http://141.218.60.56/~jnz1568/getInfo.php?workbook=12_05.xlsx&amp;sheet=U0&amp;row=527&amp;col=6&amp;number=3.3&amp;sourceID=14","3.3")</f>
        <v>3.3</v>
      </c>
      <c r="G527" s="4" t="str">
        <f>HYPERLINK("http://141.218.60.56/~jnz1568/getInfo.php?workbook=12_05.xlsx&amp;sheet=U0&amp;row=527&amp;col=7&amp;number=0.0186&amp;sourceID=14","0.0186")</f>
        <v>0.0186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HYPERLINK("http://141.218.60.56/~jnz1568/getInfo.php?workbook=12_05.xlsx&amp;sheet=U0&amp;row=528&amp;col=6&amp;number=3.4&amp;sourceID=14","3.4")</f>
        <v>3.4</v>
      </c>
      <c r="G528" s="4" t="str">
        <f>HYPERLINK("http://141.218.60.56/~jnz1568/getInfo.php?workbook=12_05.xlsx&amp;sheet=U0&amp;row=528&amp;col=7&amp;number=0.0186&amp;sourceID=14","0.0186")</f>
        <v>0.0186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HYPERLINK("http://141.218.60.56/~jnz1568/getInfo.php?workbook=12_05.xlsx&amp;sheet=U0&amp;row=529&amp;col=6&amp;number=3.5&amp;sourceID=14","3.5")</f>
        <v>3.5</v>
      </c>
      <c r="G529" s="4" t="str">
        <f>HYPERLINK("http://141.218.60.56/~jnz1568/getInfo.php?workbook=12_05.xlsx&amp;sheet=U0&amp;row=529&amp;col=7&amp;number=0.0187&amp;sourceID=14","0.0187")</f>
        <v>0.0187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HYPERLINK("http://141.218.60.56/~jnz1568/getInfo.php?workbook=12_05.xlsx&amp;sheet=U0&amp;row=530&amp;col=6&amp;number=3.6&amp;sourceID=14","3.6")</f>
        <v>3.6</v>
      </c>
      <c r="G530" s="4" t="str">
        <f>HYPERLINK("http://141.218.60.56/~jnz1568/getInfo.php?workbook=12_05.xlsx&amp;sheet=U0&amp;row=530&amp;col=7&amp;number=0.0187&amp;sourceID=14","0.0187")</f>
        <v>0.0187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HYPERLINK("http://141.218.60.56/~jnz1568/getInfo.php?workbook=12_05.xlsx&amp;sheet=U0&amp;row=531&amp;col=6&amp;number=3.7&amp;sourceID=14","3.7")</f>
        <v>3.7</v>
      </c>
      <c r="G531" s="4" t="str">
        <f>HYPERLINK("http://141.218.60.56/~jnz1568/getInfo.php?workbook=12_05.xlsx&amp;sheet=U0&amp;row=531&amp;col=7&amp;number=0.0187&amp;sourceID=14","0.0187")</f>
        <v>0.0187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HYPERLINK("http://141.218.60.56/~jnz1568/getInfo.php?workbook=12_05.xlsx&amp;sheet=U0&amp;row=532&amp;col=6&amp;number=3.8&amp;sourceID=14","3.8")</f>
        <v>3.8</v>
      </c>
      <c r="G532" s="4" t="str">
        <f>HYPERLINK("http://141.218.60.56/~jnz1568/getInfo.php?workbook=12_05.xlsx&amp;sheet=U0&amp;row=532&amp;col=7&amp;number=0.0188&amp;sourceID=14","0.0188")</f>
        <v>0.0188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HYPERLINK("http://141.218.60.56/~jnz1568/getInfo.php?workbook=12_05.xlsx&amp;sheet=U0&amp;row=533&amp;col=6&amp;number=3.9&amp;sourceID=14","3.9")</f>
        <v>3.9</v>
      </c>
      <c r="G533" s="4" t="str">
        <f>HYPERLINK("http://141.218.60.56/~jnz1568/getInfo.php?workbook=12_05.xlsx&amp;sheet=U0&amp;row=533&amp;col=7&amp;number=0.0189&amp;sourceID=14","0.0189")</f>
        <v>0.0189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HYPERLINK("http://141.218.60.56/~jnz1568/getInfo.php?workbook=12_05.xlsx&amp;sheet=U0&amp;row=534&amp;col=6&amp;number=4&amp;sourceID=14","4")</f>
        <v>4</v>
      </c>
      <c r="G534" s="4" t="str">
        <f>HYPERLINK("http://141.218.60.56/~jnz1568/getInfo.php?workbook=12_05.xlsx&amp;sheet=U0&amp;row=534&amp;col=7&amp;number=0.0189&amp;sourceID=14","0.0189")</f>
        <v>0.0189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HYPERLINK("http://141.218.60.56/~jnz1568/getInfo.php?workbook=12_05.xlsx&amp;sheet=U0&amp;row=535&amp;col=6&amp;number=4.1&amp;sourceID=14","4.1")</f>
        <v>4.1</v>
      </c>
      <c r="G535" s="4" t="str">
        <f>HYPERLINK("http://141.218.60.56/~jnz1568/getInfo.php?workbook=12_05.xlsx&amp;sheet=U0&amp;row=535&amp;col=7&amp;number=0.019&amp;sourceID=14","0.019")</f>
        <v>0.019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HYPERLINK("http://141.218.60.56/~jnz1568/getInfo.php?workbook=12_05.xlsx&amp;sheet=U0&amp;row=536&amp;col=6&amp;number=4.2&amp;sourceID=14","4.2")</f>
        <v>4.2</v>
      </c>
      <c r="G536" s="4" t="str">
        <f>HYPERLINK("http://141.218.60.56/~jnz1568/getInfo.php?workbook=12_05.xlsx&amp;sheet=U0&amp;row=536&amp;col=7&amp;number=0.0192&amp;sourceID=14","0.0192")</f>
        <v>0.0192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HYPERLINK("http://141.218.60.56/~jnz1568/getInfo.php?workbook=12_05.xlsx&amp;sheet=U0&amp;row=537&amp;col=6&amp;number=4.3&amp;sourceID=14","4.3")</f>
        <v>4.3</v>
      </c>
      <c r="G537" s="4" t="str">
        <f>HYPERLINK("http://141.218.60.56/~jnz1568/getInfo.php?workbook=12_05.xlsx&amp;sheet=U0&amp;row=537&amp;col=7&amp;number=0.0193&amp;sourceID=14","0.0193")</f>
        <v>0.0193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HYPERLINK("http://141.218.60.56/~jnz1568/getInfo.php?workbook=12_05.xlsx&amp;sheet=U0&amp;row=538&amp;col=6&amp;number=4.4&amp;sourceID=14","4.4")</f>
        <v>4.4</v>
      </c>
      <c r="G538" s="4" t="str">
        <f>HYPERLINK("http://141.218.60.56/~jnz1568/getInfo.php?workbook=12_05.xlsx&amp;sheet=U0&amp;row=538&amp;col=7&amp;number=0.0195&amp;sourceID=14","0.0195")</f>
        <v>0.0195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HYPERLINK("http://141.218.60.56/~jnz1568/getInfo.php?workbook=12_05.xlsx&amp;sheet=U0&amp;row=539&amp;col=6&amp;number=4.5&amp;sourceID=14","4.5")</f>
        <v>4.5</v>
      </c>
      <c r="G539" s="4" t="str">
        <f>HYPERLINK("http://141.218.60.56/~jnz1568/getInfo.php?workbook=12_05.xlsx&amp;sheet=U0&amp;row=539&amp;col=7&amp;number=0.0197&amp;sourceID=14","0.0197")</f>
        <v>0.0197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HYPERLINK("http://141.218.60.56/~jnz1568/getInfo.php?workbook=12_05.xlsx&amp;sheet=U0&amp;row=540&amp;col=6&amp;number=4.6&amp;sourceID=14","4.6")</f>
        <v>4.6</v>
      </c>
      <c r="G540" s="4" t="str">
        <f>HYPERLINK("http://141.218.60.56/~jnz1568/getInfo.php?workbook=12_05.xlsx&amp;sheet=U0&amp;row=540&amp;col=7&amp;number=0.02&amp;sourceID=14","0.02")</f>
        <v>0.02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HYPERLINK("http://141.218.60.56/~jnz1568/getInfo.php?workbook=12_05.xlsx&amp;sheet=U0&amp;row=541&amp;col=6&amp;number=4.7&amp;sourceID=14","4.7")</f>
        <v>4.7</v>
      </c>
      <c r="G541" s="4" t="str">
        <f>HYPERLINK("http://141.218.60.56/~jnz1568/getInfo.php?workbook=12_05.xlsx&amp;sheet=U0&amp;row=541&amp;col=7&amp;number=0.0202&amp;sourceID=14","0.0202")</f>
        <v>0.0202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HYPERLINK("http://141.218.60.56/~jnz1568/getInfo.php?workbook=12_05.xlsx&amp;sheet=U0&amp;row=542&amp;col=6&amp;number=4.8&amp;sourceID=14","4.8")</f>
        <v>4.8</v>
      </c>
      <c r="G542" s="4" t="str">
        <f>HYPERLINK("http://141.218.60.56/~jnz1568/getInfo.php?workbook=12_05.xlsx&amp;sheet=U0&amp;row=542&amp;col=7&amp;number=0.0205&amp;sourceID=14","0.0205")</f>
        <v>0.0205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HYPERLINK("http://141.218.60.56/~jnz1568/getInfo.php?workbook=12_05.xlsx&amp;sheet=U0&amp;row=543&amp;col=6&amp;number=4.9&amp;sourceID=14","4.9")</f>
        <v>4.9</v>
      </c>
      <c r="G543" s="4" t="str">
        <f>HYPERLINK("http://141.218.60.56/~jnz1568/getInfo.php?workbook=12_05.xlsx&amp;sheet=U0&amp;row=543&amp;col=7&amp;number=0.0208&amp;sourceID=14","0.0208")</f>
        <v>0.0208</v>
      </c>
    </row>
    <row r="544" spans="1:7">
      <c r="A544" s="3">
        <v>12</v>
      </c>
      <c r="B544" s="3">
        <v>5</v>
      </c>
      <c r="C544" s="3">
        <v>3</v>
      </c>
      <c r="D544" s="3">
        <v>4</v>
      </c>
      <c r="E544" s="3">
        <v>1</v>
      </c>
      <c r="F544" s="4" t="str">
        <f>HYPERLINK("http://141.218.60.56/~jnz1568/getInfo.php?workbook=12_05.xlsx&amp;sheet=U0&amp;row=544&amp;col=6&amp;number=3&amp;sourceID=14","3")</f>
        <v>3</v>
      </c>
      <c r="G544" s="4" t="str">
        <f>HYPERLINK("http://141.218.60.56/~jnz1568/getInfo.php?workbook=12_05.xlsx&amp;sheet=U0&amp;row=544&amp;col=7&amp;number=0.247&amp;sourceID=14","0.247")</f>
        <v>0.247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HYPERLINK("http://141.218.60.56/~jnz1568/getInfo.php?workbook=12_05.xlsx&amp;sheet=U0&amp;row=545&amp;col=6&amp;number=3.1&amp;sourceID=14","3.1")</f>
        <v>3.1</v>
      </c>
      <c r="G545" s="4" t="str">
        <f>HYPERLINK("http://141.218.60.56/~jnz1568/getInfo.php?workbook=12_05.xlsx&amp;sheet=U0&amp;row=545&amp;col=7&amp;number=0.248&amp;sourceID=14","0.248")</f>
        <v>0.248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HYPERLINK("http://141.218.60.56/~jnz1568/getInfo.php?workbook=12_05.xlsx&amp;sheet=U0&amp;row=546&amp;col=6&amp;number=3.2&amp;sourceID=14","3.2")</f>
        <v>3.2</v>
      </c>
      <c r="G546" s="4" t="str">
        <f>HYPERLINK("http://141.218.60.56/~jnz1568/getInfo.php?workbook=12_05.xlsx&amp;sheet=U0&amp;row=546&amp;col=7&amp;number=0.249&amp;sourceID=14","0.249")</f>
        <v>0.249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HYPERLINK("http://141.218.60.56/~jnz1568/getInfo.php?workbook=12_05.xlsx&amp;sheet=U0&amp;row=547&amp;col=6&amp;number=3.3&amp;sourceID=14","3.3")</f>
        <v>3.3</v>
      </c>
      <c r="G547" s="4" t="str">
        <f>HYPERLINK("http://141.218.60.56/~jnz1568/getInfo.php?workbook=12_05.xlsx&amp;sheet=U0&amp;row=547&amp;col=7&amp;number=0.25&amp;sourceID=14","0.25")</f>
        <v>0.25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HYPERLINK("http://141.218.60.56/~jnz1568/getInfo.php?workbook=12_05.xlsx&amp;sheet=U0&amp;row=548&amp;col=6&amp;number=3.4&amp;sourceID=14","3.4")</f>
        <v>3.4</v>
      </c>
      <c r="G548" s="4" t="str">
        <f>HYPERLINK("http://141.218.60.56/~jnz1568/getInfo.php?workbook=12_05.xlsx&amp;sheet=U0&amp;row=548&amp;col=7&amp;number=0.252&amp;sourceID=14","0.252")</f>
        <v>0.252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HYPERLINK("http://141.218.60.56/~jnz1568/getInfo.php?workbook=12_05.xlsx&amp;sheet=U0&amp;row=549&amp;col=6&amp;number=3.5&amp;sourceID=14","3.5")</f>
        <v>3.5</v>
      </c>
      <c r="G549" s="4" t="str">
        <f>HYPERLINK("http://141.218.60.56/~jnz1568/getInfo.php?workbook=12_05.xlsx&amp;sheet=U0&amp;row=549&amp;col=7&amp;number=0.255&amp;sourceID=14","0.255")</f>
        <v>0.255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HYPERLINK("http://141.218.60.56/~jnz1568/getInfo.php?workbook=12_05.xlsx&amp;sheet=U0&amp;row=550&amp;col=6&amp;number=3.6&amp;sourceID=14","3.6")</f>
        <v>3.6</v>
      </c>
      <c r="G550" s="4" t="str">
        <f>HYPERLINK("http://141.218.60.56/~jnz1568/getInfo.php?workbook=12_05.xlsx&amp;sheet=U0&amp;row=550&amp;col=7&amp;number=0.257&amp;sourceID=14","0.257")</f>
        <v>0.257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HYPERLINK("http://141.218.60.56/~jnz1568/getInfo.php?workbook=12_05.xlsx&amp;sheet=U0&amp;row=551&amp;col=6&amp;number=3.7&amp;sourceID=14","3.7")</f>
        <v>3.7</v>
      </c>
      <c r="G551" s="4" t="str">
        <f>HYPERLINK("http://141.218.60.56/~jnz1568/getInfo.php?workbook=12_05.xlsx&amp;sheet=U0&amp;row=551&amp;col=7&amp;number=0.261&amp;sourceID=14","0.261")</f>
        <v>0.261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HYPERLINK("http://141.218.60.56/~jnz1568/getInfo.php?workbook=12_05.xlsx&amp;sheet=U0&amp;row=552&amp;col=6&amp;number=3.8&amp;sourceID=14","3.8")</f>
        <v>3.8</v>
      </c>
      <c r="G552" s="4" t="str">
        <f>HYPERLINK("http://141.218.60.56/~jnz1568/getInfo.php?workbook=12_05.xlsx&amp;sheet=U0&amp;row=552&amp;col=7&amp;number=0.266&amp;sourceID=14","0.266")</f>
        <v>0.266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HYPERLINK("http://141.218.60.56/~jnz1568/getInfo.php?workbook=12_05.xlsx&amp;sheet=U0&amp;row=553&amp;col=6&amp;number=3.9&amp;sourceID=14","3.9")</f>
        <v>3.9</v>
      </c>
      <c r="G553" s="4" t="str">
        <f>HYPERLINK("http://141.218.60.56/~jnz1568/getInfo.php?workbook=12_05.xlsx&amp;sheet=U0&amp;row=553&amp;col=7&amp;number=0.271&amp;sourceID=14","0.271")</f>
        <v>0.271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HYPERLINK("http://141.218.60.56/~jnz1568/getInfo.php?workbook=12_05.xlsx&amp;sheet=U0&amp;row=554&amp;col=6&amp;number=4&amp;sourceID=14","4")</f>
        <v>4</v>
      </c>
      <c r="G554" s="4" t="str">
        <f>HYPERLINK("http://141.218.60.56/~jnz1568/getInfo.php?workbook=12_05.xlsx&amp;sheet=U0&amp;row=554&amp;col=7&amp;number=0.278&amp;sourceID=14","0.278")</f>
        <v>0.278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HYPERLINK("http://141.218.60.56/~jnz1568/getInfo.php?workbook=12_05.xlsx&amp;sheet=U0&amp;row=555&amp;col=6&amp;number=4.1&amp;sourceID=14","4.1")</f>
        <v>4.1</v>
      </c>
      <c r="G555" s="4" t="str">
        <f>HYPERLINK("http://141.218.60.56/~jnz1568/getInfo.php?workbook=12_05.xlsx&amp;sheet=U0&amp;row=555&amp;col=7&amp;number=0.286&amp;sourceID=14","0.286")</f>
        <v>0.286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HYPERLINK("http://141.218.60.56/~jnz1568/getInfo.php?workbook=12_05.xlsx&amp;sheet=U0&amp;row=556&amp;col=6&amp;number=4.2&amp;sourceID=14","4.2")</f>
        <v>4.2</v>
      </c>
      <c r="G556" s="4" t="str">
        <f>HYPERLINK("http://141.218.60.56/~jnz1568/getInfo.php?workbook=12_05.xlsx&amp;sheet=U0&amp;row=556&amp;col=7&amp;number=0.297&amp;sourceID=14","0.297")</f>
        <v>0.297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HYPERLINK("http://141.218.60.56/~jnz1568/getInfo.php?workbook=12_05.xlsx&amp;sheet=U0&amp;row=557&amp;col=6&amp;number=4.3&amp;sourceID=14","4.3")</f>
        <v>4.3</v>
      </c>
      <c r="G557" s="4" t="str">
        <f>HYPERLINK("http://141.218.60.56/~jnz1568/getInfo.php?workbook=12_05.xlsx&amp;sheet=U0&amp;row=557&amp;col=7&amp;number=0.309&amp;sourceID=14","0.309")</f>
        <v>0.309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HYPERLINK("http://141.218.60.56/~jnz1568/getInfo.php?workbook=12_05.xlsx&amp;sheet=U0&amp;row=558&amp;col=6&amp;number=4.4&amp;sourceID=14","4.4")</f>
        <v>4.4</v>
      </c>
      <c r="G558" s="4" t="str">
        <f>HYPERLINK("http://141.218.60.56/~jnz1568/getInfo.php?workbook=12_05.xlsx&amp;sheet=U0&amp;row=558&amp;col=7&amp;number=0.323&amp;sourceID=14","0.323")</f>
        <v>0.323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HYPERLINK("http://141.218.60.56/~jnz1568/getInfo.php?workbook=12_05.xlsx&amp;sheet=U0&amp;row=559&amp;col=6&amp;number=4.5&amp;sourceID=14","4.5")</f>
        <v>4.5</v>
      </c>
      <c r="G559" s="4" t="str">
        <f>HYPERLINK("http://141.218.60.56/~jnz1568/getInfo.php?workbook=12_05.xlsx&amp;sheet=U0&amp;row=559&amp;col=7&amp;number=0.34&amp;sourceID=14","0.34")</f>
        <v>0.34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HYPERLINK("http://141.218.60.56/~jnz1568/getInfo.php?workbook=12_05.xlsx&amp;sheet=U0&amp;row=560&amp;col=6&amp;number=4.6&amp;sourceID=14","4.6")</f>
        <v>4.6</v>
      </c>
      <c r="G560" s="4" t="str">
        <f>HYPERLINK("http://141.218.60.56/~jnz1568/getInfo.php?workbook=12_05.xlsx&amp;sheet=U0&amp;row=560&amp;col=7&amp;number=0.358&amp;sourceID=14","0.358")</f>
        <v>0.358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HYPERLINK("http://141.218.60.56/~jnz1568/getInfo.php?workbook=12_05.xlsx&amp;sheet=U0&amp;row=561&amp;col=6&amp;number=4.7&amp;sourceID=14","4.7")</f>
        <v>4.7</v>
      </c>
      <c r="G561" s="4" t="str">
        <f>HYPERLINK("http://141.218.60.56/~jnz1568/getInfo.php?workbook=12_05.xlsx&amp;sheet=U0&amp;row=561&amp;col=7&amp;number=0.377&amp;sourceID=14","0.377")</f>
        <v>0.377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HYPERLINK("http://141.218.60.56/~jnz1568/getInfo.php?workbook=12_05.xlsx&amp;sheet=U0&amp;row=562&amp;col=6&amp;number=4.8&amp;sourceID=14","4.8")</f>
        <v>4.8</v>
      </c>
      <c r="G562" s="4" t="str">
        <f>HYPERLINK("http://141.218.60.56/~jnz1568/getInfo.php?workbook=12_05.xlsx&amp;sheet=U0&amp;row=562&amp;col=7&amp;number=0.395&amp;sourceID=14","0.395")</f>
        <v>0.395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HYPERLINK("http://141.218.60.56/~jnz1568/getInfo.php?workbook=12_05.xlsx&amp;sheet=U0&amp;row=563&amp;col=6&amp;number=4.9&amp;sourceID=14","4.9")</f>
        <v>4.9</v>
      </c>
      <c r="G563" s="4" t="str">
        <f>HYPERLINK("http://141.218.60.56/~jnz1568/getInfo.php?workbook=12_05.xlsx&amp;sheet=U0&amp;row=563&amp;col=7&amp;number=0.41&amp;sourceID=14","0.41")</f>
        <v>0.41</v>
      </c>
    </row>
    <row r="564" spans="1:7">
      <c r="A564" s="3">
        <v>12</v>
      </c>
      <c r="B564" s="3">
        <v>5</v>
      </c>
      <c r="C564" s="3">
        <v>3</v>
      </c>
      <c r="D564" s="3">
        <v>5</v>
      </c>
      <c r="E564" s="3">
        <v>1</v>
      </c>
      <c r="F564" s="4" t="str">
        <f>HYPERLINK("http://141.218.60.56/~jnz1568/getInfo.php?workbook=12_05.xlsx&amp;sheet=U0&amp;row=564&amp;col=6&amp;number=3&amp;sourceID=14","3")</f>
        <v>3</v>
      </c>
      <c r="G564" s="4" t="str">
        <f>HYPERLINK("http://141.218.60.56/~jnz1568/getInfo.php?workbook=12_05.xlsx&amp;sheet=U0&amp;row=564&amp;col=7&amp;number=0.169&amp;sourceID=14","0.169")</f>
        <v>0.169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HYPERLINK("http://141.218.60.56/~jnz1568/getInfo.php?workbook=12_05.xlsx&amp;sheet=U0&amp;row=565&amp;col=6&amp;number=3.1&amp;sourceID=14","3.1")</f>
        <v>3.1</v>
      </c>
      <c r="G565" s="4" t="str">
        <f>HYPERLINK("http://141.218.60.56/~jnz1568/getInfo.php?workbook=12_05.xlsx&amp;sheet=U0&amp;row=565&amp;col=7&amp;number=0.17&amp;sourceID=14","0.17")</f>
        <v>0.17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HYPERLINK("http://141.218.60.56/~jnz1568/getInfo.php?workbook=12_05.xlsx&amp;sheet=U0&amp;row=566&amp;col=6&amp;number=3.2&amp;sourceID=14","3.2")</f>
        <v>3.2</v>
      </c>
      <c r="G566" s="4" t="str">
        <f>HYPERLINK("http://141.218.60.56/~jnz1568/getInfo.php?workbook=12_05.xlsx&amp;sheet=U0&amp;row=566&amp;col=7&amp;number=0.17&amp;sourceID=14","0.17")</f>
        <v>0.17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HYPERLINK("http://141.218.60.56/~jnz1568/getInfo.php?workbook=12_05.xlsx&amp;sheet=U0&amp;row=567&amp;col=6&amp;number=3.3&amp;sourceID=14","3.3")</f>
        <v>3.3</v>
      </c>
      <c r="G567" s="4" t="str">
        <f>HYPERLINK("http://141.218.60.56/~jnz1568/getInfo.php?workbook=12_05.xlsx&amp;sheet=U0&amp;row=567&amp;col=7&amp;number=0.172&amp;sourceID=14","0.172")</f>
        <v>0.172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HYPERLINK("http://141.218.60.56/~jnz1568/getInfo.php?workbook=12_05.xlsx&amp;sheet=U0&amp;row=568&amp;col=6&amp;number=3.4&amp;sourceID=14","3.4")</f>
        <v>3.4</v>
      </c>
      <c r="G568" s="4" t="str">
        <f>HYPERLINK("http://141.218.60.56/~jnz1568/getInfo.php?workbook=12_05.xlsx&amp;sheet=U0&amp;row=568&amp;col=7&amp;number=0.173&amp;sourceID=14","0.173")</f>
        <v>0.173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HYPERLINK("http://141.218.60.56/~jnz1568/getInfo.php?workbook=12_05.xlsx&amp;sheet=U0&amp;row=569&amp;col=6&amp;number=3.5&amp;sourceID=14","3.5")</f>
        <v>3.5</v>
      </c>
      <c r="G569" s="4" t="str">
        <f>HYPERLINK("http://141.218.60.56/~jnz1568/getInfo.php?workbook=12_05.xlsx&amp;sheet=U0&amp;row=569&amp;col=7&amp;number=0.175&amp;sourceID=14","0.175")</f>
        <v>0.175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HYPERLINK("http://141.218.60.56/~jnz1568/getInfo.php?workbook=12_05.xlsx&amp;sheet=U0&amp;row=570&amp;col=6&amp;number=3.6&amp;sourceID=14","3.6")</f>
        <v>3.6</v>
      </c>
      <c r="G570" s="4" t="str">
        <f>HYPERLINK("http://141.218.60.56/~jnz1568/getInfo.php?workbook=12_05.xlsx&amp;sheet=U0&amp;row=570&amp;col=7&amp;number=0.177&amp;sourceID=14","0.177")</f>
        <v>0.177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HYPERLINK("http://141.218.60.56/~jnz1568/getInfo.php?workbook=12_05.xlsx&amp;sheet=U0&amp;row=571&amp;col=6&amp;number=3.7&amp;sourceID=14","3.7")</f>
        <v>3.7</v>
      </c>
      <c r="G571" s="4" t="str">
        <f>HYPERLINK("http://141.218.60.56/~jnz1568/getInfo.php?workbook=12_05.xlsx&amp;sheet=U0&amp;row=571&amp;col=7&amp;number=0.18&amp;sourceID=14","0.18")</f>
        <v>0.18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HYPERLINK("http://141.218.60.56/~jnz1568/getInfo.php?workbook=12_05.xlsx&amp;sheet=U0&amp;row=572&amp;col=6&amp;number=3.8&amp;sourceID=14","3.8")</f>
        <v>3.8</v>
      </c>
      <c r="G572" s="4" t="str">
        <f>HYPERLINK("http://141.218.60.56/~jnz1568/getInfo.php?workbook=12_05.xlsx&amp;sheet=U0&amp;row=572&amp;col=7&amp;number=0.183&amp;sourceID=14","0.183")</f>
        <v>0.183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HYPERLINK("http://141.218.60.56/~jnz1568/getInfo.php?workbook=12_05.xlsx&amp;sheet=U0&amp;row=573&amp;col=6&amp;number=3.9&amp;sourceID=14","3.9")</f>
        <v>3.9</v>
      </c>
      <c r="G573" s="4" t="str">
        <f>HYPERLINK("http://141.218.60.56/~jnz1568/getInfo.php?workbook=12_05.xlsx&amp;sheet=U0&amp;row=573&amp;col=7&amp;number=0.187&amp;sourceID=14","0.187")</f>
        <v>0.187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HYPERLINK("http://141.218.60.56/~jnz1568/getInfo.php?workbook=12_05.xlsx&amp;sheet=U0&amp;row=574&amp;col=6&amp;number=4&amp;sourceID=14","4")</f>
        <v>4</v>
      </c>
      <c r="G574" s="4" t="str">
        <f>HYPERLINK("http://141.218.60.56/~jnz1568/getInfo.php?workbook=12_05.xlsx&amp;sheet=U0&amp;row=574&amp;col=7&amp;number=0.193&amp;sourceID=14","0.193")</f>
        <v>0.193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HYPERLINK("http://141.218.60.56/~jnz1568/getInfo.php?workbook=12_05.xlsx&amp;sheet=U0&amp;row=575&amp;col=6&amp;number=4.1&amp;sourceID=14","4.1")</f>
        <v>4.1</v>
      </c>
      <c r="G575" s="4" t="str">
        <f>HYPERLINK("http://141.218.60.56/~jnz1568/getInfo.php?workbook=12_05.xlsx&amp;sheet=U0&amp;row=575&amp;col=7&amp;number=0.199&amp;sourceID=14","0.199")</f>
        <v>0.199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HYPERLINK("http://141.218.60.56/~jnz1568/getInfo.php?workbook=12_05.xlsx&amp;sheet=U0&amp;row=576&amp;col=6&amp;number=4.2&amp;sourceID=14","4.2")</f>
        <v>4.2</v>
      </c>
      <c r="G576" s="4" t="str">
        <f>HYPERLINK("http://141.218.60.56/~jnz1568/getInfo.php?workbook=12_05.xlsx&amp;sheet=U0&amp;row=576&amp;col=7&amp;number=0.207&amp;sourceID=14","0.207")</f>
        <v>0.207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HYPERLINK("http://141.218.60.56/~jnz1568/getInfo.php?workbook=12_05.xlsx&amp;sheet=U0&amp;row=577&amp;col=6&amp;number=4.3&amp;sourceID=14","4.3")</f>
        <v>4.3</v>
      </c>
      <c r="G577" s="4" t="str">
        <f>HYPERLINK("http://141.218.60.56/~jnz1568/getInfo.php?workbook=12_05.xlsx&amp;sheet=U0&amp;row=577&amp;col=7&amp;number=0.216&amp;sourceID=14","0.216")</f>
        <v>0.216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HYPERLINK("http://141.218.60.56/~jnz1568/getInfo.php?workbook=12_05.xlsx&amp;sheet=U0&amp;row=578&amp;col=6&amp;number=4.4&amp;sourceID=14","4.4")</f>
        <v>4.4</v>
      </c>
      <c r="G578" s="4" t="str">
        <f>HYPERLINK("http://141.218.60.56/~jnz1568/getInfo.php?workbook=12_05.xlsx&amp;sheet=U0&amp;row=578&amp;col=7&amp;number=0.227&amp;sourceID=14","0.227")</f>
        <v>0.227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HYPERLINK("http://141.218.60.56/~jnz1568/getInfo.php?workbook=12_05.xlsx&amp;sheet=U0&amp;row=579&amp;col=6&amp;number=4.5&amp;sourceID=14","4.5")</f>
        <v>4.5</v>
      </c>
      <c r="G579" s="4" t="str">
        <f>HYPERLINK("http://141.218.60.56/~jnz1568/getInfo.php?workbook=12_05.xlsx&amp;sheet=U0&amp;row=579&amp;col=7&amp;number=0.239&amp;sourceID=14","0.239")</f>
        <v>0.239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HYPERLINK("http://141.218.60.56/~jnz1568/getInfo.php?workbook=12_05.xlsx&amp;sheet=U0&amp;row=580&amp;col=6&amp;number=4.6&amp;sourceID=14","4.6")</f>
        <v>4.6</v>
      </c>
      <c r="G580" s="4" t="str">
        <f>HYPERLINK("http://141.218.60.56/~jnz1568/getInfo.php?workbook=12_05.xlsx&amp;sheet=U0&amp;row=580&amp;col=7&amp;number=0.253&amp;sourceID=14","0.253")</f>
        <v>0.253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HYPERLINK("http://141.218.60.56/~jnz1568/getInfo.php?workbook=12_05.xlsx&amp;sheet=U0&amp;row=581&amp;col=6&amp;number=4.7&amp;sourceID=14","4.7")</f>
        <v>4.7</v>
      </c>
      <c r="G581" s="4" t="str">
        <f>HYPERLINK("http://141.218.60.56/~jnz1568/getInfo.php?workbook=12_05.xlsx&amp;sheet=U0&amp;row=581&amp;col=7&amp;number=0.267&amp;sourceID=14","0.267")</f>
        <v>0.267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HYPERLINK("http://141.218.60.56/~jnz1568/getInfo.php?workbook=12_05.xlsx&amp;sheet=U0&amp;row=582&amp;col=6&amp;number=4.8&amp;sourceID=14","4.8")</f>
        <v>4.8</v>
      </c>
      <c r="G582" s="4" t="str">
        <f>HYPERLINK("http://141.218.60.56/~jnz1568/getInfo.php?workbook=12_05.xlsx&amp;sheet=U0&amp;row=582&amp;col=7&amp;number=0.281&amp;sourceID=14","0.281")</f>
        <v>0.281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HYPERLINK("http://141.218.60.56/~jnz1568/getInfo.php?workbook=12_05.xlsx&amp;sheet=U0&amp;row=583&amp;col=6&amp;number=4.9&amp;sourceID=14","4.9")</f>
        <v>4.9</v>
      </c>
      <c r="G583" s="4" t="str">
        <f>HYPERLINK("http://141.218.60.56/~jnz1568/getInfo.php?workbook=12_05.xlsx&amp;sheet=U0&amp;row=583&amp;col=7&amp;number=0.291&amp;sourceID=14","0.291")</f>
        <v>0.291</v>
      </c>
    </row>
    <row r="584" spans="1:7">
      <c r="A584" s="3">
        <v>12</v>
      </c>
      <c r="B584" s="3">
        <v>5</v>
      </c>
      <c r="C584" s="3">
        <v>3</v>
      </c>
      <c r="D584" s="3">
        <v>6</v>
      </c>
      <c r="E584" s="3">
        <v>1</v>
      </c>
      <c r="F584" s="4" t="str">
        <f>HYPERLINK("http://141.218.60.56/~jnz1568/getInfo.php?workbook=12_05.xlsx&amp;sheet=U0&amp;row=584&amp;col=6&amp;number=3&amp;sourceID=14","3")</f>
        <v>3</v>
      </c>
      <c r="G584" s="4" t="str">
        <f>HYPERLINK("http://141.218.60.56/~jnz1568/getInfo.php?workbook=12_05.xlsx&amp;sheet=U0&amp;row=584&amp;col=7&amp;number=0.122&amp;sourceID=14","0.122")</f>
        <v>0.122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HYPERLINK("http://141.218.60.56/~jnz1568/getInfo.php?workbook=12_05.xlsx&amp;sheet=U0&amp;row=585&amp;col=6&amp;number=3.1&amp;sourceID=14","3.1")</f>
        <v>3.1</v>
      </c>
      <c r="G585" s="4" t="str">
        <f>HYPERLINK("http://141.218.60.56/~jnz1568/getInfo.php?workbook=12_05.xlsx&amp;sheet=U0&amp;row=585&amp;col=7&amp;number=0.122&amp;sourceID=14","0.122")</f>
        <v>0.122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HYPERLINK("http://141.218.60.56/~jnz1568/getInfo.php?workbook=12_05.xlsx&amp;sheet=U0&amp;row=586&amp;col=6&amp;number=3.2&amp;sourceID=14","3.2")</f>
        <v>3.2</v>
      </c>
      <c r="G586" s="4" t="str">
        <f>HYPERLINK("http://141.218.60.56/~jnz1568/getInfo.php?workbook=12_05.xlsx&amp;sheet=U0&amp;row=586&amp;col=7&amp;number=0.122&amp;sourceID=14","0.122")</f>
        <v>0.122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HYPERLINK("http://141.218.60.56/~jnz1568/getInfo.php?workbook=12_05.xlsx&amp;sheet=U0&amp;row=587&amp;col=6&amp;number=3.3&amp;sourceID=14","3.3")</f>
        <v>3.3</v>
      </c>
      <c r="G587" s="4" t="str">
        <f>HYPERLINK("http://141.218.60.56/~jnz1568/getInfo.php?workbook=12_05.xlsx&amp;sheet=U0&amp;row=587&amp;col=7&amp;number=0.122&amp;sourceID=14","0.122")</f>
        <v>0.122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HYPERLINK("http://141.218.60.56/~jnz1568/getInfo.php?workbook=12_05.xlsx&amp;sheet=U0&amp;row=588&amp;col=6&amp;number=3.4&amp;sourceID=14","3.4")</f>
        <v>3.4</v>
      </c>
      <c r="G588" s="4" t="str">
        <f>HYPERLINK("http://141.218.60.56/~jnz1568/getInfo.php?workbook=12_05.xlsx&amp;sheet=U0&amp;row=588&amp;col=7&amp;number=0.121&amp;sourceID=14","0.121")</f>
        <v>0.121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HYPERLINK("http://141.218.60.56/~jnz1568/getInfo.php?workbook=12_05.xlsx&amp;sheet=U0&amp;row=589&amp;col=6&amp;number=3.5&amp;sourceID=14","3.5")</f>
        <v>3.5</v>
      </c>
      <c r="G589" s="4" t="str">
        <f>HYPERLINK("http://141.218.60.56/~jnz1568/getInfo.php?workbook=12_05.xlsx&amp;sheet=U0&amp;row=589&amp;col=7&amp;number=0.121&amp;sourceID=14","0.121")</f>
        <v>0.121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HYPERLINK("http://141.218.60.56/~jnz1568/getInfo.php?workbook=12_05.xlsx&amp;sheet=U0&amp;row=590&amp;col=6&amp;number=3.6&amp;sourceID=14","3.6")</f>
        <v>3.6</v>
      </c>
      <c r="G590" s="4" t="str">
        <f>HYPERLINK("http://141.218.60.56/~jnz1568/getInfo.php?workbook=12_05.xlsx&amp;sheet=U0&amp;row=590&amp;col=7&amp;number=0.121&amp;sourceID=14","0.121")</f>
        <v>0.121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HYPERLINK("http://141.218.60.56/~jnz1568/getInfo.php?workbook=12_05.xlsx&amp;sheet=U0&amp;row=591&amp;col=6&amp;number=3.7&amp;sourceID=14","3.7")</f>
        <v>3.7</v>
      </c>
      <c r="G591" s="4" t="str">
        <f>HYPERLINK("http://141.218.60.56/~jnz1568/getInfo.php?workbook=12_05.xlsx&amp;sheet=U0&amp;row=591&amp;col=7&amp;number=0.121&amp;sourceID=14","0.121")</f>
        <v>0.121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HYPERLINK("http://141.218.60.56/~jnz1568/getInfo.php?workbook=12_05.xlsx&amp;sheet=U0&amp;row=592&amp;col=6&amp;number=3.8&amp;sourceID=14","3.8")</f>
        <v>3.8</v>
      </c>
      <c r="G592" s="4" t="str">
        <f>HYPERLINK("http://141.218.60.56/~jnz1568/getInfo.php?workbook=12_05.xlsx&amp;sheet=U0&amp;row=592&amp;col=7&amp;number=0.121&amp;sourceID=14","0.121")</f>
        <v>0.121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HYPERLINK("http://141.218.60.56/~jnz1568/getInfo.php?workbook=12_05.xlsx&amp;sheet=U0&amp;row=593&amp;col=6&amp;number=3.9&amp;sourceID=14","3.9")</f>
        <v>3.9</v>
      </c>
      <c r="G593" s="4" t="str">
        <f>HYPERLINK("http://141.218.60.56/~jnz1568/getInfo.php?workbook=12_05.xlsx&amp;sheet=U0&amp;row=593&amp;col=7&amp;number=0.12&amp;sourceID=14","0.12")</f>
        <v>0.12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HYPERLINK("http://141.218.60.56/~jnz1568/getInfo.php?workbook=12_05.xlsx&amp;sheet=U0&amp;row=594&amp;col=6&amp;number=4&amp;sourceID=14","4")</f>
        <v>4</v>
      </c>
      <c r="G594" s="4" t="str">
        <f>HYPERLINK("http://141.218.60.56/~jnz1568/getInfo.php?workbook=12_05.xlsx&amp;sheet=U0&amp;row=594&amp;col=7&amp;number=0.12&amp;sourceID=14","0.12")</f>
        <v>0.12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HYPERLINK("http://141.218.60.56/~jnz1568/getInfo.php?workbook=12_05.xlsx&amp;sheet=U0&amp;row=595&amp;col=6&amp;number=4.1&amp;sourceID=14","4.1")</f>
        <v>4.1</v>
      </c>
      <c r="G595" s="4" t="str">
        <f>HYPERLINK("http://141.218.60.56/~jnz1568/getInfo.php?workbook=12_05.xlsx&amp;sheet=U0&amp;row=595&amp;col=7&amp;number=0.119&amp;sourceID=14","0.119")</f>
        <v>0.119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HYPERLINK("http://141.218.60.56/~jnz1568/getInfo.php?workbook=12_05.xlsx&amp;sheet=U0&amp;row=596&amp;col=6&amp;number=4.2&amp;sourceID=14","4.2")</f>
        <v>4.2</v>
      </c>
      <c r="G596" s="4" t="str">
        <f>HYPERLINK("http://141.218.60.56/~jnz1568/getInfo.php?workbook=12_05.xlsx&amp;sheet=U0&amp;row=596&amp;col=7&amp;number=0.119&amp;sourceID=14","0.119")</f>
        <v>0.119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HYPERLINK("http://141.218.60.56/~jnz1568/getInfo.php?workbook=12_05.xlsx&amp;sheet=U0&amp;row=597&amp;col=6&amp;number=4.3&amp;sourceID=14","4.3")</f>
        <v>4.3</v>
      </c>
      <c r="G597" s="4" t="str">
        <f>HYPERLINK("http://141.218.60.56/~jnz1568/getInfo.php?workbook=12_05.xlsx&amp;sheet=U0&amp;row=597&amp;col=7&amp;number=0.118&amp;sourceID=14","0.118")</f>
        <v>0.118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HYPERLINK("http://141.218.60.56/~jnz1568/getInfo.php?workbook=12_05.xlsx&amp;sheet=U0&amp;row=598&amp;col=6&amp;number=4.4&amp;sourceID=14","4.4")</f>
        <v>4.4</v>
      </c>
      <c r="G598" s="4" t="str">
        <f>HYPERLINK("http://141.218.60.56/~jnz1568/getInfo.php?workbook=12_05.xlsx&amp;sheet=U0&amp;row=598&amp;col=7&amp;number=0.117&amp;sourceID=14","0.117")</f>
        <v>0.117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HYPERLINK("http://141.218.60.56/~jnz1568/getInfo.php?workbook=12_05.xlsx&amp;sheet=U0&amp;row=599&amp;col=6&amp;number=4.5&amp;sourceID=14","4.5")</f>
        <v>4.5</v>
      </c>
      <c r="G599" s="4" t="str">
        <f>HYPERLINK("http://141.218.60.56/~jnz1568/getInfo.php?workbook=12_05.xlsx&amp;sheet=U0&amp;row=599&amp;col=7&amp;number=0.116&amp;sourceID=14","0.116")</f>
        <v>0.116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HYPERLINK("http://141.218.60.56/~jnz1568/getInfo.php?workbook=12_05.xlsx&amp;sheet=U0&amp;row=600&amp;col=6&amp;number=4.6&amp;sourceID=14","4.6")</f>
        <v>4.6</v>
      </c>
      <c r="G600" s="4" t="str">
        <f>HYPERLINK("http://141.218.60.56/~jnz1568/getInfo.php?workbook=12_05.xlsx&amp;sheet=U0&amp;row=600&amp;col=7&amp;number=0.114&amp;sourceID=14","0.114")</f>
        <v>0.114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HYPERLINK("http://141.218.60.56/~jnz1568/getInfo.php?workbook=12_05.xlsx&amp;sheet=U0&amp;row=601&amp;col=6&amp;number=4.7&amp;sourceID=14","4.7")</f>
        <v>4.7</v>
      </c>
      <c r="G601" s="4" t="str">
        <f>HYPERLINK("http://141.218.60.56/~jnz1568/getInfo.php?workbook=12_05.xlsx&amp;sheet=U0&amp;row=601&amp;col=7&amp;number=0.112&amp;sourceID=14","0.112")</f>
        <v>0.112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HYPERLINK("http://141.218.60.56/~jnz1568/getInfo.php?workbook=12_05.xlsx&amp;sheet=U0&amp;row=602&amp;col=6&amp;number=4.8&amp;sourceID=14","4.8")</f>
        <v>4.8</v>
      </c>
      <c r="G602" s="4" t="str">
        <f>HYPERLINK("http://141.218.60.56/~jnz1568/getInfo.php?workbook=12_05.xlsx&amp;sheet=U0&amp;row=602&amp;col=7&amp;number=0.11&amp;sourceID=14","0.11")</f>
        <v>0.11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HYPERLINK("http://141.218.60.56/~jnz1568/getInfo.php?workbook=12_05.xlsx&amp;sheet=U0&amp;row=603&amp;col=6&amp;number=4.9&amp;sourceID=14","4.9")</f>
        <v>4.9</v>
      </c>
      <c r="G603" s="4" t="str">
        <f>HYPERLINK("http://141.218.60.56/~jnz1568/getInfo.php?workbook=12_05.xlsx&amp;sheet=U0&amp;row=603&amp;col=7&amp;number=0.107&amp;sourceID=14","0.107")</f>
        <v>0.107</v>
      </c>
    </row>
    <row r="604" spans="1:7">
      <c r="A604" s="3">
        <v>12</v>
      </c>
      <c r="B604" s="3">
        <v>5</v>
      </c>
      <c r="C604" s="3">
        <v>3</v>
      </c>
      <c r="D604" s="3">
        <v>7</v>
      </c>
      <c r="E604" s="3">
        <v>1</v>
      </c>
      <c r="F604" s="4" t="str">
        <f>HYPERLINK("http://141.218.60.56/~jnz1568/getInfo.php?workbook=12_05.xlsx&amp;sheet=U0&amp;row=604&amp;col=6&amp;number=3&amp;sourceID=14","3")</f>
        <v>3</v>
      </c>
      <c r="G604" s="4" t="str">
        <f>HYPERLINK("http://141.218.60.56/~jnz1568/getInfo.php?workbook=12_05.xlsx&amp;sheet=U0&amp;row=604&amp;col=7&amp;number=0.0726&amp;sourceID=14","0.0726")</f>
        <v>0.0726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HYPERLINK("http://141.218.60.56/~jnz1568/getInfo.php?workbook=12_05.xlsx&amp;sheet=U0&amp;row=605&amp;col=6&amp;number=3.1&amp;sourceID=14","3.1")</f>
        <v>3.1</v>
      </c>
      <c r="G605" s="4" t="str">
        <f>HYPERLINK("http://141.218.60.56/~jnz1568/getInfo.php?workbook=12_05.xlsx&amp;sheet=U0&amp;row=605&amp;col=7&amp;number=0.0726&amp;sourceID=14","0.0726")</f>
        <v>0.0726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HYPERLINK("http://141.218.60.56/~jnz1568/getInfo.php?workbook=12_05.xlsx&amp;sheet=U0&amp;row=606&amp;col=6&amp;number=3.2&amp;sourceID=14","3.2")</f>
        <v>3.2</v>
      </c>
      <c r="G606" s="4" t="str">
        <f>HYPERLINK("http://141.218.60.56/~jnz1568/getInfo.php?workbook=12_05.xlsx&amp;sheet=U0&amp;row=606&amp;col=7&amp;number=0.0726&amp;sourceID=14","0.0726")</f>
        <v>0.0726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HYPERLINK("http://141.218.60.56/~jnz1568/getInfo.php?workbook=12_05.xlsx&amp;sheet=U0&amp;row=607&amp;col=6&amp;number=3.3&amp;sourceID=14","3.3")</f>
        <v>3.3</v>
      </c>
      <c r="G607" s="4" t="str">
        <f>HYPERLINK("http://141.218.60.56/~jnz1568/getInfo.php?workbook=12_05.xlsx&amp;sheet=U0&amp;row=607&amp;col=7&amp;number=0.0725&amp;sourceID=14","0.0725")</f>
        <v>0.0725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HYPERLINK("http://141.218.60.56/~jnz1568/getInfo.php?workbook=12_05.xlsx&amp;sheet=U0&amp;row=608&amp;col=6&amp;number=3.4&amp;sourceID=14","3.4")</f>
        <v>3.4</v>
      </c>
      <c r="G608" s="4" t="str">
        <f>HYPERLINK("http://141.218.60.56/~jnz1568/getInfo.php?workbook=12_05.xlsx&amp;sheet=U0&amp;row=608&amp;col=7&amp;number=0.0725&amp;sourceID=14","0.0725")</f>
        <v>0.0725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HYPERLINK("http://141.218.60.56/~jnz1568/getInfo.php?workbook=12_05.xlsx&amp;sheet=U0&amp;row=609&amp;col=6&amp;number=3.5&amp;sourceID=14","3.5")</f>
        <v>3.5</v>
      </c>
      <c r="G609" s="4" t="str">
        <f>HYPERLINK("http://141.218.60.56/~jnz1568/getInfo.php?workbook=12_05.xlsx&amp;sheet=U0&amp;row=609&amp;col=7&amp;number=0.0725&amp;sourceID=14","0.0725")</f>
        <v>0.0725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HYPERLINK("http://141.218.60.56/~jnz1568/getInfo.php?workbook=12_05.xlsx&amp;sheet=U0&amp;row=610&amp;col=6&amp;number=3.6&amp;sourceID=14","3.6")</f>
        <v>3.6</v>
      </c>
      <c r="G610" s="4" t="str">
        <f>HYPERLINK("http://141.218.60.56/~jnz1568/getInfo.php?workbook=12_05.xlsx&amp;sheet=U0&amp;row=610&amp;col=7&amp;number=0.0725&amp;sourceID=14","0.0725")</f>
        <v>0.0725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HYPERLINK("http://141.218.60.56/~jnz1568/getInfo.php?workbook=12_05.xlsx&amp;sheet=U0&amp;row=611&amp;col=6&amp;number=3.7&amp;sourceID=14","3.7")</f>
        <v>3.7</v>
      </c>
      <c r="G611" s="4" t="str">
        <f>HYPERLINK("http://141.218.60.56/~jnz1568/getInfo.php?workbook=12_05.xlsx&amp;sheet=U0&amp;row=611&amp;col=7&amp;number=0.0724&amp;sourceID=14","0.0724")</f>
        <v>0.0724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HYPERLINK("http://141.218.60.56/~jnz1568/getInfo.php?workbook=12_05.xlsx&amp;sheet=U0&amp;row=612&amp;col=6&amp;number=3.8&amp;sourceID=14","3.8")</f>
        <v>3.8</v>
      </c>
      <c r="G612" s="4" t="str">
        <f>HYPERLINK("http://141.218.60.56/~jnz1568/getInfo.php?workbook=12_05.xlsx&amp;sheet=U0&amp;row=612&amp;col=7&amp;number=0.0724&amp;sourceID=14","0.0724")</f>
        <v>0.0724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HYPERLINK("http://141.218.60.56/~jnz1568/getInfo.php?workbook=12_05.xlsx&amp;sheet=U0&amp;row=613&amp;col=6&amp;number=3.9&amp;sourceID=14","3.9")</f>
        <v>3.9</v>
      </c>
      <c r="G613" s="4" t="str">
        <f>HYPERLINK("http://141.218.60.56/~jnz1568/getInfo.php?workbook=12_05.xlsx&amp;sheet=U0&amp;row=613&amp;col=7&amp;number=0.0723&amp;sourceID=14","0.0723")</f>
        <v>0.0723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HYPERLINK("http://141.218.60.56/~jnz1568/getInfo.php?workbook=12_05.xlsx&amp;sheet=U0&amp;row=614&amp;col=6&amp;number=4&amp;sourceID=14","4")</f>
        <v>4</v>
      </c>
      <c r="G614" s="4" t="str">
        <f>HYPERLINK("http://141.218.60.56/~jnz1568/getInfo.php?workbook=12_05.xlsx&amp;sheet=U0&amp;row=614&amp;col=7&amp;number=0.0722&amp;sourceID=14","0.0722")</f>
        <v>0.0722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HYPERLINK("http://141.218.60.56/~jnz1568/getInfo.php?workbook=12_05.xlsx&amp;sheet=U0&amp;row=615&amp;col=6&amp;number=4.1&amp;sourceID=14","4.1")</f>
        <v>4.1</v>
      </c>
      <c r="G615" s="4" t="str">
        <f>HYPERLINK("http://141.218.60.56/~jnz1568/getInfo.php?workbook=12_05.xlsx&amp;sheet=U0&amp;row=615&amp;col=7&amp;number=0.0721&amp;sourceID=14","0.0721")</f>
        <v>0.0721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HYPERLINK("http://141.218.60.56/~jnz1568/getInfo.php?workbook=12_05.xlsx&amp;sheet=U0&amp;row=616&amp;col=6&amp;number=4.2&amp;sourceID=14","4.2")</f>
        <v>4.2</v>
      </c>
      <c r="G616" s="4" t="str">
        <f>HYPERLINK("http://141.218.60.56/~jnz1568/getInfo.php?workbook=12_05.xlsx&amp;sheet=U0&amp;row=616&amp;col=7&amp;number=0.0719&amp;sourceID=14","0.0719")</f>
        <v>0.0719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HYPERLINK("http://141.218.60.56/~jnz1568/getInfo.php?workbook=12_05.xlsx&amp;sheet=U0&amp;row=617&amp;col=6&amp;number=4.3&amp;sourceID=14","4.3")</f>
        <v>4.3</v>
      </c>
      <c r="G617" s="4" t="str">
        <f>HYPERLINK("http://141.218.60.56/~jnz1568/getInfo.php?workbook=12_05.xlsx&amp;sheet=U0&amp;row=617&amp;col=7&amp;number=0.0718&amp;sourceID=14","0.0718")</f>
        <v>0.0718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HYPERLINK("http://141.218.60.56/~jnz1568/getInfo.php?workbook=12_05.xlsx&amp;sheet=U0&amp;row=618&amp;col=6&amp;number=4.4&amp;sourceID=14","4.4")</f>
        <v>4.4</v>
      </c>
      <c r="G618" s="4" t="str">
        <f>HYPERLINK("http://141.218.60.56/~jnz1568/getInfo.php?workbook=12_05.xlsx&amp;sheet=U0&amp;row=618&amp;col=7&amp;number=0.0715&amp;sourceID=14","0.0715")</f>
        <v>0.0715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HYPERLINK("http://141.218.60.56/~jnz1568/getInfo.php?workbook=12_05.xlsx&amp;sheet=U0&amp;row=619&amp;col=6&amp;number=4.5&amp;sourceID=14","4.5")</f>
        <v>4.5</v>
      </c>
      <c r="G619" s="4" t="str">
        <f>HYPERLINK("http://141.218.60.56/~jnz1568/getInfo.php?workbook=12_05.xlsx&amp;sheet=U0&amp;row=619&amp;col=7&amp;number=0.0712&amp;sourceID=14","0.0712")</f>
        <v>0.0712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HYPERLINK("http://141.218.60.56/~jnz1568/getInfo.php?workbook=12_05.xlsx&amp;sheet=U0&amp;row=620&amp;col=6&amp;number=4.6&amp;sourceID=14","4.6")</f>
        <v>4.6</v>
      </c>
      <c r="G620" s="4" t="str">
        <f>HYPERLINK("http://141.218.60.56/~jnz1568/getInfo.php?workbook=12_05.xlsx&amp;sheet=U0&amp;row=620&amp;col=7&amp;number=0.0708&amp;sourceID=14","0.0708")</f>
        <v>0.0708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HYPERLINK("http://141.218.60.56/~jnz1568/getInfo.php?workbook=12_05.xlsx&amp;sheet=U0&amp;row=621&amp;col=6&amp;number=4.7&amp;sourceID=14","4.7")</f>
        <v>4.7</v>
      </c>
      <c r="G621" s="4" t="str">
        <f>HYPERLINK("http://141.218.60.56/~jnz1568/getInfo.php?workbook=12_05.xlsx&amp;sheet=U0&amp;row=621&amp;col=7&amp;number=0.0701&amp;sourceID=14","0.0701")</f>
        <v>0.0701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HYPERLINK("http://141.218.60.56/~jnz1568/getInfo.php?workbook=12_05.xlsx&amp;sheet=U0&amp;row=622&amp;col=6&amp;number=4.8&amp;sourceID=14","4.8")</f>
        <v>4.8</v>
      </c>
      <c r="G622" s="4" t="str">
        <f>HYPERLINK("http://141.218.60.56/~jnz1568/getInfo.php?workbook=12_05.xlsx&amp;sheet=U0&amp;row=622&amp;col=7&amp;number=0.0693&amp;sourceID=14","0.0693")</f>
        <v>0.0693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HYPERLINK("http://141.218.60.56/~jnz1568/getInfo.php?workbook=12_05.xlsx&amp;sheet=U0&amp;row=623&amp;col=6&amp;number=4.9&amp;sourceID=14","4.9")</f>
        <v>4.9</v>
      </c>
      <c r="G623" s="4" t="str">
        <f>HYPERLINK("http://141.218.60.56/~jnz1568/getInfo.php?workbook=12_05.xlsx&amp;sheet=U0&amp;row=623&amp;col=7&amp;number=0.068&amp;sourceID=14","0.068")</f>
        <v>0.068</v>
      </c>
    </row>
    <row r="624" spans="1:7">
      <c r="A624" s="3">
        <v>12</v>
      </c>
      <c r="B624" s="3">
        <v>5</v>
      </c>
      <c r="C624" s="3">
        <v>3</v>
      </c>
      <c r="D624" s="3">
        <v>8</v>
      </c>
      <c r="E624" s="3">
        <v>1</v>
      </c>
      <c r="F624" s="4" t="str">
        <f>HYPERLINK("http://141.218.60.56/~jnz1568/getInfo.php?workbook=12_05.xlsx&amp;sheet=U0&amp;row=624&amp;col=6&amp;number=3&amp;sourceID=14","3")</f>
        <v>3</v>
      </c>
      <c r="G624" s="4" t="str">
        <f>HYPERLINK("http://141.218.60.56/~jnz1568/getInfo.php?workbook=12_05.xlsx&amp;sheet=U0&amp;row=624&amp;col=7&amp;number=0.0249&amp;sourceID=14","0.0249")</f>
        <v>0.0249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HYPERLINK("http://141.218.60.56/~jnz1568/getInfo.php?workbook=12_05.xlsx&amp;sheet=U0&amp;row=625&amp;col=6&amp;number=3.1&amp;sourceID=14","3.1")</f>
        <v>3.1</v>
      </c>
      <c r="G625" s="4" t="str">
        <f>HYPERLINK("http://141.218.60.56/~jnz1568/getInfo.php?workbook=12_05.xlsx&amp;sheet=U0&amp;row=625&amp;col=7&amp;number=0.0248&amp;sourceID=14","0.0248")</f>
        <v>0.0248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HYPERLINK("http://141.218.60.56/~jnz1568/getInfo.php?workbook=12_05.xlsx&amp;sheet=U0&amp;row=626&amp;col=6&amp;number=3.2&amp;sourceID=14","3.2")</f>
        <v>3.2</v>
      </c>
      <c r="G626" s="4" t="str">
        <f>HYPERLINK("http://141.218.60.56/~jnz1568/getInfo.php?workbook=12_05.xlsx&amp;sheet=U0&amp;row=626&amp;col=7&amp;number=0.0248&amp;sourceID=14","0.0248")</f>
        <v>0.0248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HYPERLINK("http://141.218.60.56/~jnz1568/getInfo.php?workbook=12_05.xlsx&amp;sheet=U0&amp;row=627&amp;col=6&amp;number=3.3&amp;sourceID=14","3.3")</f>
        <v>3.3</v>
      </c>
      <c r="G627" s="4" t="str">
        <f>HYPERLINK("http://141.218.60.56/~jnz1568/getInfo.php?workbook=12_05.xlsx&amp;sheet=U0&amp;row=627&amp;col=7&amp;number=0.0248&amp;sourceID=14","0.0248")</f>
        <v>0.0248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HYPERLINK("http://141.218.60.56/~jnz1568/getInfo.php?workbook=12_05.xlsx&amp;sheet=U0&amp;row=628&amp;col=6&amp;number=3.4&amp;sourceID=14","3.4")</f>
        <v>3.4</v>
      </c>
      <c r="G628" s="4" t="str">
        <f>HYPERLINK("http://141.218.60.56/~jnz1568/getInfo.php?workbook=12_05.xlsx&amp;sheet=U0&amp;row=628&amp;col=7&amp;number=0.0247&amp;sourceID=14","0.0247")</f>
        <v>0.0247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HYPERLINK("http://141.218.60.56/~jnz1568/getInfo.php?workbook=12_05.xlsx&amp;sheet=U0&amp;row=629&amp;col=6&amp;number=3.5&amp;sourceID=14","3.5")</f>
        <v>3.5</v>
      </c>
      <c r="G629" s="4" t="str">
        <f>HYPERLINK("http://141.218.60.56/~jnz1568/getInfo.php?workbook=12_05.xlsx&amp;sheet=U0&amp;row=629&amp;col=7&amp;number=0.0247&amp;sourceID=14","0.0247")</f>
        <v>0.0247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HYPERLINK("http://141.218.60.56/~jnz1568/getInfo.php?workbook=12_05.xlsx&amp;sheet=U0&amp;row=630&amp;col=6&amp;number=3.6&amp;sourceID=14","3.6")</f>
        <v>3.6</v>
      </c>
      <c r="G630" s="4" t="str">
        <f>HYPERLINK("http://141.218.60.56/~jnz1568/getInfo.php?workbook=12_05.xlsx&amp;sheet=U0&amp;row=630&amp;col=7&amp;number=0.0246&amp;sourceID=14","0.0246")</f>
        <v>0.0246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HYPERLINK("http://141.218.60.56/~jnz1568/getInfo.php?workbook=12_05.xlsx&amp;sheet=U0&amp;row=631&amp;col=6&amp;number=3.7&amp;sourceID=14","3.7")</f>
        <v>3.7</v>
      </c>
      <c r="G631" s="4" t="str">
        <f>HYPERLINK("http://141.218.60.56/~jnz1568/getInfo.php?workbook=12_05.xlsx&amp;sheet=U0&amp;row=631&amp;col=7&amp;number=0.0245&amp;sourceID=14","0.0245")</f>
        <v>0.0245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HYPERLINK("http://141.218.60.56/~jnz1568/getInfo.php?workbook=12_05.xlsx&amp;sheet=U0&amp;row=632&amp;col=6&amp;number=3.8&amp;sourceID=14","3.8")</f>
        <v>3.8</v>
      </c>
      <c r="G632" s="4" t="str">
        <f>HYPERLINK("http://141.218.60.56/~jnz1568/getInfo.php?workbook=12_05.xlsx&amp;sheet=U0&amp;row=632&amp;col=7&amp;number=0.0244&amp;sourceID=14","0.0244")</f>
        <v>0.0244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HYPERLINK("http://141.218.60.56/~jnz1568/getInfo.php?workbook=12_05.xlsx&amp;sheet=U0&amp;row=633&amp;col=6&amp;number=3.9&amp;sourceID=14","3.9")</f>
        <v>3.9</v>
      </c>
      <c r="G633" s="4" t="str">
        <f>HYPERLINK("http://141.218.60.56/~jnz1568/getInfo.php?workbook=12_05.xlsx&amp;sheet=U0&amp;row=633&amp;col=7&amp;number=0.0243&amp;sourceID=14","0.0243")</f>
        <v>0.0243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HYPERLINK("http://141.218.60.56/~jnz1568/getInfo.php?workbook=12_05.xlsx&amp;sheet=U0&amp;row=634&amp;col=6&amp;number=4&amp;sourceID=14","4")</f>
        <v>4</v>
      </c>
      <c r="G634" s="4" t="str">
        <f>HYPERLINK("http://141.218.60.56/~jnz1568/getInfo.php?workbook=12_05.xlsx&amp;sheet=U0&amp;row=634&amp;col=7&amp;number=0.0241&amp;sourceID=14","0.0241")</f>
        <v>0.0241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HYPERLINK("http://141.218.60.56/~jnz1568/getInfo.php?workbook=12_05.xlsx&amp;sheet=U0&amp;row=635&amp;col=6&amp;number=4.1&amp;sourceID=14","4.1")</f>
        <v>4.1</v>
      </c>
      <c r="G635" s="4" t="str">
        <f>HYPERLINK("http://141.218.60.56/~jnz1568/getInfo.php?workbook=12_05.xlsx&amp;sheet=U0&amp;row=635&amp;col=7&amp;number=0.0239&amp;sourceID=14","0.0239")</f>
        <v>0.0239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HYPERLINK("http://141.218.60.56/~jnz1568/getInfo.php?workbook=12_05.xlsx&amp;sheet=U0&amp;row=636&amp;col=6&amp;number=4.2&amp;sourceID=14","4.2")</f>
        <v>4.2</v>
      </c>
      <c r="G636" s="4" t="str">
        <f>HYPERLINK("http://141.218.60.56/~jnz1568/getInfo.php?workbook=12_05.xlsx&amp;sheet=U0&amp;row=636&amp;col=7&amp;number=0.0237&amp;sourceID=14","0.0237")</f>
        <v>0.0237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HYPERLINK("http://141.218.60.56/~jnz1568/getInfo.php?workbook=12_05.xlsx&amp;sheet=U0&amp;row=637&amp;col=6&amp;number=4.3&amp;sourceID=14","4.3")</f>
        <v>4.3</v>
      </c>
      <c r="G637" s="4" t="str">
        <f>HYPERLINK("http://141.218.60.56/~jnz1568/getInfo.php?workbook=12_05.xlsx&amp;sheet=U0&amp;row=637&amp;col=7&amp;number=0.0234&amp;sourceID=14","0.0234")</f>
        <v>0.0234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HYPERLINK("http://141.218.60.56/~jnz1568/getInfo.php?workbook=12_05.xlsx&amp;sheet=U0&amp;row=638&amp;col=6&amp;number=4.4&amp;sourceID=14","4.4")</f>
        <v>4.4</v>
      </c>
      <c r="G638" s="4" t="str">
        <f>HYPERLINK("http://141.218.60.56/~jnz1568/getInfo.php?workbook=12_05.xlsx&amp;sheet=U0&amp;row=638&amp;col=7&amp;number=0.023&amp;sourceID=14","0.023")</f>
        <v>0.023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HYPERLINK("http://141.218.60.56/~jnz1568/getInfo.php?workbook=12_05.xlsx&amp;sheet=U0&amp;row=639&amp;col=6&amp;number=4.5&amp;sourceID=14","4.5")</f>
        <v>4.5</v>
      </c>
      <c r="G639" s="4" t="str">
        <f>HYPERLINK("http://141.218.60.56/~jnz1568/getInfo.php?workbook=12_05.xlsx&amp;sheet=U0&amp;row=639&amp;col=7&amp;number=0.0226&amp;sourceID=14","0.0226")</f>
        <v>0.0226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HYPERLINK("http://141.218.60.56/~jnz1568/getInfo.php?workbook=12_05.xlsx&amp;sheet=U0&amp;row=640&amp;col=6&amp;number=4.6&amp;sourceID=14","4.6")</f>
        <v>4.6</v>
      </c>
      <c r="G640" s="4" t="str">
        <f>HYPERLINK("http://141.218.60.56/~jnz1568/getInfo.php?workbook=12_05.xlsx&amp;sheet=U0&amp;row=640&amp;col=7&amp;number=0.0221&amp;sourceID=14","0.0221")</f>
        <v>0.0221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HYPERLINK("http://141.218.60.56/~jnz1568/getInfo.php?workbook=12_05.xlsx&amp;sheet=U0&amp;row=641&amp;col=6&amp;number=4.7&amp;sourceID=14","4.7")</f>
        <v>4.7</v>
      </c>
      <c r="G641" s="4" t="str">
        <f>HYPERLINK("http://141.218.60.56/~jnz1568/getInfo.php?workbook=12_05.xlsx&amp;sheet=U0&amp;row=641&amp;col=7&amp;number=0.0216&amp;sourceID=14","0.0216")</f>
        <v>0.0216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HYPERLINK("http://141.218.60.56/~jnz1568/getInfo.php?workbook=12_05.xlsx&amp;sheet=U0&amp;row=642&amp;col=6&amp;number=4.8&amp;sourceID=14","4.8")</f>
        <v>4.8</v>
      </c>
      <c r="G642" s="4" t="str">
        <f>HYPERLINK("http://141.218.60.56/~jnz1568/getInfo.php?workbook=12_05.xlsx&amp;sheet=U0&amp;row=642&amp;col=7&amp;number=0.021&amp;sourceID=14","0.021")</f>
        <v>0.021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HYPERLINK("http://141.218.60.56/~jnz1568/getInfo.php?workbook=12_05.xlsx&amp;sheet=U0&amp;row=643&amp;col=6&amp;number=4.9&amp;sourceID=14","4.9")</f>
        <v>4.9</v>
      </c>
      <c r="G643" s="4" t="str">
        <f>HYPERLINK("http://141.218.60.56/~jnz1568/getInfo.php?workbook=12_05.xlsx&amp;sheet=U0&amp;row=643&amp;col=7&amp;number=0.0203&amp;sourceID=14","0.0203")</f>
        <v>0.0203</v>
      </c>
    </row>
    <row r="644" spans="1:7">
      <c r="A644" s="3">
        <v>12</v>
      </c>
      <c r="B644" s="3">
        <v>5</v>
      </c>
      <c r="C644" s="3">
        <v>3</v>
      </c>
      <c r="D644" s="3">
        <v>9</v>
      </c>
      <c r="E644" s="3">
        <v>1</v>
      </c>
      <c r="F644" s="4" t="str">
        <f>HYPERLINK("http://141.218.60.56/~jnz1568/getInfo.php?workbook=12_05.xlsx&amp;sheet=U0&amp;row=644&amp;col=6&amp;number=3&amp;sourceID=14","3")</f>
        <v>3</v>
      </c>
      <c r="G644" s="4" t="str">
        <f>HYPERLINK("http://141.218.60.56/~jnz1568/getInfo.php?workbook=12_05.xlsx&amp;sheet=U0&amp;row=644&amp;col=7&amp;number=0.0132&amp;sourceID=14","0.0132")</f>
        <v>0.0132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HYPERLINK("http://141.218.60.56/~jnz1568/getInfo.php?workbook=12_05.xlsx&amp;sheet=U0&amp;row=645&amp;col=6&amp;number=3.1&amp;sourceID=14","3.1")</f>
        <v>3.1</v>
      </c>
      <c r="G645" s="4" t="str">
        <f>HYPERLINK("http://141.218.60.56/~jnz1568/getInfo.php?workbook=12_05.xlsx&amp;sheet=U0&amp;row=645&amp;col=7&amp;number=0.0133&amp;sourceID=14","0.0133")</f>
        <v>0.0133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HYPERLINK("http://141.218.60.56/~jnz1568/getInfo.php?workbook=12_05.xlsx&amp;sheet=U0&amp;row=646&amp;col=6&amp;number=3.2&amp;sourceID=14","3.2")</f>
        <v>3.2</v>
      </c>
      <c r="G646" s="4" t="str">
        <f>HYPERLINK("http://141.218.60.56/~jnz1568/getInfo.php?workbook=12_05.xlsx&amp;sheet=U0&amp;row=646&amp;col=7&amp;number=0.0135&amp;sourceID=14","0.0135")</f>
        <v>0.0135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HYPERLINK("http://141.218.60.56/~jnz1568/getInfo.php?workbook=12_05.xlsx&amp;sheet=U0&amp;row=647&amp;col=6&amp;number=3.3&amp;sourceID=14","3.3")</f>
        <v>3.3</v>
      </c>
      <c r="G647" s="4" t="str">
        <f>HYPERLINK("http://141.218.60.56/~jnz1568/getInfo.php?workbook=12_05.xlsx&amp;sheet=U0&amp;row=647&amp;col=7&amp;number=0.0137&amp;sourceID=14","0.0137")</f>
        <v>0.0137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HYPERLINK("http://141.218.60.56/~jnz1568/getInfo.php?workbook=12_05.xlsx&amp;sheet=U0&amp;row=648&amp;col=6&amp;number=3.4&amp;sourceID=14","3.4")</f>
        <v>3.4</v>
      </c>
      <c r="G648" s="4" t="str">
        <f>HYPERLINK("http://141.218.60.56/~jnz1568/getInfo.php?workbook=12_05.xlsx&amp;sheet=U0&amp;row=648&amp;col=7&amp;number=0.014&amp;sourceID=14","0.014")</f>
        <v>0.014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HYPERLINK("http://141.218.60.56/~jnz1568/getInfo.php?workbook=12_05.xlsx&amp;sheet=U0&amp;row=649&amp;col=6&amp;number=3.5&amp;sourceID=14","3.5")</f>
        <v>3.5</v>
      </c>
      <c r="G649" s="4" t="str">
        <f>HYPERLINK("http://141.218.60.56/~jnz1568/getInfo.php?workbook=12_05.xlsx&amp;sheet=U0&amp;row=649&amp;col=7&amp;number=0.0143&amp;sourceID=14","0.0143")</f>
        <v>0.0143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HYPERLINK("http://141.218.60.56/~jnz1568/getInfo.php?workbook=12_05.xlsx&amp;sheet=U0&amp;row=650&amp;col=6&amp;number=3.6&amp;sourceID=14","3.6")</f>
        <v>3.6</v>
      </c>
      <c r="G650" s="4" t="str">
        <f>HYPERLINK("http://141.218.60.56/~jnz1568/getInfo.php?workbook=12_05.xlsx&amp;sheet=U0&amp;row=650&amp;col=7&amp;number=0.0147&amp;sourceID=14","0.0147")</f>
        <v>0.0147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HYPERLINK("http://141.218.60.56/~jnz1568/getInfo.php?workbook=12_05.xlsx&amp;sheet=U0&amp;row=651&amp;col=6&amp;number=3.7&amp;sourceID=14","3.7")</f>
        <v>3.7</v>
      </c>
      <c r="G651" s="4" t="str">
        <f>HYPERLINK("http://141.218.60.56/~jnz1568/getInfo.php?workbook=12_05.xlsx&amp;sheet=U0&amp;row=651&amp;col=7&amp;number=0.0152&amp;sourceID=14","0.0152")</f>
        <v>0.0152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HYPERLINK("http://141.218.60.56/~jnz1568/getInfo.php?workbook=12_05.xlsx&amp;sheet=U0&amp;row=652&amp;col=6&amp;number=3.8&amp;sourceID=14","3.8")</f>
        <v>3.8</v>
      </c>
      <c r="G652" s="4" t="str">
        <f>HYPERLINK("http://141.218.60.56/~jnz1568/getInfo.php?workbook=12_05.xlsx&amp;sheet=U0&amp;row=652&amp;col=7&amp;number=0.0158&amp;sourceID=14","0.0158")</f>
        <v>0.0158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HYPERLINK("http://141.218.60.56/~jnz1568/getInfo.php?workbook=12_05.xlsx&amp;sheet=U0&amp;row=653&amp;col=6&amp;number=3.9&amp;sourceID=14","3.9")</f>
        <v>3.9</v>
      </c>
      <c r="G653" s="4" t="str">
        <f>HYPERLINK("http://141.218.60.56/~jnz1568/getInfo.php?workbook=12_05.xlsx&amp;sheet=U0&amp;row=653&amp;col=7&amp;number=0.0165&amp;sourceID=14","0.0165")</f>
        <v>0.0165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HYPERLINK("http://141.218.60.56/~jnz1568/getInfo.php?workbook=12_05.xlsx&amp;sheet=U0&amp;row=654&amp;col=6&amp;number=4&amp;sourceID=14","4")</f>
        <v>4</v>
      </c>
      <c r="G654" s="4" t="str">
        <f>HYPERLINK("http://141.218.60.56/~jnz1568/getInfo.php?workbook=12_05.xlsx&amp;sheet=U0&amp;row=654&amp;col=7&amp;number=0.0174&amp;sourceID=14","0.0174")</f>
        <v>0.0174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HYPERLINK("http://141.218.60.56/~jnz1568/getInfo.php?workbook=12_05.xlsx&amp;sheet=U0&amp;row=655&amp;col=6&amp;number=4.1&amp;sourceID=14","4.1")</f>
        <v>4.1</v>
      </c>
      <c r="G655" s="4" t="str">
        <f>HYPERLINK("http://141.218.60.56/~jnz1568/getInfo.php?workbook=12_05.xlsx&amp;sheet=U0&amp;row=655&amp;col=7&amp;number=0.0184&amp;sourceID=14","0.0184")</f>
        <v>0.0184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HYPERLINK("http://141.218.60.56/~jnz1568/getInfo.php?workbook=12_05.xlsx&amp;sheet=U0&amp;row=656&amp;col=6&amp;number=4.2&amp;sourceID=14","4.2")</f>
        <v>4.2</v>
      </c>
      <c r="G656" s="4" t="str">
        <f>HYPERLINK("http://141.218.60.56/~jnz1568/getInfo.php?workbook=12_05.xlsx&amp;sheet=U0&amp;row=656&amp;col=7&amp;number=0.0197&amp;sourceID=14","0.0197")</f>
        <v>0.0197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HYPERLINK("http://141.218.60.56/~jnz1568/getInfo.php?workbook=12_05.xlsx&amp;sheet=U0&amp;row=657&amp;col=6&amp;number=4.3&amp;sourceID=14","4.3")</f>
        <v>4.3</v>
      </c>
      <c r="G657" s="4" t="str">
        <f>HYPERLINK("http://141.218.60.56/~jnz1568/getInfo.php?workbook=12_05.xlsx&amp;sheet=U0&amp;row=657&amp;col=7&amp;number=0.0211&amp;sourceID=14","0.0211")</f>
        <v>0.0211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HYPERLINK("http://141.218.60.56/~jnz1568/getInfo.php?workbook=12_05.xlsx&amp;sheet=U0&amp;row=658&amp;col=6&amp;number=4.4&amp;sourceID=14","4.4")</f>
        <v>4.4</v>
      </c>
      <c r="G658" s="4" t="str">
        <f>HYPERLINK("http://141.218.60.56/~jnz1568/getInfo.php?workbook=12_05.xlsx&amp;sheet=U0&amp;row=658&amp;col=7&amp;number=0.0226&amp;sourceID=14","0.0226")</f>
        <v>0.0226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HYPERLINK("http://141.218.60.56/~jnz1568/getInfo.php?workbook=12_05.xlsx&amp;sheet=U0&amp;row=659&amp;col=6&amp;number=4.5&amp;sourceID=14","4.5")</f>
        <v>4.5</v>
      </c>
      <c r="G659" s="4" t="str">
        <f>HYPERLINK("http://141.218.60.56/~jnz1568/getInfo.php?workbook=12_05.xlsx&amp;sheet=U0&amp;row=659&amp;col=7&amp;number=0.0241&amp;sourceID=14","0.0241")</f>
        <v>0.0241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HYPERLINK("http://141.218.60.56/~jnz1568/getInfo.php?workbook=12_05.xlsx&amp;sheet=U0&amp;row=660&amp;col=6&amp;number=4.6&amp;sourceID=14","4.6")</f>
        <v>4.6</v>
      </c>
      <c r="G660" s="4" t="str">
        <f>HYPERLINK("http://141.218.60.56/~jnz1568/getInfo.php?workbook=12_05.xlsx&amp;sheet=U0&amp;row=660&amp;col=7&amp;number=0.0254&amp;sourceID=14","0.0254")</f>
        <v>0.0254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HYPERLINK("http://141.218.60.56/~jnz1568/getInfo.php?workbook=12_05.xlsx&amp;sheet=U0&amp;row=661&amp;col=6&amp;number=4.7&amp;sourceID=14","4.7")</f>
        <v>4.7</v>
      </c>
      <c r="G661" s="4" t="str">
        <f>HYPERLINK("http://141.218.60.56/~jnz1568/getInfo.php?workbook=12_05.xlsx&amp;sheet=U0&amp;row=661&amp;col=7&amp;number=0.0264&amp;sourceID=14","0.0264")</f>
        <v>0.0264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HYPERLINK("http://141.218.60.56/~jnz1568/getInfo.php?workbook=12_05.xlsx&amp;sheet=U0&amp;row=662&amp;col=6&amp;number=4.8&amp;sourceID=14","4.8")</f>
        <v>4.8</v>
      </c>
      <c r="G662" s="4" t="str">
        <f>HYPERLINK("http://141.218.60.56/~jnz1568/getInfo.php?workbook=12_05.xlsx&amp;sheet=U0&amp;row=662&amp;col=7&amp;number=0.0266&amp;sourceID=14","0.0266")</f>
        <v>0.0266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HYPERLINK("http://141.218.60.56/~jnz1568/getInfo.php?workbook=12_05.xlsx&amp;sheet=U0&amp;row=663&amp;col=6&amp;number=4.9&amp;sourceID=14","4.9")</f>
        <v>4.9</v>
      </c>
      <c r="G663" s="4" t="str">
        <f>HYPERLINK("http://141.218.60.56/~jnz1568/getInfo.php?workbook=12_05.xlsx&amp;sheet=U0&amp;row=663&amp;col=7&amp;number=0.0262&amp;sourceID=14","0.0262")</f>
        <v>0.0262</v>
      </c>
    </row>
    <row r="664" spans="1:7">
      <c r="A664" s="3">
        <v>12</v>
      </c>
      <c r="B664" s="3">
        <v>5</v>
      </c>
      <c r="C664" s="3">
        <v>3</v>
      </c>
      <c r="D664" s="3">
        <v>10</v>
      </c>
      <c r="E664" s="3">
        <v>1</v>
      </c>
      <c r="F664" s="4" t="str">
        <f>HYPERLINK("http://141.218.60.56/~jnz1568/getInfo.php?workbook=12_05.xlsx&amp;sheet=U0&amp;row=664&amp;col=6&amp;number=3&amp;sourceID=14","3")</f>
        <v>3</v>
      </c>
      <c r="G664" s="4" t="str">
        <f>HYPERLINK("http://141.218.60.56/~jnz1568/getInfo.php?workbook=12_05.xlsx&amp;sheet=U0&amp;row=664&amp;col=7&amp;number=0.0295&amp;sourceID=14","0.0295")</f>
        <v>0.0295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HYPERLINK("http://141.218.60.56/~jnz1568/getInfo.php?workbook=12_05.xlsx&amp;sheet=U0&amp;row=665&amp;col=6&amp;number=3.1&amp;sourceID=14","3.1")</f>
        <v>3.1</v>
      </c>
      <c r="G665" s="4" t="str">
        <f>HYPERLINK("http://141.218.60.56/~jnz1568/getInfo.php?workbook=12_05.xlsx&amp;sheet=U0&amp;row=665&amp;col=7&amp;number=0.0296&amp;sourceID=14","0.0296")</f>
        <v>0.0296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HYPERLINK("http://141.218.60.56/~jnz1568/getInfo.php?workbook=12_05.xlsx&amp;sheet=U0&amp;row=666&amp;col=6&amp;number=3.2&amp;sourceID=14","3.2")</f>
        <v>3.2</v>
      </c>
      <c r="G666" s="4" t="str">
        <f>HYPERLINK("http://141.218.60.56/~jnz1568/getInfo.php?workbook=12_05.xlsx&amp;sheet=U0&amp;row=666&amp;col=7&amp;number=0.0296&amp;sourceID=14","0.0296")</f>
        <v>0.0296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HYPERLINK("http://141.218.60.56/~jnz1568/getInfo.php?workbook=12_05.xlsx&amp;sheet=U0&amp;row=667&amp;col=6&amp;number=3.3&amp;sourceID=14","3.3")</f>
        <v>3.3</v>
      </c>
      <c r="G667" s="4" t="str">
        <f>HYPERLINK("http://141.218.60.56/~jnz1568/getInfo.php?workbook=12_05.xlsx&amp;sheet=U0&amp;row=667&amp;col=7&amp;number=0.0296&amp;sourceID=14","0.0296")</f>
        <v>0.0296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HYPERLINK("http://141.218.60.56/~jnz1568/getInfo.php?workbook=12_05.xlsx&amp;sheet=U0&amp;row=668&amp;col=6&amp;number=3.4&amp;sourceID=14","3.4")</f>
        <v>3.4</v>
      </c>
      <c r="G668" s="4" t="str">
        <f>HYPERLINK("http://141.218.60.56/~jnz1568/getInfo.php?workbook=12_05.xlsx&amp;sheet=U0&amp;row=668&amp;col=7&amp;number=0.0297&amp;sourceID=14","0.0297")</f>
        <v>0.0297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HYPERLINK("http://141.218.60.56/~jnz1568/getInfo.php?workbook=12_05.xlsx&amp;sheet=U0&amp;row=669&amp;col=6&amp;number=3.5&amp;sourceID=14","3.5")</f>
        <v>3.5</v>
      </c>
      <c r="G669" s="4" t="str">
        <f>HYPERLINK("http://141.218.60.56/~jnz1568/getInfo.php?workbook=12_05.xlsx&amp;sheet=U0&amp;row=669&amp;col=7&amp;number=0.0297&amp;sourceID=14","0.0297")</f>
        <v>0.0297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HYPERLINK("http://141.218.60.56/~jnz1568/getInfo.php?workbook=12_05.xlsx&amp;sheet=U0&amp;row=670&amp;col=6&amp;number=3.6&amp;sourceID=14","3.6")</f>
        <v>3.6</v>
      </c>
      <c r="G670" s="4" t="str">
        <f>HYPERLINK("http://141.218.60.56/~jnz1568/getInfo.php?workbook=12_05.xlsx&amp;sheet=U0&amp;row=670&amp;col=7&amp;number=0.0298&amp;sourceID=14","0.0298")</f>
        <v>0.0298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HYPERLINK("http://141.218.60.56/~jnz1568/getInfo.php?workbook=12_05.xlsx&amp;sheet=U0&amp;row=671&amp;col=6&amp;number=3.7&amp;sourceID=14","3.7")</f>
        <v>3.7</v>
      </c>
      <c r="G671" s="4" t="str">
        <f>HYPERLINK("http://141.218.60.56/~jnz1568/getInfo.php?workbook=12_05.xlsx&amp;sheet=U0&amp;row=671&amp;col=7&amp;number=0.0299&amp;sourceID=14","0.0299")</f>
        <v>0.0299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HYPERLINK("http://141.218.60.56/~jnz1568/getInfo.php?workbook=12_05.xlsx&amp;sheet=U0&amp;row=672&amp;col=6&amp;number=3.8&amp;sourceID=14","3.8")</f>
        <v>3.8</v>
      </c>
      <c r="G672" s="4" t="str">
        <f>HYPERLINK("http://141.218.60.56/~jnz1568/getInfo.php?workbook=12_05.xlsx&amp;sheet=U0&amp;row=672&amp;col=7&amp;number=0.03&amp;sourceID=14","0.03")</f>
        <v>0.03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HYPERLINK("http://141.218.60.56/~jnz1568/getInfo.php?workbook=12_05.xlsx&amp;sheet=U0&amp;row=673&amp;col=6&amp;number=3.9&amp;sourceID=14","3.9")</f>
        <v>3.9</v>
      </c>
      <c r="G673" s="4" t="str">
        <f>HYPERLINK("http://141.218.60.56/~jnz1568/getInfo.php?workbook=12_05.xlsx&amp;sheet=U0&amp;row=673&amp;col=7&amp;number=0.0301&amp;sourceID=14","0.0301")</f>
        <v>0.0301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HYPERLINK("http://141.218.60.56/~jnz1568/getInfo.php?workbook=12_05.xlsx&amp;sheet=U0&amp;row=674&amp;col=6&amp;number=4&amp;sourceID=14","4")</f>
        <v>4</v>
      </c>
      <c r="G674" s="4" t="str">
        <f>HYPERLINK("http://141.218.60.56/~jnz1568/getInfo.php?workbook=12_05.xlsx&amp;sheet=U0&amp;row=674&amp;col=7&amp;number=0.0303&amp;sourceID=14","0.0303")</f>
        <v>0.0303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HYPERLINK("http://141.218.60.56/~jnz1568/getInfo.php?workbook=12_05.xlsx&amp;sheet=U0&amp;row=675&amp;col=6&amp;number=4.1&amp;sourceID=14","4.1")</f>
        <v>4.1</v>
      </c>
      <c r="G675" s="4" t="str">
        <f>HYPERLINK("http://141.218.60.56/~jnz1568/getInfo.php?workbook=12_05.xlsx&amp;sheet=U0&amp;row=675&amp;col=7&amp;number=0.0305&amp;sourceID=14","0.0305")</f>
        <v>0.0305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HYPERLINK("http://141.218.60.56/~jnz1568/getInfo.php?workbook=12_05.xlsx&amp;sheet=U0&amp;row=676&amp;col=6&amp;number=4.2&amp;sourceID=14","4.2")</f>
        <v>4.2</v>
      </c>
      <c r="G676" s="4" t="str">
        <f>HYPERLINK("http://141.218.60.56/~jnz1568/getInfo.php?workbook=12_05.xlsx&amp;sheet=U0&amp;row=676&amp;col=7&amp;number=0.0307&amp;sourceID=14","0.0307")</f>
        <v>0.0307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HYPERLINK("http://141.218.60.56/~jnz1568/getInfo.php?workbook=12_05.xlsx&amp;sheet=U0&amp;row=677&amp;col=6&amp;number=4.3&amp;sourceID=14","4.3")</f>
        <v>4.3</v>
      </c>
      <c r="G677" s="4" t="str">
        <f>HYPERLINK("http://141.218.60.56/~jnz1568/getInfo.php?workbook=12_05.xlsx&amp;sheet=U0&amp;row=677&amp;col=7&amp;number=0.031&amp;sourceID=14","0.031")</f>
        <v>0.031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HYPERLINK("http://141.218.60.56/~jnz1568/getInfo.php?workbook=12_05.xlsx&amp;sheet=U0&amp;row=678&amp;col=6&amp;number=4.4&amp;sourceID=14","4.4")</f>
        <v>4.4</v>
      </c>
      <c r="G678" s="4" t="str">
        <f>HYPERLINK("http://141.218.60.56/~jnz1568/getInfo.php?workbook=12_05.xlsx&amp;sheet=U0&amp;row=678&amp;col=7&amp;number=0.0313&amp;sourceID=14","0.0313")</f>
        <v>0.0313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HYPERLINK("http://141.218.60.56/~jnz1568/getInfo.php?workbook=12_05.xlsx&amp;sheet=U0&amp;row=679&amp;col=6&amp;number=4.5&amp;sourceID=14","4.5")</f>
        <v>4.5</v>
      </c>
      <c r="G679" s="4" t="str">
        <f>HYPERLINK("http://141.218.60.56/~jnz1568/getInfo.php?workbook=12_05.xlsx&amp;sheet=U0&amp;row=679&amp;col=7&amp;number=0.0316&amp;sourceID=14","0.0316")</f>
        <v>0.0316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HYPERLINK("http://141.218.60.56/~jnz1568/getInfo.php?workbook=12_05.xlsx&amp;sheet=U0&amp;row=680&amp;col=6&amp;number=4.6&amp;sourceID=14","4.6")</f>
        <v>4.6</v>
      </c>
      <c r="G680" s="4" t="str">
        <f>HYPERLINK("http://141.218.60.56/~jnz1568/getInfo.php?workbook=12_05.xlsx&amp;sheet=U0&amp;row=680&amp;col=7&amp;number=0.0319&amp;sourceID=14","0.0319")</f>
        <v>0.0319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HYPERLINK("http://141.218.60.56/~jnz1568/getInfo.php?workbook=12_05.xlsx&amp;sheet=U0&amp;row=681&amp;col=6&amp;number=4.7&amp;sourceID=14","4.7")</f>
        <v>4.7</v>
      </c>
      <c r="G681" s="4" t="str">
        <f>HYPERLINK("http://141.218.60.56/~jnz1568/getInfo.php?workbook=12_05.xlsx&amp;sheet=U0&amp;row=681&amp;col=7&amp;number=0.032&amp;sourceID=14","0.032")</f>
        <v>0.032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HYPERLINK("http://141.218.60.56/~jnz1568/getInfo.php?workbook=12_05.xlsx&amp;sheet=U0&amp;row=682&amp;col=6&amp;number=4.8&amp;sourceID=14","4.8")</f>
        <v>4.8</v>
      </c>
      <c r="G682" s="4" t="str">
        <f>HYPERLINK("http://141.218.60.56/~jnz1568/getInfo.php?workbook=12_05.xlsx&amp;sheet=U0&amp;row=682&amp;col=7&amp;number=0.032&amp;sourceID=14","0.032")</f>
        <v>0.032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HYPERLINK("http://141.218.60.56/~jnz1568/getInfo.php?workbook=12_05.xlsx&amp;sheet=U0&amp;row=683&amp;col=6&amp;number=4.9&amp;sourceID=14","4.9")</f>
        <v>4.9</v>
      </c>
      <c r="G683" s="4" t="str">
        <f>HYPERLINK("http://141.218.60.56/~jnz1568/getInfo.php?workbook=12_05.xlsx&amp;sheet=U0&amp;row=683&amp;col=7&amp;number=0.0315&amp;sourceID=14","0.0315")</f>
        <v>0.0315</v>
      </c>
    </row>
    <row r="684" spans="1:7">
      <c r="A684" s="3">
        <v>12</v>
      </c>
      <c r="B684" s="3">
        <v>5</v>
      </c>
      <c r="C684" s="3">
        <v>3</v>
      </c>
      <c r="D684" s="3">
        <v>11</v>
      </c>
      <c r="E684" s="3">
        <v>1</v>
      </c>
      <c r="F684" s="4" t="str">
        <f>HYPERLINK("http://141.218.60.56/~jnz1568/getInfo.php?workbook=12_05.xlsx&amp;sheet=U0&amp;row=684&amp;col=6&amp;number=3&amp;sourceID=14","3")</f>
        <v>3</v>
      </c>
      <c r="G684" s="4" t="str">
        <f>HYPERLINK("http://141.218.60.56/~jnz1568/getInfo.php?workbook=12_05.xlsx&amp;sheet=U0&amp;row=684&amp;col=7&amp;number=0.628&amp;sourceID=14","0.628")</f>
        <v>0.628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HYPERLINK("http://141.218.60.56/~jnz1568/getInfo.php?workbook=12_05.xlsx&amp;sheet=U0&amp;row=685&amp;col=6&amp;number=3.1&amp;sourceID=14","3.1")</f>
        <v>3.1</v>
      </c>
      <c r="G685" s="4" t="str">
        <f>HYPERLINK("http://141.218.60.56/~jnz1568/getInfo.php?workbook=12_05.xlsx&amp;sheet=U0&amp;row=685&amp;col=7&amp;number=0.628&amp;sourceID=14","0.628")</f>
        <v>0.628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HYPERLINK("http://141.218.60.56/~jnz1568/getInfo.php?workbook=12_05.xlsx&amp;sheet=U0&amp;row=686&amp;col=6&amp;number=3.2&amp;sourceID=14","3.2")</f>
        <v>3.2</v>
      </c>
      <c r="G686" s="4" t="str">
        <f>HYPERLINK("http://141.218.60.56/~jnz1568/getInfo.php?workbook=12_05.xlsx&amp;sheet=U0&amp;row=686&amp;col=7&amp;number=0.628&amp;sourceID=14","0.628")</f>
        <v>0.628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HYPERLINK("http://141.218.60.56/~jnz1568/getInfo.php?workbook=12_05.xlsx&amp;sheet=U0&amp;row=687&amp;col=6&amp;number=3.3&amp;sourceID=14","3.3")</f>
        <v>3.3</v>
      </c>
      <c r="G687" s="4" t="str">
        <f>HYPERLINK("http://141.218.60.56/~jnz1568/getInfo.php?workbook=12_05.xlsx&amp;sheet=U0&amp;row=687&amp;col=7&amp;number=0.628&amp;sourceID=14","0.628")</f>
        <v>0.628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HYPERLINK("http://141.218.60.56/~jnz1568/getInfo.php?workbook=12_05.xlsx&amp;sheet=U0&amp;row=688&amp;col=6&amp;number=3.4&amp;sourceID=14","3.4")</f>
        <v>3.4</v>
      </c>
      <c r="G688" s="4" t="str">
        <f>HYPERLINK("http://141.218.60.56/~jnz1568/getInfo.php?workbook=12_05.xlsx&amp;sheet=U0&amp;row=688&amp;col=7&amp;number=0.627&amp;sourceID=14","0.627")</f>
        <v>0.627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HYPERLINK("http://141.218.60.56/~jnz1568/getInfo.php?workbook=12_05.xlsx&amp;sheet=U0&amp;row=689&amp;col=6&amp;number=3.5&amp;sourceID=14","3.5")</f>
        <v>3.5</v>
      </c>
      <c r="G689" s="4" t="str">
        <f>HYPERLINK("http://141.218.60.56/~jnz1568/getInfo.php?workbook=12_05.xlsx&amp;sheet=U0&amp;row=689&amp;col=7&amp;number=0.627&amp;sourceID=14","0.627")</f>
        <v>0.627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HYPERLINK("http://141.218.60.56/~jnz1568/getInfo.php?workbook=12_05.xlsx&amp;sheet=U0&amp;row=690&amp;col=6&amp;number=3.6&amp;sourceID=14","3.6")</f>
        <v>3.6</v>
      </c>
      <c r="G690" s="4" t="str">
        <f>HYPERLINK("http://141.218.60.56/~jnz1568/getInfo.php?workbook=12_05.xlsx&amp;sheet=U0&amp;row=690&amp;col=7&amp;number=0.626&amp;sourceID=14","0.626")</f>
        <v>0.626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HYPERLINK("http://141.218.60.56/~jnz1568/getInfo.php?workbook=12_05.xlsx&amp;sheet=U0&amp;row=691&amp;col=6&amp;number=3.7&amp;sourceID=14","3.7")</f>
        <v>3.7</v>
      </c>
      <c r="G691" s="4" t="str">
        <f>HYPERLINK("http://141.218.60.56/~jnz1568/getInfo.php?workbook=12_05.xlsx&amp;sheet=U0&amp;row=691&amp;col=7&amp;number=0.626&amp;sourceID=14","0.626")</f>
        <v>0.626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HYPERLINK("http://141.218.60.56/~jnz1568/getInfo.php?workbook=12_05.xlsx&amp;sheet=U0&amp;row=692&amp;col=6&amp;number=3.8&amp;sourceID=14","3.8")</f>
        <v>3.8</v>
      </c>
      <c r="G692" s="4" t="str">
        <f>HYPERLINK("http://141.218.60.56/~jnz1568/getInfo.php?workbook=12_05.xlsx&amp;sheet=U0&amp;row=692&amp;col=7&amp;number=0.625&amp;sourceID=14","0.625")</f>
        <v>0.625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HYPERLINK("http://141.218.60.56/~jnz1568/getInfo.php?workbook=12_05.xlsx&amp;sheet=U0&amp;row=693&amp;col=6&amp;number=3.9&amp;sourceID=14","3.9")</f>
        <v>3.9</v>
      </c>
      <c r="G693" s="4" t="str">
        <f>HYPERLINK("http://141.218.60.56/~jnz1568/getInfo.php?workbook=12_05.xlsx&amp;sheet=U0&amp;row=693&amp;col=7&amp;number=0.625&amp;sourceID=14","0.625")</f>
        <v>0.625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HYPERLINK("http://141.218.60.56/~jnz1568/getInfo.php?workbook=12_05.xlsx&amp;sheet=U0&amp;row=694&amp;col=6&amp;number=4&amp;sourceID=14","4")</f>
        <v>4</v>
      </c>
      <c r="G694" s="4" t="str">
        <f>HYPERLINK("http://141.218.60.56/~jnz1568/getInfo.php?workbook=12_05.xlsx&amp;sheet=U0&amp;row=694&amp;col=7&amp;number=0.624&amp;sourceID=14","0.624")</f>
        <v>0.624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HYPERLINK("http://141.218.60.56/~jnz1568/getInfo.php?workbook=12_05.xlsx&amp;sheet=U0&amp;row=695&amp;col=6&amp;number=4.1&amp;sourceID=14","4.1")</f>
        <v>4.1</v>
      </c>
      <c r="G695" s="4" t="str">
        <f>HYPERLINK("http://141.218.60.56/~jnz1568/getInfo.php?workbook=12_05.xlsx&amp;sheet=U0&amp;row=695&amp;col=7&amp;number=0.622&amp;sourceID=14","0.622")</f>
        <v>0.622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HYPERLINK("http://141.218.60.56/~jnz1568/getInfo.php?workbook=12_05.xlsx&amp;sheet=U0&amp;row=696&amp;col=6&amp;number=4.2&amp;sourceID=14","4.2")</f>
        <v>4.2</v>
      </c>
      <c r="G696" s="4" t="str">
        <f>HYPERLINK("http://141.218.60.56/~jnz1568/getInfo.php?workbook=12_05.xlsx&amp;sheet=U0&amp;row=696&amp;col=7&amp;number=0.621&amp;sourceID=14","0.621")</f>
        <v>0.621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HYPERLINK("http://141.218.60.56/~jnz1568/getInfo.php?workbook=12_05.xlsx&amp;sheet=U0&amp;row=697&amp;col=6&amp;number=4.3&amp;sourceID=14","4.3")</f>
        <v>4.3</v>
      </c>
      <c r="G697" s="4" t="str">
        <f>HYPERLINK("http://141.218.60.56/~jnz1568/getInfo.php?workbook=12_05.xlsx&amp;sheet=U0&amp;row=697&amp;col=7&amp;number=0.619&amp;sourceID=14","0.619")</f>
        <v>0.619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HYPERLINK("http://141.218.60.56/~jnz1568/getInfo.php?workbook=12_05.xlsx&amp;sheet=U0&amp;row=698&amp;col=6&amp;number=4.4&amp;sourceID=14","4.4")</f>
        <v>4.4</v>
      </c>
      <c r="G698" s="4" t="str">
        <f>HYPERLINK("http://141.218.60.56/~jnz1568/getInfo.php?workbook=12_05.xlsx&amp;sheet=U0&amp;row=698&amp;col=7&amp;number=0.617&amp;sourceID=14","0.617")</f>
        <v>0.617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HYPERLINK("http://141.218.60.56/~jnz1568/getInfo.php?workbook=12_05.xlsx&amp;sheet=U0&amp;row=699&amp;col=6&amp;number=4.5&amp;sourceID=14","4.5")</f>
        <v>4.5</v>
      </c>
      <c r="G699" s="4" t="str">
        <f>HYPERLINK("http://141.218.60.56/~jnz1568/getInfo.php?workbook=12_05.xlsx&amp;sheet=U0&amp;row=699&amp;col=7&amp;number=0.615&amp;sourceID=14","0.615")</f>
        <v>0.615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HYPERLINK("http://141.218.60.56/~jnz1568/getInfo.php?workbook=12_05.xlsx&amp;sheet=U0&amp;row=700&amp;col=6&amp;number=4.6&amp;sourceID=14","4.6")</f>
        <v>4.6</v>
      </c>
      <c r="G700" s="4" t="str">
        <f>HYPERLINK("http://141.218.60.56/~jnz1568/getInfo.php?workbook=12_05.xlsx&amp;sheet=U0&amp;row=700&amp;col=7&amp;number=0.613&amp;sourceID=14","0.613")</f>
        <v>0.613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HYPERLINK("http://141.218.60.56/~jnz1568/getInfo.php?workbook=12_05.xlsx&amp;sheet=U0&amp;row=701&amp;col=6&amp;number=4.7&amp;sourceID=14","4.7")</f>
        <v>4.7</v>
      </c>
      <c r="G701" s="4" t="str">
        <f>HYPERLINK("http://141.218.60.56/~jnz1568/getInfo.php?workbook=12_05.xlsx&amp;sheet=U0&amp;row=701&amp;col=7&amp;number=0.611&amp;sourceID=14","0.611")</f>
        <v>0.611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HYPERLINK("http://141.218.60.56/~jnz1568/getInfo.php?workbook=12_05.xlsx&amp;sheet=U0&amp;row=702&amp;col=6&amp;number=4.8&amp;sourceID=14","4.8")</f>
        <v>4.8</v>
      </c>
      <c r="G702" s="4" t="str">
        <f>HYPERLINK("http://141.218.60.56/~jnz1568/getInfo.php?workbook=12_05.xlsx&amp;sheet=U0&amp;row=702&amp;col=7&amp;number=0.61&amp;sourceID=14","0.61")</f>
        <v>0.61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HYPERLINK("http://141.218.60.56/~jnz1568/getInfo.php?workbook=12_05.xlsx&amp;sheet=U0&amp;row=703&amp;col=6&amp;number=4.9&amp;sourceID=14","4.9")</f>
        <v>4.9</v>
      </c>
      <c r="G703" s="4" t="str">
        <f>HYPERLINK("http://141.218.60.56/~jnz1568/getInfo.php?workbook=12_05.xlsx&amp;sheet=U0&amp;row=703&amp;col=7&amp;number=0.609&amp;sourceID=14","0.609")</f>
        <v>0.609</v>
      </c>
    </row>
    <row r="704" spans="1:7">
      <c r="A704" s="3">
        <v>12</v>
      </c>
      <c r="B704" s="3">
        <v>5</v>
      </c>
      <c r="C704" s="3">
        <v>3</v>
      </c>
      <c r="D704" s="3">
        <v>12</v>
      </c>
      <c r="E704" s="3">
        <v>1</v>
      </c>
      <c r="F704" s="4" t="str">
        <f>HYPERLINK("http://141.218.60.56/~jnz1568/getInfo.php?workbook=12_05.xlsx&amp;sheet=U0&amp;row=704&amp;col=6&amp;number=3&amp;sourceID=14","3")</f>
        <v>3</v>
      </c>
      <c r="G704" s="4" t="str">
        <f>HYPERLINK("http://141.218.60.56/~jnz1568/getInfo.php?workbook=12_05.xlsx&amp;sheet=U0&amp;row=704&amp;col=7&amp;number=0.029&amp;sourceID=14","0.029")</f>
        <v>0.029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HYPERLINK("http://141.218.60.56/~jnz1568/getInfo.php?workbook=12_05.xlsx&amp;sheet=U0&amp;row=705&amp;col=6&amp;number=3.1&amp;sourceID=14","3.1")</f>
        <v>3.1</v>
      </c>
      <c r="G705" s="4" t="str">
        <f>HYPERLINK("http://141.218.60.56/~jnz1568/getInfo.php?workbook=12_05.xlsx&amp;sheet=U0&amp;row=705&amp;col=7&amp;number=0.029&amp;sourceID=14","0.029")</f>
        <v>0.029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HYPERLINK("http://141.218.60.56/~jnz1568/getInfo.php?workbook=12_05.xlsx&amp;sheet=U0&amp;row=706&amp;col=6&amp;number=3.2&amp;sourceID=14","3.2")</f>
        <v>3.2</v>
      </c>
      <c r="G706" s="4" t="str">
        <f>HYPERLINK("http://141.218.60.56/~jnz1568/getInfo.php?workbook=12_05.xlsx&amp;sheet=U0&amp;row=706&amp;col=7&amp;number=0.029&amp;sourceID=14","0.029")</f>
        <v>0.029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HYPERLINK("http://141.218.60.56/~jnz1568/getInfo.php?workbook=12_05.xlsx&amp;sheet=U0&amp;row=707&amp;col=6&amp;number=3.3&amp;sourceID=14","3.3")</f>
        <v>3.3</v>
      </c>
      <c r="G707" s="4" t="str">
        <f>HYPERLINK("http://141.218.60.56/~jnz1568/getInfo.php?workbook=12_05.xlsx&amp;sheet=U0&amp;row=707&amp;col=7&amp;number=0.029&amp;sourceID=14","0.029")</f>
        <v>0.029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HYPERLINK("http://141.218.60.56/~jnz1568/getInfo.php?workbook=12_05.xlsx&amp;sheet=U0&amp;row=708&amp;col=6&amp;number=3.4&amp;sourceID=14","3.4")</f>
        <v>3.4</v>
      </c>
      <c r="G708" s="4" t="str">
        <f>HYPERLINK("http://141.218.60.56/~jnz1568/getInfo.php?workbook=12_05.xlsx&amp;sheet=U0&amp;row=708&amp;col=7&amp;number=0.0289&amp;sourceID=14","0.0289")</f>
        <v>0.0289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HYPERLINK("http://141.218.60.56/~jnz1568/getInfo.php?workbook=12_05.xlsx&amp;sheet=U0&amp;row=709&amp;col=6&amp;number=3.5&amp;sourceID=14","3.5")</f>
        <v>3.5</v>
      </c>
      <c r="G709" s="4" t="str">
        <f>HYPERLINK("http://141.218.60.56/~jnz1568/getInfo.php?workbook=12_05.xlsx&amp;sheet=U0&amp;row=709&amp;col=7&amp;number=0.0289&amp;sourceID=14","0.0289")</f>
        <v>0.0289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HYPERLINK("http://141.218.60.56/~jnz1568/getInfo.php?workbook=12_05.xlsx&amp;sheet=U0&amp;row=710&amp;col=6&amp;number=3.6&amp;sourceID=14","3.6")</f>
        <v>3.6</v>
      </c>
      <c r="G710" s="4" t="str">
        <f>HYPERLINK("http://141.218.60.56/~jnz1568/getInfo.php?workbook=12_05.xlsx&amp;sheet=U0&amp;row=710&amp;col=7&amp;number=0.0289&amp;sourceID=14","0.0289")</f>
        <v>0.0289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HYPERLINK("http://141.218.60.56/~jnz1568/getInfo.php?workbook=12_05.xlsx&amp;sheet=U0&amp;row=711&amp;col=6&amp;number=3.7&amp;sourceID=14","3.7")</f>
        <v>3.7</v>
      </c>
      <c r="G711" s="4" t="str">
        <f>HYPERLINK("http://141.218.60.56/~jnz1568/getInfo.php?workbook=12_05.xlsx&amp;sheet=U0&amp;row=711&amp;col=7&amp;number=0.0289&amp;sourceID=14","0.0289")</f>
        <v>0.0289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HYPERLINK("http://141.218.60.56/~jnz1568/getInfo.php?workbook=12_05.xlsx&amp;sheet=U0&amp;row=712&amp;col=6&amp;number=3.8&amp;sourceID=14","3.8")</f>
        <v>3.8</v>
      </c>
      <c r="G712" s="4" t="str">
        <f>HYPERLINK("http://141.218.60.56/~jnz1568/getInfo.php?workbook=12_05.xlsx&amp;sheet=U0&amp;row=712&amp;col=7&amp;number=0.0288&amp;sourceID=14","0.0288")</f>
        <v>0.0288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HYPERLINK("http://141.218.60.56/~jnz1568/getInfo.php?workbook=12_05.xlsx&amp;sheet=U0&amp;row=713&amp;col=6&amp;number=3.9&amp;sourceID=14","3.9")</f>
        <v>3.9</v>
      </c>
      <c r="G713" s="4" t="str">
        <f>HYPERLINK("http://141.218.60.56/~jnz1568/getInfo.php?workbook=12_05.xlsx&amp;sheet=U0&amp;row=713&amp;col=7&amp;number=0.0288&amp;sourceID=14","0.0288")</f>
        <v>0.0288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HYPERLINK("http://141.218.60.56/~jnz1568/getInfo.php?workbook=12_05.xlsx&amp;sheet=U0&amp;row=714&amp;col=6&amp;number=4&amp;sourceID=14","4")</f>
        <v>4</v>
      </c>
      <c r="G714" s="4" t="str">
        <f>HYPERLINK("http://141.218.60.56/~jnz1568/getInfo.php?workbook=12_05.xlsx&amp;sheet=U0&amp;row=714&amp;col=7&amp;number=0.0287&amp;sourceID=14","0.0287")</f>
        <v>0.0287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HYPERLINK("http://141.218.60.56/~jnz1568/getInfo.php?workbook=12_05.xlsx&amp;sheet=U0&amp;row=715&amp;col=6&amp;number=4.1&amp;sourceID=14","4.1")</f>
        <v>4.1</v>
      </c>
      <c r="G715" s="4" t="str">
        <f>HYPERLINK("http://141.218.60.56/~jnz1568/getInfo.php?workbook=12_05.xlsx&amp;sheet=U0&amp;row=715&amp;col=7&amp;number=0.0286&amp;sourceID=14","0.0286")</f>
        <v>0.0286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HYPERLINK("http://141.218.60.56/~jnz1568/getInfo.php?workbook=12_05.xlsx&amp;sheet=U0&amp;row=716&amp;col=6&amp;number=4.2&amp;sourceID=14","4.2")</f>
        <v>4.2</v>
      </c>
      <c r="G716" s="4" t="str">
        <f>HYPERLINK("http://141.218.60.56/~jnz1568/getInfo.php?workbook=12_05.xlsx&amp;sheet=U0&amp;row=716&amp;col=7&amp;number=0.0285&amp;sourceID=14","0.0285")</f>
        <v>0.0285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HYPERLINK("http://141.218.60.56/~jnz1568/getInfo.php?workbook=12_05.xlsx&amp;sheet=U0&amp;row=717&amp;col=6&amp;number=4.3&amp;sourceID=14","4.3")</f>
        <v>4.3</v>
      </c>
      <c r="G717" s="4" t="str">
        <f>HYPERLINK("http://141.218.60.56/~jnz1568/getInfo.php?workbook=12_05.xlsx&amp;sheet=U0&amp;row=717&amp;col=7&amp;number=0.0284&amp;sourceID=14","0.0284")</f>
        <v>0.0284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HYPERLINK("http://141.218.60.56/~jnz1568/getInfo.php?workbook=12_05.xlsx&amp;sheet=U0&amp;row=718&amp;col=6&amp;number=4.4&amp;sourceID=14","4.4")</f>
        <v>4.4</v>
      </c>
      <c r="G718" s="4" t="str">
        <f>HYPERLINK("http://141.218.60.56/~jnz1568/getInfo.php?workbook=12_05.xlsx&amp;sheet=U0&amp;row=718&amp;col=7&amp;number=0.0283&amp;sourceID=14","0.0283")</f>
        <v>0.0283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HYPERLINK("http://141.218.60.56/~jnz1568/getInfo.php?workbook=12_05.xlsx&amp;sheet=U0&amp;row=719&amp;col=6&amp;number=4.5&amp;sourceID=14","4.5")</f>
        <v>4.5</v>
      </c>
      <c r="G719" s="4" t="str">
        <f>HYPERLINK("http://141.218.60.56/~jnz1568/getInfo.php?workbook=12_05.xlsx&amp;sheet=U0&amp;row=719&amp;col=7&amp;number=0.0281&amp;sourceID=14","0.0281")</f>
        <v>0.0281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HYPERLINK("http://141.218.60.56/~jnz1568/getInfo.php?workbook=12_05.xlsx&amp;sheet=U0&amp;row=720&amp;col=6&amp;number=4.6&amp;sourceID=14","4.6")</f>
        <v>4.6</v>
      </c>
      <c r="G720" s="4" t="str">
        <f>HYPERLINK("http://141.218.60.56/~jnz1568/getInfo.php?workbook=12_05.xlsx&amp;sheet=U0&amp;row=720&amp;col=7&amp;number=0.0279&amp;sourceID=14","0.0279")</f>
        <v>0.0279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HYPERLINK("http://141.218.60.56/~jnz1568/getInfo.php?workbook=12_05.xlsx&amp;sheet=U0&amp;row=721&amp;col=6&amp;number=4.7&amp;sourceID=14","4.7")</f>
        <v>4.7</v>
      </c>
      <c r="G721" s="4" t="str">
        <f>HYPERLINK("http://141.218.60.56/~jnz1568/getInfo.php?workbook=12_05.xlsx&amp;sheet=U0&amp;row=721&amp;col=7&amp;number=0.0276&amp;sourceID=14","0.0276")</f>
        <v>0.0276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HYPERLINK("http://141.218.60.56/~jnz1568/getInfo.php?workbook=12_05.xlsx&amp;sheet=U0&amp;row=722&amp;col=6&amp;number=4.8&amp;sourceID=14","4.8")</f>
        <v>4.8</v>
      </c>
      <c r="G722" s="4" t="str">
        <f>HYPERLINK("http://141.218.60.56/~jnz1568/getInfo.php?workbook=12_05.xlsx&amp;sheet=U0&amp;row=722&amp;col=7&amp;number=0.0273&amp;sourceID=14","0.0273")</f>
        <v>0.0273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HYPERLINK("http://141.218.60.56/~jnz1568/getInfo.php?workbook=12_05.xlsx&amp;sheet=U0&amp;row=723&amp;col=6&amp;number=4.9&amp;sourceID=14","4.9")</f>
        <v>4.9</v>
      </c>
      <c r="G723" s="4" t="str">
        <f>HYPERLINK("http://141.218.60.56/~jnz1568/getInfo.php?workbook=12_05.xlsx&amp;sheet=U0&amp;row=723&amp;col=7&amp;number=0.027&amp;sourceID=14","0.027")</f>
        <v>0.027</v>
      </c>
    </row>
    <row r="724" spans="1:7">
      <c r="A724" s="3">
        <v>12</v>
      </c>
      <c r="B724" s="3">
        <v>5</v>
      </c>
      <c r="C724" s="3">
        <v>3</v>
      </c>
      <c r="D724" s="3">
        <v>13</v>
      </c>
      <c r="E724" s="3">
        <v>1</v>
      </c>
      <c r="F724" s="4" t="str">
        <f>HYPERLINK("http://141.218.60.56/~jnz1568/getInfo.php?workbook=12_05.xlsx&amp;sheet=U0&amp;row=724&amp;col=6&amp;number=3&amp;sourceID=14","3")</f>
        <v>3</v>
      </c>
      <c r="G724" s="4" t="str">
        <f>HYPERLINK("http://141.218.60.56/~jnz1568/getInfo.php?workbook=12_05.xlsx&amp;sheet=U0&amp;row=724&amp;col=7&amp;number=0.00528&amp;sourceID=14","0.00528")</f>
        <v>0.00528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HYPERLINK("http://141.218.60.56/~jnz1568/getInfo.php?workbook=12_05.xlsx&amp;sheet=U0&amp;row=725&amp;col=6&amp;number=3.1&amp;sourceID=14","3.1")</f>
        <v>3.1</v>
      </c>
      <c r="G725" s="4" t="str">
        <f>HYPERLINK("http://141.218.60.56/~jnz1568/getInfo.php?workbook=12_05.xlsx&amp;sheet=U0&amp;row=725&amp;col=7&amp;number=0.00528&amp;sourceID=14","0.00528")</f>
        <v>0.00528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HYPERLINK("http://141.218.60.56/~jnz1568/getInfo.php?workbook=12_05.xlsx&amp;sheet=U0&amp;row=726&amp;col=6&amp;number=3.2&amp;sourceID=14","3.2")</f>
        <v>3.2</v>
      </c>
      <c r="G726" s="4" t="str">
        <f>HYPERLINK("http://141.218.60.56/~jnz1568/getInfo.php?workbook=12_05.xlsx&amp;sheet=U0&amp;row=726&amp;col=7&amp;number=0.00527&amp;sourceID=14","0.00527")</f>
        <v>0.00527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HYPERLINK("http://141.218.60.56/~jnz1568/getInfo.php?workbook=12_05.xlsx&amp;sheet=U0&amp;row=727&amp;col=6&amp;number=3.3&amp;sourceID=14","3.3")</f>
        <v>3.3</v>
      </c>
      <c r="G727" s="4" t="str">
        <f>HYPERLINK("http://141.218.60.56/~jnz1568/getInfo.php?workbook=12_05.xlsx&amp;sheet=U0&amp;row=727&amp;col=7&amp;number=0.00527&amp;sourceID=14","0.00527")</f>
        <v>0.00527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HYPERLINK("http://141.218.60.56/~jnz1568/getInfo.php?workbook=12_05.xlsx&amp;sheet=U0&amp;row=728&amp;col=6&amp;number=3.4&amp;sourceID=14","3.4")</f>
        <v>3.4</v>
      </c>
      <c r="G728" s="4" t="str">
        <f>HYPERLINK("http://141.218.60.56/~jnz1568/getInfo.php?workbook=12_05.xlsx&amp;sheet=U0&amp;row=728&amp;col=7&amp;number=0.00526&amp;sourceID=14","0.00526")</f>
        <v>0.00526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HYPERLINK("http://141.218.60.56/~jnz1568/getInfo.php?workbook=12_05.xlsx&amp;sheet=U0&amp;row=729&amp;col=6&amp;number=3.5&amp;sourceID=14","3.5")</f>
        <v>3.5</v>
      </c>
      <c r="G729" s="4" t="str">
        <f>HYPERLINK("http://141.218.60.56/~jnz1568/getInfo.php?workbook=12_05.xlsx&amp;sheet=U0&amp;row=729&amp;col=7&amp;number=0.00525&amp;sourceID=14","0.00525")</f>
        <v>0.00525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HYPERLINK("http://141.218.60.56/~jnz1568/getInfo.php?workbook=12_05.xlsx&amp;sheet=U0&amp;row=730&amp;col=6&amp;number=3.6&amp;sourceID=14","3.6")</f>
        <v>3.6</v>
      </c>
      <c r="G730" s="4" t="str">
        <f>HYPERLINK("http://141.218.60.56/~jnz1568/getInfo.php?workbook=12_05.xlsx&amp;sheet=U0&amp;row=730&amp;col=7&amp;number=0.00524&amp;sourceID=14","0.00524")</f>
        <v>0.00524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HYPERLINK("http://141.218.60.56/~jnz1568/getInfo.php?workbook=12_05.xlsx&amp;sheet=U0&amp;row=731&amp;col=6&amp;number=3.7&amp;sourceID=14","3.7")</f>
        <v>3.7</v>
      </c>
      <c r="G731" s="4" t="str">
        <f>HYPERLINK("http://141.218.60.56/~jnz1568/getInfo.php?workbook=12_05.xlsx&amp;sheet=U0&amp;row=731&amp;col=7&amp;number=0.00522&amp;sourceID=14","0.00522")</f>
        <v>0.00522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HYPERLINK("http://141.218.60.56/~jnz1568/getInfo.php?workbook=12_05.xlsx&amp;sheet=U0&amp;row=732&amp;col=6&amp;number=3.8&amp;sourceID=14","3.8")</f>
        <v>3.8</v>
      </c>
      <c r="G732" s="4" t="str">
        <f>HYPERLINK("http://141.218.60.56/~jnz1568/getInfo.php?workbook=12_05.xlsx&amp;sheet=U0&amp;row=732&amp;col=7&amp;number=0.00521&amp;sourceID=14","0.00521")</f>
        <v>0.00521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HYPERLINK("http://141.218.60.56/~jnz1568/getInfo.php?workbook=12_05.xlsx&amp;sheet=U0&amp;row=733&amp;col=6&amp;number=3.9&amp;sourceID=14","3.9")</f>
        <v>3.9</v>
      </c>
      <c r="G733" s="4" t="str">
        <f>HYPERLINK("http://141.218.60.56/~jnz1568/getInfo.php?workbook=12_05.xlsx&amp;sheet=U0&amp;row=733&amp;col=7&amp;number=0.00518&amp;sourceID=14","0.00518")</f>
        <v>0.00518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HYPERLINK("http://141.218.60.56/~jnz1568/getInfo.php?workbook=12_05.xlsx&amp;sheet=U0&amp;row=734&amp;col=6&amp;number=4&amp;sourceID=14","4")</f>
        <v>4</v>
      </c>
      <c r="G734" s="4" t="str">
        <f>HYPERLINK("http://141.218.60.56/~jnz1568/getInfo.php?workbook=12_05.xlsx&amp;sheet=U0&amp;row=734&amp;col=7&amp;number=0.00516&amp;sourceID=14","0.00516")</f>
        <v>0.00516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HYPERLINK("http://141.218.60.56/~jnz1568/getInfo.php?workbook=12_05.xlsx&amp;sheet=U0&amp;row=735&amp;col=6&amp;number=4.1&amp;sourceID=14","4.1")</f>
        <v>4.1</v>
      </c>
      <c r="G735" s="4" t="str">
        <f>HYPERLINK("http://141.218.60.56/~jnz1568/getInfo.php?workbook=12_05.xlsx&amp;sheet=U0&amp;row=735&amp;col=7&amp;number=0.00512&amp;sourceID=14","0.00512")</f>
        <v>0.00512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HYPERLINK("http://141.218.60.56/~jnz1568/getInfo.php?workbook=12_05.xlsx&amp;sheet=U0&amp;row=736&amp;col=6&amp;number=4.2&amp;sourceID=14","4.2")</f>
        <v>4.2</v>
      </c>
      <c r="G736" s="4" t="str">
        <f>HYPERLINK("http://141.218.60.56/~jnz1568/getInfo.php?workbook=12_05.xlsx&amp;sheet=U0&amp;row=736&amp;col=7&amp;number=0.00508&amp;sourceID=14","0.00508")</f>
        <v>0.00508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HYPERLINK("http://141.218.60.56/~jnz1568/getInfo.php?workbook=12_05.xlsx&amp;sheet=U0&amp;row=737&amp;col=6&amp;number=4.3&amp;sourceID=14","4.3")</f>
        <v>4.3</v>
      </c>
      <c r="G737" s="4" t="str">
        <f>HYPERLINK("http://141.218.60.56/~jnz1568/getInfo.php?workbook=12_05.xlsx&amp;sheet=U0&amp;row=737&amp;col=7&amp;number=0.00503&amp;sourceID=14","0.00503")</f>
        <v>0.00503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HYPERLINK("http://141.218.60.56/~jnz1568/getInfo.php?workbook=12_05.xlsx&amp;sheet=U0&amp;row=738&amp;col=6&amp;number=4.4&amp;sourceID=14","4.4")</f>
        <v>4.4</v>
      </c>
      <c r="G738" s="4" t="str">
        <f>HYPERLINK("http://141.218.60.56/~jnz1568/getInfo.php?workbook=12_05.xlsx&amp;sheet=U0&amp;row=738&amp;col=7&amp;number=0.00496&amp;sourceID=14","0.00496")</f>
        <v>0.00496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HYPERLINK("http://141.218.60.56/~jnz1568/getInfo.php?workbook=12_05.xlsx&amp;sheet=U0&amp;row=739&amp;col=6&amp;number=4.5&amp;sourceID=14","4.5")</f>
        <v>4.5</v>
      </c>
      <c r="G739" s="4" t="str">
        <f>HYPERLINK("http://141.218.60.56/~jnz1568/getInfo.php?workbook=12_05.xlsx&amp;sheet=U0&amp;row=739&amp;col=7&amp;number=0.00489&amp;sourceID=14","0.00489")</f>
        <v>0.00489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HYPERLINK("http://141.218.60.56/~jnz1568/getInfo.php?workbook=12_05.xlsx&amp;sheet=U0&amp;row=740&amp;col=6&amp;number=4.6&amp;sourceID=14","4.6")</f>
        <v>4.6</v>
      </c>
      <c r="G740" s="4" t="str">
        <f>HYPERLINK("http://141.218.60.56/~jnz1568/getInfo.php?workbook=12_05.xlsx&amp;sheet=U0&amp;row=740&amp;col=7&amp;number=0.0048&amp;sourceID=14","0.0048")</f>
        <v>0.0048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HYPERLINK("http://141.218.60.56/~jnz1568/getInfo.php?workbook=12_05.xlsx&amp;sheet=U0&amp;row=741&amp;col=6&amp;number=4.7&amp;sourceID=14","4.7")</f>
        <v>4.7</v>
      </c>
      <c r="G741" s="4" t="str">
        <f>HYPERLINK("http://141.218.60.56/~jnz1568/getInfo.php?workbook=12_05.xlsx&amp;sheet=U0&amp;row=741&amp;col=7&amp;number=0.00469&amp;sourceID=14","0.00469")</f>
        <v>0.00469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HYPERLINK("http://141.218.60.56/~jnz1568/getInfo.php?workbook=12_05.xlsx&amp;sheet=U0&amp;row=742&amp;col=6&amp;number=4.8&amp;sourceID=14","4.8")</f>
        <v>4.8</v>
      </c>
      <c r="G742" s="4" t="str">
        <f>HYPERLINK("http://141.218.60.56/~jnz1568/getInfo.php?workbook=12_05.xlsx&amp;sheet=U0&amp;row=742&amp;col=7&amp;number=0.00457&amp;sourceID=14","0.00457")</f>
        <v>0.00457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HYPERLINK("http://141.218.60.56/~jnz1568/getInfo.php?workbook=12_05.xlsx&amp;sheet=U0&amp;row=743&amp;col=6&amp;number=4.9&amp;sourceID=14","4.9")</f>
        <v>4.9</v>
      </c>
      <c r="G743" s="4" t="str">
        <f>HYPERLINK("http://141.218.60.56/~jnz1568/getInfo.php?workbook=12_05.xlsx&amp;sheet=U0&amp;row=743&amp;col=7&amp;number=0.00443&amp;sourceID=14","0.00443")</f>
        <v>0.00443</v>
      </c>
    </row>
    <row r="744" spans="1:7">
      <c r="A744" s="3">
        <v>12</v>
      </c>
      <c r="B744" s="3">
        <v>5</v>
      </c>
      <c r="C744" s="3">
        <v>3</v>
      </c>
      <c r="D744" s="3">
        <v>14</v>
      </c>
      <c r="E744" s="3">
        <v>1</v>
      </c>
      <c r="F744" s="4" t="str">
        <f>HYPERLINK("http://141.218.60.56/~jnz1568/getInfo.php?workbook=12_05.xlsx&amp;sheet=U0&amp;row=744&amp;col=6&amp;number=3&amp;sourceID=14","3")</f>
        <v>3</v>
      </c>
      <c r="G744" s="4" t="str">
        <f>HYPERLINK("http://141.218.60.56/~jnz1568/getInfo.php?workbook=12_05.xlsx&amp;sheet=U0&amp;row=744&amp;col=7&amp;number=0.00601&amp;sourceID=14","0.00601")</f>
        <v>0.00601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HYPERLINK("http://141.218.60.56/~jnz1568/getInfo.php?workbook=12_05.xlsx&amp;sheet=U0&amp;row=745&amp;col=6&amp;number=3.1&amp;sourceID=14","3.1")</f>
        <v>3.1</v>
      </c>
      <c r="G745" s="4" t="str">
        <f>HYPERLINK("http://141.218.60.56/~jnz1568/getInfo.php?workbook=12_05.xlsx&amp;sheet=U0&amp;row=745&amp;col=7&amp;number=0.00601&amp;sourceID=14","0.00601")</f>
        <v>0.00601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HYPERLINK("http://141.218.60.56/~jnz1568/getInfo.php?workbook=12_05.xlsx&amp;sheet=U0&amp;row=746&amp;col=6&amp;number=3.2&amp;sourceID=14","3.2")</f>
        <v>3.2</v>
      </c>
      <c r="G746" s="4" t="str">
        <f>HYPERLINK("http://141.218.60.56/~jnz1568/getInfo.php?workbook=12_05.xlsx&amp;sheet=U0&amp;row=746&amp;col=7&amp;number=0.00602&amp;sourceID=14","0.00602")</f>
        <v>0.00602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HYPERLINK("http://141.218.60.56/~jnz1568/getInfo.php?workbook=12_05.xlsx&amp;sheet=U0&amp;row=747&amp;col=6&amp;number=3.3&amp;sourceID=14","3.3")</f>
        <v>3.3</v>
      </c>
      <c r="G747" s="4" t="str">
        <f>HYPERLINK("http://141.218.60.56/~jnz1568/getInfo.php?workbook=12_05.xlsx&amp;sheet=U0&amp;row=747&amp;col=7&amp;number=0.00602&amp;sourceID=14","0.00602")</f>
        <v>0.00602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HYPERLINK("http://141.218.60.56/~jnz1568/getInfo.php?workbook=12_05.xlsx&amp;sheet=U0&amp;row=748&amp;col=6&amp;number=3.4&amp;sourceID=14","3.4")</f>
        <v>3.4</v>
      </c>
      <c r="G748" s="4" t="str">
        <f>HYPERLINK("http://141.218.60.56/~jnz1568/getInfo.php?workbook=12_05.xlsx&amp;sheet=U0&amp;row=748&amp;col=7&amp;number=0.00603&amp;sourceID=14","0.00603")</f>
        <v>0.00603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HYPERLINK("http://141.218.60.56/~jnz1568/getInfo.php?workbook=12_05.xlsx&amp;sheet=U0&amp;row=749&amp;col=6&amp;number=3.5&amp;sourceID=14","3.5")</f>
        <v>3.5</v>
      </c>
      <c r="G749" s="4" t="str">
        <f>HYPERLINK("http://141.218.60.56/~jnz1568/getInfo.php?workbook=12_05.xlsx&amp;sheet=U0&amp;row=749&amp;col=7&amp;number=0.00604&amp;sourceID=14","0.00604")</f>
        <v>0.00604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HYPERLINK("http://141.218.60.56/~jnz1568/getInfo.php?workbook=12_05.xlsx&amp;sheet=U0&amp;row=750&amp;col=6&amp;number=3.6&amp;sourceID=14","3.6")</f>
        <v>3.6</v>
      </c>
      <c r="G750" s="4" t="str">
        <f>HYPERLINK("http://141.218.60.56/~jnz1568/getInfo.php?workbook=12_05.xlsx&amp;sheet=U0&amp;row=750&amp;col=7&amp;number=0.00605&amp;sourceID=14","0.00605")</f>
        <v>0.00605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HYPERLINK("http://141.218.60.56/~jnz1568/getInfo.php?workbook=12_05.xlsx&amp;sheet=U0&amp;row=751&amp;col=6&amp;number=3.7&amp;sourceID=14","3.7")</f>
        <v>3.7</v>
      </c>
      <c r="G751" s="4" t="str">
        <f>HYPERLINK("http://141.218.60.56/~jnz1568/getInfo.php?workbook=12_05.xlsx&amp;sheet=U0&amp;row=751&amp;col=7&amp;number=0.00606&amp;sourceID=14","0.00606")</f>
        <v>0.00606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HYPERLINK("http://141.218.60.56/~jnz1568/getInfo.php?workbook=12_05.xlsx&amp;sheet=U0&amp;row=752&amp;col=6&amp;number=3.8&amp;sourceID=14","3.8")</f>
        <v>3.8</v>
      </c>
      <c r="G752" s="4" t="str">
        <f>HYPERLINK("http://141.218.60.56/~jnz1568/getInfo.php?workbook=12_05.xlsx&amp;sheet=U0&amp;row=752&amp;col=7&amp;number=0.00608&amp;sourceID=14","0.00608")</f>
        <v>0.00608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HYPERLINK("http://141.218.60.56/~jnz1568/getInfo.php?workbook=12_05.xlsx&amp;sheet=U0&amp;row=753&amp;col=6&amp;number=3.9&amp;sourceID=14","3.9")</f>
        <v>3.9</v>
      </c>
      <c r="G753" s="4" t="str">
        <f>HYPERLINK("http://141.218.60.56/~jnz1568/getInfo.php?workbook=12_05.xlsx&amp;sheet=U0&amp;row=753&amp;col=7&amp;number=0.0061&amp;sourceID=14","0.0061")</f>
        <v>0.0061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HYPERLINK("http://141.218.60.56/~jnz1568/getInfo.php?workbook=12_05.xlsx&amp;sheet=U0&amp;row=754&amp;col=6&amp;number=4&amp;sourceID=14","4")</f>
        <v>4</v>
      </c>
      <c r="G754" s="4" t="str">
        <f>HYPERLINK("http://141.218.60.56/~jnz1568/getInfo.php?workbook=12_05.xlsx&amp;sheet=U0&amp;row=754&amp;col=7&amp;number=0.00612&amp;sourceID=14","0.00612")</f>
        <v>0.00612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HYPERLINK("http://141.218.60.56/~jnz1568/getInfo.php?workbook=12_05.xlsx&amp;sheet=U0&amp;row=755&amp;col=6&amp;number=4.1&amp;sourceID=14","4.1")</f>
        <v>4.1</v>
      </c>
      <c r="G755" s="4" t="str">
        <f>HYPERLINK("http://141.218.60.56/~jnz1568/getInfo.php?workbook=12_05.xlsx&amp;sheet=U0&amp;row=755&amp;col=7&amp;number=0.00615&amp;sourceID=14","0.00615")</f>
        <v>0.00615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HYPERLINK("http://141.218.60.56/~jnz1568/getInfo.php?workbook=12_05.xlsx&amp;sheet=U0&amp;row=756&amp;col=6&amp;number=4.2&amp;sourceID=14","4.2")</f>
        <v>4.2</v>
      </c>
      <c r="G756" s="4" t="str">
        <f>HYPERLINK("http://141.218.60.56/~jnz1568/getInfo.php?workbook=12_05.xlsx&amp;sheet=U0&amp;row=756&amp;col=7&amp;number=0.00619&amp;sourceID=14","0.00619")</f>
        <v>0.00619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HYPERLINK("http://141.218.60.56/~jnz1568/getInfo.php?workbook=12_05.xlsx&amp;sheet=U0&amp;row=757&amp;col=6&amp;number=4.3&amp;sourceID=14","4.3")</f>
        <v>4.3</v>
      </c>
      <c r="G757" s="4" t="str">
        <f>HYPERLINK("http://141.218.60.56/~jnz1568/getInfo.php?workbook=12_05.xlsx&amp;sheet=U0&amp;row=757&amp;col=7&amp;number=0.00623&amp;sourceID=14","0.00623")</f>
        <v>0.00623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HYPERLINK("http://141.218.60.56/~jnz1568/getInfo.php?workbook=12_05.xlsx&amp;sheet=U0&amp;row=758&amp;col=6&amp;number=4.4&amp;sourceID=14","4.4")</f>
        <v>4.4</v>
      </c>
      <c r="G758" s="4" t="str">
        <f>HYPERLINK("http://141.218.60.56/~jnz1568/getInfo.php?workbook=12_05.xlsx&amp;sheet=U0&amp;row=758&amp;col=7&amp;number=0.00628&amp;sourceID=14","0.00628")</f>
        <v>0.00628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HYPERLINK("http://141.218.60.56/~jnz1568/getInfo.php?workbook=12_05.xlsx&amp;sheet=U0&amp;row=759&amp;col=6&amp;number=4.5&amp;sourceID=14","4.5")</f>
        <v>4.5</v>
      </c>
      <c r="G759" s="4" t="str">
        <f>HYPERLINK("http://141.218.60.56/~jnz1568/getInfo.php?workbook=12_05.xlsx&amp;sheet=U0&amp;row=759&amp;col=7&amp;number=0.00635&amp;sourceID=14","0.00635")</f>
        <v>0.00635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HYPERLINK("http://141.218.60.56/~jnz1568/getInfo.php?workbook=12_05.xlsx&amp;sheet=U0&amp;row=760&amp;col=6&amp;number=4.6&amp;sourceID=14","4.6")</f>
        <v>4.6</v>
      </c>
      <c r="G760" s="4" t="str">
        <f>HYPERLINK("http://141.218.60.56/~jnz1568/getInfo.php?workbook=12_05.xlsx&amp;sheet=U0&amp;row=760&amp;col=7&amp;number=0.00642&amp;sourceID=14","0.00642")</f>
        <v>0.00642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HYPERLINK("http://141.218.60.56/~jnz1568/getInfo.php?workbook=12_05.xlsx&amp;sheet=U0&amp;row=761&amp;col=6&amp;number=4.7&amp;sourceID=14","4.7")</f>
        <v>4.7</v>
      </c>
      <c r="G761" s="4" t="str">
        <f>HYPERLINK("http://141.218.60.56/~jnz1568/getInfo.php?workbook=12_05.xlsx&amp;sheet=U0&amp;row=761&amp;col=7&amp;number=0.00649&amp;sourceID=14","0.00649")</f>
        <v>0.00649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HYPERLINK("http://141.218.60.56/~jnz1568/getInfo.php?workbook=12_05.xlsx&amp;sheet=U0&amp;row=762&amp;col=6&amp;number=4.8&amp;sourceID=14","4.8")</f>
        <v>4.8</v>
      </c>
      <c r="G762" s="4" t="str">
        <f>HYPERLINK("http://141.218.60.56/~jnz1568/getInfo.php?workbook=12_05.xlsx&amp;sheet=U0&amp;row=762&amp;col=7&amp;number=0.00657&amp;sourceID=14","0.00657")</f>
        <v>0.00657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HYPERLINK("http://141.218.60.56/~jnz1568/getInfo.php?workbook=12_05.xlsx&amp;sheet=U0&amp;row=763&amp;col=6&amp;number=4.9&amp;sourceID=14","4.9")</f>
        <v>4.9</v>
      </c>
      <c r="G763" s="4" t="str">
        <f>HYPERLINK("http://141.218.60.56/~jnz1568/getInfo.php?workbook=12_05.xlsx&amp;sheet=U0&amp;row=763&amp;col=7&amp;number=0.00665&amp;sourceID=14","0.00665")</f>
        <v>0.00665</v>
      </c>
    </row>
    <row r="764" spans="1:7">
      <c r="A764" s="3">
        <v>12</v>
      </c>
      <c r="B764" s="3">
        <v>5</v>
      </c>
      <c r="C764" s="3">
        <v>3</v>
      </c>
      <c r="D764" s="3">
        <v>15</v>
      </c>
      <c r="E764" s="3">
        <v>1</v>
      </c>
      <c r="F764" s="4" t="str">
        <f>HYPERLINK("http://141.218.60.56/~jnz1568/getInfo.php?workbook=12_05.xlsx&amp;sheet=U0&amp;row=764&amp;col=6&amp;number=3&amp;sourceID=14","3")</f>
        <v>3</v>
      </c>
      <c r="G764" s="4" t="str">
        <f>HYPERLINK("http://141.218.60.56/~jnz1568/getInfo.php?workbook=12_05.xlsx&amp;sheet=U0&amp;row=764&amp;col=7&amp;number=0.004&amp;sourceID=14","0.004")</f>
        <v>0.004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HYPERLINK("http://141.218.60.56/~jnz1568/getInfo.php?workbook=12_05.xlsx&amp;sheet=U0&amp;row=765&amp;col=6&amp;number=3.1&amp;sourceID=14","3.1")</f>
        <v>3.1</v>
      </c>
      <c r="G765" s="4" t="str">
        <f>HYPERLINK("http://141.218.60.56/~jnz1568/getInfo.php?workbook=12_05.xlsx&amp;sheet=U0&amp;row=765&amp;col=7&amp;number=0.004&amp;sourceID=14","0.004")</f>
        <v>0.004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HYPERLINK("http://141.218.60.56/~jnz1568/getInfo.php?workbook=12_05.xlsx&amp;sheet=U0&amp;row=766&amp;col=6&amp;number=3.2&amp;sourceID=14","3.2")</f>
        <v>3.2</v>
      </c>
      <c r="G766" s="4" t="str">
        <f>HYPERLINK("http://141.218.60.56/~jnz1568/getInfo.php?workbook=12_05.xlsx&amp;sheet=U0&amp;row=766&amp;col=7&amp;number=0.00401&amp;sourceID=14","0.00401")</f>
        <v>0.00401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HYPERLINK("http://141.218.60.56/~jnz1568/getInfo.php?workbook=12_05.xlsx&amp;sheet=U0&amp;row=767&amp;col=6&amp;number=3.3&amp;sourceID=14","3.3")</f>
        <v>3.3</v>
      </c>
      <c r="G767" s="4" t="str">
        <f>HYPERLINK("http://141.218.60.56/~jnz1568/getInfo.php?workbook=12_05.xlsx&amp;sheet=U0&amp;row=767&amp;col=7&amp;number=0.00401&amp;sourceID=14","0.00401")</f>
        <v>0.00401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HYPERLINK("http://141.218.60.56/~jnz1568/getInfo.php?workbook=12_05.xlsx&amp;sheet=U0&amp;row=768&amp;col=6&amp;number=3.4&amp;sourceID=14","3.4")</f>
        <v>3.4</v>
      </c>
      <c r="G768" s="4" t="str">
        <f>HYPERLINK("http://141.218.60.56/~jnz1568/getInfo.php?workbook=12_05.xlsx&amp;sheet=U0&amp;row=768&amp;col=7&amp;number=0.00402&amp;sourceID=14","0.00402")</f>
        <v>0.00402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HYPERLINK("http://141.218.60.56/~jnz1568/getInfo.php?workbook=12_05.xlsx&amp;sheet=U0&amp;row=769&amp;col=6&amp;number=3.5&amp;sourceID=14","3.5")</f>
        <v>3.5</v>
      </c>
      <c r="G769" s="4" t="str">
        <f>HYPERLINK("http://141.218.60.56/~jnz1568/getInfo.php?workbook=12_05.xlsx&amp;sheet=U0&amp;row=769&amp;col=7&amp;number=0.00402&amp;sourceID=14","0.00402")</f>
        <v>0.00402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HYPERLINK("http://141.218.60.56/~jnz1568/getInfo.php?workbook=12_05.xlsx&amp;sheet=U0&amp;row=770&amp;col=6&amp;number=3.6&amp;sourceID=14","3.6")</f>
        <v>3.6</v>
      </c>
      <c r="G770" s="4" t="str">
        <f>HYPERLINK("http://141.218.60.56/~jnz1568/getInfo.php?workbook=12_05.xlsx&amp;sheet=U0&amp;row=770&amp;col=7&amp;number=0.00403&amp;sourceID=14","0.00403")</f>
        <v>0.00403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HYPERLINK("http://141.218.60.56/~jnz1568/getInfo.php?workbook=12_05.xlsx&amp;sheet=U0&amp;row=771&amp;col=6&amp;number=3.7&amp;sourceID=14","3.7")</f>
        <v>3.7</v>
      </c>
      <c r="G771" s="4" t="str">
        <f>HYPERLINK("http://141.218.60.56/~jnz1568/getInfo.php?workbook=12_05.xlsx&amp;sheet=U0&amp;row=771&amp;col=7&amp;number=0.00404&amp;sourceID=14","0.00404")</f>
        <v>0.00404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HYPERLINK("http://141.218.60.56/~jnz1568/getInfo.php?workbook=12_05.xlsx&amp;sheet=U0&amp;row=772&amp;col=6&amp;number=3.8&amp;sourceID=14","3.8")</f>
        <v>3.8</v>
      </c>
      <c r="G772" s="4" t="str">
        <f>HYPERLINK("http://141.218.60.56/~jnz1568/getInfo.php?workbook=12_05.xlsx&amp;sheet=U0&amp;row=772&amp;col=7&amp;number=0.00405&amp;sourceID=14","0.00405")</f>
        <v>0.00405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HYPERLINK("http://141.218.60.56/~jnz1568/getInfo.php?workbook=12_05.xlsx&amp;sheet=U0&amp;row=773&amp;col=6&amp;number=3.9&amp;sourceID=14","3.9")</f>
        <v>3.9</v>
      </c>
      <c r="G773" s="4" t="str">
        <f>HYPERLINK("http://141.218.60.56/~jnz1568/getInfo.php?workbook=12_05.xlsx&amp;sheet=U0&amp;row=773&amp;col=7&amp;number=0.00406&amp;sourceID=14","0.00406")</f>
        <v>0.00406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HYPERLINK("http://141.218.60.56/~jnz1568/getInfo.php?workbook=12_05.xlsx&amp;sheet=U0&amp;row=774&amp;col=6&amp;number=4&amp;sourceID=14","4")</f>
        <v>4</v>
      </c>
      <c r="G774" s="4" t="str">
        <f>HYPERLINK("http://141.218.60.56/~jnz1568/getInfo.php?workbook=12_05.xlsx&amp;sheet=U0&amp;row=774&amp;col=7&amp;number=0.00408&amp;sourceID=14","0.00408")</f>
        <v>0.00408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HYPERLINK("http://141.218.60.56/~jnz1568/getInfo.php?workbook=12_05.xlsx&amp;sheet=U0&amp;row=775&amp;col=6&amp;number=4.1&amp;sourceID=14","4.1")</f>
        <v>4.1</v>
      </c>
      <c r="G775" s="4" t="str">
        <f>HYPERLINK("http://141.218.60.56/~jnz1568/getInfo.php?workbook=12_05.xlsx&amp;sheet=U0&amp;row=775&amp;col=7&amp;number=0.0041&amp;sourceID=14","0.0041")</f>
        <v>0.0041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HYPERLINK("http://141.218.60.56/~jnz1568/getInfo.php?workbook=12_05.xlsx&amp;sheet=U0&amp;row=776&amp;col=6&amp;number=4.2&amp;sourceID=14","4.2")</f>
        <v>4.2</v>
      </c>
      <c r="G776" s="4" t="str">
        <f>HYPERLINK("http://141.218.60.56/~jnz1568/getInfo.php?workbook=12_05.xlsx&amp;sheet=U0&amp;row=776&amp;col=7&amp;number=0.00412&amp;sourceID=14","0.00412")</f>
        <v>0.00412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HYPERLINK("http://141.218.60.56/~jnz1568/getInfo.php?workbook=12_05.xlsx&amp;sheet=U0&amp;row=777&amp;col=6&amp;number=4.3&amp;sourceID=14","4.3")</f>
        <v>4.3</v>
      </c>
      <c r="G777" s="4" t="str">
        <f>HYPERLINK("http://141.218.60.56/~jnz1568/getInfo.php?workbook=12_05.xlsx&amp;sheet=U0&amp;row=777&amp;col=7&amp;number=0.00416&amp;sourceID=14","0.00416")</f>
        <v>0.00416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HYPERLINK("http://141.218.60.56/~jnz1568/getInfo.php?workbook=12_05.xlsx&amp;sheet=U0&amp;row=778&amp;col=6&amp;number=4.4&amp;sourceID=14","4.4")</f>
        <v>4.4</v>
      </c>
      <c r="G778" s="4" t="str">
        <f>HYPERLINK("http://141.218.60.56/~jnz1568/getInfo.php?workbook=12_05.xlsx&amp;sheet=U0&amp;row=778&amp;col=7&amp;number=0.00419&amp;sourceID=14","0.00419")</f>
        <v>0.00419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HYPERLINK("http://141.218.60.56/~jnz1568/getInfo.php?workbook=12_05.xlsx&amp;sheet=U0&amp;row=779&amp;col=6&amp;number=4.5&amp;sourceID=14","4.5")</f>
        <v>4.5</v>
      </c>
      <c r="G779" s="4" t="str">
        <f>HYPERLINK("http://141.218.60.56/~jnz1568/getInfo.php?workbook=12_05.xlsx&amp;sheet=U0&amp;row=779&amp;col=7&amp;number=0.00424&amp;sourceID=14","0.00424")</f>
        <v>0.00424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HYPERLINK("http://141.218.60.56/~jnz1568/getInfo.php?workbook=12_05.xlsx&amp;sheet=U0&amp;row=780&amp;col=6&amp;number=4.6&amp;sourceID=14","4.6")</f>
        <v>4.6</v>
      </c>
      <c r="G780" s="4" t="str">
        <f>HYPERLINK("http://141.218.60.56/~jnz1568/getInfo.php?workbook=12_05.xlsx&amp;sheet=U0&amp;row=780&amp;col=7&amp;number=0.00428&amp;sourceID=14","0.00428")</f>
        <v>0.00428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HYPERLINK("http://141.218.60.56/~jnz1568/getInfo.php?workbook=12_05.xlsx&amp;sheet=U0&amp;row=781&amp;col=6&amp;number=4.7&amp;sourceID=14","4.7")</f>
        <v>4.7</v>
      </c>
      <c r="G781" s="4" t="str">
        <f>HYPERLINK("http://141.218.60.56/~jnz1568/getInfo.php?workbook=12_05.xlsx&amp;sheet=U0&amp;row=781&amp;col=7&amp;number=0.00434&amp;sourceID=14","0.00434")</f>
        <v>0.00434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HYPERLINK("http://141.218.60.56/~jnz1568/getInfo.php?workbook=12_05.xlsx&amp;sheet=U0&amp;row=782&amp;col=6&amp;number=4.8&amp;sourceID=14","4.8")</f>
        <v>4.8</v>
      </c>
      <c r="G782" s="4" t="str">
        <f>HYPERLINK("http://141.218.60.56/~jnz1568/getInfo.php?workbook=12_05.xlsx&amp;sheet=U0&amp;row=782&amp;col=7&amp;number=0.00439&amp;sourceID=14","0.00439")</f>
        <v>0.00439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HYPERLINK("http://141.218.60.56/~jnz1568/getInfo.php?workbook=12_05.xlsx&amp;sheet=U0&amp;row=783&amp;col=6&amp;number=4.9&amp;sourceID=14","4.9")</f>
        <v>4.9</v>
      </c>
      <c r="G783" s="4" t="str">
        <f>HYPERLINK("http://141.218.60.56/~jnz1568/getInfo.php?workbook=12_05.xlsx&amp;sheet=U0&amp;row=783&amp;col=7&amp;number=0.00444&amp;sourceID=14","0.00444")</f>
        <v>0.00444</v>
      </c>
    </row>
    <row r="784" spans="1:7">
      <c r="A784" s="3">
        <v>12</v>
      </c>
      <c r="B784" s="3">
        <v>5</v>
      </c>
      <c r="C784" s="3">
        <v>4</v>
      </c>
      <c r="D784" s="3">
        <v>5</v>
      </c>
      <c r="E784" s="3">
        <v>1</v>
      </c>
      <c r="F784" s="4" t="str">
        <f>HYPERLINK("http://141.218.60.56/~jnz1568/getInfo.php?workbook=12_05.xlsx&amp;sheet=U0&amp;row=784&amp;col=6&amp;number=3&amp;sourceID=14","3")</f>
        <v>3</v>
      </c>
      <c r="G784" s="4" t="str">
        <f>HYPERLINK("http://141.218.60.56/~jnz1568/getInfo.php?workbook=12_05.xlsx&amp;sheet=U0&amp;row=784&amp;col=7&amp;number=0.483&amp;sourceID=14","0.483")</f>
        <v>0.483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HYPERLINK("http://141.218.60.56/~jnz1568/getInfo.php?workbook=12_05.xlsx&amp;sheet=U0&amp;row=785&amp;col=6&amp;number=3.1&amp;sourceID=14","3.1")</f>
        <v>3.1</v>
      </c>
      <c r="G785" s="4" t="str">
        <f>HYPERLINK("http://141.218.60.56/~jnz1568/getInfo.php?workbook=12_05.xlsx&amp;sheet=U0&amp;row=785&amp;col=7&amp;number=0.485&amp;sourceID=14","0.485")</f>
        <v>0.485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HYPERLINK("http://141.218.60.56/~jnz1568/getInfo.php?workbook=12_05.xlsx&amp;sheet=U0&amp;row=786&amp;col=6&amp;number=3.2&amp;sourceID=14","3.2")</f>
        <v>3.2</v>
      </c>
      <c r="G786" s="4" t="str">
        <f>HYPERLINK("http://141.218.60.56/~jnz1568/getInfo.php?workbook=12_05.xlsx&amp;sheet=U0&amp;row=786&amp;col=7&amp;number=0.488&amp;sourceID=14","0.488")</f>
        <v>0.488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HYPERLINK("http://141.218.60.56/~jnz1568/getInfo.php?workbook=12_05.xlsx&amp;sheet=U0&amp;row=787&amp;col=6&amp;number=3.3&amp;sourceID=14","3.3")</f>
        <v>3.3</v>
      </c>
      <c r="G787" s="4" t="str">
        <f>HYPERLINK("http://141.218.60.56/~jnz1568/getInfo.php?workbook=12_05.xlsx&amp;sheet=U0&amp;row=787&amp;col=7&amp;number=0.491&amp;sourceID=14","0.491")</f>
        <v>0.491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HYPERLINK("http://141.218.60.56/~jnz1568/getInfo.php?workbook=12_05.xlsx&amp;sheet=U0&amp;row=788&amp;col=6&amp;number=3.4&amp;sourceID=14","3.4")</f>
        <v>3.4</v>
      </c>
      <c r="G788" s="4" t="str">
        <f>HYPERLINK("http://141.218.60.56/~jnz1568/getInfo.php?workbook=12_05.xlsx&amp;sheet=U0&amp;row=788&amp;col=7&amp;number=0.495&amp;sourceID=14","0.495")</f>
        <v>0.495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HYPERLINK("http://141.218.60.56/~jnz1568/getInfo.php?workbook=12_05.xlsx&amp;sheet=U0&amp;row=789&amp;col=6&amp;number=3.5&amp;sourceID=14","3.5")</f>
        <v>3.5</v>
      </c>
      <c r="G789" s="4" t="str">
        <f>HYPERLINK("http://141.218.60.56/~jnz1568/getInfo.php?workbook=12_05.xlsx&amp;sheet=U0&amp;row=789&amp;col=7&amp;number=0.499&amp;sourceID=14","0.499")</f>
        <v>0.499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HYPERLINK("http://141.218.60.56/~jnz1568/getInfo.php?workbook=12_05.xlsx&amp;sheet=U0&amp;row=790&amp;col=6&amp;number=3.6&amp;sourceID=14","3.6")</f>
        <v>3.6</v>
      </c>
      <c r="G790" s="4" t="str">
        <f>HYPERLINK("http://141.218.60.56/~jnz1568/getInfo.php?workbook=12_05.xlsx&amp;sheet=U0&amp;row=790&amp;col=7&amp;number=0.505&amp;sourceID=14","0.505")</f>
        <v>0.505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HYPERLINK("http://141.218.60.56/~jnz1568/getInfo.php?workbook=12_05.xlsx&amp;sheet=U0&amp;row=791&amp;col=6&amp;number=3.7&amp;sourceID=14","3.7")</f>
        <v>3.7</v>
      </c>
      <c r="G791" s="4" t="str">
        <f>HYPERLINK("http://141.218.60.56/~jnz1568/getInfo.php?workbook=12_05.xlsx&amp;sheet=U0&amp;row=791&amp;col=7&amp;number=0.513&amp;sourceID=14","0.513")</f>
        <v>0.513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HYPERLINK("http://141.218.60.56/~jnz1568/getInfo.php?workbook=12_05.xlsx&amp;sheet=U0&amp;row=792&amp;col=6&amp;number=3.8&amp;sourceID=14","3.8")</f>
        <v>3.8</v>
      </c>
      <c r="G792" s="4" t="str">
        <f>HYPERLINK("http://141.218.60.56/~jnz1568/getInfo.php?workbook=12_05.xlsx&amp;sheet=U0&amp;row=792&amp;col=7&amp;number=0.522&amp;sourceID=14","0.522")</f>
        <v>0.522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HYPERLINK("http://141.218.60.56/~jnz1568/getInfo.php?workbook=12_05.xlsx&amp;sheet=U0&amp;row=793&amp;col=6&amp;number=3.9&amp;sourceID=14","3.9")</f>
        <v>3.9</v>
      </c>
      <c r="G793" s="4" t="str">
        <f>HYPERLINK("http://141.218.60.56/~jnz1568/getInfo.php?workbook=12_05.xlsx&amp;sheet=U0&amp;row=793&amp;col=7&amp;number=0.533&amp;sourceID=14","0.533")</f>
        <v>0.533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HYPERLINK("http://141.218.60.56/~jnz1568/getInfo.php?workbook=12_05.xlsx&amp;sheet=U0&amp;row=794&amp;col=6&amp;number=4&amp;sourceID=14","4")</f>
        <v>4</v>
      </c>
      <c r="G794" s="4" t="str">
        <f>HYPERLINK("http://141.218.60.56/~jnz1568/getInfo.php?workbook=12_05.xlsx&amp;sheet=U0&amp;row=794&amp;col=7&amp;number=0.547&amp;sourceID=14","0.547")</f>
        <v>0.547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HYPERLINK("http://141.218.60.56/~jnz1568/getInfo.php?workbook=12_05.xlsx&amp;sheet=U0&amp;row=795&amp;col=6&amp;number=4.1&amp;sourceID=14","4.1")</f>
        <v>4.1</v>
      </c>
      <c r="G795" s="4" t="str">
        <f>HYPERLINK("http://141.218.60.56/~jnz1568/getInfo.php?workbook=12_05.xlsx&amp;sheet=U0&amp;row=795&amp;col=7&amp;number=0.565&amp;sourceID=14","0.565")</f>
        <v>0.565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HYPERLINK("http://141.218.60.56/~jnz1568/getInfo.php?workbook=12_05.xlsx&amp;sheet=U0&amp;row=796&amp;col=6&amp;number=4.2&amp;sourceID=14","4.2")</f>
        <v>4.2</v>
      </c>
      <c r="G796" s="4" t="str">
        <f>HYPERLINK("http://141.218.60.56/~jnz1568/getInfo.php?workbook=12_05.xlsx&amp;sheet=U0&amp;row=796&amp;col=7&amp;number=0.586&amp;sourceID=14","0.586")</f>
        <v>0.586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HYPERLINK("http://141.218.60.56/~jnz1568/getInfo.php?workbook=12_05.xlsx&amp;sheet=U0&amp;row=797&amp;col=6&amp;number=4.3&amp;sourceID=14","4.3")</f>
        <v>4.3</v>
      </c>
      <c r="G797" s="4" t="str">
        <f>HYPERLINK("http://141.218.60.56/~jnz1568/getInfo.php?workbook=12_05.xlsx&amp;sheet=U0&amp;row=797&amp;col=7&amp;number=0.611&amp;sourceID=14","0.611")</f>
        <v>0.611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HYPERLINK("http://141.218.60.56/~jnz1568/getInfo.php?workbook=12_05.xlsx&amp;sheet=U0&amp;row=798&amp;col=6&amp;number=4.4&amp;sourceID=14","4.4")</f>
        <v>4.4</v>
      </c>
      <c r="G798" s="4" t="str">
        <f>HYPERLINK("http://141.218.60.56/~jnz1568/getInfo.php?workbook=12_05.xlsx&amp;sheet=U0&amp;row=798&amp;col=7&amp;number=0.64&amp;sourceID=14","0.64")</f>
        <v>0.64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HYPERLINK("http://141.218.60.56/~jnz1568/getInfo.php?workbook=12_05.xlsx&amp;sheet=U0&amp;row=799&amp;col=6&amp;number=4.5&amp;sourceID=14","4.5")</f>
        <v>4.5</v>
      </c>
      <c r="G799" s="4" t="str">
        <f>HYPERLINK("http://141.218.60.56/~jnz1568/getInfo.php?workbook=12_05.xlsx&amp;sheet=U0&amp;row=799&amp;col=7&amp;number=0.674&amp;sourceID=14","0.674")</f>
        <v>0.674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HYPERLINK("http://141.218.60.56/~jnz1568/getInfo.php?workbook=12_05.xlsx&amp;sheet=U0&amp;row=800&amp;col=6&amp;number=4.6&amp;sourceID=14","4.6")</f>
        <v>4.6</v>
      </c>
      <c r="G800" s="4" t="str">
        <f>HYPERLINK("http://141.218.60.56/~jnz1568/getInfo.php?workbook=12_05.xlsx&amp;sheet=U0&amp;row=800&amp;col=7&amp;number=0.711&amp;sourceID=14","0.711")</f>
        <v>0.711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HYPERLINK("http://141.218.60.56/~jnz1568/getInfo.php?workbook=12_05.xlsx&amp;sheet=U0&amp;row=801&amp;col=6&amp;number=4.7&amp;sourceID=14","4.7")</f>
        <v>4.7</v>
      </c>
      <c r="G801" s="4" t="str">
        <f>HYPERLINK("http://141.218.60.56/~jnz1568/getInfo.php?workbook=12_05.xlsx&amp;sheet=U0&amp;row=801&amp;col=7&amp;number=0.75&amp;sourceID=14","0.75")</f>
        <v>0.75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HYPERLINK("http://141.218.60.56/~jnz1568/getInfo.php?workbook=12_05.xlsx&amp;sheet=U0&amp;row=802&amp;col=6&amp;number=4.8&amp;sourceID=14","4.8")</f>
        <v>4.8</v>
      </c>
      <c r="G802" s="4" t="str">
        <f>HYPERLINK("http://141.218.60.56/~jnz1568/getInfo.php?workbook=12_05.xlsx&amp;sheet=U0&amp;row=802&amp;col=7&amp;number=0.787&amp;sourceID=14","0.787")</f>
        <v>0.787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HYPERLINK("http://141.218.60.56/~jnz1568/getInfo.php?workbook=12_05.xlsx&amp;sheet=U0&amp;row=803&amp;col=6&amp;number=4.9&amp;sourceID=14","4.9")</f>
        <v>4.9</v>
      </c>
      <c r="G803" s="4" t="str">
        <f>HYPERLINK("http://141.218.60.56/~jnz1568/getInfo.php?workbook=12_05.xlsx&amp;sheet=U0&amp;row=803&amp;col=7&amp;number=0.816&amp;sourceID=14","0.816")</f>
        <v>0.816</v>
      </c>
    </row>
    <row r="804" spans="1:7">
      <c r="A804" s="3">
        <v>12</v>
      </c>
      <c r="B804" s="3">
        <v>5</v>
      </c>
      <c r="C804" s="3">
        <v>4</v>
      </c>
      <c r="D804" s="3">
        <v>6</v>
      </c>
      <c r="E804" s="3">
        <v>1</v>
      </c>
      <c r="F804" s="4" t="str">
        <f>HYPERLINK("http://141.218.60.56/~jnz1568/getInfo.php?workbook=12_05.xlsx&amp;sheet=U0&amp;row=804&amp;col=6&amp;number=3&amp;sourceID=14","3")</f>
        <v>3</v>
      </c>
      <c r="G804" s="4" t="str">
        <f>HYPERLINK("http://141.218.60.56/~jnz1568/getInfo.php?workbook=12_05.xlsx&amp;sheet=U0&amp;row=804&amp;col=7&amp;number=0.192&amp;sourceID=14","0.192")</f>
        <v>0.192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HYPERLINK("http://141.218.60.56/~jnz1568/getInfo.php?workbook=12_05.xlsx&amp;sheet=U0&amp;row=805&amp;col=6&amp;number=3.1&amp;sourceID=14","3.1")</f>
        <v>3.1</v>
      </c>
      <c r="G805" s="4" t="str">
        <f>HYPERLINK("http://141.218.60.56/~jnz1568/getInfo.php?workbook=12_05.xlsx&amp;sheet=U0&amp;row=805&amp;col=7&amp;number=0.191&amp;sourceID=14","0.191")</f>
        <v>0.191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HYPERLINK("http://141.218.60.56/~jnz1568/getInfo.php?workbook=12_05.xlsx&amp;sheet=U0&amp;row=806&amp;col=6&amp;number=3.2&amp;sourceID=14","3.2")</f>
        <v>3.2</v>
      </c>
      <c r="G806" s="4" t="str">
        <f>HYPERLINK("http://141.218.60.56/~jnz1568/getInfo.php?workbook=12_05.xlsx&amp;sheet=U0&amp;row=806&amp;col=7&amp;number=0.191&amp;sourceID=14","0.191")</f>
        <v>0.191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HYPERLINK("http://141.218.60.56/~jnz1568/getInfo.php?workbook=12_05.xlsx&amp;sheet=U0&amp;row=807&amp;col=6&amp;number=3.3&amp;sourceID=14","3.3")</f>
        <v>3.3</v>
      </c>
      <c r="G807" s="4" t="str">
        <f>HYPERLINK("http://141.218.60.56/~jnz1568/getInfo.php?workbook=12_05.xlsx&amp;sheet=U0&amp;row=807&amp;col=7&amp;number=0.191&amp;sourceID=14","0.191")</f>
        <v>0.191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HYPERLINK("http://141.218.60.56/~jnz1568/getInfo.php?workbook=12_05.xlsx&amp;sheet=U0&amp;row=808&amp;col=6&amp;number=3.4&amp;sourceID=14","3.4")</f>
        <v>3.4</v>
      </c>
      <c r="G808" s="4" t="str">
        <f>HYPERLINK("http://141.218.60.56/~jnz1568/getInfo.php?workbook=12_05.xlsx&amp;sheet=U0&amp;row=808&amp;col=7&amp;number=0.191&amp;sourceID=14","0.191")</f>
        <v>0.191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HYPERLINK("http://141.218.60.56/~jnz1568/getInfo.php?workbook=12_05.xlsx&amp;sheet=U0&amp;row=809&amp;col=6&amp;number=3.5&amp;sourceID=14","3.5")</f>
        <v>3.5</v>
      </c>
      <c r="G809" s="4" t="str">
        <f>HYPERLINK("http://141.218.60.56/~jnz1568/getInfo.php?workbook=12_05.xlsx&amp;sheet=U0&amp;row=809&amp;col=7&amp;number=0.191&amp;sourceID=14","0.191")</f>
        <v>0.191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HYPERLINK("http://141.218.60.56/~jnz1568/getInfo.php?workbook=12_05.xlsx&amp;sheet=U0&amp;row=810&amp;col=6&amp;number=3.6&amp;sourceID=14","3.6")</f>
        <v>3.6</v>
      </c>
      <c r="G810" s="4" t="str">
        <f>HYPERLINK("http://141.218.60.56/~jnz1568/getInfo.php?workbook=12_05.xlsx&amp;sheet=U0&amp;row=810&amp;col=7&amp;number=0.191&amp;sourceID=14","0.191")</f>
        <v>0.191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HYPERLINK("http://141.218.60.56/~jnz1568/getInfo.php?workbook=12_05.xlsx&amp;sheet=U0&amp;row=811&amp;col=6&amp;number=3.7&amp;sourceID=14","3.7")</f>
        <v>3.7</v>
      </c>
      <c r="G811" s="4" t="str">
        <f>HYPERLINK("http://141.218.60.56/~jnz1568/getInfo.php?workbook=12_05.xlsx&amp;sheet=U0&amp;row=811&amp;col=7&amp;number=0.19&amp;sourceID=14","0.19")</f>
        <v>0.19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HYPERLINK("http://141.218.60.56/~jnz1568/getInfo.php?workbook=12_05.xlsx&amp;sheet=U0&amp;row=812&amp;col=6&amp;number=3.8&amp;sourceID=14","3.8")</f>
        <v>3.8</v>
      </c>
      <c r="G812" s="4" t="str">
        <f>HYPERLINK("http://141.218.60.56/~jnz1568/getInfo.php?workbook=12_05.xlsx&amp;sheet=U0&amp;row=812&amp;col=7&amp;number=0.19&amp;sourceID=14","0.19")</f>
        <v>0.19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HYPERLINK("http://141.218.60.56/~jnz1568/getInfo.php?workbook=12_05.xlsx&amp;sheet=U0&amp;row=813&amp;col=6&amp;number=3.9&amp;sourceID=14","3.9")</f>
        <v>3.9</v>
      </c>
      <c r="G813" s="4" t="str">
        <f>HYPERLINK("http://141.218.60.56/~jnz1568/getInfo.php?workbook=12_05.xlsx&amp;sheet=U0&amp;row=813&amp;col=7&amp;number=0.189&amp;sourceID=14","0.189")</f>
        <v>0.189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HYPERLINK("http://141.218.60.56/~jnz1568/getInfo.php?workbook=12_05.xlsx&amp;sheet=U0&amp;row=814&amp;col=6&amp;number=4&amp;sourceID=14","4")</f>
        <v>4</v>
      </c>
      <c r="G814" s="4" t="str">
        <f>HYPERLINK("http://141.218.60.56/~jnz1568/getInfo.php?workbook=12_05.xlsx&amp;sheet=U0&amp;row=814&amp;col=7&amp;number=0.189&amp;sourceID=14","0.189")</f>
        <v>0.189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HYPERLINK("http://141.218.60.56/~jnz1568/getInfo.php?workbook=12_05.xlsx&amp;sheet=U0&amp;row=815&amp;col=6&amp;number=4.1&amp;sourceID=14","4.1")</f>
        <v>4.1</v>
      </c>
      <c r="G815" s="4" t="str">
        <f>HYPERLINK("http://141.218.60.56/~jnz1568/getInfo.php?workbook=12_05.xlsx&amp;sheet=U0&amp;row=815&amp;col=7&amp;number=0.188&amp;sourceID=14","0.188")</f>
        <v>0.188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HYPERLINK("http://141.218.60.56/~jnz1568/getInfo.php?workbook=12_05.xlsx&amp;sheet=U0&amp;row=816&amp;col=6&amp;number=4.2&amp;sourceID=14","4.2")</f>
        <v>4.2</v>
      </c>
      <c r="G816" s="4" t="str">
        <f>HYPERLINK("http://141.218.60.56/~jnz1568/getInfo.php?workbook=12_05.xlsx&amp;sheet=U0&amp;row=816&amp;col=7&amp;number=0.187&amp;sourceID=14","0.187")</f>
        <v>0.187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HYPERLINK("http://141.218.60.56/~jnz1568/getInfo.php?workbook=12_05.xlsx&amp;sheet=U0&amp;row=817&amp;col=6&amp;number=4.3&amp;sourceID=14","4.3")</f>
        <v>4.3</v>
      </c>
      <c r="G817" s="4" t="str">
        <f>HYPERLINK("http://141.218.60.56/~jnz1568/getInfo.php?workbook=12_05.xlsx&amp;sheet=U0&amp;row=817&amp;col=7&amp;number=0.186&amp;sourceID=14","0.186")</f>
        <v>0.186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HYPERLINK("http://141.218.60.56/~jnz1568/getInfo.php?workbook=12_05.xlsx&amp;sheet=U0&amp;row=818&amp;col=6&amp;number=4.4&amp;sourceID=14","4.4")</f>
        <v>4.4</v>
      </c>
      <c r="G818" s="4" t="str">
        <f>HYPERLINK("http://141.218.60.56/~jnz1568/getInfo.php?workbook=12_05.xlsx&amp;sheet=U0&amp;row=818&amp;col=7&amp;number=0.184&amp;sourceID=14","0.184")</f>
        <v>0.184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HYPERLINK("http://141.218.60.56/~jnz1568/getInfo.php?workbook=12_05.xlsx&amp;sheet=U0&amp;row=819&amp;col=6&amp;number=4.5&amp;sourceID=14","4.5")</f>
        <v>4.5</v>
      </c>
      <c r="G819" s="4" t="str">
        <f>HYPERLINK("http://141.218.60.56/~jnz1568/getInfo.php?workbook=12_05.xlsx&amp;sheet=U0&amp;row=819&amp;col=7&amp;number=0.182&amp;sourceID=14","0.182")</f>
        <v>0.182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HYPERLINK("http://141.218.60.56/~jnz1568/getInfo.php?workbook=12_05.xlsx&amp;sheet=U0&amp;row=820&amp;col=6&amp;number=4.6&amp;sourceID=14","4.6")</f>
        <v>4.6</v>
      </c>
      <c r="G820" s="4" t="str">
        <f>HYPERLINK("http://141.218.60.56/~jnz1568/getInfo.php?workbook=12_05.xlsx&amp;sheet=U0&amp;row=820&amp;col=7&amp;number=0.18&amp;sourceID=14","0.18")</f>
        <v>0.18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HYPERLINK("http://141.218.60.56/~jnz1568/getInfo.php?workbook=12_05.xlsx&amp;sheet=U0&amp;row=821&amp;col=6&amp;number=4.7&amp;sourceID=14","4.7")</f>
        <v>4.7</v>
      </c>
      <c r="G821" s="4" t="str">
        <f>HYPERLINK("http://141.218.60.56/~jnz1568/getInfo.php?workbook=12_05.xlsx&amp;sheet=U0&amp;row=821&amp;col=7&amp;number=0.177&amp;sourceID=14","0.177")</f>
        <v>0.177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HYPERLINK("http://141.218.60.56/~jnz1568/getInfo.php?workbook=12_05.xlsx&amp;sheet=U0&amp;row=822&amp;col=6&amp;number=4.8&amp;sourceID=14","4.8")</f>
        <v>4.8</v>
      </c>
      <c r="G822" s="4" t="str">
        <f>HYPERLINK("http://141.218.60.56/~jnz1568/getInfo.php?workbook=12_05.xlsx&amp;sheet=U0&amp;row=822&amp;col=7&amp;number=0.174&amp;sourceID=14","0.174")</f>
        <v>0.174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HYPERLINK("http://141.218.60.56/~jnz1568/getInfo.php?workbook=12_05.xlsx&amp;sheet=U0&amp;row=823&amp;col=6&amp;number=4.9&amp;sourceID=14","4.9")</f>
        <v>4.9</v>
      </c>
      <c r="G823" s="4" t="str">
        <f>HYPERLINK("http://141.218.60.56/~jnz1568/getInfo.php?workbook=12_05.xlsx&amp;sheet=U0&amp;row=823&amp;col=7&amp;number=0.17&amp;sourceID=14","0.17")</f>
        <v>0.17</v>
      </c>
    </row>
    <row r="824" spans="1:7">
      <c r="A824" s="3">
        <v>12</v>
      </c>
      <c r="B824" s="3">
        <v>5</v>
      </c>
      <c r="C824" s="3">
        <v>4</v>
      </c>
      <c r="D824" s="3">
        <v>7</v>
      </c>
      <c r="E824" s="3">
        <v>1</v>
      </c>
      <c r="F824" s="4" t="str">
        <f>HYPERLINK("http://141.218.60.56/~jnz1568/getInfo.php?workbook=12_05.xlsx&amp;sheet=U0&amp;row=824&amp;col=6&amp;number=3&amp;sourceID=14","3")</f>
        <v>3</v>
      </c>
      <c r="G824" s="4" t="str">
        <f>HYPERLINK("http://141.218.60.56/~jnz1568/getInfo.php?workbook=12_05.xlsx&amp;sheet=U0&amp;row=824&amp;col=7&amp;number=0.199&amp;sourceID=14","0.199")</f>
        <v>0.199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HYPERLINK("http://141.218.60.56/~jnz1568/getInfo.php?workbook=12_05.xlsx&amp;sheet=U0&amp;row=825&amp;col=6&amp;number=3.1&amp;sourceID=14","3.1")</f>
        <v>3.1</v>
      </c>
      <c r="G825" s="4" t="str">
        <f>HYPERLINK("http://141.218.60.56/~jnz1568/getInfo.php?workbook=12_05.xlsx&amp;sheet=U0&amp;row=825&amp;col=7&amp;number=0.199&amp;sourceID=14","0.199")</f>
        <v>0.199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HYPERLINK("http://141.218.60.56/~jnz1568/getInfo.php?workbook=12_05.xlsx&amp;sheet=U0&amp;row=826&amp;col=6&amp;number=3.2&amp;sourceID=14","3.2")</f>
        <v>3.2</v>
      </c>
      <c r="G826" s="4" t="str">
        <f>HYPERLINK("http://141.218.60.56/~jnz1568/getInfo.php?workbook=12_05.xlsx&amp;sheet=U0&amp;row=826&amp;col=7&amp;number=0.199&amp;sourceID=14","0.199")</f>
        <v>0.199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HYPERLINK("http://141.218.60.56/~jnz1568/getInfo.php?workbook=12_05.xlsx&amp;sheet=U0&amp;row=827&amp;col=6&amp;number=3.3&amp;sourceID=14","3.3")</f>
        <v>3.3</v>
      </c>
      <c r="G827" s="4" t="str">
        <f>HYPERLINK("http://141.218.60.56/~jnz1568/getInfo.php?workbook=12_05.xlsx&amp;sheet=U0&amp;row=827&amp;col=7&amp;number=0.199&amp;sourceID=14","0.199")</f>
        <v>0.199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HYPERLINK("http://141.218.60.56/~jnz1568/getInfo.php?workbook=12_05.xlsx&amp;sheet=U0&amp;row=828&amp;col=6&amp;number=3.4&amp;sourceID=14","3.4")</f>
        <v>3.4</v>
      </c>
      <c r="G828" s="4" t="str">
        <f>HYPERLINK("http://141.218.60.56/~jnz1568/getInfo.php?workbook=12_05.xlsx&amp;sheet=U0&amp;row=828&amp;col=7&amp;number=0.199&amp;sourceID=14","0.199")</f>
        <v>0.199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HYPERLINK("http://141.218.60.56/~jnz1568/getInfo.php?workbook=12_05.xlsx&amp;sheet=U0&amp;row=829&amp;col=6&amp;number=3.5&amp;sourceID=14","3.5")</f>
        <v>3.5</v>
      </c>
      <c r="G829" s="4" t="str">
        <f>HYPERLINK("http://141.218.60.56/~jnz1568/getInfo.php?workbook=12_05.xlsx&amp;sheet=U0&amp;row=829&amp;col=7&amp;number=0.198&amp;sourceID=14","0.198")</f>
        <v>0.198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HYPERLINK("http://141.218.60.56/~jnz1568/getInfo.php?workbook=12_05.xlsx&amp;sheet=U0&amp;row=830&amp;col=6&amp;number=3.6&amp;sourceID=14","3.6")</f>
        <v>3.6</v>
      </c>
      <c r="G830" s="4" t="str">
        <f>HYPERLINK("http://141.218.60.56/~jnz1568/getInfo.php?workbook=12_05.xlsx&amp;sheet=U0&amp;row=830&amp;col=7&amp;number=0.198&amp;sourceID=14","0.198")</f>
        <v>0.198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HYPERLINK("http://141.218.60.56/~jnz1568/getInfo.php?workbook=12_05.xlsx&amp;sheet=U0&amp;row=831&amp;col=6&amp;number=3.7&amp;sourceID=14","3.7")</f>
        <v>3.7</v>
      </c>
      <c r="G831" s="4" t="str">
        <f>HYPERLINK("http://141.218.60.56/~jnz1568/getInfo.php?workbook=12_05.xlsx&amp;sheet=U0&amp;row=831&amp;col=7&amp;number=0.198&amp;sourceID=14","0.198")</f>
        <v>0.198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HYPERLINK("http://141.218.60.56/~jnz1568/getInfo.php?workbook=12_05.xlsx&amp;sheet=U0&amp;row=832&amp;col=6&amp;number=3.8&amp;sourceID=14","3.8")</f>
        <v>3.8</v>
      </c>
      <c r="G832" s="4" t="str">
        <f>HYPERLINK("http://141.218.60.56/~jnz1568/getInfo.php?workbook=12_05.xlsx&amp;sheet=U0&amp;row=832&amp;col=7&amp;number=0.198&amp;sourceID=14","0.198")</f>
        <v>0.198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HYPERLINK("http://141.218.60.56/~jnz1568/getInfo.php?workbook=12_05.xlsx&amp;sheet=U0&amp;row=833&amp;col=6&amp;number=3.9&amp;sourceID=14","3.9")</f>
        <v>3.9</v>
      </c>
      <c r="G833" s="4" t="str">
        <f>HYPERLINK("http://141.218.60.56/~jnz1568/getInfo.php?workbook=12_05.xlsx&amp;sheet=U0&amp;row=833&amp;col=7&amp;number=0.197&amp;sourceID=14","0.197")</f>
        <v>0.197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HYPERLINK("http://141.218.60.56/~jnz1568/getInfo.php?workbook=12_05.xlsx&amp;sheet=U0&amp;row=834&amp;col=6&amp;number=4&amp;sourceID=14","4")</f>
        <v>4</v>
      </c>
      <c r="G834" s="4" t="str">
        <f>HYPERLINK("http://141.218.60.56/~jnz1568/getInfo.php?workbook=12_05.xlsx&amp;sheet=U0&amp;row=834&amp;col=7&amp;number=0.197&amp;sourceID=14","0.197")</f>
        <v>0.197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HYPERLINK("http://141.218.60.56/~jnz1568/getInfo.php?workbook=12_05.xlsx&amp;sheet=U0&amp;row=835&amp;col=6&amp;number=4.1&amp;sourceID=14","4.1")</f>
        <v>4.1</v>
      </c>
      <c r="G835" s="4" t="str">
        <f>HYPERLINK("http://141.218.60.56/~jnz1568/getInfo.php?workbook=12_05.xlsx&amp;sheet=U0&amp;row=835&amp;col=7&amp;number=0.196&amp;sourceID=14","0.196")</f>
        <v>0.196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HYPERLINK("http://141.218.60.56/~jnz1568/getInfo.php?workbook=12_05.xlsx&amp;sheet=U0&amp;row=836&amp;col=6&amp;number=4.2&amp;sourceID=14","4.2")</f>
        <v>4.2</v>
      </c>
      <c r="G836" s="4" t="str">
        <f>HYPERLINK("http://141.218.60.56/~jnz1568/getInfo.php?workbook=12_05.xlsx&amp;sheet=U0&amp;row=836&amp;col=7&amp;number=0.195&amp;sourceID=14","0.195")</f>
        <v>0.195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HYPERLINK("http://141.218.60.56/~jnz1568/getInfo.php?workbook=12_05.xlsx&amp;sheet=U0&amp;row=837&amp;col=6&amp;number=4.3&amp;sourceID=14","4.3")</f>
        <v>4.3</v>
      </c>
      <c r="G837" s="4" t="str">
        <f>HYPERLINK("http://141.218.60.56/~jnz1568/getInfo.php?workbook=12_05.xlsx&amp;sheet=U0&amp;row=837&amp;col=7&amp;number=0.194&amp;sourceID=14","0.194")</f>
        <v>0.194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HYPERLINK("http://141.218.60.56/~jnz1568/getInfo.php?workbook=12_05.xlsx&amp;sheet=U0&amp;row=838&amp;col=6&amp;number=4.4&amp;sourceID=14","4.4")</f>
        <v>4.4</v>
      </c>
      <c r="G838" s="4" t="str">
        <f>HYPERLINK("http://141.218.60.56/~jnz1568/getInfo.php?workbook=12_05.xlsx&amp;sheet=U0&amp;row=838&amp;col=7&amp;number=0.193&amp;sourceID=14","0.193")</f>
        <v>0.193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HYPERLINK("http://141.218.60.56/~jnz1568/getInfo.php?workbook=12_05.xlsx&amp;sheet=U0&amp;row=839&amp;col=6&amp;number=4.5&amp;sourceID=14","4.5")</f>
        <v>4.5</v>
      </c>
      <c r="G839" s="4" t="str">
        <f>HYPERLINK("http://141.218.60.56/~jnz1568/getInfo.php?workbook=12_05.xlsx&amp;sheet=U0&amp;row=839&amp;col=7&amp;number=0.192&amp;sourceID=14","0.192")</f>
        <v>0.192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HYPERLINK("http://141.218.60.56/~jnz1568/getInfo.php?workbook=12_05.xlsx&amp;sheet=U0&amp;row=840&amp;col=6&amp;number=4.6&amp;sourceID=14","4.6")</f>
        <v>4.6</v>
      </c>
      <c r="G840" s="4" t="str">
        <f>HYPERLINK("http://141.218.60.56/~jnz1568/getInfo.php?workbook=12_05.xlsx&amp;sheet=U0&amp;row=840&amp;col=7&amp;number=0.19&amp;sourceID=14","0.19")</f>
        <v>0.19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HYPERLINK("http://141.218.60.56/~jnz1568/getInfo.php?workbook=12_05.xlsx&amp;sheet=U0&amp;row=841&amp;col=6&amp;number=4.7&amp;sourceID=14","4.7")</f>
        <v>4.7</v>
      </c>
      <c r="G841" s="4" t="str">
        <f>HYPERLINK("http://141.218.60.56/~jnz1568/getInfo.php?workbook=12_05.xlsx&amp;sheet=U0&amp;row=841&amp;col=7&amp;number=0.187&amp;sourceID=14","0.187")</f>
        <v>0.187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HYPERLINK("http://141.218.60.56/~jnz1568/getInfo.php?workbook=12_05.xlsx&amp;sheet=U0&amp;row=842&amp;col=6&amp;number=4.8&amp;sourceID=14","4.8")</f>
        <v>4.8</v>
      </c>
      <c r="G842" s="4" t="str">
        <f>HYPERLINK("http://141.218.60.56/~jnz1568/getInfo.php?workbook=12_05.xlsx&amp;sheet=U0&amp;row=842&amp;col=7&amp;number=0.184&amp;sourceID=14","0.184")</f>
        <v>0.184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HYPERLINK("http://141.218.60.56/~jnz1568/getInfo.php?workbook=12_05.xlsx&amp;sheet=U0&amp;row=843&amp;col=6&amp;number=4.9&amp;sourceID=14","4.9")</f>
        <v>4.9</v>
      </c>
      <c r="G843" s="4" t="str">
        <f>HYPERLINK("http://141.218.60.56/~jnz1568/getInfo.php?workbook=12_05.xlsx&amp;sheet=U0&amp;row=843&amp;col=7&amp;number=0.181&amp;sourceID=14","0.181")</f>
        <v>0.181</v>
      </c>
    </row>
    <row r="844" spans="1:7">
      <c r="A844" s="3">
        <v>12</v>
      </c>
      <c r="B844" s="3">
        <v>5</v>
      </c>
      <c r="C844" s="3">
        <v>4</v>
      </c>
      <c r="D844" s="3">
        <v>8</v>
      </c>
      <c r="E844" s="3">
        <v>1</v>
      </c>
      <c r="F844" s="4" t="str">
        <f>HYPERLINK("http://141.218.60.56/~jnz1568/getInfo.php?workbook=12_05.xlsx&amp;sheet=U0&amp;row=844&amp;col=6&amp;number=3&amp;sourceID=14","3")</f>
        <v>3</v>
      </c>
      <c r="G844" s="4" t="str">
        <f>HYPERLINK("http://141.218.60.56/~jnz1568/getInfo.php?workbook=12_05.xlsx&amp;sheet=U0&amp;row=844&amp;col=7&amp;number=0.0495&amp;sourceID=14","0.0495")</f>
        <v>0.0495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HYPERLINK("http://141.218.60.56/~jnz1568/getInfo.php?workbook=12_05.xlsx&amp;sheet=U0&amp;row=845&amp;col=6&amp;number=3.1&amp;sourceID=14","3.1")</f>
        <v>3.1</v>
      </c>
      <c r="G845" s="4" t="str">
        <f>HYPERLINK("http://141.218.60.56/~jnz1568/getInfo.php?workbook=12_05.xlsx&amp;sheet=U0&amp;row=845&amp;col=7&amp;number=0.0494&amp;sourceID=14","0.0494")</f>
        <v>0.0494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HYPERLINK("http://141.218.60.56/~jnz1568/getInfo.php?workbook=12_05.xlsx&amp;sheet=U0&amp;row=846&amp;col=6&amp;number=3.2&amp;sourceID=14","3.2")</f>
        <v>3.2</v>
      </c>
      <c r="G846" s="4" t="str">
        <f>HYPERLINK("http://141.218.60.56/~jnz1568/getInfo.php?workbook=12_05.xlsx&amp;sheet=U0&amp;row=846&amp;col=7&amp;number=0.0494&amp;sourceID=14","0.0494")</f>
        <v>0.0494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HYPERLINK("http://141.218.60.56/~jnz1568/getInfo.php?workbook=12_05.xlsx&amp;sheet=U0&amp;row=847&amp;col=6&amp;number=3.3&amp;sourceID=14","3.3")</f>
        <v>3.3</v>
      </c>
      <c r="G847" s="4" t="str">
        <f>HYPERLINK("http://141.218.60.56/~jnz1568/getInfo.php?workbook=12_05.xlsx&amp;sheet=U0&amp;row=847&amp;col=7&amp;number=0.0493&amp;sourceID=14","0.0493")</f>
        <v>0.0493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HYPERLINK("http://141.218.60.56/~jnz1568/getInfo.php?workbook=12_05.xlsx&amp;sheet=U0&amp;row=848&amp;col=6&amp;number=3.4&amp;sourceID=14","3.4")</f>
        <v>3.4</v>
      </c>
      <c r="G848" s="4" t="str">
        <f>HYPERLINK("http://141.218.60.56/~jnz1568/getInfo.php?workbook=12_05.xlsx&amp;sheet=U0&amp;row=848&amp;col=7&amp;number=0.0492&amp;sourceID=14","0.0492")</f>
        <v>0.0492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HYPERLINK("http://141.218.60.56/~jnz1568/getInfo.php?workbook=12_05.xlsx&amp;sheet=U0&amp;row=849&amp;col=6&amp;number=3.5&amp;sourceID=14","3.5")</f>
        <v>3.5</v>
      </c>
      <c r="G849" s="4" t="str">
        <f>HYPERLINK("http://141.218.60.56/~jnz1568/getInfo.php?workbook=12_05.xlsx&amp;sheet=U0&amp;row=849&amp;col=7&amp;number=0.0491&amp;sourceID=14","0.0491")</f>
        <v>0.0491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HYPERLINK("http://141.218.60.56/~jnz1568/getInfo.php?workbook=12_05.xlsx&amp;sheet=U0&amp;row=850&amp;col=6&amp;number=3.6&amp;sourceID=14","3.6")</f>
        <v>3.6</v>
      </c>
      <c r="G850" s="4" t="str">
        <f>HYPERLINK("http://141.218.60.56/~jnz1568/getInfo.php?workbook=12_05.xlsx&amp;sheet=U0&amp;row=850&amp;col=7&amp;number=0.049&amp;sourceID=14","0.049")</f>
        <v>0.049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HYPERLINK("http://141.218.60.56/~jnz1568/getInfo.php?workbook=12_05.xlsx&amp;sheet=U0&amp;row=851&amp;col=6&amp;number=3.7&amp;sourceID=14","3.7")</f>
        <v>3.7</v>
      </c>
      <c r="G851" s="4" t="str">
        <f>HYPERLINK("http://141.218.60.56/~jnz1568/getInfo.php?workbook=12_05.xlsx&amp;sheet=U0&amp;row=851&amp;col=7&amp;number=0.0488&amp;sourceID=14","0.0488")</f>
        <v>0.0488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HYPERLINK("http://141.218.60.56/~jnz1568/getInfo.php?workbook=12_05.xlsx&amp;sheet=U0&amp;row=852&amp;col=6&amp;number=3.8&amp;sourceID=14","3.8")</f>
        <v>3.8</v>
      </c>
      <c r="G852" s="4" t="str">
        <f>HYPERLINK("http://141.218.60.56/~jnz1568/getInfo.php?workbook=12_05.xlsx&amp;sheet=U0&amp;row=852&amp;col=7&amp;number=0.0486&amp;sourceID=14","0.0486")</f>
        <v>0.0486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HYPERLINK("http://141.218.60.56/~jnz1568/getInfo.php?workbook=12_05.xlsx&amp;sheet=U0&amp;row=853&amp;col=6&amp;number=3.9&amp;sourceID=14","3.9")</f>
        <v>3.9</v>
      </c>
      <c r="G853" s="4" t="str">
        <f>HYPERLINK("http://141.218.60.56/~jnz1568/getInfo.php?workbook=12_05.xlsx&amp;sheet=U0&amp;row=853&amp;col=7&amp;number=0.0484&amp;sourceID=14","0.0484")</f>
        <v>0.0484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HYPERLINK("http://141.218.60.56/~jnz1568/getInfo.php?workbook=12_05.xlsx&amp;sheet=U0&amp;row=854&amp;col=6&amp;number=4&amp;sourceID=14","4")</f>
        <v>4</v>
      </c>
      <c r="G854" s="4" t="str">
        <f>HYPERLINK("http://141.218.60.56/~jnz1568/getInfo.php?workbook=12_05.xlsx&amp;sheet=U0&amp;row=854&amp;col=7&amp;number=0.0481&amp;sourceID=14","0.0481")</f>
        <v>0.0481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HYPERLINK("http://141.218.60.56/~jnz1568/getInfo.php?workbook=12_05.xlsx&amp;sheet=U0&amp;row=855&amp;col=6&amp;number=4.1&amp;sourceID=14","4.1")</f>
        <v>4.1</v>
      </c>
      <c r="G855" s="4" t="str">
        <f>HYPERLINK("http://141.218.60.56/~jnz1568/getInfo.php?workbook=12_05.xlsx&amp;sheet=U0&amp;row=855&amp;col=7&amp;number=0.0477&amp;sourceID=14","0.0477")</f>
        <v>0.0477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HYPERLINK("http://141.218.60.56/~jnz1568/getInfo.php?workbook=12_05.xlsx&amp;sheet=U0&amp;row=856&amp;col=6&amp;number=4.2&amp;sourceID=14","4.2")</f>
        <v>4.2</v>
      </c>
      <c r="G856" s="4" t="str">
        <f>HYPERLINK("http://141.218.60.56/~jnz1568/getInfo.php?workbook=12_05.xlsx&amp;sheet=U0&amp;row=856&amp;col=7&amp;number=0.0473&amp;sourceID=14","0.0473")</f>
        <v>0.0473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HYPERLINK("http://141.218.60.56/~jnz1568/getInfo.php?workbook=12_05.xlsx&amp;sheet=U0&amp;row=857&amp;col=6&amp;number=4.3&amp;sourceID=14","4.3")</f>
        <v>4.3</v>
      </c>
      <c r="G857" s="4" t="str">
        <f>HYPERLINK("http://141.218.60.56/~jnz1568/getInfo.php?workbook=12_05.xlsx&amp;sheet=U0&amp;row=857&amp;col=7&amp;number=0.0467&amp;sourceID=14","0.0467")</f>
        <v>0.0467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HYPERLINK("http://141.218.60.56/~jnz1568/getInfo.php?workbook=12_05.xlsx&amp;sheet=U0&amp;row=858&amp;col=6&amp;number=4.4&amp;sourceID=14","4.4")</f>
        <v>4.4</v>
      </c>
      <c r="G858" s="4" t="str">
        <f>HYPERLINK("http://141.218.60.56/~jnz1568/getInfo.php?workbook=12_05.xlsx&amp;sheet=U0&amp;row=858&amp;col=7&amp;number=0.046&amp;sourceID=14","0.046")</f>
        <v>0.046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HYPERLINK("http://141.218.60.56/~jnz1568/getInfo.php?workbook=12_05.xlsx&amp;sheet=U0&amp;row=859&amp;col=6&amp;number=4.5&amp;sourceID=14","4.5")</f>
        <v>4.5</v>
      </c>
      <c r="G859" s="4" t="str">
        <f>HYPERLINK("http://141.218.60.56/~jnz1568/getInfo.php?workbook=12_05.xlsx&amp;sheet=U0&amp;row=859&amp;col=7&amp;number=0.0453&amp;sourceID=14","0.0453")</f>
        <v>0.0453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HYPERLINK("http://141.218.60.56/~jnz1568/getInfo.php?workbook=12_05.xlsx&amp;sheet=U0&amp;row=860&amp;col=6&amp;number=4.6&amp;sourceID=14","4.6")</f>
        <v>4.6</v>
      </c>
      <c r="G860" s="4" t="str">
        <f>HYPERLINK("http://141.218.60.56/~jnz1568/getInfo.php?workbook=12_05.xlsx&amp;sheet=U0&amp;row=860&amp;col=7&amp;number=0.0443&amp;sourceID=14","0.0443")</f>
        <v>0.0443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HYPERLINK("http://141.218.60.56/~jnz1568/getInfo.php?workbook=12_05.xlsx&amp;sheet=U0&amp;row=861&amp;col=6&amp;number=4.7&amp;sourceID=14","4.7")</f>
        <v>4.7</v>
      </c>
      <c r="G861" s="4" t="str">
        <f>HYPERLINK("http://141.218.60.56/~jnz1568/getInfo.php?workbook=12_05.xlsx&amp;sheet=U0&amp;row=861&amp;col=7&amp;number=0.0433&amp;sourceID=14","0.0433")</f>
        <v>0.0433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HYPERLINK("http://141.218.60.56/~jnz1568/getInfo.php?workbook=12_05.xlsx&amp;sheet=U0&amp;row=862&amp;col=6&amp;number=4.8&amp;sourceID=14","4.8")</f>
        <v>4.8</v>
      </c>
      <c r="G862" s="4" t="str">
        <f>HYPERLINK("http://141.218.60.56/~jnz1568/getInfo.php?workbook=12_05.xlsx&amp;sheet=U0&amp;row=862&amp;col=7&amp;number=0.0421&amp;sourceID=14","0.0421")</f>
        <v>0.0421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HYPERLINK("http://141.218.60.56/~jnz1568/getInfo.php?workbook=12_05.xlsx&amp;sheet=U0&amp;row=863&amp;col=6&amp;number=4.9&amp;sourceID=14","4.9")</f>
        <v>4.9</v>
      </c>
      <c r="G863" s="4" t="str">
        <f>HYPERLINK("http://141.218.60.56/~jnz1568/getInfo.php?workbook=12_05.xlsx&amp;sheet=U0&amp;row=863&amp;col=7&amp;number=0.0408&amp;sourceID=14","0.0408")</f>
        <v>0.0408</v>
      </c>
    </row>
    <row r="864" spans="1:7">
      <c r="A864" s="3">
        <v>12</v>
      </c>
      <c r="B864" s="3">
        <v>5</v>
      </c>
      <c r="C864" s="3">
        <v>4</v>
      </c>
      <c r="D864" s="3">
        <v>9</v>
      </c>
      <c r="E864" s="3">
        <v>1</v>
      </c>
      <c r="F864" s="4" t="str">
        <f>HYPERLINK("http://141.218.60.56/~jnz1568/getInfo.php?workbook=12_05.xlsx&amp;sheet=U0&amp;row=864&amp;col=6&amp;number=3&amp;sourceID=14","3")</f>
        <v>3</v>
      </c>
      <c r="G864" s="4" t="str">
        <f>HYPERLINK("http://141.218.60.56/~jnz1568/getInfo.php?workbook=12_05.xlsx&amp;sheet=U0&amp;row=864&amp;col=7&amp;number=0.0267&amp;sourceID=14","0.0267")</f>
        <v>0.0267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HYPERLINK("http://141.218.60.56/~jnz1568/getInfo.php?workbook=12_05.xlsx&amp;sheet=U0&amp;row=865&amp;col=6&amp;number=3.1&amp;sourceID=14","3.1")</f>
        <v>3.1</v>
      </c>
      <c r="G865" s="4" t="str">
        <f>HYPERLINK("http://141.218.60.56/~jnz1568/getInfo.php?workbook=12_05.xlsx&amp;sheet=U0&amp;row=865&amp;col=7&amp;number=0.0269&amp;sourceID=14","0.0269")</f>
        <v>0.0269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HYPERLINK("http://141.218.60.56/~jnz1568/getInfo.php?workbook=12_05.xlsx&amp;sheet=U0&amp;row=866&amp;col=6&amp;number=3.2&amp;sourceID=14","3.2")</f>
        <v>3.2</v>
      </c>
      <c r="G866" s="4" t="str">
        <f>HYPERLINK("http://141.218.60.56/~jnz1568/getInfo.php?workbook=12_05.xlsx&amp;sheet=U0&amp;row=866&amp;col=7&amp;number=0.0271&amp;sourceID=14","0.0271")</f>
        <v>0.0271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HYPERLINK("http://141.218.60.56/~jnz1568/getInfo.php?workbook=12_05.xlsx&amp;sheet=U0&amp;row=867&amp;col=6&amp;number=3.3&amp;sourceID=14","3.3")</f>
        <v>3.3</v>
      </c>
      <c r="G867" s="4" t="str">
        <f>HYPERLINK("http://141.218.60.56/~jnz1568/getInfo.php?workbook=12_05.xlsx&amp;sheet=U0&amp;row=867&amp;col=7&amp;number=0.0274&amp;sourceID=14","0.0274")</f>
        <v>0.0274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HYPERLINK("http://141.218.60.56/~jnz1568/getInfo.php?workbook=12_05.xlsx&amp;sheet=U0&amp;row=868&amp;col=6&amp;number=3.4&amp;sourceID=14","3.4")</f>
        <v>3.4</v>
      </c>
      <c r="G868" s="4" t="str">
        <f>HYPERLINK("http://141.218.60.56/~jnz1568/getInfo.php?workbook=12_05.xlsx&amp;sheet=U0&amp;row=868&amp;col=7&amp;number=0.0278&amp;sourceID=14","0.0278")</f>
        <v>0.0278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HYPERLINK("http://141.218.60.56/~jnz1568/getInfo.php?workbook=12_05.xlsx&amp;sheet=U0&amp;row=869&amp;col=6&amp;number=3.5&amp;sourceID=14","3.5")</f>
        <v>3.5</v>
      </c>
      <c r="G869" s="4" t="str">
        <f>HYPERLINK("http://141.218.60.56/~jnz1568/getInfo.php?workbook=12_05.xlsx&amp;sheet=U0&amp;row=869&amp;col=7&amp;number=0.0282&amp;sourceID=14","0.0282")</f>
        <v>0.0282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HYPERLINK("http://141.218.60.56/~jnz1568/getInfo.php?workbook=12_05.xlsx&amp;sheet=U0&amp;row=870&amp;col=6&amp;number=3.6&amp;sourceID=14","3.6")</f>
        <v>3.6</v>
      </c>
      <c r="G870" s="4" t="str">
        <f>HYPERLINK("http://141.218.60.56/~jnz1568/getInfo.php?workbook=12_05.xlsx&amp;sheet=U0&amp;row=870&amp;col=7&amp;number=0.0287&amp;sourceID=14","0.0287")</f>
        <v>0.0287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HYPERLINK("http://141.218.60.56/~jnz1568/getInfo.php?workbook=12_05.xlsx&amp;sheet=U0&amp;row=871&amp;col=6&amp;number=3.7&amp;sourceID=14","3.7")</f>
        <v>3.7</v>
      </c>
      <c r="G871" s="4" t="str">
        <f>HYPERLINK("http://141.218.60.56/~jnz1568/getInfo.php?workbook=12_05.xlsx&amp;sheet=U0&amp;row=871&amp;col=7&amp;number=0.0294&amp;sourceID=14","0.0294")</f>
        <v>0.0294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HYPERLINK("http://141.218.60.56/~jnz1568/getInfo.php?workbook=12_05.xlsx&amp;sheet=U0&amp;row=872&amp;col=6&amp;number=3.8&amp;sourceID=14","3.8")</f>
        <v>3.8</v>
      </c>
      <c r="G872" s="4" t="str">
        <f>HYPERLINK("http://141.218.60.56/~jnz1568/getInfo.php?workbook=12_05.xlsx&amp;sheet=U0&amp;row=872&amp;col=7&amp;number=0.0303&amp;sourceID=14","0.0303")</f>
        <v>0.0303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HYPERLINK("http://141.218.60.56/~jnz1568/getInfo.php?workbook=12_05.xlsx&amp;sheet=U0&amp;row=873&amp;col=6&amp;number=3.9&amp;sourceID=14","3.9")</f>
        <v>3.9</v>
      </c>
      <c r="G873" s="4" t="str">
        <f>HYPERLINK("http://141.218.60.56/~jnz1568/getInfo.php?workbook=12_05.xlsx&amp;sheet=U0&amp;row=873&amp;col=7&amp;number=0.0313&amp;sourceID=14","0.0313")</f>
        <v>0.0313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HYPERLINK("http://141.218.60.56/~jnz1568/getInfo.php?workbook=12_05.xlsx&amp;sheet=U0&amp;row=874&amp;col=6&amp;number=4&amp;sourceID=14","4")</f>
        <v>4</v>
      </c>
      <c r="G874" s="4" t="str">
        <f>HYPERLINK("http://141.218.60.56/~jnz1568/getInfo.php?workbook=12_05.xlsx&amp;sheet=U0&amp;row=874&amp;col=7&amp;number=0.0325&amp;sourceID=14","0.0325")</f>
        <v>0.0325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HYPERLINK("http://141.218.60.56/~jnz1568/getInfo.php?workbook=12_05.xlsx&amp;sheet=U0&amp;row=875&amp;col=6&amp;number=4.1&amp;sourceID=14","4.1")</f>
        <v>4.1</v>
      </c>
      <c r="G875" s="4" t="str">
        <f>HYPERLINK("http://141.218.60.56/~jnz1568/getInfo.php?workbook=12_05.xlsx&amp;sheet=U0&amp;row=875&amp;col=7&amp;number=0.034&amp;sourceID=14","0.034")</f>
        <v>0.034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HYPERLINK("http://141.218.60.56/~jnz1568/getInfo.php?workbook=12_05.xlsx&amp;sheet=U0&amp;row=876&amp;col=6&amp;number=4.2&amp;sourceID=14","4.2")</f>
        <v>4.2</v>
      </c>
      <c r="G876" s="4" t="str">
        <f>HYPERLINK("http://141.218.60.56/~jnz1568/getInfo.php?workbook=12_05.xlsx&amp;sheet=U0&amp;row=876&amp;col=7&amp;number=0.0357&amp;sourceID=14","0.0357")</f>
        <v>0.0357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HYPERLINK("http://141.218.60.56/~jnz1568/getInfo.php?workbook=12_05.xlsx&amp;sheet=U0&amp;row=877&amp;col=6&amp;number=4.3&amp;sourceID=14","4.3")</f>
        <v>4.3</v>
      </c>
      <c r="G877" s="4" t="str">
        <f>HYPERLINK("http://141.218.60.56/~jnz1568/getInfo.php?workbook=12_05.xlsx&amp;sheet=U0&amp;row=877&amp;col=7&amp;number=0.0376&amp;sourceID=14","0.0376")</f>
        <v>0.0376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HYPERLINK("http://141.218.60.56/~jnz1568/getInfo.php?workbook=12_05.xlsx&amp;sheet=U0&amp;row=878&amp;col=6&amp;number=4.4&amp;sourceID=14","4.4")</f>
        <v>4.4</v>
      </c>
      <c r="G878" s="4" t="str">
        <f>HYPERLINK("http://141.218.60.56/~jnz1568/getInfo.php?workbook=12_05.xlsx&amp;sheet=U0&amp;row=878&amp;col=7&amp;number=0.0397&amp;sourceID=14","0.0397")</f>
        <v>0.0397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HYPERLINK("http://141.218.60.56/~jnz1568/getInfo.php?workbook=12_05.xlsx&amp;sheet=U0&amp;row=879&amp;col=6&amp;number=4.5&amp;sourceID=14","4.5")</f>
        <v>4.5</v>
      </c>
      <c r="G879" s="4" t="str">
        <f>HYPERLINK("http://141.218.60.56/~jnz1568/getInfo.php?workbook=12_05.xlsx&amp;sheet=U0&amp;row=879&amp;col=7&amp;number=0.0418&amp;sourceID=14","0.0418")</f>
        <v>0.0418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HYPERLINK("http://141.218.60.56/~jnz1568/getInfo.php?workbook=12_05.xlsx&amp;sheet=U0&amp;row=880&amp;col=6&amp;number=4.6&amp;sourceID=14","4.6")</f>
        <v>4.6</v>
      </c>
      <c r="G880" s="4" t="str">
        <f>HYPERLINK("http://141.218.60.56/~jnz1568/getInfo.php?workbook=12_05.xlsx&amp;sheet=U0&amp;row=880&amp;col=7&amp;number=0.0436&amp;sourceID=14","0.0436")</f>
        <v>0.0436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HYPERLINK("http://141.218.60.56/~jnz1568/getInfo.php?workbook=12_05.xlsx&amp;sheet=U0&amp;row=881&amp;col=6&amp;number=4.7&amp;sourceID=14","4.7")</f>
        <v>4.7</v>
      </c>
      <c r="G881" s="4" t="str">
        <f>HYPERLINK("http://141.218.60.56/~jnz1568/getInfo.php?workbook=12_05.xlsx&amp;sheet=U0&amp;row=881&amp;col=7&amp;number=0.0447&amp;sourceID=14","0.0447")</f>
        <v>0.0447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HYPERLINK("http://141.218.60.56/~jnz1568/getInfo.php?workbook=12_05.xlsx&amp;sheet=U0&amp;row=882&amp;col=6&amp;number=4.8&amp;sourceID=14","4.8")</f>
        <v>4.8</v>
      </c>
      <c r="G882" s="4" t="str">
        <f>HYPERLINK("http://141.218.60.56/~jnz1568/getInfo.php?workbook=12_05.xlsx&amp;sheet=U0&amp;row=882&amp;col=7&amp;number=0.0449&amp;sourceID=14","0.0449")</f>
        <v>0.0449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HYPERLINK("http://141.218.60.56/~jnz1568/getInfo.php?workbook=12_05.xlsx&amp;sheet=U0&amp;row=883&amp;col=6&amp;number=4.9&amp;sourceID=14","4.9")</f>
        <v>4.9</v>
      </c>
      <c r="G883" s="4" t="str">
        <f>HYPERLINK("http://141.218.60.56/~jnz1568/getInfo.php?workbook=12_05.xlsx&amp;sheet=U0&amp;row=883&amp;col=7&amp;number=0.044&amp;sourceID=14","0.044")</f>
        <v>0.044</v>
      </c>
    </row>
    <row r="884" spans="1:7">
      <c r="A884" s="3">
        <v>12</v>
      </c>
      <c r="B884" s="3">
        <v>5</v>
      </c>
      <c r="C884" s="3">
        <v>4</v>
      </c>
      <c r="D884" s="3">
        <v>10</v>
      </c>
      <c r="E884" s="3">
        <v>1</v>
      </c>
      <c r="F884" s="4" t="str">
        <f>HYPERLINK("http://141.218.60.56/~jnz1568/getInfo.php?workbook=12_05.xlsx&amp;sheet=U0&amp;row=884&amp;col=6&amp;number=3&amp;sourceID=14","3")</f>
        <v>3</v>
      </c>
      <c r="G884" s="4" t="str">
        <f>HYPERLINK("http://141.218.60.56/~jnz1568/getInfo.php?workbook=12_05.xlsx&amp;sheet=U0&amp;row=884&amp;col=7&amp;number=0.054&amp;sourceID=14","0.054")</f>
        <v>0.054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HYPERLINK("http://141.218.60.56/~jnz1568/getInfo.php?workbook=12_05.xlsx&amp;sheet=U0&amp;row=885&amp;col=6&amp;number=3.1&amp;sourceID=14","3.1")</f>
        <v>3.1</v>
      </c>
      <c r="G885" s="4" t="str">
        <f>HYPERLINK("http://141.218.60.56/~jnz1568/getInfo.php?workbook=12_05.xlsx&amp;sheet=U0&amp;row=885&amp;col=7&amp;number=0.0542&amp;sourceID=14","0.0542")</f>
        <v>0.0542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HYPERLINK("http://141.218.60.56/~jnz1568/getInfo.php?workbook=12_05.xlsx&amp;sheet=U0&amp;row=886&amp;col=6&amp;number=3.2&amp;sourceID=14","3.2")</f>
        <v>3.2</v>
      </c>
      <c r="G886" s="4" t="str">
        <f>HYPERLINK("http://141.218.60.56/~jnz1568/getInfo.php?workbook=12_05.xlsx&amp;sheet=U0&amp;row=886&amp;col=7&amp;number=0.0545&amp;sourceID=14","0.0545")</f>
        <v>0.0545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HYPERLINK("http://141.218.60.56/~jnz1568/getInfo.php?workbook=12_05.xlsx&amp;sheet=U0&amp;row=887&amp;col=6&amp;number=3.3&amp;sourceID=14","3.3")</f>
        <v>3.3</v>
      </c>
      <c r="G887" s="4" t="str">
        <f>HYPERLINK("http://141.218.60.56/~jnz1568/getInfo.php?workbook=12_05.xlsx&amp;sheet=U0&amp;row=887&amp;col=7&amp;number=0.0548&amp;sourceID=14","0.0548")</f>
        <v>0.0548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HYPERLINK("http://141.218.60.56/~jnz1568/getInfo.php?workbook=12_05.xlsx&amp;sheet=U0&amp;row=888&amp;col=6&amp;number=3.4&amp;sourceID=14","3.4")</f>
        <v>3.4</v>
      </c>
      <c r="G888" s="4" t="str">
        <f>HYPERLINK("http://141.218.60.56/~jnz1568/getInfo.php?workbook=12_05.xlsx&amp;sheet=U0&amp;row=888&amp;col=7&amp;number=0.0552&amp;sourceID=14","0.0552")</f>
        <v>0.0552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HYPERLINK("http://141.218.60.56/~jnz1568/getInfo.php?workbook=12_05.xlsx&amp;sheet=U0&amp;row=889&amp;col=6&amp;number=3.5&amp;sourceID=14","3.5")</f>
        <v>3.5</v>
      </c>
      <c r="G889" s="4" t="str">
        <f>HYPERLINK("http://141.218.60.56/~jnz1568/getInfo.php?workbook=12_05.xlsx&amp;sheet=U0&amp;row=889&amp;col=7&amp;number=0.0557&amp;sourceID=14","0.0557")</f>
        <v>0.0557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HYPERLINK("http://141.218.60.56/~jnz1568/getInfo.php?workbook=12_05.xlsx&amp;sheet=U0&amp;row=890&amp;col=6&amp;number=3.6&amp;sourceID=14","3.6")</f>
        <v>3.6</v>
      </c>
      <c r="G890" s="4" t="str">
        <f>HYPERLINK("http://141.218.60.56/~jnz1568/getInfo.php?workbook=12_05.xlsx&amp;sheet=U0&amp;row=890&amp;col=7&amp;number=0.0563&amp;sourceID=14","0.0563")</f>
        <v>0.0563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HYPERLINK("http://141.218.60.56/~jnz1568/getInfo.php?workbook=12_05.xlsx&amp;sheet=U0&amp;row=891&amp;col=6&amp;number=3.7&amp;sourceID=14","3.7")</f>
        <v>3.7</v>
      </c>
      <c r="G891" s="4" t="str">
        <f>HYPERLINK("http://141.218.60.56/~jnz1568/getInfo.php?workbook=12_05.xlsx&amp;sheet=U0&amp;row=891&amp;col=7&amp;number=0.0571&amp;sourceID=14","0.0571")</f>
        <v>0.0571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HYPERLINK("http://141.218.60.56/~jnz1568/getInfo.php?workbook=12_05.xlsx&amp;sheet=U0&amp;row=892&amp;col=6&amp;number=3.8&amp;sourceID=14","3.8")</f>
        <v>3.8</v>
      </c>
      <c r="G892" s="4" t="str">
        <f>HYPERLINK("http://141.218.60.56/~jnz1568/getInfo.php?workbook=12_05.xlsx&amp;sheet=U0&amp;row=892&amp;col=7&amp;number=0.058&amp;sourceID=14","0.058")</f>
        <v>0.058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HYPERLINK("http://141.218.60.56/~jnz1568/getInfo.php?workbook=12_05.xlsx&amp;sheet=U0&amp;row=893&amp;col=6&amp;number=3.9&amp;sourceID=14","3.9")</f>
        <v>3.9</v>
      </c>
      <c r="G893" s="4" t="str">
        <f>HYPERLINK("http://141.218.60.56/~jnz1568/getInfo.php?workbook=12_05.xlsx&amp;sheet=U0&amp;row=893&amp;col=7&amp;number=0.0591&amp;sourceID=14","0.0591")</f>
        <v>0.0591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HYPERLINK("http://141.218.60.56/~jnz1568/getInfo.php?workbook=12_05.xlsx&amp;sheet=U0&amp;row=894&amp;col=6&amp;number=4&amp;sourceID=14","4")</f>
        <v>4</v>
      </c>
      <c r="G894" s="4" t="str">
        <f>HYPERLINK("http://141.218.60.56/~jnz1568/getInfo.php?workbook=12_05.xlsx&amp;sheet=U0&amp;row=894&amp;col=7&amp;number=0.0605&amp;sourceID=14","0.0605")</f>
        <v>0.0605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HYPERLINK("http://141.218.60.56/~jnz1568/getInfo.php?workbook=12_05.xlsx&amp;sheet=U0&amp;row=895&amp;col=6&amp;number=4.1&amp;sourceID=14","4.1")</f>
        <v>4.1</v>
      </c>
      <c r="G895" s="4" t="str">
        <f>HYPERLINK("http://141.218.60.56/~jnz1568/getInfo.php?workbook=12_05.xlsx&amp;sheet=U0&amp;row=895&amp;col=7&amp;number=0.0621&amp;sourceID=14","0.0621")</f>
        <v>0.0621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HYPERLINK("http://141.218.60.56/~jnz1568/getInfo.php?workbook=12_05.xlsx&amp;sheet=U0&amp;row=896&amp;col=6&amp;number=4.2&amp;sourceID=14","4.2")</f>
        <v>4.2</v>
      </c>
      <c r="G896" s="4" t="str">
        <f>HYPERLINK("http://141.218.60.56/~jnz1568/getInfo.php?workbook=12_05.xlsx&amp;sheet=U0&amp;row=896&amp;col=7&amp;number=0.064&amp;sourceID=14","0.064")</f>
        <v>0.064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HYPERLINK("http://141.218.60.56/~jnz1568/getInfo.php?workbook=12_05.xlsx&amp;sheet=U0&amp;row=897&amp;col=6&amp;number=4.3&amp;sourceID=14","4.3")</f>
        <v>4.3</v>
      </c>
      <c r="G897" s="4" t="str">
        <f>HYPERLINK("http://141.218.60.56/~jnz1568/getInfo.php?workbook=12_05.xlsx&amp;sheet=U0&amp;row=897&amp;col=7&amp;number=0.0661&amp;sourceID=14","0.0661")</f>
        <v>0.0661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HYPERLINK("http://141.218.60.56/~jnz1568/getInfo.php?workbook=12_05.xlsx&amp;sheet=U0&amp;row=898&amp;col=6&amp;number=4.4&amp;sourceID=14","4.4")</f>
        <v>4.4</v>
      </c>
      <c r="G898" s="4" t="str">
        <f>HYPERLINK("http://141.218.60.56/~jnz1568/getInfo.php?workbook=12_05.xlsx&amp;sheet=U0&amp;row=898&amp;col=7&amp;number=0.0684&amp;sourceID=14","0.0684")</f>
        <v>0.0684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HYPERLINK("http://141.218.60.56/~jnz1568/getInfo.php?workbook=12_05.xlsx&amp;sheet=U0&amp;row=899&amp;col=6&amp;number=4.5&amp;sourceID=14","4.5")</f>
        <v>4.5</v>
      </c>
      <c r="G899" s="4" t="str">
        <f>HYPERLINK("http://141.218.60.56/~jnz1568/getInfo.php?workbook=12_05.xlsx&amp;sheet=U0&amp;row=899&amp;col=7&amp;number=0.0706&amp;sourceID=14","0.0706")</f>
        <v>0.0706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HYPERLINK("http://141.218.60.56/~jnz1568/getInfo.php?workbook=12_05.xlsx&amp;sheet=U0&amp;row=900&amp;col=6&amp;number=4.6&amp;sourceID=14","4.6")</f>
        <v>4.6</v>
      </c>
      <c r="G900" s="4" t="str">
        <f>HYPERLINK("http://141.218.60.56/~jnz1568/getInfo.php?workbook=12_05.xlsx&amp;sheet=U0&amp;row=900&amp;col=7&amp;number=0.0723&amp;sourceID=14","0.0723")</f>
        <v>0.0723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HYPERLINK("http://141.218.60.56/~jnz1568/getInfo.php?workbook=12_05.xlsx&amp;sheet=U0&amp;row=901&amp;col=6&amp;number=4.7&amp;sourceID=14","4.7")</f>
        <v>4.7</v>
      </c>
      <c r="G901" s="4" t="str">
        <f>HYPERLINK("http://141.218.60.56/~jnz1568/getInfo.php?workbook=12_05.xlsx&amp;sheet=U0&amp;row=901&amp;col=7&amp;number=0.0733&amp;sourceID=14","0.0733")</f>
        <v>0.0733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HYPERLINK("http://141.218.60.56/~jnz1568/getInfo.php?workbook=12_05.xlsx&amp;sheet=U0&amp;row=902&amp;col=6&amp;number=4.8&amp;sourceID=14","4.8")</f>
        <v>4.8</v>
      </c>
      <c r="G902" s="4" t="str">
        <f>HYPERLINK("http://141.218.60.56/~jnz1568/getInfo.php?workbook=12_05.xlsx&amp;sheet=U0&amp;row=902&amp;col=7&amp;number=0.0729&amp;sourceID=14","0.0729")</f>
        <v>0.0729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HYPERLINK("http://141.218.60.56/~jnz1568/getInfo.php?workbook=12_05.xlsx&amp;sheet=U0&amp;row=903&amp;col=6&amp;number=4.9&amp;sourceID=14","4.9")</f>
        <v>4.9</v>
      </c>
      <c r="G903" s="4" t="str">
        <f>HYPERLINK("http://141.218.60.56/~jnz1568/getInfo.php?workbook=12_05.xlsx&amp;sheet=U0&amp;row=903&amp;col=7&amp;number=0.0712&amp;sourceID=14","0.0712")</f>
        <v>0.0712</v>
      </c>
    </row>
    <row r="904" spans="1:7">
      <c r="A904" s="3">
        <v>12</v>
      </c>
      <c r="B904" s="3">
        <v>5</v>
      </c>
      <c r="C904" s="3">
        <v>4</v>
      </c>
      <c r="D904" s="3">
        <v>11</v>
      </c>
      <c r="E904" s="3">
        <v>1</v>
      </c>
      <c r="F904" s="4" t="str">
        <f>HYPERLINK("http://141.218.60.56/~jnz1568/getInfo.php?workbook=12_05.xlsx&amp;sheet=U0&amp;row=904&amp;col=6&amp;number=3&amp;sourceID=14","3")</f>
        <v>3</v>
      </c>
      <c r="G904" s="4" t="str">
        <f>HYPERLINK("http://141.218.60.56/~jnz1568/getInfo.php?workbook=12_05.xlsx&amp;sheet=U0&amp;row=904&amp;col=7&amp;number=1.26&amp;sourceID=14","1.26")</f>
        <v>1.26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HYPERLINK("http://141.218.60.56/~jnz1568/getInfo.php?workbook=12_05.xlsx&amp;sheet=U0&amp;row=905&amp;col=6&amp;number=3.1&amp;sourceID=14","3.1")</f>
        <v>3.1</v>
      </c>
      <c r="G905" s="4" t="str">
        <f>HYPERLINK("http://141.218.60.56/~jnz1568/getInfo.php?workbook=12_05.xlsx&amp;sheet=U0&amp;row=905&amp;col=7&amp;number=1.26&amp;sourceID=14","1.26")</f>
        <v>1.26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HYPERLINK("http://141.218.60.56/~jnz1568/getInfo.php?workbook=12_05.xlsx&amp;sheet=U0&amp;row=906&amp;col=6&amp;number=3.2&amp;sourceID=14","3.2")</f>
        <v>3.2</v>
      </c>
      <c r="G906" s="4" t="str">
        <f>HYPERLINK("http://141.218.60.56/~jnz1568/getInfo.php?workbook=12_05.xlsx&amp;sheet=U0&amp;row=906&amp;col=7&amp;number=1.26&amp;sourceID=14","1.26")</f>
        <v>1.26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HYPERLINK("http://141.218.60.56/~jnz1568/getInfo.php?workbook=12_05.xlsx&amp;sheet=U0&amp;row=907&amp;col=6&amp;number=3.3&amp;sourceID=14","3.3")</f>
        <v>3.3</v>
      </c>
      <c r="G907" s="4" t="str">
        <f>HYPERLINK("http://141.218.60.56/~jnz1568/getInfo.php?workbook=12_05.xlsx&amp;sheet=U0&amp;row=907&amp;col=7&amp;number=1.25&amp;sourceID=14","1.25")</f>
        <v>1.25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HYPERLINK("http://141.218.60.56/~jnz1568/getInfo.php?workbook=12_05.xlsx&amp;sheet=U0&amp;row=908&amp;col=6&amp;number=3.4&amp;sourceID=14","3.4")</f>
        <v>3.4</v>
      </c>
      <c r="G908" s="4" t="str">
        <f>HYPERLINK("http://141.218.60.56/~jnz1568/getInfo.php?workbook=12_05.xlsx&amp;sheet=U0&amp;row=908&amp;col=7&amp;number=1.25&amp;sourceID=14","1.25")</f>
        <v>1.25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HYPERLINK("http://141.218.60.56/~jnz1568/getInfo.php?workbook=12_05.xlsx&amp;sheet=U0&amp;row=909&amp;col=6&amp;number=3.5&amp;sourceID=14","3.5")</f>
        <v>3.5</v>
      </c>
      <c r="G909" s="4" t="str">
        <f>HYPERLINK("http://141.218.60.56/~jnz1568/getInfo.php?workbook=12_05.xlsx&amp;sheet=U0&amp;row=909&amp;col=7&amp;number=1.25&amp;sourceID=14","1.25")</f>
        <v>1.25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HYPERLINK("http://141.218.60.56/~jnz1568/getInfo.php?workbook=12_05.xlsx&amp;sheet=U0&amp;row=910&amp;col=6&amp;number=3.6&amp;sourceID=14","3.6")</f>
        <v>3.6</v>
      </c>
      <c r="G910" s="4" t="str">
        <f>HYPERLINK("http://141.218.60.56/~jnz1568/getInfo.php?workbook=12_05.xlsx&amp;sheet=U0&amp;row=910&amp;col=7&amp;number=1.25&amp;sourceID=14","1.25")</f>
        <v>1.25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HYPERLINK("http://141.218.60.56/~jnz1568/getInfo.php?workbook=12_05.xlsx&amp;sheet=U0&amp;row=911&amp;col=6&amp;number=3.7&amp;sourceID=14","3.7")</f>
        <v>3.7</v>
      </c>
      <c r="G911" s="4" t="str">
        <f>HYPERLINK("http://141.218.60.56/~jnz1568/getInfo.php?workbook=12_05.xlsx&amp;sheet=U0&amp;row=911&amp;col=7&amp;number=1.25&amp;sourceID=14","1.25")</f>
        <v>1.25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HYPERLINK("http://141.218.60.56/~jnz1568/getInfo.php?workbook=12_05.xlsx&amp;sheet=U0&amp;row=912&amp;col=6&amp;number=3.8&amp;sourceID=14","3.8")</f>
        <v>3.8</v>
      </c>
      <c r="G912" s="4" t="str">
        <f>HYPERLINK("http://141.218.60.56/~jnz1568/getInfo.php?workbook=12_05.xlsx&amp;sheet=U0&amp;row=912&amp;col=7&amp;number=1.25&amp;sourceID=14","1.25")</f>
        <v>1.25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HYPERLINK("http://141.218.60.56/~jnz1568/getInfo.php?workbook=12_05.xlsx&amp;sheet=U0&amp;row=913&amp;col=6&amp;number=3.9&amp;sourceID=14","3.9")</f>
        <v>3.9</v>
      </c>
      <c r="G913" s="4" t="str">
        <f>HYPERLINK("http://141.218.60.56/~jnz1568/getInfo.php?workbook=12_05.xlsx&amp;sheet=U0&amp;row=913&amp;col=7&amp;number=1.25&amp;sourceID=14","1.25")</f>
        <v>1.25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HYPERLINK("http://141.218.60.56/~jnz1568/getInfo.php?workbook=12_05.xlsx&amp;sheet=U0&amp;row=914&amp;col=6&amp;number=4&amp;sourceID=14","4")</f>
        <v>4</v>
      </c>
      <c r="G914" s="4" t="str">
        <f>HYPERLINK("http://141.218.60.56/~jnz1568/getInfo.php?workbook=12_05.xlsx&amp;sheet=U0&amp;row=914&amp;col=7&amp;number=1.25&amp;sourceID=14","1.25")</f>
        <v>1.25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HYPERLINK("http://141.218.60.56/~jnz1568/getInfo.php?workbook=12_05.xlsx&amp;sheet=U0&amp;row=915&amp;col=6&amp;number=4.1&amp;sourceID=14","4.1")</f>
        <v>4.1</v>
      </c>
      <c r="G915" s="4" t="str">
        <f>HYPERLINK("http://141.218.60.56/~jnz1568/getInfo.php?workbook=12_05.xlsx&amp;sheet=U0&amp;row=915&amp;col=7&amp;number=1.24&amp;sourceID=14","1.24")</f>
        <v>1.24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HYPERLINK("http://141.218.60.56/~jnz1568/getInfo.php?workbook=12_05.xlsx&amp;sheet=U0&amp;row=916&amp;col=6&amp;number=4.2&amp;sourceID=14","4.2")</f>
        <v>4.2</v>
      </c>
      <c r="G916" s="4" t="str">
        <f>HYPERLINK("http://141.218.60.56/~jnz1568/getInfo.php?workbook=12_05.xlsx&amp;sheet=U0&amp;row=916&amp;col=7&amp;number=1.24&amp;sourceID=14","1.24")</f>
        <v>1.24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HYPERLINK("http://141.218.60.56/~jnz1568/getInfo.php?workbook=12_05.xlsx&amp;sheet=U0&amp;row=917&amp;col=6&amp;number=4.3&amp;sourceID=14","4.3")</f>
        <v>4.3</v>
      </c>
      <c r="G917" s="4" t="str">
        <f>HYPERLINK("http://141.218.60.56/~jnz1568/getInfo.php?workbook=12_05.xlsx&amp;sheet=U0&amp;row=917&amp;col=7&amp;number=1.24&amp;sourceID=14","1.24")</f>
        <v>1.24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HYPERLINK("http://141.218.60.56/~jnz1568/getInfo.php?workbook=12_05.xlsx&amp;sheet=U0&amp;row=918&amp;col=6&amp;number=4.4&amp;sourceID=14","4.4")</f>
        <v>4.4</v>
      </c>
      <c r="G918" s="4" t="str">
        <f>HYPERLINK("http://141.218.60.56/~jnz1568/getInfo.php?workbook=12_05.xlsx&amp;sheet=U0&amp;row=918&amp;col=7&amp;number=1.23&amp;sourceID=14","1.23")</f>
        <v>1.23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HYPERLINK("http://141.218.60.56/~jnz1568/getInfo.php?workbook=12_05.xlsx&amp;sheet=U0&amp;row=919&amp;col=6&amp;number=4.5&amp;sourceID=14","4.5")</f>
        <v>4.5</v>
      </c>
      <c r="G919" s="4" t="str">
        <f>HYPERLINK("http://141.218.60.56/~jnz1568/getInfo.php?workbook=12_05.xlsx&amp;sheet=U0&amp;row=919&amp;col=7&amp;number=1.23&amp;sourceID=14","1.23")</f>
        <v>1.23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HYPERLINK("http://141.218.60.56/~jnz1568/getInfo.php?workbook=12_05.xlsx&amp;sheet=U0&amp;row=920&amp;col=6&amp;number=4.6&amp;sourceID=14","4.6")</f>
        <v>4.6</v>
      </c>
      <c r="G920" s="4" t="str">
        <f>HYPERLINK("http://141.218.60.56/~jnz1568/getInfo.php?workbook=12_05.xlsx&amp;sheet=U0&amp;row=920&amp;col=7&amp;number=1.23&amp;sourceID=14","1.23")</f>
        <v>1.23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HYPERLINK("http://141.218.60.56/~jnz1568/getInfo.php?workbook=12_05.xlsx&amp;sheet=U0&amp;row=921&amp;col=6&amp;number=4.7&amp;sourceID=14","4.7")</f>
        <v>4.7</v>
      </c>
      <c r="G921" s="4" t="str">
        <f>HYPERLINK("http://141.218.60.56/~jnz1568/getInfo.php?workbook=12_05.xlsx&amp;sheet=U0&amp;row=921&amp;col=7&amp;number=1.22&amp;sourceID=14","1.22")</f>
        <v>1.22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HYPERLINK("http://141.218.60.56/~jnz1568/getInfo.php?workbook=12_05.xlsx&amp;sheet=U0&amp;row=922&amp;col=6&amp;number=4.8&amp;sourceID=14","4.8")</f>
        <v>4.8</v>
      </c>
      <c r="G922" s="4" t="str">
        <f>HYPERLINK("http://141.218.60.56/~jnz1568/getInfo.php?workbook=12_05.xlsx&amp;sheet=U0&amp;row=922&amp;col=7&amp;number=1.22&amp;sourceID=14","1.22")</f>
        <v>1.22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HYPERLINK("http://141.218.60.56/~jnz1568/getInfo.php?workbook=12_05.xlsx&amp;sheet=U0&amp;row=923&amp;col=6&amp;number=4.9&amp;sourceID=14","4.9")</f>
        <v>4.9</v>
      </c>
      <c r="G923" s="4" t="str">
        <f>HYPERLINK("http://141.218.60.56/~jnz1568/getInfo.php?workbook=12_05.xlsx&amp;sheet=U0&amp;row=923&amp;col=7&amp;number=1.22&amp;sourceID=14","1.22")</f>
        <v>1.22</v>
      </c>
    </row>
    <row r="924" spans="1:7">
      <c r="A924" s="3">
        <v>12</v>
      </c>
      <c r="B924" s="3">
        <v>5</v>
      </c>
      <c r="C924" s="3">
        <v>4</v>
      </c>
      <c r="D924" s="3">
        <v>12</v>
      </c>
      <c r="E924" s="3">
        <v>1</v>
      </c>
      <c r="F924" s="4" t="str">
        <f>HYPERLINK("http://141.218.60.56/~jnz1568/getInfo.php?workbook=12_05.xlsx&amp;sheet=U0&amp;row=924&amp;col=6&amp;number=3&amp;sourceID=14","3")</f>
        <v>3</v>
      </c>
      <c r="G924" s="4" t="str">
        <f>HYPERLINK("http://141.218.60.56/~jnz1568/getInfo.php?workbook=12_05.xlsx&amp;sheet=U0&amp;row=924&amp;col=7&amp;number=0.0397&amp;sourceID=14","0.0397")</f>
        <v>0.0397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HYPERLINK("http://141.218.60.56/~jnz1568/getInfo.php?workbook=12_05.xlsx&amp;sheet=U0&amp;row=925&amp;col=6&amp;number=3.1&amp;sourceID=14","3.1")</f>
        <v>3.1</v>
      </c>
      <c r="G925" s="4" t="str">
        <f>HYPERLINK("http://141.218.60.56/~jnz1568/getInfo.php?workbook=12_05.xlsx&amp;sheet=U0&amp;row=925&amp;col=7&amp;number=0.0397&amp;sourceID=14","0.0397")</f>
        <v>0.0397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HYPERLINK("http://141.218.60.56/~jnz1568/getInfo.php?workbook=12_05.xlsx&amp;sheet=U0&amp;row=926&amp;col=6&amp;number=3.2&amp;sourceID=14","3.2")</f>
        <v>3.2</v>
      </c>
      <c r="G926" s="4" t="str">
        <f>HYPERLINK("http://141.218.60.56/~jnz1568/getInfo.php?workbook=12_05.xlsx&amp;sheet=U0&amp;row=926&amp;col=7&amp;number=0.0397&amp;sourceID=14","0.0397")</f>
        <v>0.0397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HYPERLINK("http://141.218.60.56/~jnz1568/getInfo.php?workbook=12_05.xlsx&amp;sheet=U0&amp;row=927&amp;col=6&amp;number=3.3&amp;sourceID=14","3.3")</f>
        <v>3.3</v>
      </c>
      <c r="G927" s="4" t="str">
        <f>HYPERLINK("http://141.218.60.56/~jnz1568/getInfo.php?workbook=12_05.xlsx&amp;sheet=U0&amp;row=927&amp;col=7&amp;number=0.0396&amp;sourceID=14","0.0396")</f>
        <v>0.0396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HYPERLINK("http://141.218.60.56/~jnz1568/getInfo.php?workbook=12_05.xlsx&amp;sheet=U0&amp;row=928&amp;col=6&amp;number=3.4&amp;sourceID=14","3.4")</f>
        <v>3.4</v>
      </c>
      <c r="G928" s="4" t="str">
        <f>HYPERLINK("http://141.218.60.56/~jnz1568/getInfo.php?workbook=12_05.xlsx&amp;sheet=U0&amp;row=928&amp;col=7&amp;number=0.0396&amp;sourceID=14","0.0396")</f>
        <v>0.0396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HYPERLINK("http://141.218.60.56/~jnz1568/getInfo.php?workbook=12_05.xlsx&amp;sheet=U0&amp;row=929&amp;col=6&amp;number=3.5&amp;sourceID=14","3.5")</f>
        <v>3.5</v>
      </c>
      <c r="G929" s="4" t="str">
        <f>HYPERLINK("http://141.218.60.56/~jnz1568/getInfo.php?workbook=12_05.xlsx&amp;sheet=U0&amp;row=929&amp;col=7&amp;number=0.0396&amp;sourceID=14","0.0396")</f>
        <v>0.0396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HYPERLINK("http://141.218.60.56/~jnz1568/getInfo.php?workbook=12_05.xlsx&amp;sheet=U0&amp;row=930&amp;col=6&amp;number=3.6&amp;sourceID=14","3.6")</f>
        <v>3.6</v>
      </c>
      <c r="G930" s="4" t="str">
        <f>HYPERLINK("http://141.218.60.56/~jnz1568/getInfo.php?workbook=12_05.xlsx&amp;sheet=U0&amp;row=930&amp;col=7&amp;number=0.0395&amp;sourceID=14","0.0395")</f>
        <v>0.0395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HYPERLINK("http://141.218.60.56/~jnz1568/getInfo.php?workbook=12_05.xlsx&amp;sheet=U0&amp;row=931&amp;col=6&amp;number=3.7&amp;sourceID=14","3.7")</f>
        <v>3.7</v>
      </c>
      <c r="G931" s="4" t="str">
        <f>HYPERLINK("http://141.218.60.56/~jnz1568/getInfo.php?workbook=12_05.xlsx&amp;sheet=U0&amp;row=931&amp;col=7&amp;number=0.0395&amp;sourceID=14","0.0395")</f>
        <v>0.0395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HYPERLINK("http://141.218.60.56/~jnz1568/getInfo.php?workbook=12_05.xlsx&amp;sheet=U0&amp;row=932&amp;col=6&amp;number=3.8&amp;sourceID=14","3.8")</f>
        <v>3.8</v>
      </c>
      <c r="G932" s="4" t="str">
        <f>HYPERLINK("http://141.218.60.56/~jnz1568/getInfo.php?workbook=12_05.xlsx&amp;sheet=U0&amp;row=932&amp;col=7&amp;number=0.0394&amp;sourceID=14","0.0394")</f>
        <v>0.0394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HYPERLINK("http://141.218.60.56/~jnz1568/getInfo.php?workbook=12_05.xlsx&amp;sheet=U0&amp;row=933&amp;col=6&amp;number=3.9&amp;sourceID=14","3.9")</f>
        <v>3.9</v>
      </c>
      <c r="G933" s="4" t="str">
        <f>HYPERLINK("http://141.218.60.56/~jnz1568/getInfo.php?workbook=12_05.xlsx&amp;sheet=U0&amp;row=933&amp;col=7&amp;number=0.0393&amp;sourceID=14","0.0393")</f>
        <v>0.0393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HYPERLINK("http://141.218.60.56/~jnz1568/getInfo.php?workbook=12_05.xlsx&amp;sheet=U0&amp;row=934&amp;col=6&amp;number=4&amp;sourceID=14","4")</f>
        <v>4</v>
      </c>
      <c r="G934" s="4" t="str">
        <f>HYPERLINK("http://141.218.60.56/~jnz1568/getInfo.php?workbook=12_05.xlsx&amp;sheet=U0&amp;row=934&amp;col=7&amp;number=0.0392&amp;sourceID=14","0.0392")</f>
        <v>0.0392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HYPERLINK("http://141.218.60.56/~jnz1568/getInfo.php?workbook=12_05.xlsx&amp;sheet=U0&amp;row=935&amp;col=6&amp;number=4.1&amp;sourceID=14","4.1")</f>
        <v>4.1</v>
      </c>
      <c r="G935" s="4" t="str">
        <f>HYPERLINK("http://141.218.60.56/~jnz1568/getInfo.php?workbook=12_05.xlsx&amp;sheet=U0&amp;row=935&amp;col=7&amp;number=0.0391&amp;sourceID=14","0.0391")</f>
        <v>0.0391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HYPERLINK("http://141.218.60.56/~jnz1568/getInfo.php?workbook=12_05.xlsx&amp;sheet=U0&amp;row=936&amp;col=6&amp;number=4.2&amp;sourceID=14","4.2")</f>
        <v>4.2</v>
      </c>
      <c r="G936" s="4" t="str">
        <f>HYPERLINK("http://141.218.60.56/~jnz1568/getInfo.php?workbook=12_05.xlsx&amp;sheet=U0&amp;row=936&amp;col=7&amp;number=0.039&amp;sourceID=14","0.039")</f>
        <v>0.039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HYPERLINK("http://141.218.60.56/~jnz1568/getInfo.php?workbook=12_05.xlsx&amp;sheet=U0&amp;row=937&amp;col=6&amp;number=4.3&amp;sourceID=14","4.3")</f>
        <v>4.3</v>
      </c>
      <c r="G937" s="4" t="str">
        <f>HYPERLINK("http://141.218.60.56/~jnz1568/getInfo.php?workbook=12_05.xlsx&amp;sheet=U0&amp;row=937&amp;col=7&amp;number=0.0388&amp;sourceID=14","0.0388")</f>
        <v>0.0388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HYPERLINK("http://141.218.60.56/~jnz1568/getInfo.php?workbook=12_05.xlsx&amp;sheet=U0&amp;row=938&amp;col=6&amp;number=4.4&amp;sourceID=14","4.4")</f>
        <v>4.4</v>
      </c>
      <c r="G938" s="4" t="str">
        <f>HYPERLINK("http://141.218.60.56/~jnz1568/getInfo.php?workbook=12_05.xlsx&amp;sheet=U0&amp;row=938&amp;col=7&amp;number=0.0386&amp;sourceID=14","0.0386")</f>
        <v>0.0386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HYPERLINK("http://141.218.60.56/~jnz1568/getInfo.php?workbook=12_05.xlsx&amp;sheet=U0&amp;row=939&amp;col=6&amp;number=4.5&amp;sourceID=14","4.5")</f>
        <v>4.5</v>
      </c>
      <c r="G939" s="4" t="str">
        <f>HYPERLINK("http://141.218.60.56/~jnz1568/getInfo.php?workbook=12_05.xlsx&amp;sheet=U0&amp;row=939&amp;col=7&amp;number=0.0383&amp;sourceID=14","0.0383")</f>
        <v>0.0383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HYPERLINK("http://141.218.60.56/~jnz1568/getInfo.php?workbook=12_05.xlsx&amp;sheet=U0&amp;row=940&amp;col=6&amp;number=4.6&amp;sourceID=14","4.6")</f>
        <v>4.6</v>
      </c>
      <c r="G940" s="4" t="str">
        <f>HYPERLINK("http://141.218.60.56/~jnz1568/getInfo.php?workbook=12_05.xlsx&amp;sheet=U0&amp;row=940&amp;col=7&amp;number=0.038&amp;sourceID=14","0.038")</f>
        <v>0.038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HYPERLINK("http://141.218.60.56/~jnz1568/getInfo.php?workbook=12_05.xlsx&amp;sheet=U0&amp;row=941&amp;col=6&amp;number=4.7&amp;sourceID=14","4.7")</f>
        <v>4.7</v>
      </c>
      <c r="G941" s="4" t="str">
        <f>HYPERLINK("http://141.218.60.56/~jnz1568/getInfo.php?workbook=12_05.xlsx&amp;sheet=U0&amp;row=941&amp;col=7&amp;number=0.0376&amp;sourceID=14","0.0376")</f>
        <v>0.0376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HYPERLINK("http://141.218.60.56/~jnz1568/getInfo.php?workbook=12_05.xlsx&amp;sheet=U0&amp;row=942&amp;col=6&amp;number=4.8&amp;sourceID=14","4.8")</f>
        <v>4.8</v>
      </c>
      <c r="G942" s="4" t="str">
        <f>HYPERLINK("http://141.218.60.56/~jnz1568/getInfo.php?workbook=12_05.xlsx&amp;sheet=U0&amp;row=942&amp;col=7&amp;number=0.0372&amp;sourceID=14","0.0372")</f>
        <v>0.0372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HYPERLINK("http://141.218.60.56/~jnz1568/getInfo.php?workbook=12_05.xlsx&amp;sheet=U0&amp;row=943&amp;col=6&amp;number=4.9&amp;sourceID=14","4.9")</f>
        <v>4.9</v>
      </c>
      <c r="G943" s="4" t="str">
        <f>HYPERLINK("http://141.218.60.56/~jnz1568/getInfo.php?workbook=12_05.xlsx&amp;sheet=U0&amp;row=943&amp;col=7&amp;number=0.0367&amp;sourceID=14","0.0367")</f>
        <v>0.0367</v>
      </c>
    </row>
    <row r="944" spans="1:7">
      <c r="A944" s="3">
        <v>12</v>
      </c>
      <c r="B944" s="3">
        <v>5</v>
      </c>
      <c r="C944" s="3">
        <v>4</v>
      </c>
      <c r="D944" s="3">
        <v>13</v>
      </c>
      <c r="E944" s="3">
        <v>1</v>
      </c>
      <c r="F944" s="4" t="str">
        <f>HYPERLINK("http://141.218.60.56/~jnz1568/getInfo.php?workbook=12_05.xlsx&amp;sheet=U0&amp;row=944&amp;col=6&amp;number=3&amp;sourceID=14","3")</f>
        <v>3</v>
      </c>
      <c r="G944" s="4" t="str">
        <f>HYPERLINK("http://141.218.60.56/~jnz1568/getInfo.php?workbook=12_05.xlsx&amp;sheet=U0&amp;row=944&amp;col=7&amp;number=0.0289&amp;sourceID=14","0.0289")</f>
        <v>0.0289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HYPERLINK("http://141.218.60.56/~jnz1568/getInfo.php?workbook=12_05.xlsx&amp;sheet=U0&amp;row=945&amp;col=6&amp;number=3.1&amp;sourceID=14","3.1")</f>
        <v>3.1</v>
      </c>
      <c r="G945" s="4" t="str">
        <f>HYPERLINK("http://141.218.60.56/~jnz1568/getInfo.php?workbook=12_05.xlsx&amp;sheet=U0&amp;row=945&amp;col=7&amp;number=0.0289&amp;sourceID=14","0.0289")</f>
        <v>0.0289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HYPERLINK("http://141.218.60.56/~jnz1568/getInfo.php?workbook=12_05.xlsx&amp;sheet=U0&amp;row=946&amp;col=6&amp;number=3.2&amp;sourceID=14","3.2")</f>
        <v>3.2</v>
      </c>
      <c r="G946" s="4" t="str">
        <f>HYPERLINK("http://141.218.60.56/~jnz1568/getInfo.php?workbook=12_05.xlsx&amp;sheet=U0&amp;row=946&amp;col=7&amp;number=0.0288&amp;sourceID=14","0.0288")</f>
        <v>0.0288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HYPERLINK("http://141.218.60.56/~jnz1568/getInfo.php?workbook=12_05.xlsx&amp;sheet=U0&amp;row=947&amp;col=6&amp;number=3.3&amp;sourceID=14","3.3")</f>
        <v>3.3</v>
      </c>
      <c r="G947" s="4" t="str">
        <f>HYPERLINK("http://141.218.60.56/~jnz1568/getInfo.php?workbook=12_05.xlsx&amp;sheet=U0&amp;row=947&amp;col=7&amp;number=0.0288&amp;sourceID=14","0.0288")</f>
        <v>0.0288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HYPERLINK("http://141.218.60.56/~jnz1568/getInfo.php?workbook=12_05.xlsx&amp;sheet=U0&amp;row=948&amp;col=6&amp;number=3.4&amp;sourceID=14","3.4")</f>
        <v>3.4</v>
      </c>
      <c r="G948" s="4" t="str">
        <f>HYPERLINK("http://141.218.60.56/~jnz1568/getInfo.php?workbook=12_05.xlsx&amp;sheet=U0&amp;row=948&amp;col=7&amp;number=0.0288&amp;sourceID=14","0.0288")</f>
        <v>0.0288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HYPERLINK("http://141.218.60.56/~jnz1568/getInfo.php?workbook=12_05.xlsx&amp;sheet=U0&amp;row=949&amp;col=6&amp;number=3.5&amp;sourceID=14","3.5")</f>
        <v>3.5</v>
      </c>
      <c r="G949" s="4" t="str">
        <f>HYPERLINK("http://141.218.60.56/~jnz1568/getInfo.php?workbook=12_05.xlsx&amp;sheet=U0&amp;row=949&amp;col=7&amp;number=0.0288&amp;sourceID=14","0.0288")</f>
        <v>0.0288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HYPERLINK("http://141.218.60.56/~jnz1568/getInfo.php?workbook=12_05.xlsx&amp;sheet=U0&amp;row=950&amp;col=6&amp;number=3.6&amp;sourceID=14","3.6")</f>
        <v>3.6</v>
      </c>
      <c r="G950" s="4" t="str">
        <f>HYPERLINK("http://141.218.60.56/~jnz1568/getInfo.php?workbook=12_05.xlsx&amp;sheet=U0&amp;row=950&amp;col=7&amp;number=0.0287&amp;sourceID=14","0.0287")</f>
        <v>0.0287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HYPERLINK("http://141.218.60.56/~jnz1568/getInfo.php?workbook=12_05.xlsx&amp;sheet=U0&amp;row=951&amp;col=6&amp;number=3.7&amp;sourceID=14","3.7")</f>
        <v>3.7</v>
      </c>
      <c r="G951" s="4" t="str">
        <f>HYPERLINK("http://141.218.60.56/~jnz1568/getInfo.php?workbook=12_05.xlsx&amp;sheet=U0&amp;row=951&amp;col=7&amp;number=0.0287&amp;sourceID=14","0.0287")</f>
        <v>0.0287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HYPERLINK("http://141.218.60.56/~jnz1568/getInfo.php?workbook=12_05.xlsx&amp;sheet=U0&amp;row=952&amp;col=6&amp;number=3.8&amp;sourceID=14","3.8")</f>
        <v>3.8</v>
      </c>
      <c r="G952" s="4" t="str">
        <f>HYPERLINK("http://141.218.60.56/~jnz1568/getInfo.php?workbook=12_05.xlsx&amp;sheet=U0&amp;row=952&amp;col=7&amp;number=0.0286&amp;sourceID=14","0.0286")</f>
        <v>0.0286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HYPERLINK("http://141.218.60.56/~jnz1568/getInfo.php?workbook=12_05.xlsx&amp;sheet=U0&amp;row=953&amp;col=6&amp;number=3.9&amp;sourceID=14","3.9")</f>
        <v>3.9</v>
      </c>
      <c r="G953" s="4" t="str">
        <f>HYPERLINK("http://141.218.60.56/~jnz1568/getInfo.php?workbook=12_05.xlsx&amp;sheet=U0&amp;row=953&amp;col=7&amp;number=0.0286&amp;sourceID=14","0.0286")</f>
        <v>0.0286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HYPERLINK("http://141.218.60.56/~jnz1568/getInfo.php?workbook=12_05.xlsx&amp;sheet=U0&amp;row=954&amp;col=6&amp;number=4&amp;sourceID=14","4")</f>
        <v>4</v>
      </c>
      <c r="G954" s="4" t="str">
        <f>HYPERLINK("http://141.218.60.56/~jnz1568/getInfo.php?workbook=12_05.xlsx&amp;sheet=U0&amp;row=954&amp;col=7&amp;number=0.0285&amp;sourceID=14","0.0285")</f>
        <v>0.0285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HYPERLINK("http://141.218.60.56/~jnz1568/getInfo.php?workbook=12_05.xlsx&amp;sheet=U0&amp;row=955&amp;col=6&amp;number=4.1&amp;sourceID=14","4.1")</f>
        <v>4.1</v>
      </c>
      <c r="G955" s="4" t="str">
        <f>HYPERLINK("http://141.218.60.56/~jnz1568/getInfo.php?workbook=12_05.xlsx&amp;sheet=U0&amp;row=955&amp;col=7&amp;number=0.0284&amp;sourceID=14","0.0284")</f>
        <v>0.0284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HYPERLINK("http://141.218.60.56/~jnz1568/getInfo.php?workbook=12_05.xlsx&amp;sheet=U0&amp;row=956&amp;col=6&amp;number=4.2&amp;sourceID=14","4.2")</f>
        <v>4.2</v>
      </c>
      <c r="G956" s="4" t="str">
        <f>HYPERLINK("http://141.218.60.56/~jnz1568/getInfo.php?workbook=12_05.xlsx&amp;sheet=U0&amp;row=956&amp;col=7&amp;number=0.0282&amp;sourceID=14","0.0282")</f>
        <v>0.0282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HYPERLINK("http://141.218.60.56/~jnz1568/getInfo.php?workbook=12_05.xlsx&amp;sheet=U0&amp;row=957&amp;col=6&amp;number=4.3&amp;sourceID=14","4.3")</f>
        <v>4.3</v>
      </c>
      <c r="G957" s="4" t="str">
        <f>HYPERLINK("http://141.218.60.56/~jnz1568/getInfo.php?workbook=12_05.xlsx&amp;sheet=U0&amp;row=957&amp;col=7&amp;number=0.0281&amp;sourceID=14","0.0281")</f>
        <v>0.0281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HYPERLINK("http://141.218.60.56/~jnz1568/getInfo.php?workbook=12_05.xlsx&amp;sheet=U0&amp;row=958&amp;col=6&amp;number=4.4&amp;sourceID=14","4.4")</f>
        <v>4.4</v>
      </c>
      <c r="G958" s="4" t="str">
        <f>HYPERLINK("http://141.218.60.56/~jnz1568/getInfo.php?workbook=12_05.xlsx&amp;sheet=U0&amp;row=958&amp;col=7&amp;number=0.0279&amp;sourceID=14","0.0279")</f>
        <v>0.0279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HYPERLINK("http://141.218.60.56/~jnz1568/getInfo.php?workbook=12_05.xlsx&amp;sheet=U0&amp;row=959&amp;col=6&amp;number=4.5&amp;sourceID=14","4.5")</f>
        <v>4.5</v>
      </c>
      <c r="G959" s="4" t="str">
        <f>HYPERLINK("http://141.218.60.56/~jnz1568/getInfo.php?workbook=12_05.xlsx&amp;sheet=U0&amp;row=959&amp;col=7&amp;number=0.0276&amp;sourceID=14","0.0276")</f>
        <v>0.0276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HYPERLINK("http://141.218.60.56/~jnz1568/getInfo.php?workbook=12_05.xlsx&amp;sheet=U0&amp;row=960&amp;col=6&amp;number=4.6&amp;sourceID=14","4.6")</f>
        <v>4.6</v>
      </c>
      <c r="G960" s="4" t="str">
        <f>HYPERLINK("http://141.218.60.56/~jnz1568/getInfo.php?workbook=12_05.xlsx&amp;sheet=U0&amp;row=960&amp;col=7&amp;number=0.0274&amp;sourceID=14","0.0274")</f>
        <v>0.0274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HYPERLINK("http://141.218.60.56/~jnz1568/getInfo.php?workbook=12_05.xlsx&amp;sheet=U0&amp;row=961&amp;col=6&amp;number=4.7&amp;sourceID=14","4.7")</f>
        <v>4.7</v>
      </c>
      <c r="G961" s="4" t="str">
        <f>HYPERLINK("http://141.218.60.56/~jnz1568/getInfo.php?workbook=12_05.xlsx&amp;sheet=U0&amp;row=961&amp;col=7&amp;number=0.027&amp;sourceID=14","0.027")</f>
        <v>0.027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HYPERLINK("http://141.218.60.56/~jnz1568/getInfo.php?workbook=12_05.xlsx&amp;sheet=U0&amp;row=962&amp;col=6&amp;number=4.8&amp;sourceID=14","4.8")</f>
        <v>4.8</v>
      </c>
      <c r="G962" s="4" t="str">
        <f>HYPERLINK("http://141.218.60.56/~jnz1568/getInfo.php?workbook=12_05.xlsx&amp;sheet=U0&amp;row=962&amp;col=7&amp;number=0.0266&amp;sourceID=14","0.0266")</f>
        <v>0.0266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HYPERLINK("http://141.218.60.56/~jnz1568/getInfo.php?workbook=12_05.xlsx&amp;sheet=U0&amp;row=963&amp;col=6&amp;number=4.9&amp;sourceID=14","4.9")</f>
        <v>4.9</v>
      </c>
      <c r="G963" s="4" t="str">
        <f>HYPERLINK("http://141.218.60.56/~jnz1568/getInfo.php?workbook=12_05.xlsx&amp;sheet=U0&amp;row=963&amp;col=7&amp;number=0.0262&amp;sourceID=14","0.0262")</f>
        <v>0.0262</v>
      </c>
    </row>
    <row r="964" spans="1:7">
      <c r="A964" s="3">
        <v>12</v>
      </c>
      <c r="B964" s="3">
        <v>5</v>
      </c>
      <c r="C964" s="3">
        <v>4</v>
      </c>
      <c r="D964" s="3">
        <v>14</v>
      </c>
      <c r="E964" s="3">
        <v>1</v>
      </c>
      <c r="F964" s="4" t="str">
        <f>HYPERLINK("http://141.218.60.56/~jnz1568/getInfo.php?workbook=12_05.xlsx&amp;sheet=U0&amp;row=964&amp;col=6&amp;number=3&amp;sourceID=14","3")</f>
        <v>3</v>
      </c>
      <c r="G964" s="4" t="str">
        <f>HYPERLINK("http://141.218.60.56/~jnz1568/getInfo.php?workbook=12_05.xlsx&amp;sheet=U0&amp;row=964&amp;col=7&amp;number=0.00876&amp;sourceID=14","0.00876")</f>
        <v>0.00876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HYPERLINK("http://141.218.60.56/~jnz1568/getInfo.php?workbook=12_05.xlsx&amp;sheet=U0&amp;row=965&amp;col=6&amp;number=3.1&amp;sourceID=14","3.1")</f>
        <v>3.1</v>
      </c>
      <c r="G965" s="4" t="str">
        <f>HYPERLINK("http://141.218.60.56/~jnz1568/getInfo.php?workbook=12_05.xlsx&amp;sheet=U0&amp;row=965&amp;col=7&amp;number=0.00876&amp;sourceID=14","0.00876")</f>
        <v>0.00876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HYPERLINK("http://141.218.60.56/~jnz1568/getInfo.php?workbook=12_05.xlsx&amp;sheet=U0&amp;row=966&amp;col=6&amp;number=3.2&amp;sourceID=14","3.2")</f>
        <v>3.2</v>
      </c>
      <c r="G966" s="4" t="str">
        <f>HYPERLINK("http://141.218.60.56/~jnz1568/getInfo.php?workbook=12_05.xlsx&amp;sheet=U0&amp;row=966&amp;col=7&amp;number=0.00877&amp;sourceID=14","0.00877")</f>
        <v>0.00877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HYPERLINK("http://141.218.60.56/~jnz1568/getInfo.php?workbook=12_05.xlsx&amp;sheet=U0&amp;row=967&amp;col=6&amp;number=3.3&amp;sourceID=14","3.3")</f>
        <v>3.3</v>
      </c>
      <c r="G967" s="4" t="str">
        <f>HYPERLINK("http://141.218.60.56/~jnz1568/getInfo.php?workbook=12_05.xlsx&amp;sheet=U0&amp;row=967&amp;col=7&amp;number=0.00878&amp;sourceID=14","0.00878")</f>
        <v>0.00878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HYPERLINK("http://141.218.60.56/~jnz1568/getInfo.php?workbook=12_05.xlsx&amp;sheet=U0&amp;row=968&amp;col=6&amp;number=3.4&amp;sourceID=14","3.4")</f>
        <v>3.4</v>
      </c>
      <c r="G968" s="4" t="str">
        <f>HYPERLINK("http://141.218.60.56/~jnz1568/getInfo.php?workbook=12_05.xlsx&amp;sheet=U0&amp;row=968&amp;col=7&amp;number=0.00879&amp;sourceID=14","0.00879")</f>
        <v>0.00879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HYPERLINK("http://141.218.60.56/~jnz1568/getInfo.php?workbook=12_05.xlsx&amp;sheet=U0&amp;row=969&amp;col=6&amp;number=3.5&amp;sourceID=14","3.5")</f>
        <v>3.5</v>
      </c>
      <c r="G969" s="4" t="str">
        <f>HYPERLINK("http://141.218.60.56/~jnz1568/getInfo.php?workbook=12_05.xlsx&amp;sheet=U0&amp;row=969&amp;col=7&amp;number=0.0088&amp;sourceID=14","0.0088")</f>
        <v>0.0088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HYPERLINK("http://141.218.60.56/~jnz1568/getInfo.php?workbook=12_05.xlsx&amp;sheet=U0&amp;row=970&amp;col=6&amp;number=3.6&amp;sourceID=14","3.6")</f>
        <v>3.6</v>
      </c>
      <c r="G970" s="4" t="str">
        <f>HYPERLINK("http://141.218.60.56/~jnz1568/getInfo.php?workbook=12_05.xlsx&amp;sheet=U0&amp;row=970&amp;col=7&amp;number=0.00882&amp;sourceID=14","0.00882")</f>
        <v>0.00882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HYPERLINK("http://141.218.60.56/~jnz1568/getInfo.php?workbook=12_05.xlsx&amp;sheet=U0&amp;row=971&amp;col=6&amp;number=3.7&amp;sourceID=14","3.7")</f>
        <v>3.7</v>
      </c>
      <c r="G971" s="4" t="str">
        <f>HYPERLINK("http://141.218.60.56/~jnz1568/getInfo.php?workbook=12_05.xlsx&amp;sheet=U0&amp;row=971&amp;col=7&amp;number=0.00884&amp;sourceID=14","0.00884")</f>
        <v>0.00884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HYPERLINK("http://141.218.60.56/~jnz1568/getInfo.php?workbook=12_05.xlsx&amp;sheet=U0&amp;row=972&amp;col=6&amp;number=3.8&amp;sourceID=14","3.8")</f>
        <v>3.8</v>
      </c>
      <c r="G972" s="4" t="str">
        <f>HYPERLINK("http://141.218.60.56/~jnz1568/getInfo.php?workbook=12_05.xlsx&amp;sheet=U0&amp;row=972&amp;col=7&amp;number=0.00886&amp;sourceID=14","0.00886")</f>
        <v>0.00886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HYPERLINK("http://141.218.60.56/~jnz1568/getInfo.php?workbook=12_05.xlsx&amp;sheet=U0&amp;row=973&amp;col=6&amp;number=3.9&amp;sourceID=14","3.9")</f>
        <v>3.9</v>
      </c>
      <c r="G973" s="4" t="str">
        <f>HYPERLINK("http://141.218.60.56/~jnz1568/getInfo.php?workbook=12_05.xlsx&amp;sheet=U0&amp;row=973&amp;col=7&amp;number=0.00889&amp;sourceID=14","0.00889")</f>
        <v>0.00889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HYPERLINK("http://141.218.60.56/~jnz1568/getInfo.php?workbook=12_05.xlsx&amp;sheet=U0&amp;row=974&amp;col=6&amp;number=4&amp;sourceID=14","4")</f>
        <v>4</v>
      </c>
      <c r="G974" s="4" t="str">
        <f>HYPERLINK("http://141.218.60.56/~jnz1568/getInfo.php?workbook=12_05.xlsx&amp;sheet=U0&amp;row=974&amp;col=7&amp;number=0.00893&amp;sourceID=14","0.00893")</f>
        <v>0.00893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HYPERLINK("http://141.218.60.56/~jnz1568/getInfo.php?workbook=12_05.xlsx&amp;sheet=U0&amp;row=975&amp;col=6&amp;number=4.1&amp;sourceID=14","4.1")</f>
        <v>4.1</v>
      </c>
      <c r="G975" s="4" t="str">
        <f>HYPERLINK("http://141.218.60.56/~jnz1568/getInfo.php?workbook=12_05.xlsx&amp;sheet=U0&amp;row=975&amp;col=7&amp;number=0.00898&amp;sourceID=14","0.00898")</f>
        <v>0.00898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HYPERLINK("http://141.218.60.56/~jnz1568/getInfo.php?workbook=12_05.xlsx&amp;sheet=U0&amp;row=976&amp;col=6&amp;number=4.2&amp;sourceID=14","4.2")</f>
        <v>4.2</v>
      </c>
      <c r="G976" s="4" t="str">
        <f>HYPERLINK("http://141.218.60.56/~jnz1568/getInfo.php?workbook=12_05.xlsx&amp;sheet=U0&amp;row=976&amp;col=7&amp;number=0.00903&amp;sourceID=14","0.00903")</f>
        <v>0.00903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HYPERLINK("http://141.218.60.56/~jnz1568/getInfo.php?workbook=12_05.xlsx&amp;sheet=U0&amp;row=977&amp;col=6&amp;number=4.3&amp;sourceID=14","4.3")</f>
        <v>4.3</v>
      </c>
      <c r="G977" s="4" t="str">
        <f>HYPERLINK("http://141.218.60.56/~jnz1568/getInfo.php?workbook=12_05.xlsx&amp;sheet=U0&amp;row=977&amp;col=7&amp;number=0.0091&amp;sourceID=14","0.0091")</f>
        <v>0.0091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HYPERLINK("http://141.218.60.56/~jnz1568/getInfo.php?workbook=12_05.xlsx&amp;sheet=U0&amp;row=978&amp;col=6&amp;number=4.4&amp;sourceID=14","4.4")</f>
        <v>4.4</v>
      </c>
      <c r="G978" s="4" t="str">
        <f>HYPERLINK("http://141.218.60.56/~jnz1568/getInfo.php?workbook=12_05.xlsx&amp;sheet=U0&amp;row=978&amp;col=7&amp;number=0.00919&amp;sourceID=14","0.00919")</f>
        <v>0.00919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HYPERLINK("http://141.218.60.56/~jnz1568/getInfo.php?workbook=12_05.xlsx&amp;sheet=U0&amp;row=979&amp;col=6&amp;number=4.5&amp;sourceID=14","4.5")</f>
        <v>4.5</v>
      </c>
      <c r="G979" s="4" t="str">
        <f>HYPERLINK("http://141.218.60.56/~jnz1568/getInfo.php?workbook=12_05.xlsx&amp;sheet=U0&amp;row=979&amp;col=7&amp;number=0.00929&amp;sourceID=14","0.00929")</f>
        <v>0.00929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HYPERLINK("http://141.218.60.56/~jnz1568/getInfo.php?workbook=12_05.xlsx&amp;sheet=U0&amp;row=980&amp;col=6&amp;number=4.6&amp;sourceID=14","4.6")</f>
        <v>4.6</v>
      </c>
      <c r="G980" s="4" t="str">
        <f>HYPERLINK("http://141.218.60.56/~jnz1568/getInfo.php?workbook=12_05.xlsx&amp;sheet=U0&amp;row=980&amp;col=7&amp;number=0.0094&amp;sourceID=14","0.0094")</f>
        <v>0.0094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HYPERLINK("http://141.218.60.56/~jnz1568/getInfo.php?workbook=12_05.xlsx&amp;sheet=U0&amp;row=981&amp;col=6&amp;number=4.7&amp;sourceID=14","4.7")</f>
        <v>4.7</v>
      </c>
      <c r="G981" s="4" t="str">
        <f>HYPERLINK("http://141.218.60.56/~jnz1568/getInfo.php?workbook=12_05.xlsx&amp;sheet=U0&amp;row=981&amp;col=7&amp;number=0.00952&amp;sourceID=14","0.00952")</f>
        <v>0.00952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HYPERLINK("http://141.218.60.56/~jnz1568/getInfo.php?workbook=12_05.xlsx&amp;sheet=U0&amp;row=982&amp;col=6&amp;number=4.8&amp;sourceID=14","4.8")</f>
        <v>4.8</v>
      </c>
      <c r="G982" s="4" t="str">
        <f>HYPERLINK("http://141.218.60.56/~jnz1568/getInfo.php?workbook=12_05.xlsx&amp;sheet=U0&amp;row=982&amp;col=7&amp;number=0.00964&amp;sourceID=14","0.00964")</f>
        <v>0.00964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HYPERLINK("http://141.218.60.56/~jnz1568/getInfo.php?workbook=12_05.xlsx&amp;sheet=U0&amp;row=983&amp;col=6&amp;number=4.9&amp;sourceID=14","4.9")</f>
        <v>4.9</v>
      </c>
      <c r="G983" s="4" t="str">
        <f>HYPERLINK("http://141.218.60.56/~jnz1568/getInfo.php?workbook=12_05.xlsx&amp;sheet=U0&amp;row=983&amp;col=7&amp;number=0.00976&amp;sourceID=14","0.00976")</f>
        <v>0.00976</v>
      </c>
    </row>
    <row r="984" spans="1:7">
      <c r="A984" s="3">
        <v>12</v>
      </c>
      <c r="B984" s="3">
        <v>5</v>
      </c>
      <c r="C984" s="3">
        <v>4</v>
      </c>
      <c r="D984" s="3">
        <v>15</v>
      </c>
      <c r="E984" s="3">
        <v>1</v>
      </c>
      <c r="F984" s="4" t="str">
        <f>HYPERLINK("http://141.218.60.56/~jnz1568/getInfo.php?workbook=12_05.xlsx&amp;sheet=U0&amp;row=984&amp;col=6&amp;number=3&amp;sourceID=14","3")</f>
        <v>3</v>
      </c>
      <c r="G984" s="4" t="str">
        <f>HYPERLINK("http://141.218.60.56/~jnz1568/getInfo.php?workbook=12_05.xlsx&amp;sheet=U0&amp;row=984&amp;col=7&amp;number=0.0112&amp;sourceID=14","0.0112")</f>
        <v>0.0112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HYPERLINK("http://141.218.60.56/~jnz1568/getInfo.php?workbook=12_05.xlsx&amp;sheet=U0&amp;row=985&amp;col=6&amp;number=3.1&amp;sourceID=14","3.1")</f>
        <v>3.1</v>
      </c>
      <c r="G985" s="4" t="str">
        <f>HYPERLINK("http://141.218.60.56/~jnz1568/getInfo.php?workbook=12_05.xlsx&amp;sheet=U0&amp;row=985&amp;col=7&amp;number=0.0112&amp;sourceID=14","0.0112")</f>
        <v>0.0112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HYPERLINK("http://141.218.60.56/~jnz1568/getInfo.php?workbook=12_05.xlsx&amp;sheet=U0&amp;row=986&amp;col=6&amp;number=3.2&amp;sourceID=14","3.2")</f>
        <v>3.2</v>
      </c>
      <c r="G986" s="4" t="str">
        <f>HYPERLINK("http://141.218.60.56/~jnz1568/getInfo.php?workbook=12_05.xlsx&amp;sheet=U0&amp;row=986&amp;col=7&amp;number=0.0112&amp;sourceID=14","0.0112")</f>
        <v>0.0112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HYPERLINK("http://141.218.60.56/~jnz1568/getInfo.php?workbook=12_05.xlsx&amp;sheet=U0&amp;row=987&amp;col=6&amp;number=3.3&amp;sourceID=14","3.3")</f>
        <v>3.3</v>
      </c>
      <c r="G987" s="4" t="str">
        <f>HYPERLINK("http://141.218.60.56/~jnz1568/getInfo.php?workbook=12_05.xlsx&amp;sheet=U0&amp;row=987&amp;col=7&amp;number=0.0112&amp;sourceID=14","0.0112")</f>
        <v>0.0112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HYPERLINK("http://141.218.60.56/~jnz1568/getInfo.php?workbook=12_05.xlsx&amp;sheet=U0&amp;row=988&amp;col=6&amp;number=3.4&amp;sourceID=14","3.4")</f>
        <v>3.4</v>
      </c>
      <c r="G988" s="4" t="str">
        <f>HYPERLINK("http://141.218.60.56/~jnz1568/getInfo.php?workbook=12_05.xlsx&amp;sheet=U0&amp;row=988&amp;col=7&amp;number=0.0112&amp;sourceID=14","0.0112")</f>
        <v>0.0112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HYPERLINK("http://141.218.60.56/~jnz1568/getInfo.php?workbook=12_05.xlsx&amp;sheet=U0&amp;row=989&amp;col=6&amp;number=3.5&amp;sourceID=14","3.5")</f>
        <v>3.5</v>
      </c>
      <c r="G989" s="4" t="str">
        <f>HYPERLINK("http://141.218.60.56/~jnz1568/getInfo.php?workbook=12_05.xlsx&amp;sheet=U0&amp;row=989&amp;col=7&amp;number=0.0112&amp;sourceID=14","0.0112")</f>
        <v>0.0112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HYPERLINK("http://141.218.60.56/~jnz1568/getInfo.php?workbook=12_05.xlsx&amp;sheet=U0&amp;row=990&amp;col=6&amp;number=3.6&amp;sourceID=14","3.6")</f>
        <v>3.6</v>
      </c>
      <c r="G990" s="4" t="str">
        <f>HYPERLINK("http://141.218.60.56/~jnz1568/getInfo.php?workbook=12_05.xlsx&amp;sheet=U0&amp;row=990&amp;col=7&amp;number=0.0112&amp;sourceID=14","0.0112")</f>
        <v>0.0112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HYPERLINK("http://141.218.60.56/~jnz1568/getInfo.php?workbook=12_05.xlsx&amp;sheet=U0&amp;row=991&amp;col=6&amp;number=3.7&amp;sourceID=14","3.7")</f>
        <v>3.7</v>
      </c>
      <c r="G991" s="4" t="str">
        <f>HYPERLINK("http://141.218.60.56/~jnz1568/getInfo.php?workbook=12_05.xlsx&amp;sheet=U0&amp;row=991&amp;col=7&amp;number=0.0113&amp;sourceID=14","0.0113")</f>
        <v>0.0113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HYPERLINK("http://141.218.60.56/~jnz1568/getInfo.php?workbook=12_05.xlsx&amp;sheet=U0&amp;row=992&amp;col=6&amp;number=3.8&amp;sourceID=14","3.8")</f>
        <v>3.8</v>
      </c>
      <c r="G992" s="4" t="str">
        <f>HYPERLINK("http://141.218.60.56/~jnz1568/getInfo.php?workbook=12_05.xlsx&amp;sheet=U0&amp;row=992&amp;col=7&amp;number=0.0113&amp;sourceID=14","0.0113")</f>
        <v>0.0113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HYPERLINK("http://141.218.60.56/~jnz1568/getInfo.php?workbook=12_05.xlsx&amp;sheet=U0&amp;row=993&amp;col=6&amp;number=3.9&amp;sourceID=14","3.9")</f>
        <v>3.9</v>
      </c>
      <c r="G993" s="4" t="str">
        <f>HYPERLINK("http://141.218.60.56/~jnz1568/getInfo.php?workbook=12_05.xlsx&amp;sheet=U0&amp;row=993&amp;col=7&amp;number=0.0113&amp;sourceID=14","0.0113")</f>
        <v>0.0113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HYPERLINK("http://141.218.60.56/~jnz1568/getInfo.php?workbook=12_05.xlsx&amp;sheet=U0&amp;row=994&amp;col=6&amp;number=4&amp;sourceID=14","4")</f>
        <v>4</v>
      </c>
      <c r="G994" s="4" t="str">
        <f>HYPERLINK("http://141.218.60.56/~jnz1568/getInfo.php?workbook=12_05.xlsx&amp;sheet=U0&amp;row=994&amp;col=7&amp;number=0.0114&amp;sourceID=14","0.0114")</f>
        <v>0.0114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HYPERLINK("http://141.218.60.56/~jnz1568/getInfo.php?workbook=12_05.xlsx&amp;sheet=U0&amp;row=995&amp;col=6&amp;number=4.1&amp;sourceID=14","4.1")</f>
        <v>4.1</v>
      </c>
      <c r="G995" s="4" t="str">
        <f>HYPERLINK("http://141.218.60.56/~jnz1568/getInfo.php?workbook=12_05.xlsx&amp;sheet=U0&amp;row=995&amp;col=7&amp;number=0.0114&amp;sourceID=14","0.0114")</f>
        <v>0.0114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HYPERLINK("http://141.218.60.56/~jnz1568/getInfo.php?workbook=12_05.xlsx&amp;sheet=U0&amp;row=996&amp;col=6&amp;number=4.2&amp;sourceID=14","4.2")</f>
        <v>4.2</v>
      </c>
      <c r="G996" s="4" t="str">
        <f>HYPERLINK("http://141.218.60.56/~jnz1568/getInfo.php?workbook=12_05.xlsx&amp;sheet=U0&amp;row=996&amp;col=7&amp;number=0.0115&amp;sourceID=14","0.0115")</f>
        <v>0.0115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HYPERLINK("http://141.218.60.56/~jnz1568/getInfo.php?workbook=12_05.xlsx&amp;sheet=U0&amp;row=997&amp;col=6&amp;number=4.3&amp;sourceID=14","4.3")</f>
        <v>4.3</v>
      </c>
      <c r="G997" s="4" t="str">
        <f>HYPERLINK("http://141.218.60.56/~jnz1568/getInfo.php?workbook=12_05.xlsx&amp;sheet=U0&amp;row=997&amp;col=7&amp;number=0.0116&amp;sourceID=14","0.0116")</f>
        <v>0.0116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HYPERLINK("http://141.218.60.56/~jnz1568/getInfo.php?workbook=12_05.xlsx&amp;sheet=U0&amp;row=998&amp;col=6&amp;number=4.4&amp;sourceID=14","4.4")</f>
        <v>4.4</v>
      </c>
      <c r="G998" s="4" t="str">
        <f>HYPERLINK("http://141.218.60.56/~jnz1568/getInfo.php?workbook=12_05.xlsx&amp;sheet=U0&amp;row=998&amp;col=7&amp;number=0.0117&amp;sourceID=14","0.0117")</f>
        <v>0.0117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HYPERLINK("http://141.218.60.56/~jnz1568/getInfo.php?workbook=12_05.xlsx&amp;sheet=U0&amp;row=999&amp;col=6&amp;number=4.5&amp;sourceID=14","4.5")</f>
        <v>4.5</v>
      </c>
      <c r="G999" s="4" t="str">
        <f>HYPERLINK("http://141.218.60.56/~jnz1568/getInfo.php?workbook=12_05.xlsx&amp;sheet=U0&amp;row=999&amp;col=7&amp;number=0.0118&amp;sourceID=14","0.0118")</f>
        <v>0.0118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HYPERLINK("http://141.218.60.56/~jnz1568/getInfo.php?workbook=12_05.xlsx&amp;sheet=U0&amp;row=1000&amp;col=6&amp;number=4.6&amp;sourceID=14","4.6")</f>
        <v>4.6</v>
      </c>
      <c r="G1000" s="4" t="str">
        <f>HYPERLINK("http://141.218.60.56/~jnz1568/getInfo.php?workbook=12_05.xlsx&amp;sheet=U0&amp;row=1000&amp;col=7&amp;number=0.012&amp;sourceID=14","0.012")</f>
        <v>0.012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HYPERLINK("http://141.218.60.56/~jnz1568/getInfo.php?workbook=12_05.xlsx&amp;sheet=U0&amp;row=1001&amp;col=6&amp;number=4.7&amp;sourceID=14","4.7")</f>
        <v>4.7</v>
      </c>
      <c r="G1001" s="4" t="str">
        <f>HYPERLINK("http://141.218.60.56/~jnz1568/getInfo.php?workbook=12_05.xlsx&amp;sheet=U0&amp;row=1001&amp;col=7&amp;number=0.0121&amp;sourceID=14","0.0121")</f>
        <v>0.0121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HYPERLINK("http://141.218.60.56/~jnz1568/getInfo.php?workbook=12_05.xlsx&amp;sheet=U0&amp;row=1002&amp;col=6&amp;number=4.8&amp;sourceID=14","4.8")</f>
        <v>4.8</v>
      </c>
      <c r="G1002" s="4" t="str">
        <f>HYPERLINK("http://141.218.60.56/~jnz1568/getInfo.php?workbook=12_05.xlsx&amp;sheet=U0&amp;row=1002&amp;col=7&amp;number=0.0123&amp;sourceID=14","0.0123")</f>
        <v>0.0123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HYPERLINK("http://141.218.60.56/~jnz1568/getInfo.php?workbook=12_05.xlsx&amp;sheet=U0&amp;row=1003&amp;col=6&amp;number=4.9&amp;sourceID=14","4.9")</f>
        <v>4.9</v>
      </c>
      <c r="G1003" s="4" t="str">
        <f>HYPERLINK("http://141.218.60.56/~jnz1568/getInfo.php?workbook=12_05.xlsx&amp;sheet=U0&amp;row=1003&amp;col=7&amp;number=0.0124&amp;sourceID=14","0.0124")</f>
        <v>0.0124</v>
      </c>
    </row>
    <row r="1004" spans="1:7">
      <c r="A1004" s="3">
        <v>12</v>
      </c>
      <c r="B1004" s="3">
        <v>5</v>
      </c>
      <c r="C1004" s="3">
        <v>5</v>
      </c>
      <c r="D1004" s="3">
        <v>6</v>
      </c>
      <c r="E1004" s="3">
        <v>1</v>
      </c>
      <c r="F1004" s="4" t="str">
        <f>HYPERLINK("http://141.218.60.56/~jnz1568/getInfo.php?workbook=12_05.xlsx&amp;sheet=U0&amp;row=1004&amp;col=6&amp;number=3&amp;sourceID=14","3")</f>
        <v>3</v>
      </c>
      <c r="G1004" s="4" t="str">
        <f>HYPERLINK("http://141.218.60.56/~jnz1568/getInfo.php?workbook=12_05.xlsx&amp;sheet=U0&amp;row=1004&amp;col=7&amp;number=0.155&amp;sourceID=14","0.155")</f>
        <v>0.155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HYPERLINK("http://141.218.60.56/~jnz1568/getInfo.php?workbook=12_05.xlsx&amp;sheet=U0&amp;row=1005&amp;col=6&amp;number=3.1&amp;sourceID=14","3.1")</f>
        <v>3.1</v>
      </c>
      <c r="G1005" s="4" t="str">
        <f>HYPERLINK("http://141.218.60.56/~jnz1568/getInfo.php?workbook=12_05.xlsx&amp;sheet=U0&amp;row=1005&amp;col=7&amp;number=0.155&amp;sourceID=14","0.155")</f>
        <v>0.155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HYPERLINK("http://141.218.60.56/~jnz1568/getInfo.php?workbook=12_05.xlsx&amp;sheet=U0&amp;row=1006&amp;col=6&amp;number=3.2&amp;sourceID=14","3.2")</f>
        <v>3.2</v>
      </c>
      <c r="G1006" s="4" t="str">
        <f>HYPERLINK("http://141.218.60.56/~jnz1568/getInfo.php?workbook=12_05.xlsx&amp;sheet=U0&amp;row=1006&amp;col=7&amp;number=0.155&amp;sourceID=14","0.155")</f>
        <v>0.155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HYPERLINK("http://141.218.60.56/~jnz1568/getInfo.php?workbook=12_05.xlsx&amp;sheet=U0&amp;row=1007&amp;col=6&amp;number=3.3&amp;sourceID=14","3.3")</f>
        <v>3.3</v>
      </c>
      <c r="G1007" s="4" t="str">
        <f>HYPERLINK("http://141.218.60.56/~jnz1568/getInfo.php?workbook=12_05.xlsx&amp;sheet=U0&amp;row=1007&amp;col=7&amp;number=0.155&amp;sourceID=14","0.155")</f>
        <v>0.155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HYPERLINK("http://141.218.60.56/~jnz1568/getInfo.php?workbook=12_05.xlsx&amp;sheet=U0&amp;row=1008&amp;col=6&amp;number=3.4&amp;sourceID=14","3.4")</f>
        <v>3.4</v>
      </c>
      <c r="G1008" s="4" t="str">
        <f>HYPERLINK("http://141.218.60.56/~jnz1568/getInfo.php?workbook=12_05.xlsx&amp;sheet=U0&amp;row=1008&amp;col=7&amp;number=0.155&amp;sourceID=14","0.155")</f>
        <v>0.155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HYPERLINK("http://141.218.60.56/~jnz1568/getInfo.php?workbook=12_05.xlsx&amp;sheet=U0&amp;row=1009&amp;col=6&amp;number=3.5&amp;sourceID=14","3.5")</f>
        <v>3.5</v>
      </c>
      <c r="G1009" s="4" t="str">
        <f>HYPERLINK("http://141.218.60.56/~jnz1568/getInfo.php?workbook=12_05.xlsx&amp;sheet=U0&amp;row=1009&amp;col=7&amp;number=0.154&amp;sourceID=14","0.154")</f>
        <v>0.154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HYPERLINK("http://141.218.60.56/~jnz1568/getInfo.php?workbook=12_05.xlsx&amp;sheet=U0&amp;row=1010&amp;col=6&amp;number=3.6&amp;sourceID=14","3.6")</f>
        <v>3.6</v>
      </c>
      <c r="G1010" s="4" t="str">
        <f>HYPERLINK("http://141.218.60.56/~jnz1568/getInfo.php?workbook=12_05.xlsx&amp;sheet=U0&amp;row=1010&amp;col=7&amp;number=0.154&amp;sourceID=14","0.154")</f>
        <v>0.154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HYPERLINK("http://141.218.60.56/~jnz1568/getInfo.php?workbook=12_05.xlsx&amp;sheet=U0&amp;row=1011&amp;col=6&amp;number=3.7&amp;sourceID=14","3.7")</f>
        <v>3.7</v>
      </c>
      <c r="G1011" s="4" t="str">
        <f>HYPERLINK("http://141.218.60.56/~jnz1568/getInfo.php?workbook=12_05.xlsx&amp;sheet=U0&amp;row=1011&amp;col=7&amp;number=0.154&amp;sourceID=14","0.154")</f>
        <v>0.154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HYPERLINK("http://141.218.60.56/~jnz1568/getInfo.php?workbook=12_05.xlsx&amp;sheet=U0&amp;row=1012&amp;col=6&amp;number=3.8&amp;sourceID=14","3.8")</f>
        <v>3.8</v>
      </c>
      <c r="G1012" s="4" t="str">
        <f>HYPERLINK("http://141.218.60.56/~jnz1568/getInfo.php?workbook=12_05.xlsx&amp;sheet=U0&amp;row=1012&amp;col=7&amp;number=0.154&amp;sourceID=14","0.154")</f>
        <v>0.154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HYPERLINK("http://141.218.60.56/~jnz1568/getInfo.php?workbook=12_05.xlsx&amp;sheet=U0&amp;row=1013&amp;col=6&amp;number=3.9&amp;sourceID=14","3.9")</f>
        <v>3.9</v>
      </c>
      <c r="G1013" s="4" t="str">
        <f>HYPERLINK("http://141.218.60.56/~jnz1568/getInfo.php?workbook=12_05.xlsx&amp;sheet=U0&amp;row=1013&amp;col=7&amp;number=0.154&amp;sourceID=14","0.154")</f>
        <v>0.154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HYPERLINK("http://141.218.60.56/~jnz1568/getInfo.php?workbook=12_05.xlsx&amp;sheet=U0&amp;row=1014&amp;col=6&amp;number=4&amp;sourceID=14","4")</f>
        <v>4</v>
      </c>
      <c r="G1014" s="4" t="str">
        <f>HYPERLINK("http://141.218.60.56/~jnz1568/getInfo.php?workbook=12_05.xlsx&amp;sheet=U0&amp;row=1014&amp;col=7&amp;number=0.154&amp;sourceID=14","0.154")</f>
        <v>0.154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HYPERLINK("http://141.218.60.56/~jnz1568/getInfo.php?workbook=12_05.xlsx&amp;sheet=U0&amp;row=1015&amp;col=6&amp;number=4.1&amp;sourceID=14","4.1")</f>
        <v>4.1</v>
      </c>
      <c r="G1015" s="4" t="str">
        <f>HYPERLINK("http://141.218.60.56/~jnz1568/getInfo.php?workbook=12_05.xlsx&amp;sheet=U0&amp;row=1015&amp;col=7&amp;number=0.153&amp;sourceID=14","0.153")</f>
        <v>0.153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HYPERLINK("http://141.218.60.56/~jnz1568/getInfo.php?workbook=12_05.xlsx&amp;sheet=U0&amp;row=1016&amp;col=6&amp;number=4.2&amp;sourceID=14","4.2")</f>
        <v>4.2</v>
      </c>
      <c r="G1016" s="4" t="str">
        <f>HYPERLINK("http://141.218.60.56/~jnz1568/getInfo.php?workbook=12_05.xlsx&amp;sheet=U0&amp;row=1016&amp;col=7&amp;number=0.153&amp;sourceID=14","0.153")</f>
        <v>0.153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HYPERLINK("http://141.218.60.56/~jnz1568/getInfo.php?workbook=12_05.xlsx&amp;sheet=U0&amp;row=1017&amp;col=6&amp;number=4.3&amp;sourceID=14","4.3")</f>
        <v>4.3</v>
      </c>
      <c r="G1017" s="4" t="str">
        <f>HYPERLINK("http://141.218.60.56/~jnz1568/getInfo.php?workbook=12_05.xlsx&amp;sheet=U0&amp;row=1017&amp;col=7&amp;number=0.152&amp;sourceID=14","0.152")</f>
        <v>0.152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HYPERLINK("http://141.218.60.56/~jnz1568/getInfo.php?workbook=12_05.xlsx&amp;sheet=U0&amp;row=1018&amp;col=6&amp;number=4.4&amp;sourceID=14","4.4")</f>
        <v>4.4</v>
      </c>
      <c r="G1018" s="4" t="str">
        <f>HYPERLINK("http://141.218.60.56/~jnz1568/getInfo.php?workbook=12_05.xlsx&amp;sheet=U0&amp;row=1018&amp;col=7&amp;number=0.152&amp;sourceID=14","0.152")</f>
        <v>0.152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HYPERLINK("http://141.218.60.56/~jnz1568/getInfo.php?workbook=12_05.xlsx&amp;sheet=U0&amp;row=1019&amp;col=6&amp;number=4.5&amp;sourceID=14","4.5")</f>
        <v>4.5</v>
      </c>
      <c r="G1019" s="4" t="str">
        <f>HYPERLINK("http://141.218.60.56/~jnz1568/getInfo.php?workbook=12_05.xlsx&amp;sheet=U0&amp;row=1019&amp;col=7&amp;number=0.151&amp;sourceID=14","0.151")</f>
        <v>0.151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HYPERLINK("http://141.218.60.56/~jnz1568/getInfo.php?workbook=12_05.xlsx&amp;sheet=U0&amp;row=1020&amp;col=6&amp;number=4.6&amp;sourceID=14","4.6")</f>
        <v>4.6</v>
      </c>
      <c r="G1020" s="4" t="str">
        <f>HYPERLINK("http://141.218.60.56/~jnz1568/getInfo.php?workbook=12_05.xlsx&amp;sheet=U0&amp;row=1020&amp;col=7&amp;number=0.15&amp;sourceID=14","0.15")</f>
        <v>0.15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HYPERLINK("http://141.218.60.56/~jnz1568/getInfo.php?workbook=12_05.xlsx&amp;sheet=U0&amp;row=1021&amp;col=6&amp;number=4.7&amp;sourceID=14","4.7")</f>
        <v>4.7</v>
      </c>
      <c r="G1021" s="4" t="str">
        <f>HYPERLINK("http://141.218.60.56/~jnz1568/getInfo.php?workbook=12_05.xlsx&amp;sheet=U0&amp;row=1021&amp;col=7&amp;number=0.148&amp;sourceID=14","0.148")</f>
        <v>0.148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HYPERLINK("http://141.218.60.56/~jnz1568/getInfo.php?workbook=12_05.xlsx&amp;sheet=U0&amp;row=1022&amp;col=6&amp;number=4.8&amp;sourceID=14","4.8")</f>
        <v>4.8</v>
      </c>
      <c r="G1022" s="4" t="str">
        <f>HYPERLINK("http://141.218.60.56/~jnz1568/getInfo.php?workbook=12_05.xlsx&amp;sheet=U0&amp;row=1022&amp;col=7&amp;number=0.146&amp;sourceID=14","0.146")</f>
        <v>0.146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HYPERLINK("http://141.218.60.56/~jnz1568/getInfo.php?workbook=12_05.xlsx&amp;sheet=U0&amp;row=1023&amp;col=6&amp;number=4.9&amp;sourceID=14","4.9")</f>
        <v>4.9</v>
      </c>
      <c r="G1023" s="4" t="str">
        <f>HYPERLINK("http://141.218.60.56/~jnz1568/getInfo.php?workbook=12_05.xlsx&amp;sheet=U0&amp;row=1023&amp;col=7&amp;number=0.143&amp;sourceID=14","0.143")</f>
        <v>0.143</v>
      </c>
    </row>
    <row r="1024" spans="1:7">
      <c r="A1024" s="3">
        <v>12</v>
      </c>
      <c r="B1024" s="3">
        <v>5</v>
      </c>
      <c r="C1024" s="3">
        <v>5</v>
      </c>
      <c r="D1024" s="3">
        <v>7</v>
      </c>
      <c r="E1024" s="3">
        <v>1</v>
      </c>
      <c r="F1024" s="4" t="str">
        <f>HYPERLINK("http://141.218.60.56/~jnz1568/getInfo.php?workbook=12_05.xlsx&amp;sheet=U0&amp;row=1024&amp;col=6&amp;number=3&amp;sourceID=14","3")</f>
        <v>3</v>
      </c>
      <c r="G1024" s="4" t="str">
        <f>HYPERLINK("http://141.218.60.56/~jnz1568/getInfo.php?workbook=12_05.xlsx&amp;sheet=U0&amp;row=1024&amp;col=7&amp;number=0.431&amp;sourceID=14","0.431")</f>
        <v>0.431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HYPERLINK("http://141.218.60.56/~jnz1568/getInfo.php?workbook=12_05.xlsx&amp;sheet=U0&amp;row=1025&amp;col=6&amp;number=3.1&amp;sourceID=14","3.1")</f>
        <v>3.1</v>
      </c>
      <c r="G1025" s="4" t="str">
        <f>HYPERLINK("http://141.218.60.56/~jnz1568/getInfo.php?workbook=12_05.xlsx&amp;sheet=U0&amp;row=1025&amp;col=7&amp;number=0.431&amp;sourceID=14","0.431")</f>
        <v>0.431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HYPERLINK("http://141.218.60.56/~jnz1568/getInfo.php?workbook=12_05.xlsx&amp;sheet=U0&amp;row=1026&amp;col=6&amp;number=3.2&amp;sourceID=14","3.2")</f>
        <v>3.2</v>
      </c>
      <c r="G1026" s="4" t="str">
        <f>HYPERLINK("http://141.218.60.56/~jnz1568/getInfo.php?workbook=12_05.xlsx&amp;sheet=U0&amp;row=1026&amp;col=7&amp;number=0.431&amp;sourceID=14","0.431")</f>
        <v>0.431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HYPERLINK("http://141.218.60.56/~jnz1568/getInfo.php?workbook=12_05.xlsx&amp;sheet=U0&amp;row=1027&amp;col=6&amp;number=3.3&amp;sourceID=14","3.3")</f>
        <v>3.3</v>
      </c>
      <c r="G1027" s="4" t="str">
        <f>HYPERLINK("http://141.218.60.56/~jnz1568/getInfo.php?workbook=12_05.xlsx&amp;sheet=U0&amp;row=1027&amp;col=7&amp;number=0.431&amp;sourceID=14","0.431")</f>
        <v>0.431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HYPERLINK("http://141.218.60.56/~jnz1568/getInfo.php?workbook=12_05.xlsx&amp;sheet=U0&amp;row=1028&amp;col=6&amp;number=3.4&amp;sourceID=14","3.4")</f>
        <v>3.4</v>
      </c>
      <c r="G1028" s="4" t="str">
        <f>HYPERLINK("http://141.218.60.56/~jnz1568/getInfo.php?workbook=12_05.xlsx&amp;sheet=U0&amp;row=1028&amp;col=7&amp;number=0.43&amp;sourceID=14","0.43")</f>
        <v>0.43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HYPERLINK("http://141.218.60.56/~jnz1568/getInfo.php?workbook=12_05.xlsx&amp;sheet=U0&amp;row=1029&amp;col=6&amp;number=3.5&amp;sourceID=14","3.5")</f>
        <v>3.5</v>
      </c>
      <c r="G1029" s="4" t="str">
        <f>HYPERLINK("http://141.218.60.56/~jnz1568/getInfo.php?workbook=12_05.xlsx&amp;sheet=U0&amp;row=1029&amp;col=7&amp;number=0.43&amp;sourceID=14","0.43")</f>
        <v>0.43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HYPERLINK("http://141.218.60.56/~jnz1568/getInfo.php?workbook=12_05.xlsx&amp;sheet=U0&amp;row=1030&amp;col=6&amp;number=3.6&amp;sourceID=14","3.6")</f>
        <v>3.6</v>
      </c>
      <c r="G1030" s="4" t="str">
        <f>HYPERLINK("http://141.218.60.56/~jnz1568/getInfo.php?workbook=12_05.xlsx&amp;sheet=U0&amp;row=1030&amp;col=7&amp;number=0.429&amp;sourceID=14","0.429")</f>
        <v>0.429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HYPERLINK("http://141.218.60.56/~jnz1568/getInfo.php?workbook=12_05.xlsx&amp;sheet=U0&amp;row=1031&amp;col=6&amp;number=3.7&amp;sourceID=14","3.7")</f>
        <v>3.7</v>
      </c>
      <c r="G1031" s="4" t="str">
        <f>HYPERLINK("http://141.218.60.56/~jnz1568/getInfo.php?workbook=12_05.xlsx&amp;sheet=U0&amp;row=1031&amp;col=7&amp;number=0.428&amp;sourceID=14","0.428")</f>
        <v>0.428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HYPERLINK("http://141.218.60.56/~jnz1568/getInfo.php?workbook=12_05.xlsx&amp;sheet=U0&amp;row=1032&amp;col=6&amp;number=3.8&amp;sourceID=14","3.8")</f>
        <v>3.8</v>
      </c>
      <c r="G1032" s="4" t="str">
        <f>HYPERLINK("http://141.218.60.56/~jnz1568/getInfo.php?workbook=12_05.xlsx&amp;sheet=U0&amp;row=1032&amp;col=7&amp;number=0.428&amp;sourceID=14","0.428")</f>
        <v>0.428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HYPERLINK("http://141.218.60.56/~jnz1568/getInfo.php?workbook=12_05.xlsx&amp;sheet=U0&amp;row=1033&amp;col=6&amp;number=3.9&amp;sourceID=14","3.9")</f>
        <v>3.9</v>
      </c>
      <c r="G1033" s="4" t="str">
        <f>HYPERLINK("http://141.218.60.56/~jnz1568/getInfo.php?workbook=12_05.xlsx&amp;sheet=U0&amp;row=1033&amp;col=7&amp;number=0.426&amp;sourceID=14","0.426")</f>
        <v>0.426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HYPERLINK("http://141.218.60.56/~jnz1568/getInfo.php?workbook=12_05.xlsx&amp;sheet=U0&amp;row=1034&amp;col=6&amp;number=4&amp;sourceID=14","4")</f>
        <v>4</v>
      </c>
      <c r="G1034" s="4" t="str">
        <f>HYPERLINK("http://141.218.60.56/~jnz1568/getInfo.php?workbook=12_05.xlsx&amp;sheet=U0&amp;row=1034&amp;col=7&amp;number=0.425&amp;sourceID=14","0.425")</f>
        <v>0.425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HYPERLINK("http://141.218.60.56/~jnz1568/getInfo.php?workbook=12_05.xlsx&amp;sheet=U0&amp;row=1035&amp;col=6&amp;number=4.1&amp;sourceID=14","4.1")</f>
        <v>4.1</v>
      </c>
      <c r="G1035" s="4" t="str">
        <f>HYPERLINK("http://141.218.60.56/~jnz1568/getInfo.php?workbook=12_05.xlsx&amp;sheet=U0&amp;row=1035&amp;col=7&amp;number=0.423&amp;sourceID=14","0.423")</f>
        <v>0.423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HYPERLINK("http://141.218.60.56/~jnz1568/getInfo.php?workbook=12_05.xlsx&amp;sheet=U0&amp;row=1036&amp;col=6&amp;number=4.2&amp;sourceID=14","4.2")</f>
        <v>4.2</v>
      </c>
      <c r="G1036" s="4" t="str">
        <f>HYPERLINK("http://141.218.60.56/~jnz1568/getInfo.php?workbook=12_05.xlsx&amp;sheet=U0&amp;row=1036&amp;col=7&amp;number=0.421&amp;sourceID=14","0.421")</f>
        <v>0.421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HYPERLINK("http://141.218.60.56/~jnz1568/getInfo.php?workbook=12_05.xlsx&amp;sheet=U0&amp;row=1037&amp;col=6&amp;number=4.3&amp;sourceID=14","4.3")</f>
        <v>4.3</v>
      </c>
      <c r="G1037" s="4" t="str">
        <f>HYPERLINK("http://141.218.60.56/~jnz1568/getInfo.php?workbook=12_05.xlsx&amp;sheet=U0&amp;row=1037&amp;col=7&amp;number=0.418&amp;sourceID=14","0.418")</f>
        <v>0.418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HYPERLINK("http://141.218.60.56/~jnz1568/getInfo.php?workbook=12_05.xlsx&amp;sheet=U0&amp;row=1038&amp;col=6&amp;number=4.4&amp;sourceID=14","4.4")</f>
        <v>4.4</v>
      </c>
      <c r="G1038" s="4" t="str">
        <f>HYPERLINK("http://141.218.60.56/~jnz1568/getInfo.php?workbook=12_05.xlsx&amp;sheet=U0&amp;row=1038&amp;col=7&amp;number=0.415&amp;sourceID=14","0.415")</f>
        <v>0.415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HYPERLINK("http://141.218.60.56/~jnz1568/getInfo.php?workbook=12_05.xlsx&amp;sheet=U0&amp;row=1039&amp;col=6&amp;number=4.5&amp;sourceID=14","4.5")</f>
        <v>4.5</v>
      </c>
      <c r="G1039" s="4" t="str">
        <f>HYPERLINK("http://141.218.60.56/~jnz1568/getInfo.php?workbook=12_05.xlsx&amp;sheet=U0&amp;row=1039&amp;col=7&amp;number=0.411&amp;sourceID=14","0.411")</f>
        <v>0.411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HYPERLINK("http://141.218.60.56/~jnz1568/getInfo.php?workbook=12_05.xlsx&amp;sheet=U0&amp;row=1040&amp;col=6&amp;number=4.6&amp;sourceID=14","4.6")</f>
        <v>4.6</v>
      </c>
      <c r="G1040" s="4" t="str">
        <f>HYPERLINK("http://141.218.60.56/~jnz1568/getInfo.php?workbook=12_05.xlsx&amp;sheet=U0&amp;row=1040&amp;col=7&amp;number=0.406&amp;sourceID=14","0.406")</f>
        <v>0.406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HYPERLINK("http://141.218.60.56/~jnz1568/getInfo.php?workbook=12_05.xlsx&amp;sheet=U0&amp;row=1041&amp;col=6&amp;number=4.7&amp;sourceID=14","4.7")</f>
        <v>4.7</v>
      </c>
      <c r="G1041" s="4" t="str">
        <f>HYPERLINK("http://141.218.60.56/~jnz1568/getInfo.php?workbook=12_05.xlsx&amp;sheet=U0&amp;row=1041&amp;col=7&amp;number=0.399&amp;sourceID=14","0.399")</f>
        <v>0.399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HYPERLINK("http://141.218.60.56/~jnz1568/getInfo.php?workbook=12_05.xlsx&amp;sheet=U0&amp;row=1042&amp;col=6&amp;number=4.8&amp;sourceID=14","4.8")</f>
        <v>4.8</v>
      </c>
      <c r="G1042" s="4" t="str">
        <f>HYPERLINK("http://141.218.60.56/~jnz1568/getInfo.php?workbook=12_05.xlsx&amp;sheet=U0&amp;row=1042&amp;col=7&amp;number=0.392&amp;sourceID=14","0.392")</f>
        <v>0.392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HYPERLINK("http://141.218.60.56/~jnz1568/getInfo.php?workbook=12_05.xlsx&amp;sheet=U0&amp;row=1043&amp;col=6&amp;number=4.9&amp;sourceID=14","4.9")</f>
        <v>4.9</v>
      </c>
      <c r="G1043" s="4" t="str">
        <f>HYPERLINK("http://141.218.60.56/~jnz1568/getInfo.php?workbook=12_05.xlsx&amp;sheet=U0&amp;row=1043&amp;col=7&amp;number=0.383&amp;sourceID=14","0.383")</f>
        <v>0.383</v>
      </c>
    </row>
    <row r="1044" spans="1:7">
      <c r="A1044" s="3">
        <v>12</v>
      </c>
      <c r="B1044" s="3">
        <v>5</v>
      </c>
      <c r="C1044" s="3">
        <v>5</v>
      </c>
      <c r="D1044" s="3">
        <v>8</v>
      </c>
      <c r="E1044" s="3">
        <v>1</v>
      </c>
      <c r="F1044" s="4" t="str">
        <f>HYPERLINK("http://141.218.60.56/~jnz1568/getInfo.php?workbook=12_05.xlsx&amp;sheet=U0&amp;row=1044&amp;col=6&amp;number=3&amp;sourceID=14","3")</f>
        <v>3</v>
      </c>
      <c r="G1044" s="4" t="str">
        <f>HYPERLINK("http://141.218.60.56/~jnz1568/getInfo.php?workbook=12_05.xlsx&amp;sheet=U0&amp;row=1044&amp;col=7&amp;number=0.0765&amp;sourceID=14","0.0765")</f>
        <v>0.0765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HYPERLINK("http://141.218.60.56/~jnz1568/getInfo.php?workbook=12_05.xlsx&amp;sheet=U0&amp;row=1045&amp;col=6&amp;number=3.1&amp;sourceID=14","3.1")</f>
        <v>3.1</v>
      </c>
      <c r="G1045" s="4" t="str">
        <f>HYPERLINK("http://141.218.60.56/~jnz1568/getInfo.php?workbook=12_05.xlsx&amp;sheet=U0&amp;row=1045&amp;col=7&amp;number=0.0764&amp;sourceID=14","0.0764")</f>
        <v>0.0764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HYPERLINK("http://141.218.60.56/~jnz1568/getInfo.php?workbook=12_05.xlsx&amp;sheet=U0&amp;row=1046&amp;col=6&amp;number=3.2&amp;sourceID=14","3.2")</f>
        <v>3.2</v>
      </c>
      <c r="G1046" s="4" t="str">
        <f>HYPERLINK("http://141.218.60.56/~jnz1568/getInfo.php?workbook=12_05.xlsx&amp;sheet=U0&amp;row=1046&amp;col=7&amp;number=0.0763&amp;sourceID=14","0.0763")</f>
        <v>0.0763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HYPERLINK("http://141.218.60.56/~jnz1568/getInfo.php?workbook=12_05.xlsx&amp;sheet=U0&amp;row=1047&amp;col=6&amp;number=3.3&amp;sourceID=14","3.3")</f>
        <v>3.3</v>
      </c>
      <c r="G1047" s="4" t="str">
        <f>HYPERLINK("http://141.218.60.56/~jnz1568/getInfo.php?workbook=12_05.xlsx&amp;sheet=U0&amp;row=1047&amp;col=7&amp;number=0.0762&amp;sourceID=14","0.0762")</f>
        <v>0.0762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HYPERLINK("http://141.218.60.56/~jnz1568/getInfo.php?workbook=12_05.xlsx&amp;sheet=U0&amp;row=1048&amp;col=6&amp;number=3.4&amp;sourceID=14","3.4")</f>
        <v>3.4</v>
      </c>
      <c r="G1048" s="4" t="str">
        <f>HYPERLINK("http://141.218.60.56/~jnz1568/getInfo.php?workbook=12_05.xlsx&amp;sheet=U0&amp;row=1048&amp;col=7&amp;number=0.076&amp;sourceID=14","0.076")</f>
        <v>0.076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HYPERLINK("http://141.218.60.56/~jnz1568/getInfo.php?workbook=12_05.xlsx&amp;sheet=U0&amp;row=1049&amp;col=6&amp;number=3.5&amp;sourceID=14","3.5")</f>
        <v>3.5</v>
      </c>
      <c r="G1049" s="4" t="str">
        <f>HYPERLINK("http://141.218.60.56/~jnz1568/getInfo.php?workbook=12_05.xlsx&amp;sheet=U0&amp;row=1049&amp;col=7&amp;number=0.0758&amp;sourceID=14","0.0758")</f>
        <v>0.0758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HYPERLINK("http://141.218.60.56/~jnz1568/getInfo.php?workbook=12_05.xlsx&amp;sheet=U0&amp;row=1050&amp;col=6&amp;number=3.6&amp;sourceID=14","3.6")</f>
        <v>3.6</v>
      </c>
      <c r="G1050" s="4" t="str">
        <f>HYPERLINK("http://141.218.60.56/~jnz1568/getInfo.php?workbook=12_05.xlsx&amp;sheet=U0&amp;row=1050&amp;col=7&amp;number=0.0755&amp;sourceID=14","0.0755")</f>
        <v>0.0755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HYPERLINK("http://141.218.60.56/~jnz1568/getInfo.php?workbook=12_05.xlsx&amp;sheet=U0&amp;row=1051&amp;col=6&amp;number=3.7&amp;sourceID=14","3.7")</f>
        <v>3.7</v>
      </c>
      <c r="G1051" s="4" t="str">
        <f>HYPERLINK("http://141.218.60.56/~jnz1568/getInfo.php?workbook=12_05.xlsx&amp;sheet=U0&amp;row=1051&amp;col=7&amp;number=0.0752&amp;sourceID=14","0.0752")</f>
        <v>0.0752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HYPERLINK("http://141.218.60.56/~jnz1568/getInfo.php?workbook=12_05.xlsx&amp;sheet=U0&amp;row=1052&amp;col=6&amp;number=3.8&amp;sourceID=14","3.8")</f>
        <v>3.8</v>
      </c>
      <c r="G1052" s="4" t="str">
        <f>HYPERLINK("http://141.218.60.56/~jnz1568/getInfo.php?workbook=12_05.xlsx&amp;sheet=U0&amp;row=1052&amp;col=7&amp;number=0.0748&amp;sourceID=14","0.0748")</f>
        <v>0.0748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HYPERLINK("http://141.218.60.56/~jnz1568/getInfo.php?workbook=12_05.xlsx&amp;sheet=U0&amp;row=1053&amp;col=6&amp;number=3.9&amp;sourceID=14","3.9")</f>
        <v>3.9</v>
      </c>
      <c r="G1053" s="4" t="str">
        <f>HYPERLINK("http://141.218.60.56/~jnz1568/getInfo.php?workbook=12_05.xlsx&amp;sheet=U0&amp;row=1053&amp;col=7&amp;number=0.0743&amp;sourceID=14","0.0743")</f>
        <v>0.0743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HYPERLINK("http://141.218.60.56/~jnz1568/getInfo.php?workbook=12_05.xlsx&amp;sheet=U0&amp;row=1054&amp;col=6&amp;number=4&amp;sourceID=14","4")</f>
        <v>4</v>
      </c>
      <c r="G1054" s="4" t="str">
        <f>HYPERLINK("http://141.218.60.56/~jnz1568/getInfo.php?workbook=12_05.xlsx&amp;sheet=U0&amp;row=1054&amp;col=7&amp;number=0.0737&amp;sourceID=14","0.0737")</f>
        <v>0.0737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HYPERLINK("http://141.218.60.56/~jnz1568/getInfo.php?workbook=12_05.xlsx&amp;sheet=U0&amp;row=1055&amp;col=6&amp;number=4.1&amp;sourceID=14","4.1")</f>
        <v>4.1</v>
      </c>
      <c r="G1055" s="4" t="str">
        <f>HYPERLINK("http://141.218.60.56/~jnz1568/getInfo.php?workbook=12_05.xlsx&amp;sheet=U0&amp;row=1055&amp;col=7&amp;number=0.073&amp;sourceID=14","0.073")</f>
        <v>0.073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HYPERLINK("http://141.218.60.56/~jnz1568/getInfo.php?workbook=12_05.xlsx&amp;sheet=U0&amp;row=1056&amp;col=6&amp;number=4.2&amp;sourceID=14","4.2")</f>
        <v>4.2</v>
      </c>
      <c r="G1056" s="4" t="str">
        <f>HYPERLINK("http://141.218.60.56/~jnz1568/getInfo.php?workbook=12_05.xlsx&amp;sheet=U0&amp;row=1056&amp;col=7&amp;number=0.072&amp;sourceID=14","0.072")</f>
        <v>0.072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HYPERLINK("http://141.218.60.56/~jnz1568/getInfo.php?workbook=12_05.xlsx&amp;sheet=U0&amp;row=1057&amp;col=6&amp;number=4.3&amp;sourceID=14","4.3")</f>
        <v>4.3</v>
      </c>
      <c r="G1057" s="4" t="str">
        <f>HYPERLINK("http://141.218.60.56/~jnz1568/getInfo.php?workbook=12_05.xlsx&amp;sheet=U0&amp;row=1057&amp;col=7&amp;number=0.071&amp;sourceID=14","0.071")</f>
        <v>0.071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HYPERLINK("http://141.218.60.56/~jnz1568/getInfo.php?workbook=12_05.xlsx&amp;sheet=U0&amp;row=1058&amp;col=6&amp;number=4.4&amp;sourceID=14","4.4")</f>
        <v>4.4</v>
      </c>
      <c r="G1058" s="4" t="str">
        <f>HYPERLINK("http://141.218.60.56/~jnz1568/getInfo.php?workbook=12_05.xlsx&amp;sheet=U0&amp;row=1058&amp;col=7&amp;number=0.0696&amp;sourceID=14","0.0696")</f>
        <v>0.0696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HYPERLINK("http://141.218.60.56/~jnz1568/getInfo.php?workbook=12_05.xlsx&amp;sheet=U0&amp;row=1059&amp;col=6&amp;number=4.5&amp;sourceID=14","4.5")</f>
        <v>4.5</v>
      </c>
      <c r="G1059" s="4" t="str">
        <f>HYPERLINK("http://141.218.60.56/~jnz1568/getInfo.php?workbook=12_05.xlsx&amp;sheet=U0&amp;row=1059&amp;col=7&amp;number=0.0681&amp;sourceID=14","0.0681")</f>
        <v>0.0681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HYPERLINK("http://141.218.60.56/~jnz1568/getInfo.php?workbook=12_05.xlsx&amp;sheet=U0&amp;row=1060&amp;col=6&amp;number=4.6&amp;sourceID=14","4.6")</f>
        <v>4.6</v>
      </c>
      <c r="G1060" s="4" t="str">
        <f>HYPERLINK("http://141.218.60.56/~jnz1568/getInfo.php?workbook=12_05.xlsx&amp;sheet=U0&amp;row=1060&amp;col=7&amp;number=0.0664&amp;sourceID=14","0.0664")</f>
        <v>0.0664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HYPERLINK("http://141.218.60.56/~jnz1568/getInfo.php?workbook=12_05.xlsx&amp;sheet=U0&amp;row=1061&amp;col=6&amp;number=4.7&amp;sourceID=14","4.7")</f>
        <v>4.7</v>
      </c>
      <c r="G1061" s="4" t="str">
        <f>HYPERLINK("http://141.218.60.56/~jnz1568/getInfo.php?workbook=12_05.xlsx&amp;sheet=U0&amp;row=1061&amp;col=7&amp;number=0.0645&amp;sourceID=14","0.0645")</f>
        <v>0.0645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HYPERLINK("http://141.218.60.56/~jnz1568/getInfo.php?workbook=12_05.xlsx&amp;sheet=U0&amp;row=1062&amp;col=6&amp;number=4.8&amp;sourceID=14","4.8")</f>
        <v>4.8</v>
      </c>
      <c r="G1062" s="4" t="str">
        <f>HYPERLINK("http://141.218.60.56/~jnz1568/getInfo.php?workbook=12_05.xlsx&amp;sheet=U0&amp;row=1062&amp;col=7&amp;number=0.0625&amp;sourceID=14","0.0625")</f>
        <v>0.0625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HYPERLINK("http://141.218.60.56/~jnz1568/getInfo.php?workbook=12_05.xlsx&amp;sheet=U0&amp;row=1063&amp;col=6&amp;number=4.9&amp;sourceID=14","4.9")</f>
        <v>4.9</v>
      </c>
      <c r="G1063" s="4" t="str">
        <f>HYPERLINK("http://141.218.60.56/~jnz1568/getInfo.php?workbook=12_05.xlsx&amp;sheet=U0&amp;row=1063&amp;col=7&amp;number=0.0606&amp;sourceID=14","0.0606")</f>
        <v>0.0606</v>
      </c>
    </row>
    <row r="1064" spans="1:7">
      <c r="A1064" s="3">
        <v>12</v>
      </c>
      <c r="B1064" s="3">
        <v>5</v>
      </c>
      <c r="C1064" s="3">
        <v>5</v>
      </c>
      <c r="D1064" s="3">
        <v>9</v>
      </c>
      <c r="E1064" s="3">
        <v>1</v>
      </c>
      <c r="F1064" s="4" t="str">
        <f>HYPERLINK("http://141.218.60.56/~jnz1568/getInfo.php?workbook=12_05.xlsx&amp;sheet=U0&amp;row=1064&amp;col=6&amp;number=3&amp;sourceID=14","3")</f>
        <v>3</v>
      </c>
      <c r="G1064" s="4" t="str">
        <f>HYPERLINK("http://141.218.60.56/~jnz1568/getInfo.php?workbook=12_05.xlsx&amp;sheet=U0&amp;row=1064&amp;col=7&amp;number=0.043&amp;sourceID=14","0.043")</f>
        <v>0.043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HYPERLINK("http://141.218.60.56/~jnz1568/getInfo.php?workbook=12_05.xlsx&amp;sheet=U0&amp;row=1065&amp;col=6&amp;number=3.1&amp;sourceID=14","3.1")</f>
        <v>3.1</v>
      </c>
      <c r="G1065" s="4" t="str">
        <f>HYPERLINK("http://141.218.60.56/~jnz1568/getInfo.php?workbook=12_05.xlsx&amp;sheet=U0&amp;row=1065&amp;col=7&amp;number=0.043&amp;sourceID=14","0.043")</f>
        <v>0.043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HYPERLINK("http://141.218.60.56/~jnz1568/getInfo.php?workbook=12_05.xlsx&amp;sheet=U0&amp;row=1066&amp;col=6&amp;number=3.2&amp;sourceID=14","3.2")</f>
        <v>3.2</v>
      </c>
      <c r="G1066" s="4" t="str">
        <f>HYPERLINK("http://141.218.60.56/~jnz1568/getInfo.php?workbook=12_05.xlsx&amp;sheet=U0&amp;row=1066&amp;col=7&amp;number=0.0431&amp;sourceID=14","0.0431")</f>
        <v>0.0431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HYPERLINK("http://141.218.60.56/~jnz1568/getInfo.php?workbook=12_05.xlsx&amp;sheet=U0&amp;row=1067&amp;col=6&amp;number=3.3&amp;sourceID=14","3.3")</f>
        <v>3.3</v>
      </c>
      <c r="G1067" s="4" t="str">
        <f>HYPERLINK("http://141.218.60.56/~jnz1568/getInfo.php?workbook=12_05.xlsx&amp;sheet=U0&amp;row=1067&amp;col=7&amp;number=0.0432&amp;sourceID=14","0.0432")</f>
        <v>0.0432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HYPERLINK("http://141.218.60.56/~jnz1568/getInfo.php?workbook=12_05.xlsx&amp;sheet=U0&amp;row=1068&amp;col=6&amp;number=3.4&amp;sourceID=14","3.4")</f>
        <v>3.4</v>
      </c>
      <c r="G1068" s="4" t="str">
        <f>HYPERLINK("http://141.218.60.56/~jnz1568/getInfo.php?workbook=12_05.xlsx&amp;sheet=U0&amp;row=1068&amp;col=7&amp;number=0.0432&amp;sourceID=14","0.0432")</f>
        <v>0.0432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HYPERLINK("http://141.218.60.56/~jnz1568/getInfo.php?workbook=12_05.xlsx&amp;sheet=U0&amp;row=1069&amp;col=6&amp;number=3.5&amp;sourceID=14","3.5")</f>
        <v>3.5</v>
      </c>
      <c r="G1069" s="4" t="str">
        <f>HYPERLINK("http://141.218.60.56/~jnz1568/getInfo.php?workbook=12_05.xlsx&amp;sheet=U0&amp;row=1069&amp;col=7&amp;number=0.0433&amp;sourceID=14","0.0433")</f>
        <v>0.0433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HYPERLINK("http://141.218.60.56/~jnz1568/getInfo.php?workbook=12_05.xlsx&amp;sheet=U0&amp;row=1070&amp;col=6&amp;number=3.6&amp;sourceID=14","3.6")</f>
        <v>3.6</v>
      </c>
      <c r="G1070" s="4" t="str">
        <f>HYPERLINK("http://141.218.60.56/~jnz1568/getInfo.php?workbook=12_05.xlsx&amp;sheet=U0&amp;row=1070&amp;col=7&amp;number=0.0434&amp;sourceID=14","0.0434")</f>
        <v>0.0434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HYPERLINK("http://141.218.60.56/~jnz1568/getInfo.php?workbook=12_05.xlsx&amp;sheet=U0&amp;row=1071&amp;col=6&amp;number=3.7&amp;sourceID=14","3.7")</f>
        <v>3.7</v>
      </c>
      <c r="G1071" s="4" t="str">
        <f>HYPERLINK("http://141.218.60.56/~jnz1568/getInfo.php?workbook=12_05.xlsx&amp;sheet=U0&amp;row=1071&amp;col=7&amp;number=0.0436&amp;sourceID=14","0.0436")</f>
        <v>0.0436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HYPERLINK("http://141.218.60.56/~jnz1568/getInfo.php?workbook=12_05.xlsx&amp;sheet=U0&amp;row=1072&amp;col=6&amp;number=3.8&amp;sourceID=14","3.8")</f>
        <v>3.8</v>
      </c>
      <c r="G1072" s="4" t="str">
        <f>HYPERLINK("http://141.218.60.56/~jnz1568/getInfo.php?workbook=12_05.xlsx&amp;sheet=U0&amp;row=1072&amp;col=7&amp;number=0.0437&amp;sourceID=14","0.0437")</f>
        <v>0.0437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HYPERLINK("http://141.218.60.56/~jnz1568/getInfo.php?workbook=12_05.xlsx&amp;sheet=U0&amp;row=1073&amp;col=6&amp;number=3.9&amp;sourceID=14","3.9")</f>
        <v>3.9</v>
      </c>
      <c r="G1073" s="4" t="str">
        <f>HYPERLINK("http://141.218.60.56/~jnz1568/getInfo.php?workbook=12_05.xlsx&amp;sheet=U0&amp;row=1073&amp;col=7&amp;number=0.0439&amp;sourceID=14","0.0439")</f>
        <v>0.0439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HYPERLINK("http://141.218.60.56/~jnz1568/getInfo.php?workbook=12_05.xlsx&amp;sheet=U0&amp;row=1074&amp;col=6&amp;number=4&amp;sourceID=14","4")</f>
        <v>4</v>
      </c>
      <c r="G1074" s="4" t="str">
        <f>HYPERLINK("http://141.218.60.56/~jnz1568/getInfo.php?workbook=12_05.xlsx&amp;sheet=U0&amp;row=1074&amp;col=7&amp;number=0.0442&amp;sourceID=14","0.0442")</f>
        <v>0.0442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HYPERLINK("http://141.218.60.56/~jnz1568/getInfo.php?workbook=12_05.xlsx&amp;sheet=U0&amp;row=1075&amp;col=6&amp;number=4.1&amp;sourceID=14","4.1")</f>
        <v>4.1</v>
      </c>
      <c r="G1075" s="4" t="str">
        <f>HYPERLINK("http://141.218.60.56/~jnz1568/getInfo.php?workbook=12_05.xlsx&amp;sheet=U0&amp;row=1075&amp;col=7&amp;number=0.0445&amp;sourceID=14","0.0445")</f>
        <v>0.0445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HYPERLINK("http://141.218.60.56/~jnz1568/getInfo.php?workbook=12_05.xlsx&amp;sheet=U0&amp;row=1076&amp;col=6&amp;number=4.2&amp;sourceID=14","4.2")</f>
        <v>4.2</v>
      </c>
      <c r="G1076" s="4" t="str">
        <f>HYPERLINK("http://141.218.60.56/~jnz1568/getInfo.php?workbook=12_05.xlsx&amp;sheet=U0&amp;row=1076&amp;col=7&amp;number=0.0448&amp;sourceID=14","0.0448")</f>
        <v>0.0448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HYPERLINK("http://141.218.60.56/~jnz1568/getInfo.php?workbook=12_05.xlsx&amp;sheet=U0&amp;row=1077&amp;col=6&amp;number=4.3&amp;sourceID=14","4.3")</f>
        <v>4.3</v>
      </c>
      <c r="G1077" s="4" t="str">
        <f>HYPERLINK("http://141.218.60.56/~jnz1568/getInfo.php?workbook=12_05.xlsx&amp;sheet=U0&amp;row=1077&amp;col=7&amp;number=0.0452&amp;sourceID=14","0.0452")</f>
        <v>0.0452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HYPERLINK("http://141.218.60.56/~jnz1568/getInfo.php?workbook=12_05.xlsx&amp;sheet=U0&amp;row=1078&amp;col=6&amp;number=4.4&amp;sourceID=14","4.4")</f>
        <v>4.4</v>
      </c>
      <c r="G1078" s="4" t="str">
        <f>HYPERLINK("http://141.218.60.56/~jnz1568/getInfo.php?workbook=12_05.xlsx&amp;sheet=U0&amp;row=1078&amp;col=7&amp;number=0.0457&amp;sourceID=14","0.0457")</f>
        <v>0.0457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HYPERLINK("http://141.218.60.56/~jnz1568/getInfo.php?workbook=12_05.xlsx&amp;sheet=U0&amp;row=1079&amp;col=6&amp;number=4.5&amp;sourceID=14","4.5")</f>
        <v>4.5</v>
      </c>
      <c r="G1079" s="4" t="str">
        <f>HYPERLINK("http://141.218.60.56/~jnz1568/getInfo.php?workbook=12_05.xlsx&amp;sheet=U0&amp;row=1079&amp;col=7&amp;number=0.0461&amp;sourceID=14","0.0461")</f>
        <v>0.0461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HYPERLINK("http://141.218.60.56/~jnz1568/getInfo.php?workbook=12_05.xlsx&amp;sheet=U0&amp;row=1080&amp;col=6&amp;number=4.6&amp;sourceID=14","4.6")</f>
        <v>4.6</v>
      </c>
      <c r="G1080" s="4" t="str">
        <f>HYPERLINK("http://141.218.60.56/~jnz1568/getInfo.php?workbook=12_05.xlsx&amp;sheet=U0&amp;row=1080&amp;col=7&amp;number=0.0464&amp;sourceID=14","0.0464")</f>
        <v>0.0464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HYPERLINK("http://141.218.60.56/~jnz1568/getInfo.php?workbook=12_05.xlsx&amp;sheet=U0&amp;row=1081&amp;col=6&amp;number=4.7&amp;sourceID=14","4.7")</f>
        <v>4.7</v>
      </c>
      <c r="G1081" s="4" t="str">
        <f>HYPERLINK("http://141.218.60.56/~jnz1568/getInfo.php?workbook=12_05.xlsx&amp;sheet=U0&amp;row=1081&amp;col=7&amp;number=0.0465&amp;sourceID=14","0.0465")</f>
        <v>0.0465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HYPERLINK("http://141.218.60.56/~jnz1568/getInfo.php?workbook=12_05.xlsx&amp;sheet=U0&amp;row=1082&amp;col=6&amp;number=4.8&amp;sourceID=14","4.8")</f>
        <v>4.8</v>
      </c>
      <c r="G1082" s="4" t="str">
        <f>HYPERLINK("http://141.218.60.56/~jnz1568/getInfo.php?workbook=12_05.xlsx&amp;sheet=U0&amp;row=1082&amp;col=7&amp;number=0.0462&amp;sourceID=14","0.0462")</f>
        <v>0.0462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HYPERLINK("http://141.218.60.56/~jnz1568/getInfo.php?workbook=12_05.xlsx&amp;sheet=U0&amp;row=1083&amp;col=6&amp;number=4.9&amp;sourceID=14","4.9")</f>
        <v>4.9</v>
      </c>
      <c r="G1083" s="4" t="str">
        <f>HYPERLINK("http://141.218.60.56/~jnz1568/getInfo.php?workbook=12_05.xlsx&amp;sheet=U0&amp;row=1083&amp;col=7&amp;number=0.0452&amp;sourceID=14","0.0452")</f>
        <v>0.0452</v>
      </c>
    </row>
    <row r="1084" spans="1:7">
      <c r="A1084" s="3">
        <v>12</v>
      </c>
      <c r="B1084" s="3">
        <v>5</v>
      </c>
      <c r="C1084" s="3">
        <v>5</v>
      </c>
      <c r="D1084" s="3">
        <v>10</v>
      </c>
      <c r="E1084" s="3">
        <v>1</v>
      </c>
      <c r="F1084" s="4" t="str">
        <f>HYPERLINK("http://141.218.60.56/~jnz1568/getInfo.php?workbook=12_05.xlsx&amp;sheet=U0&amp;row=1084&amp;col=6&amp;number=3&amp;sourceID=14","3")</f>
        <v>3</v>
      </c>
      <c r="G1084" s="4" t="str">
        <f>HYPERLINK("http://141.218.60.56/~jnz1568/getInfo.php?workbook=12_05.xlsx&amp;sheet=U0&amp;row=1084&amp;col=7&amp;number=0.0804&amp;sourceID=14","0.0804")</f>
        <v>0.0804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HYPERLINK("http://141.218.60.56/~jnz1568/getInfo.php?workbook=12_05.xlsx&amp;sheet=U0&amp;row=1085&amp;col=6&amp;number=3.1&amp;sourceID=14","3.1")</f>
        <v>3.1</v>
      </c>
      <c r="G1085" s="4" t="str">
        <f>HYPERLINK("http://141.218.60.56/~jnz1568/getInfo.php?workbook=12_05.xlsx&amp;sheet=U0&amp;row=1085&amp;col=7&amp;number=0.0809&amp;sourceID=14","0.0809")</f>
        <v>0.0809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HYPERLINK("http://141.218.60.56/~jnz1568/getInfo.php?workbook=12_05.xlsx&amp;sheet=U0&amp;row=1086&amp;col=6&amp;number=3.2&amp;sourceID=14","3.2")</f>
        <v>3.2</v>
      </c>
      <c r="G1086" s="4" t="str">
        <f>HYPERLINK("http://141.218.60.56/~jnz1568/getInfo.php?workbook=12_05.xlsx&amp;sheet=U0&amp;row=1086&amp;col=7&amp;number=0.0816&amp;sourceID=14","0.0816")</f>
        <v>0.0816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HYPERLINK("http://141.218.60.56/~jnz1568/getInfo.php?workbook=12_05.xlsx&amp;sheet=U0&amp;row=1087&amp;col=6&amp;number=3.3&amp;sourceID=14","3.3")</f>
        <v>3.3</v>
      </c>
      <c r="G1087" s="4" t="str">
        <f>HYPERLINK("http://141.218.60.56/~jnz1568/getInfo.php?workbook=12_05.xlsx&amp;sheet=U0&amp;row=1087&amp;col=7&amp;number=0.0824&amp;sourceID=14","0.0824")</f>
        <v>0.0824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HYPERLINK("http://141.218.60.56/~jnz1568/getInfo.php?workbook=12_05.xlsx&amp;sheet=U0&amp;row=1088&amp;col=6&amp;number=3.4&amp;sourceID=14","3.4")</f>
        <v>3.4</v>
      </c>
      <c r="G1088" s="4" t="str">
        <f>HYPERLINK("http://141.218.60.56/~jnz1568/getInfo.php?workbook=12_05.xlsx&amp;sheet=U0&amp;row=1088&amp;col=7&amp;number=0.0833&amp;sourceID=14","0.0833")</f>
        <v>0.0833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HYPERLINK("http://141.218.60.56/~jnz1568/getInfo.php?workbook=12_05.xlsx&amp;sheet=U0&amp;row=1089&amp;col=6&amp;number=3.5&amp;sourceID=14","3.5")</f>
        <v>3.5</v>
      </c>
      <c r="G1089" s="4" t="str">
        <f>HYPERLINK("http://141.218.60.56/~jnz1568/getInfo.php?workbook=12_05.xlsx&amp;sheet=U0&amp;row=1089&amp;col=7&amp;number=0.0846&amp;sourceID=14","0.0846")</f>
        <v>0.0846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HYPERLINK("http://141.218.60.56/~jnz1568/getInfo.php?workbook=12_05.xlsx&amp;sheet=U0&amp;row=1090&amp;col=6&amp;number=3.6&amp;sourceID=14","3.6")</f>
        <v>3.6</v>
      </c>
      <c r="G1090" s="4" t="str">
        <f>HYPERLINK("http://141.218.60.56/~jnz1568/getInfo.php?workbook=12_05.xlsx&amp;sheet=U0&amp;row=1090&amp;col=7&amp;number=0.0861&amp;sourceID=14","0.0861")</f>
        <v>0.0861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HYPERLINK("http://141.218.60.56/~jnz1568/getInfo.php?workbook=12_05.xlsx&amp;sheet=U0&amp;row=1091&amp;col=6&amp;number=3.7&amp;sourceID=14","3.7")</f>
        <v>3.7</v>
      </c>
      <c r="G1091" s="4" t="str">
        <f>HYPERLINK("http://141.218.60.56/~jnz1568/getInfo.php?workbook=12_05.xlsx&amp;sheet=U0&amp;row=1091&amp;col=7&amp;number=0.088&amp;sourceID=14","0.088")</f>
        <v>0.088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HYPERLINK("http://141.218.60.56/~jnz1568/getInfo.php?workbook=12_05.xlsx&amp;sheet=U0&amp;row=1092&amp;col=6&amp;number=3.8&amp;sourceID=14","3.8")</f>
        <v>3.8</v>
      </c>
      <c r="G1092" s="4" t="str">
        <f>HYPERLINK("http://141.218.60.56/~jnz1568/getInfo.php?workbook=12_05.xlsx&amp;sheet=U0&amp;row=1092&amp;col=7&amp;number=0.0903&amp;sourceID=14","0.0903")</f>
        <v>0.0903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HYPERLINK("http://141.218.60.56/~jnz1568/getInfo.php?workbook=12_05.xlsx&amp;sheet=U0&amp;row=1093&amp;col=6&amp;number=3.9&amp;sourceID=14","3.9")</f>
        <v>3.9</v>
      </c>
      <c r="G1093" s="4" t="str">
        <f>HYPERLINK("http://141.218.60.56/~jnz1568/getInfo.php?workbook=12_05.xlsx&amp;sheet=U0&amp;row=1093&amp;col=7&amp;number=0.0931&amp;sourceID=14","0.0931")</f>
        <v>0.0931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HYPERLINK("http://141.218.60.56/~jnz1568/getInfo.php?workbook=12_05.xlsx&amp;sheet=U0&amp;row=1094&amp;col=6&amp;number=4&amp;sourceID=14","4")</f>
        <v>4</v>
      </c>
      <c r="G1094" s="4" t="str">
        <f>HYPERLINK("http://141.218.60.56/~jnz1568/getInfo.php?workbook=12_05.xlsx&amp;sheet=U0&amp;row=1094&amp;col=7&amp;number=0.0965&amp;sourceID=14","0.0965")</f>
        <v>0.0965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HYPERLINK("http://141.218.60.56/~jnz1568/getInfo.php?workbook=12_05.xlsx&amp;sheet=U0&amp;row=1095&amp;col=6&amp;number=4.1&amp;sourceID=14","4.1")</f>
        <v>4.1</v>
      </c>
      <c r="G1095" s="4" t="str">
        <f>HYPERLINK("http://141.218.60.56/~jnz1568/getInfo.php?workbook=12_05.xlsx&amp;sheet=U0&amp;row=1095&amp;col=7&amp;number=0.101&amp;sourceID=14","0.101")</f>
        <v>0.101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HYPERLINK("http://141.218.60.56/~jnz1568/getInfo.php?workbook=12_05.xlsx&amp;sheet=U0&amp;row=1096&amp;col=6&amp;number=4.2&amp;sourceID=14","4.2")</f>
        <v>4.2</v>
      </c>
      <c r="G1096" s="4" t="str">
        <f>HYPERLINK("http://141.218.60.56/~jnz1568/getInfo.php?workbook=12_05.xlsx&amp;sheet=U0&amp;row=1096&amp;col=7&amp;number=0.105&amp;sourceID=14","0.105")</f>
        <v>0.105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HYPERLINK("http://141.218.60.56/~jnz1568/getInfo.php?workbook=12_05.xlsx&amp;sheet=U0&amp;row=1097&amp;col=6&amp;number=4.3&amp;sourceID=14","4.3")</f>
        <v>4.3</v>
      </c>
      <c r="G1097" s="4" t="str">
        <f>HYPERLINK("http://141.218.60.56/~jnz1568/getInfo.php?workbook=12_05.xlsx&amp;sheet=U0&amp;row=1097&amp;col=7&amp;number=0.111&amp;sourceID=14","0.111")</f>
        <v>0.111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HYPERLINK("http://141.218.60.56/~jnz1568/getInfo.php?workbook=12_05.xlsx&amp;sheet=U0&amp;row=1098&amp;col=6&amp;number=4.4&amp;sourceID=14","4.4")</f>
        <v>4.4</v>
      </c>
      <c r="G1098" s="4" t="str">
        <f>HYPERLINK("http://141.218.60.56/~jnz1568/getInfo.php?workbook=12_05.xlsx&amp;sheet=U0&amp;row=1098&amp;col=7&amp;number=0.116&amp;sourceID=14","0.116")</f>
        <v>0.116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HYPERLINK("http://141.218.60.56/~jnz1568/getInfo.php?workbook=12_05.xlsx&amp;sheet=U0&amp;row=1099&amp;col=6&amp;number=4.5&amp;sourceID=14","4.5")</f>
        <v>4.5</v>
      </c>
      <c r="G1099" s="4" t="str">
        <f>HYPERLINK("http://141.218.60.56/~jnz1568/getInfo.php?workbook=12_05.xlsx&amp;sheet=U0&amp;row=1099&amp;col=7&amp;number=0.122&amp;sourceID=14","0.122")</f>
        <v>0.122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HYPERLINK("http://141.218.60.56/~jnz1568/getInfo.php?workbook=12_05.xlsx&amp;sheet=U0&amp;row=1100&amp;col=6&amp;number=4.6&amp;sourceID=14","4.6")</f>
        <v>4.6</v>
      </c>
      <c r="G1100" s="4" t="str">
        <f>HYPERLINK("http://141.218.60.56/~jnz1568/getInfo.php?workbook=12_05.xlsx&amp;sheet=U0&amp;row=1100&amp;col=7&amp;number=0.127&amp;sourceID=14","0.127")</f>
        <v>0.127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HYPERLINK("http://141.218.60.56/~jnz1568/getInfo.php?workbook=12_05.xlsx&amp;sheet=U0&amp;row=1101&amp;col=6&amp;number=4.7&amp;sourceID=14","4.7")</f>
        <v>4.7</v>
      </c>
      <c r="G1101" s="4" t="str">
        <f>HYPERLINK("http://141.218.60.56/~jnz1568/getInfo.php?workbook=12_05.xlsx&amp;sheet=U0&amp;row=1101&amp;col=7&amp;number=0.13&amp;sourceID=14","0.13")</f>
        <v>0.13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HYPERLINK("http://141.218.60.56/~jnz1568/getInfo.php?workbook=12_05.xlsx&amp;sheet=U0&amp;row=1102&amp;col=6&amp;number=4.8&amp;sourceID=14","4.8")</f>
        <v>4.8</v>
      </c>
      <c r="G1102" s="4" t="str">
        <f>HYPERLINK("http://141.218.60.56/~jnz1568/getInfo.php?workbook=12_05.xlsx&amp;sheet=U0&amp;row=1102&amp;col=7&amp;number=0.13&amp;sourceID=14","0.13")</f>
        <v>0.13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HYPERLINK("http://141.218.60.56/~jnz1568/getInfo.php?workbook=12_05.xlsx&amp;sheet=U0&amp;row=1103&amp;col=6&amp;number=4.9&amp;sourceID=14","4.9")</f>
        <v>4.9</v>
      </c>
      <c r="G1103" s="4" t="str">
        <f>HYPERLINK("http://141.218.60.56/~jnz1568/getInfo.php?workbook=12_05.xlsx&amp;sheet=U0&amp;row=1103&amp;col=7&amp;number=0.128&amp;sourceID=14","0.128")</f>
        <v>0.128</v>
      </c>
    </row>
    <row r="1104" spans="1:7">
      <c r="A1104" s="3">
        <v>12</v>
      </c>
      <c r="B1104" s="3">
        <v>5</v>
      </c>
      <c r="C1104" s="3">
        <v>5</v>
      </c>
      <c r="D1104" s="3">
        <v>11</v>
      </c>
      <c r="E1104" s="3">
        <v>1</v>
      </c>
      <c r="F1104" s="4" t="str">
        <f>HYPERLINK("http://141.218.60.56/~jnz1568/getInfo.php?workbook=12_05.xlsx&amp;sheet=U0&amp;row=1104&amp;col=6&amp;number=3&amp;sourceID=14","3")</f>
        <v>3</v>
      </c>
      <c r="G1104" s="4" t="str">
        <f>HYPERLINK("http://141.218.60.56/~jnz1568/getInfo.php?workbook=12_05.xlsx&amp;sheet=U0&amp;row=1104&amp;col=7&amp;number=1.89&amp;sourceID=14","1.89")</f>
        <v>1.89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HYPERLINK("http://141.218.60.56/~jnz1568/getInfo.php?workbook=12_05.xlsx&amp;sheet=U0&amp;row=1105&amp;col=6&amp;number=3.1&amp;sourceID=14","3.1")</f>
        <v>3.1</v>
      </c>
      <c r="G1105" s="4" t="str">
        <f>HYPERLINK("http://141.218.60.56/~jnz1568/getInfo.php?workbook=12_05.xlsx&amp;sheet=U0&amp;row=1105&amp;col=7&amp;number=1.89&amp;sourceID=14","1.89")</f>
        <v>1.89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HYPERLINK("http://141.218.60.56/~jnz1568/getInfo.php?workbook=12_05.xlsx&amp;sheet=U0&amp;row=1106&amp;col=6&amp;number=3.2&amp;sourceID=14","3.2")</f>
        <v>3.2</v>
      </c>
      <c r="G1106" s="4" t="str">
        <f>HYPERLINK("http://141.218.60.56/~jnz1568/getInfo.php?workbook=12_05.xlsx&amp;sheet=U0&amp;row=1106&amp;col=7&amp;number=1.89&amp;sourceID=14","1.89")</f>
        <v>1.89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HYPERLINK("http://141.218.60.56/~jnz1568/getInfo.php?workbook=12_05.xlsx&amp;sheet=U0&amp;row=1107&amp;col=6&amp;number=3.3&amp;sourceID=14","3.3")</f>
        <v>3.3</v>
      </c>
      <c r="G1107" s="4" t="str">
        <f>HYPERLINK("http://141.218.60.56/~jnz1568/getInfo.php?workbook=12_05.xlsx&amp;sheet=U0&amp;row=1107&amp;col=7&amp;number=1.89&amp;sourceID=14","1.89")</f>
        <v>1.89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HYPERLINK("http://141.218.60.56/~jnz1568/getInfo.php?workbook=12_05.xlsx&amp;sheet=U0&amp;row=1108&amp;col=6&amp;number=3.4&amp;sourceID=14","3.4")</f>
        <v>3.4</v>
      </c>
      <c r="G1108" s="4" t="str">
        <f>HYPERLINK("http://141.218.60.56/~jnz1568/getInfo.php?workbook=12_05.xlsx&amp;sheet=U0&amp;row=1108&amp;col=7&amp;number=1.89&amp;sourceID=14","1.89")</f>
        <v>1.89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HYPERLINK("http://141.218.60.56/~jnz1568/getInfo.php?workbook=12_05.xlsx&amp;sheet=U0&amp;row=1109&amp;col=6&amp;number=3.5&amp;sourceID=14","3.5")</f>
        <v>3.5</v>
      </c>
      <c r="G1109" s="4" t="str">
        <f>HYPERLINK("http://141.218.60.56/~jnz1568/getInfo.php?workbook=12_05.xlsx&amp;sheet=U0&amp;row=1109&amp;col=7&amp;number=1.88&amp;sourceID=14","1.88")</f>
        <v>1.88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HYPERLINK("http://141.218.60.56/~jnz1568/getInfo.php?workbook=12_05.xlsx&amp;sheet=U0&amp;row=1110&amp;col=6&amp;number=3.6&amp;sourceID=14","3.6")</f>
        <v>3.6</v>
      </c>
      <c r="G1110" s="4" t="str">
        <f>HYPERLINK("http://141.218.60.56/~jnz1568/getInfo.php?workbook=12_05.xlsx&amp;sheet=U0&amp;row=1110&amp;col=7&amp;number=1.88&amp;sourceID=14","1.88")</f>
        <v>1.88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HYPERLINK("http://141.218.60.56/~jnz1568/getInfo.php?workbook=12_05.xlsx&amp;sheet=U0&amp;row=1111&amp;col=6&amp;number=3.7&amp;sourceID=14","3.7")</f>
        <v>3.7</v>
      </c>
      <c r="G1111" s="4" t="str">
        <f>HYPERLINK("http://141.218.60.56/~jnz1568/getInfo.php?workbook=12_05.xlsx&amp;sheet=U0&amp;row=1111&amp;col=7&amp;number=1.88&amp;sourceID=14","1.88")</f>
        <v>1.88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HYPERLINK("http://141.218.60.56/~jnz1568/getInfo.php?workbook=12_05.xlsx&amp;sheet=U0&amp;row=1112&amp;col=6&amp;number=3.8&amp;sourceID=14","3.8")</f>
        <v>3.8</v>
      </c>
      <c r="G1112" s="4" t="str">
        <f>HYPERLINK("http://141.218.60.56/~jnz1568/getInfo.php?workbook=12_05.xlsx&amp;sheet=U0&amp;row=1112&amp;col=7&amp;number=1.88&amp;sourceID=14","1.88")</f>
        <v>1.88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HYPERLINK("http://141.218.60.56/~jnz1568/getInfo.php?workbook=12_05.xlsx&amp;sheet=U0&amp;row=1113&amp;col=6&amp;number=3.9&amp;sourceID=14","3.9")</f>
        <v>3.9</v>
      </c>
      <c r="G1113" s="4" t="str">
        <f>HYPERLINK("http://141.218.60.56/~jnz1568/getInfo.php?workbook=12_05.xlsx&amp;sheet=U0&amp;row=1113&amp;col=7&amp;number=1.88&amp;sourceID=14","1.88")</f>
        <v>1.88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HYPERLINK("http://141.218.60.56/~jnz1568/getInfo.php?workbook=12_05.xlsx&amp;sheet=U0&amp;row=1114&amp;col=6&amp;number=4&amp;sourceID=14","4")</f>
        <v>4</v>
      </c>
      <c r="G1114" s="4" t="str">
        <f>HYPERLINK("http://141.218.60.56/~jnz1568/getInfo.php?workbook=12_05.xlsx&amp;sheet=U0&amp;row=1114&amp;col=7&amp;number=1.87&amp;sourceID=14","1.87")</f>
        <v>1.87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HYPERLINK("http://141.218.60.56/~jnz1568/getInfo.php?workbook=12_05.xlsx&amp;sheet=U0&amp;row=1115&amp;col=6&amp;number=4.1&amp;sourceID=14","4.1")</f>
        <v>4.1</v>
      </c>
      <c r="G1115" s="4" t="str">
        <f>HYPERLINK("http://141.218.60.56/~jnz1568/getInfo.php?workbook=12_05.xlsx&amp;sheet=U0&amp;row=1115&amp;col=7&amp;number=1.87&amp;sourceID=14","1.87")</f>
        <v>1.87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HYPERLINK("http://141.218.60.56/~jnz1568/getInfo.php?workbook=12_05.xlsx&amp;sheet=U0&amp;row=1116&amp;col=6&amp;number=4.2&amp;sourceID=14","4.2")</f>
        <v>4.2</v>
      </c>
      <c r="G1116" s="4" t="str">
        <f>HYPERLINK("http://141.218.60.56/~jnz1568/getInfo.php?workbook=12_05.xlsx&amp;sheet=U0&amp;row=1116&amp;col=7&amp;number=1.87&amp;sourceID=14","1.87")</f>
        <v>1.87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HYPERLINK("http://141.218.60.56/~jnz1568/getInfo.php?workbook=12_05.xlsx&amp;sheet=U0&amp;row=1117&amp;col=6&amp;number=4.3&amp;sourceID=14","4.3")</f>
        <v>4.3</v>
      </c>
      <c r="G1117" s="4" t="str">
        <f>HYPERLINK("http://141.218.60.56/~jnz1568/getInfo.php?workbook=12_05.xlsx&amp;sheet=U0&amp;row=1117&amp;col=7&amp;number=1.86&amp;sourceID=14","1.86")</f>
        <v>1.86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HYPERLINK("http://141.218.60.56/~jnz1568/getInfo.php?workbook=12_05.xlsx&amp;sheet=U0&amp;row=1118&amp;col=6&amp;number=4.4&amp;sourceID=14","4.4")</f>
        <v>4.4</v>
      </c>
      <c r="G1118" s="4" t="str">
        <f>HYPERLINK("http://141.218.60.56/~jnz1568/getInfo.php?workbook=12_05.xlsx&amp;sheet=U0&amp;row=1118&amp;col=7&amp;number=1.86&amp;sourceID=14","1.86")</f>
        <v>1.86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HYPERLINK("http://141.218.60.56/~jnz1568/getInfo.php?workbook=12_05.xlsx&amp;sheet=U0&amp;row=1119&amp;col=6&amp;number=4.5&amp;sourceID=14","4.5")</f>
        <v>4.5</v>
      </c>
      <c r="G1119" s="4" t="str">
        <f>HYPERLINK("http://141.218.60.56/~jnz1568/getInfo.php?workbook=12_05.xlsx&amp;sheet=U0&amp;row=1119&amp;col=7&amp;number=1.85&amp;sourceID=14","1.85")</f>
        <v>1.85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HYPERLINK("http://141.218.60.56/~jnz1568/getInfo.php?workbook=12_05.xlsx&amp;sheet=U0&amp;row=1120&amp;col=6&amp;number=4.6&amp;sourceID=14","4.6")</f>
        <v>4.6</v>
      </c>
      <c r="G1120" s="4" t="str">
        <f>HYPERLINK("http://141.218.60.56/~jnz1568/getInfo.php?workbook=12_05.xlsx&amp;sheet=U0&amp;row=1120&amp;col=7&amp;number=1.84&amp;sourceID=14","1.84")</f>
        <v>1.84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HYPERLINK("http://141.218.60.56/~jnz1568/getInfo.php?workbook=12_05.xlsx&amp;sheet=U0&amp;row=1121&amp;col=6&amp;number=4.7&amp;sourceID=14","4.7")</f>
        <v>4.7</v>
      </c>
      <c r="G1121" s="4" t="str">
        <f>HYPERLINK("http://141.218.60.56/~jnz1568/getInfo.php?workbook=12_05.xlsx&amp;sheet=U0&amp;row=1121&amp;col=7&amp;number=1.84&amp;sourceID=14","1.84")</f>
        <v>1.84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HYPERLINK("http://141.218.60.56/~jnz1568/getInfo.php?workbook=12_05.xlsx&amp;sheet=U0&amp;row=1122&amp;col=6&amp;number=4.8&amp;sourceID=14","4.8")</f>
        <v>4.8</v>
      </c>
      <c r="G1122" s="4" t="str">
        <f>HYPERLINK("http://141.218.60.56/~jnz1568/getInfo.php?workbook=12_05.xlsx&amp;sheet=U0&amp;row=1122&amp;col=7&amp;number=1.83&amp;sourceID=14","1.83")</f>
        <v>1.83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HYPERLINK("http://141.218.60.56/~jnz1568/getInfo.php?workbook=12_05.xlsx&amp;sheet=U0&amp;row=1123&amp;col=6&amp;number=4.9&amp;sourceID=14","4.9")</f>
        <v>4.9</v>
      </c>
      <c r="G1123" s="4" t="str">
        <f>HYPERLINK("http://141.218.60.56/~jnz1568/getInfo.php?workbook=12_05.xlsx&amp;sheet=U0&amp;row=1123&amp;col=7&amp;number=1.83&amp;sourceID=14","1.83")</f>
        <v>1.83</v>
      </c>
    </row>
    <row r="1124" spans="1:7">
      <c r="A1124" s="3">
        <v>12</v>
      </c>
      <c r="B1124" s="3">
        <v>5</v>
      </c>
      <c r="C1124" s="3">
        <v>5</v>
      </c>
      <c r="D1124" s="3">
        <v>12</v>
      </c>
      <c r="E1124" s="3">
        <v>1</v>
      </c>
      <c r="F1124" s="4" t="str">
        <f>HYPERLINK("http://141.218.60.56/~jnz1568/getInfo.php?workbook=12_05.xlsx&amp;sheet=U0&amp;row=1124&amp;col=6&amp;number=3&amp;sourceID=14","3")</f>
        <v>3</v>
      </c>
      <c r="G1124" s="4" t="str">
        <f>HYPERLINK("http://141.218.60.56/~jnz1568/getInfo.php?workbook=12_05.xlsx&amp;sheet=U0&amp;row=1124&amp;col=7&amp;number=0.0137&amp;sourceID=14","0.0137")</f>
        <v>0.0137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HYPERLINK("http://141.218.60.56/~jnz1568/getInfo.php?workbook=12_05.xlsx&amp;sheet=U0&amp;row=1125&amp;col=6&amp;number=3.1&amp;sourceID=14","3.1")</f>
        <v>3.1</v>
      </c>
      <c r="G1125" s="4" t="str">
        <f>HYPERLINK("http://141.218.60.56/~jnz1568/getInfo.php?workbook=12_05.xlsx&amp;sheet=U0&amp;row=1125&amp;col=7&amp;number=0.0137&amp;sourceID=14","0.0137")</f>
        <v>0.0137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HYPERLINK("http://141.218.60.56/~jnz1568/getInfo.php?workbook=12_05.xlsx&amp;sheet=U0&amp;row=1126&amp;col=6&amp;number=3.2&amp;sourceID=14","3.2")</f>
        <v>3.2</v>
      </c>
      <c r="G1126" s="4" t="str">
        <f>HYPERLINK("http://141.218.60.56/~jnz1568/getInfo.php?workbook=12_05.xlsx&amp;sheet=U0&amp;row=1126&amp;col=7&amp;number=0.0137&amp;sourceID=14","0.0137")</f>
        <v>0.0137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HYPERLINK("http://141.218.60.56/~jnz1568/getInfo.php?workbook=12_05.xlsx&amp;sheet=U0&amp;row=1127&amp;col=6&amp;number=3.3&amp;sourceID=14","3.3")</f>
        <v>3.3</v>
      </c>
      <c r="G1127" s="4" t="str">
        <f>HYPERLINK("http://141.218.60.56/~jnz1568/getInfo.php?workbook=12_05.xlsx&amp;sheet=U0&amp;row=1127&amp;col=7&amp;number=0.0137&amp;sourceID=14","0.0137")</f>
        <v>0.0137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HYPERLINK("http://141.218.60.56/~jnz1568/getInfo.php?workbook=12_05.xlsx&amp;sheet=U0&amp;row=1128&amp;col=6&amp;number=3.4&amp;sourceID=14","3.4")</f>
        <v>3.4</v>
      </c>
      <c r="G1128" s="4" t="str">
        <f>HYPERLINK("http://141.218.60.56/~jnz1568/getInfo.php?workbook=12_05.xlsx&amp;sheet=U0&amp;row=1128&amp;col=7&amp;number=0.0136&amp;sourceID=14","0.0136")</f>
        <v>0.0136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HYPERLINK("http://141.218.60.56/~jnz1568/getInfo.php?workbook=12_05.xlsx&amp;sheet=U0&amp;row=1129&amp;col=6&amp;number=3.5&amp;sourceID=14","3.5")</f>
        <v>3.5</v>
      </c>
      <c r="G1129" s="4" t="str">
        <f>HYPERLINK("http://141.218.60.56/~jnz1568/getInfo.php?workbook=12_05.xlsx&amp;sheet=U0&amp;row=1129&amp;col=7&amp;number=0.0136&amp;sourceID=14","0.0136")</f>
        <v>0.0136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HYPERLINK("http://141.218.60.56/~jnz1568/getInfo.php?workbook=12_05.xlsx&amp;sheet=U0&amp;row=1130&amp;col=6&amp;number=3.6&amp;sourceID=14","3.6")</f>
        <v>3.6</v>
      </c>
      <c r="G1130" s="4" t="str">
        <f>HYPERLINK("http://141.218.60.56/~jnz1568/getInfo.php?workbook=12_05.xlsx&amp;sheet=U0&amp;row=1130&amp;col=7&amp;number=0.0136&amp;sourceID=14","0.0136")</f>
        <v>0.0136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HYPERLINK("http://141.218.60.56/~jnz1568/getInfo.php?workbook=12_05.xlsx&amp;sheet=U0&amp;row=1131&amp;col=6&amp;number=3.7&amp;sourceID=14","3.7")</f>
        <v>3.7</v>
      </c>
      <c r="G1131" s="4" t="str">
        <f>HYPERLINK("http://141.218.60.56/~jnz1568/getInfo.php?workbook=12_05.xlsx&amp;sheet=U0&amp;row=1131&amp;col=7&amp;number=0.0136&amp;sourceID=14","0.0136")</f>
        <v>0.0136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HYPERLINK("http://141.218.60.56/~jnz1568/getInfo.php?workbook=12_05.xlsx&amp;sheet=U0&amp;row=1132&amp;col=6&amp;number=3.8&amp;sourceID=14","3.8")</f>
        <v>3.8</v>
      </c>
      <c r="G1132" s="4" t="str">
        <f>HYPERLINK("http://141.218.60.56/~jnz1568/getInfo.php?workbook=12_05.xlsx&amp;sheet=U0&amp;row=1132&amp;col=7&amp;number=0.0135&amp;sourceID=14","0.0135")</f>
        <v>0.0135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HYPERLINK("http://141.218.60.56/~jnz1568/getInfo.php?workbook=12_05.xlsx&amp;sheet=U0&amp;row=1133&amp;col=6&amp;number=3.9&amp;sourceID=14","3.9")</f>
        <v>3.9</v>
      </c>
      <c r="G1133" s="4" t="str">
        <f>HYPERLINK("http://141.218.60.56/~jnz1568/getInfo.php?workbook=12_05.xlsx&amp;sheet=U0&amp;row=1133&amp;col=7&amp;number=0.0135&amp;sourceID=14","0.0135")</f>
        <v>0.0135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HYPERLINK("http://141.218.60.56/~jnz1568/getInfo.php?workbook=12_05.xlsx&amp;sheet=U0&amp;row=1134&amp;col=6&amp;number=4&amp;sourceID=14","4")</f>
        <v>4</v>
      </c>
      <c r="G1134" s="4" t="str">
        <f>HYPERLINK("http://141.218.60.56/~jnz1568/getInfo.php?workbook=12_05.xlsx&amp;sheet=U0&amp;row=1134&amp;col=7&amp;number=0.0134&amp;sourceID=14","0.0134")</f>
        <v>0.0134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HYPERLINK("http://141.218.60.56/~jnz1568/getInfo.php?workbook=12_05.xlsx&amp;sheet=U0&amp;row=1135&amp;col=6&amp;number=4.1&amp;sourceID=14","4.1")</f>
        <v>4.1</v>
      </c>
      <c r="G1135" s="4" t="str">
        <f>HYPERLINK("http://141.218.60.56/~jnz1568/getInfo.php?workbook=12_05.xlsx&amp;sheet=U0&amp;row=1135&amp;col=7&amp;number=0.0133&amp;sourceID=14","0.0133")</f>
        <v>0.0133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HYPERLINK("http://141.218.60.56/~jnz1568/getInfo.php?workbook=12_05.xlsx&amp;sheet=U0&amp;row=1136&amp;col=6&amp;number=4.2&amp;sourceID=14","4.2")</f>
        <v>4.2</v>
      </c>
      <c r="G1136" s="4" t="str">
        <f>HYPERLINK("http://141.218.60.56/~jnz1568/getInfo.php?workbook=12_05.xlsx&amp;sheet=U0&amp;row=1136&amp;col=7&amp;number=0.0132&amp;sourceID=14","0.0132")</f>
        <v>0.0132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HYPERLINK("http://141.218.60.56/~jnz1568/getInfo.php?workbook=12_05.xlsx&amp;sheet=U0&amp;row=1137&amp;col=6&amp;number=4.3&amp;sourceID=14","4.3")</f>
        <v>4.3</v>
      </c>
      <c r="G1137" s="4" t="str">
        <f>HYPERLINK("http://141.218.60.56/~jnz1568/getInfo.php?workbook=12_05.xlsx&amp;sheet=U0&amp;row=1137&amp;col=7&amp;number=0.0131&amp;sourceID=14","0.0131")</f>
        <v>0.0131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HYPERLINK("http://141.218.60.56/~jnz1568/getInfo.php?workbook=12_05.xlsx&amp;sheet=U0&amp;row=1138&amp;col=6&amp;number=4.4&amp;sourceID=14","4.4")</f>
        <v>4.4</v>
      </c>
      <c r="G1138" s="4" t="str">
        <f>HYPERLINK("http://141.218.60.56/~jnz1568/getInfo.php?workbook=12_05.xlsx&amp;sheet=U0&amp;row=1138&amp;col=7&amp;number=0.0129&amp;sourceID=14","0.0129")</f>
        <v>0.0129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HYPERLINK("http://141.218.60.56/~jnz1568/getInfo.php?workbook=12_05.xlsx&amp;sheet=U0&amp;row=1139&amp;col=6&amp;number=4.5&amp;sourceID=14","4.5")</f>
        <v>4.5</v>
      </c>
      <c r="G1139" s="4" t="str">
        <f>HYPERLINK("http://141.218.60.56/~jnz1568/getInfo.php?workbook=12_05.xlsx&amp;sheet=U0&amp;row=1139&amp;col=7&amp;number=0.0127&amp;sourceID=14","0.0127")</f>
        <v>0.0127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HYPERLINK("http://141.218.60.56/~jnz1568/getInfo.php?workbook=12_05.xlsx&amp;sheet=U0&amp;row=1140&amp;col=6&amp;number=4.6&amp;sourceID=14","4.6")</f>
        <v>4.6</v>
      </c>
      <c r="G1140" s="4" t="str">
        <f>HYPERLINK("http://141.218.60.56/~jnz1568/getInfo.php?workbook=12_05.xlsx&amp;sheet=U0&amp;row=1140&amp;col=7&amp;number=0.0125&amp;sourceID=14","0.0125")</f>
        <v>0.0125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HYPERLINK("http://141.218.60.56/~jnz1568/getInfo.php?workbook=12_05.xlsx&amp;sheet=U0&amp;row=1141&amp;col=6&amp;number=4.7&amp;sourceID=14","4.7")</f>
        <v>4.7</v>
      </c>
      <c r="G1141" s="4" t="str">
        <f>HYPERLINK("http://141.218.60.56/~jnz1568/getInfo.php?workbook=12_05.xlsx&amp;sheet=U0&amp;row=1141&amp;col=7&amp;number=0.0123&amp;sourceID=14","0.0123")</f>
        <v>0.0123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HYPERLINK("http://141.218.60.56/~jnz1568/getInfo.php?workbook=12_05.xlsx&amp;sheet=U0&amp;row=1142&amp;col=6&amp;number=4.8&amp;sourceID=14","4.8")</f>
        <v>4.8</v>
      </c>
      <c r="G1142" s="4" t="str">
        <f>HYPERLINK("http://141.218.60.56/~jnz1568/getInfo.php?workbook=12_05.xlsx&amp;sheet=U0&amp;row=1142&amp;col=7&amp;number=0.012&amp;sourceID=14","0.012")</f>
        <v>0.012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HYPERLINK("http://141.218.60.56/~jnz1568/getInfo.php?workbook=12_05.xlsx&amp;sheet=U0&amp;row=1143&amp;col=6&amp;number=4.9&amp;sourceID=14","4.9")</f>
        <v>4.9</v>
      </c>
      <c r="G1143" s="4" t="str">
        <f>HYPERLINK("http://141.218.60.56/~jnz1568/getInfo.php?workbook=12_05.xlsx&amp;sheet=U0&amp;row=1143&amp;col=7&amp;number=0.0117&amp;sourceID=14","0.0117")</f>
        <v>0.0117</v>
      </c>
    </row>
    <row r="1144" spans="1:7">
      <c r="A1144" s="3">
        <v>12</v>
      </c>
      <c r="B1144" s="3">
        <v>5</v>
      </c>
      <c r="C1144" s="3">
        <v>5</v>
      </c>
      <c r="D1144" s="3">
        <v>13</v>
      </c>
      <c r="E1144" s="3">
        <v>1</v>
      </c>
      <c r="F1144" s="4" t="str">
        <f>HYPERLINK("http://141.218.60.56/~jnz1568/getInfo.php?workbook=12_05.xlsx&amp;sheet=U0&amp;row=1144&amp;col=6&amp;number=3&amp;sourceID=14","3")</f>
        <v>3</v>
      </c>
      <c r="G1144" s="4" t="str">
        <f>HYPERLINK("http://141.218.60.56/~jnz1568/getInfo.php?workbook=12_05.xlsx&amp;sheet=U0&amp;row=1144&amp;col=7&amp;number=0.0894&amp;sourceID=14","0.0894")</f>
        <v>0.0894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HYPERLINK("http://141.218.60.56/~jnz1568/getInfo.php?workbook=12_05.xlsx&amp;sheet=U0&amp;row=1145&amp;col=6&amp;number=3.1&amp;sourceID=14","3.1")</f>
        <v>3.1</v>
      </c>
      <c r="G1145" s="4" t="str">
        <f>HYPERLINK("http://141.218.60.56/~jnz1568/getInfo.php?workbook=12_05.xlsx&amp;sheet=U0&amp;row=1145&amp;col=7&amp;number=0.0894&amp;sourceID=14","0.0894")</f>
        <v>0.0894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HYPERLINK("http://141.218.60.56/~jnz1568/getInfo.php?workbook=12_05.xlsx&amp;sheet=U0&amp;row=1146&amp;col=6&amp;number=3.2&amp;sourceID=14","3.2")</f>
        <v>3.2</v>
      </c>
      <c r="G1146" s="4" t="str">
        <f>HYPERLINK("http://141.218.60.56/~jnz1568/getInfo.php?workbook=12_05.xlsx&amp;sheet=U0&amp;row=1146&amp;col=7&amp;number=0.0894&amp;sourceID=14","0.0894")</f>
        <v>0.0894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HYPERLINK("http://141.218.60.56/~jnz1568/getInfo.php?workbook=12_05.xlsx&amp;sheet=U0&amp;row=1147&amp;col=6&amp;number=3.3&amp;sourceID=14","3.3")</f>
        <v>3.3</v>
      </c>
      <c r="G1147" s="4" t="str">
        <f>HYPERLINK("http://141.218.60.56/~jnz1568/getInfo.php?workbook=12_05.xlsx&amp;sheet=U0&amp;row=1147&amp;col=7&amp;number=0.0893&amp;sourceID=14","0.0893")</f>
        <v>0.0893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HYPERLINK("http://141.218.60.56/~jnz1568/getInfo.php?workbook=12_05.xlsx&amp;sheet=U0&amp;row=1148&amp;col=6&amp;number=3.4&amp;sourceID=14","3.4")</f>
        <v>3.4</v>
      </c>
      <c r="G1148" s="4" t="str">
        <f>HYPERLINK("http://141.218.60.56/~jnz1568/getInfo.php?workbook=12_05.xlsx&amp;sheet=U0&amp;row=1148&amp;col=7&amp;number=0.0893&amp;sourceID=14","0.0893")</f>
        <v>0.0893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HYPERLINK("http://141.218.60.56/~jnz1568/getInfo.php?workbook=12_05.xlsx&amp;sheet=U0&amp;row=1149&amp;col=6&amp;number=3.5&amp;sourceID=14","3.5")</f>
        <v>3.5</v>
      </c>
      <c r="G1149" s="4" t="str">
        <f>HYPERLINK("http://141.218.60.56/~jnz1568/getInfo.php?workbook=12_05.xlsx&amp;sheet=U0&amp;row=1149&amp;col=7&amp;number=0.0892&amp;sourceID=14","0.0892")</f>
        <v>0.0892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HYPERLINK("http://141.218.60.56/~jnz1568/getInfo.php?workbook=12_05.xlsx&amp;sheet=U0&amp;row=1150&amp;col=6&amp;number=3.6&amp;sourceID=14","3.6")</f>
        <v>3.6</v>
      </c>
      <c r="G1150" s="4" t="str">
        <f>HYPERLINK("http://141.218.60.56/~jnz1568/getInfo.php?workbook=12_05.xlsx&amp;sheet=U0&amp;row=1150&amp;col=7&amp;number=0.0891&amp;sourceID=14","0.0891")</f>
        <v>0.0891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HYPERLINK("http://141.218.60.56/~jnz1568/getInfo.php?workbook=12_05.xlsx&amp;sheet=U0&amp;row=1151&amp;col=6&amp;number=3.7&amp;sourceID=14","3.7")</f>
        <v>3.7</v>
      </c>
      <c r="G1151" s="4" t="str">
        <f>HYPERLINK("http://141.218.60.56/~jnz1568/getInfo.php?workbook=12_05.xlsx&amp;sheet=U0&amp;row=1151&amp;col=7&amp;number=0.089&amp;sourceID=14","0.089")</f>
        <v>0.089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HYPERLINK("http://141.218.60.56/~jnz1568/getInfo.php?workbook=12_05.xlsx&amp;sheet=U0&amp;row=1152&amp;col=6&amp;number=3.8&amp;sourceID=14","3.8")</f>
        <v>3.8</v>
      </c>
      <c r="G1152" s="4" t="str">
        <f>HYPERLINK("http://141.218.60.56/~jnz1568/getInfo.php?workbook=12_05.xlsx&amp;sheet=U0&amp;row=1152&amp;col=7&amp;number=0.0888&amp;sourceID=14","0.0888")</f>
        <v>0.0888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HYPERLINK("http://141.218.60.56/~jnz1568/getInfo.php?workbook=12_05.xlsx&amp;sheet=U0&amp;row=1153&amp;col=6&amp;number=3.9&amp;sourceID=14","3.9")</f>
        <v>3.9</v>
      </c>
      <c r="G1153" s="4" t="str">
        <f>HYPERLINK("http://141.218.60.56/~jnz1568/getInfo.php?workbook=12_05.xlsx&amp;sheet=U0&amp;row=1153&amp;col=7&amp;number=0.0887&amp;sourceID=14","0.0887")</f>
        <v>0.0887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HYPERLINK("http://141.218.60.56/~jnz1568/getInfo.php?workbook=12_05.xlsx&amp;sheet=U0&amp;row=1154&amp;col=6&amp;number=4&amp;sourceID=14","4")</f>
        <v>4</v>
      </c>
      <c r="G1154" s="4" t="str">
        <f>HYPERLINK("http://141.218.60.56/~jnz1568/getInfo.php?workbook=12_05.xlsx&amp;sheet=U0&amp;row=1154&amp;col=7&amp;number=0.0884&amp;sourceID=14","0.0884")</f>
        <v>0.0884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HYPERLINK("http://141.218.60.56/~jnz1568/getInfo.php?workbook=12_05.xlsx&amp;sheet=U0&amp;row=1155&amp;col=6&amp;number=4.1&amp;sourceID=14","4.1")</f>
        <v>4.1</v>
      </c>
      <c r="G1155" s="4" t="str">
        <f>HYPERLINK("http://141.218.60.56/~jnz1568/getInfo.php?workbook=12_05.xlsx&amp;sheet=U0&amp;row=1155&amp;col=7&amp;number=0.0881&amp;sourceID=14","0.0881")</f>
        <v>0.0881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HYPERLINK("http://141.218.60.56/~jnz1568/getInfo.php?workbook=12_05.xlsx&amp;sheet=U0&amp;row=1156&amp;col=6&amp;number=4.2&amp;sourceID=14","4.2")</f>
        <v>4.2</v>
      </c>
      <c r="G1156" s="4" t="str">
        <f>HYPERLINK("http://141.218.60.56/~jnz1568/getInfo.php?workbook=12_05.xlsx&amp;sheet=U0&amp;row=1156&amp;col=7&amp;number=0.0878&amp;sourceID=14","0.0878")</f>
        <v>0.0878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HYPERLINK("http://141.218.60.56/~jnz1568/getInfo.php?workbook=12_05.xlsx&amp;sheet=U0&amp;row=1157&amp;col=6&amp;number=4.3&amp;sourceID=14","4.3")</f>
        <v>4.3</v>
      </c>
      <c r="G1157" s="4" t="str">
        <f>HYPERLINK("http://141.218.60.56/~jnz1568/getInfo.php?workbook=12_05.xlsx&amp;sheet=U0&amp;row=1157&amp;col=7&amp;number=0.0874&amp;sourceID=14","0.0874")</f>
        <v>0.0874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HYPERLINK("http://141.218.60.56/~jnz1568/getInfo.php?workbook=12_05.xlsx&amp;sheet=U0&amp;row=1158&amp;col=6&amp;number=4.4&amp;sourceID=14","4.4")</f>
        <v>4.4</v>
      </c>
      <c r="G1158" s="4" t="str">
        <f>HYPERLINK("http://141.218.60.56/~jnz1568/getInfo.php?workbook=12_05.xlsx&amp;sheet=U0&amp;row=1158&amp;col=7&amp;number=0.0868&amp;sourceID=14","0.0868")</f>
        <v>0.0868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HYPERLINK("http://141.218.60.56/~jnz1568/getInfo.php?workbook=12_05.xlsx&amp;sheet=U0&amp;row=1159&amp;col=6&amp;number=4.5&amp;sourceID=14","4.5")</f>
        <v>4.5</v>
      </c>
      <c r="G1159" s="4" t="str">
        <f>HYPERLINK("http://141.218.60.56/~jnz1568/getInfo.php?workbook=12_05.xlsx&amp;sheet=U0&amp;row=1159&amp;col=7&amp;number=0.0862&amp;sourceID=14","0.0862")</f>
        <v>0.0862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HYPERLINK("http://141.218.60.56/~jnz1568/getInfo.php?workbook=12_05.xlsx&amp;sheet=U0&amp;row=1160&amp;col=6&amp;number=4.6&amp;sourceID=14","4.6")</f>
        <v>4.6</v>
      </c>
      <c r="G1160" s="4" t="str">
        <f>HYPERLINK("http://141.218.60.56/~jnz1568/getInfo.php?workbook=12_05.xlsx&amp;sheet=U0&amp;row=1160&amp;col=7&amp;number=0.0854&amp;sourceID=14","0.0854")</f>
        <v>0.0854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HYPERLINK("http://141.218.60.56/~jnz1568/getInfo.php?workbook=12_05.xlsx&amp;sheet=U0&amp;row=1161&amp;col=6&amp;number=4.7&amp;sourceID=14","4.7")</f>
        <v>4.7</v>
      </c>
      <c r="G1161" s="4" t="str">
        <f>HYPERLINK("http://141.218.60.56/~jnz1568/getInfo.php?workbook=12_05.xlsx&amp;sheet=U0&amp;row=1161&amp;col=7&amp;number=0.0845&amp;sourceID=14","0.0845")</f>
        <v>0.0845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HYPERLINK("http://141.218.60.56/~jnz1568/getInfo.php?workbook=12_05.xlsx&amp;sheet=U0&amp;row=1162&amp;col=6&amp;number=4.8&amp;sourceID=14","4.8")</f>
        <v>4.8</v>
      </c>
      <c r="G1162" s="4" t="str">
        <f>HYPERLINK("http://141.218.60.56/~jnz1568/getInfo.php?workbook=12_05.xlsx&amp;sheet=U0&amp;row=1162&amp;col=7&amp;number=0.0834&amp;sourceID=14","0.0834")</f>
        <v>0.0834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HYPERLINK("http://141.218.60.56/~jnz1568/getInfo.php?workbook=12_05.xlsx&amp;sheet=U0&amp;row=1163&amp;col=6&amp;number=4.9&amp;sourceID=14","4.9")</f>
        <v>4.9</v>
      </c>
      <c r="G1163" s="4" t="str">
        <f>HYPERLINK("http://141.218.60.56/~jnz1568/getInfo.php?workbook=12_05.xlsx&amp;sheet=U0&amp;row=1163&amp;col=7&amp;number=0.0822&amp;sourceID=14","0.0822")</f>
        <v>0.0822</v>
      </c>
    </row>
    <row r="1164" spans="1:7">
      <c r="A1164" s="3">
        <v>12</v>
      </c>
      <c r="B1164" s="3">
        <v>5</v>
      </c>
      <c r="C1164" s="3">
        <v>5</v>
      </c>
      <c r="D1164" s="3">
        <v>14</v>
      </c>
      <c r="E1164" s="3">
        <v>1</v>
      </c>
      <c r="F1164" s="4" t="str">
        <f>HYPERLINK("http://141.218.60.56/~jnz1568/getInfo.php?workbook=12_05.xlsx&amp;sheet=U0&amp;row=1164&amp;col=6&amp;number=3&amp;sourceID=14","3")</f>
        <v>3</v>
      </c>
      <c r="G1164" s="4" t="str">
        <f>HYPERLINK("http://141.218.60.56/~jnz1568/getInfo.php?workbook=12_05.xlsx&amp;sheet=U0&amp;row=1164&amp;col=7&amp;number=0.00526&amp;sourceID=14","0.00526")</f>
        <v>0.00526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HYPERLINK("http://141.218.60.56/~jnz1568/getInfo.php?workbook=12_05.xlsx&amp;sheet=U0&amp;row=1165&amp;col=6&amp;number=3.1&amp;sourceID=14","3.1")</f>
        <v>3.1</v>
      </c>
      <c r="G1165" s="4" t="str">
        <f>HYPERLINK("http://141.218.60.56/~jnz1568/getInfo.php?workbook=12_05.xlsx&amp;sheet=U0&amp;row=1165&amp;col=7&amp;number=0.00526&amp;sourceID=14","0.00526")</f>
        <v>0.00526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HYPERLINK("http://141.218.60.56/~jnz1568/getInfo.php?workbook=12_05.xlsx&amp;sheet=U0&amp;row=1166&amp;col=6&amp;number=3.2&amp;sourceID=14","3.2")</f>
        <v>3.2</v>
      </c>
      <c r="G1166" s="4" t="str">
        <f>HYPERLINK("http://141.218.60.56/~jnz1568/getInfo.php?workbook=12_05.xlsx&amp;sheet=U0&amp;row=1166&amp;col=7&amp;number=0.00526&amp;sourceID=14","0.00526")</f>
        <v>0.00526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HYPERLINK("http://141.218.60.56/~jnz1568/getInfo.php?workbook=12_05.xlsx&amp;sheet=U0&amp;row=1167&amp;col=6&amp;number=3.3&amp;sourceID=14","3.3")</f>
        <v>3.3</v>
      </c>
      <c r="G1167" s="4" t="str">
        <f>HYPERLINK("http://141.218.60.56/~jnz1568/getInfo.php?workbook=12_05.xlsx&amp;sheet=U0&amp;row=1167&amp;col=7&amp;number=0.00527&amp;sourceID=14","0.00527")</f>
        <v>0.00527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HYPERLINK("http://141.218.60.56/~jnz1568/getInfo.php?workbook=12_05.xlsx&amp;sheet=U0&amp;row=1168&amp;col=6&amp;number=3.4&amp;sourceID=14","3.4")</f>
        <v>3.4</v>
      </c>
      <c r="G1168" s="4" t="str">
        <f>HYPERLINK("http://141.218.60.56/~jnz1568/getInfo.php?workbook=12_05.xlsx&amp;sheet=U0&amp;row=1168&amp;col=7&amp;number=0.00527&amp;sourceID=14","0.00527")</f>
        <v>0.00527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HYPERLINK("http://141.218.60.56/~jnz1568/getInfo.php?workbook=12_05.xlsx&amp;sheet=U0&amp;row=1169&amp;col=6&amp;number=3.5&amp;sourceID=14","3.5")</f>
        <v>3.5</v>
      </c>
      <c r="G1169" s="4" t="str">
        <f>HYPERLINK("http://141.218.60.56/~jnz1568/getInfo.php?workbook=12_05.xlsx&amp;sheet=U0&amp;row=1169&amp;col=7&amp;number=0.00528&amp;sourceID=14","0.00528")</f>
        <v>0.00528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HYPERLINK("http://141.218.60.56/~jnz1568/getInfo.php?workbook=12_05.xlsx&amp;sheet=U0&amp;row=1170&amp;col=6&amp;number=3.6&amp;sourceID=14","3.6")</f>
        <v>3.6</v>
      </c>
      <c r="G1170" s="4" t="str">
        <f>HYPERLINK("http://141.218.60.56/~jnz1568/getInfo.php?workbook=12_05.xlsx&amp;sheet=U0&amp;row=1170&amp;col=7&amp;number=0.00528&amp;sourceID=14","0.00528")</f>
        <v>0.00528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HYPERLINK("http://141.218.60.56/~jnz1568/getInfo.php?workbook=12_05.xlsx&amp;sheet=U0&amp;row=1171&amp;col=6&amp;number=3.7&amp;sourceID=14","3.7")</f>
        <v>3.7</v>
      </c>
      <c r="G1171" s="4" t="str">
        <f>HYPERLINK("http://141.218.60.56/~jnz1568/getInfo.php?workbook=12_05.xlsx&amp;sheet=U0&amp;row=1171&amp;col=7&amp;number=0.00529&amp;sourceID=14","0.00529")</f>
        <v>0.00529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HYPERLINK("http://141.218.60.56/~jnz1568/getInfo.php?workbook=12_05.xlsx&amp;sheet=U0&amp;row=1172&amp;col=6&amp;number=3.8&amp;sourceID=14","3.8")</f>
        <v>3.8</v>
      </c>
      <c r="G1172" s="4" t="str">
        <f>HYPERLINK("http://141.218.60.56/~jnz1568/getInfo.php?workbook=12_05.xlsx&amp;sheet=U0&amp;row=1172&amp;col=7&amp;number=0.0053&amp;sourceID=14","0.0053")</f>
        <v>0.0053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HYPERLINK("http://141.218.60.56/~jnz1568/getInfo.php?workbook=12_05.xlsx&amp;sheet=U0&amp;row=1173&amp;col=6&amp;number=3.9&amp;sourceID=14","3.9")</f>
        <v>3.9</v>
      </c>
      <c r="G1173" s="4" t="str">
        <f>HYPERLINK("http://141.218.60.56/~jnz1568/getInfo.php?workbook=12_05.xlsx&amp;sheet=U0&amp;row=1173&amp;col=7&amp;number=0.00532&amp;sourceID=14","0.00532")</f>
        <v>0.00532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HYPERLINK("http://141.218.60.56/~jnz1568/getInfo.php?workbook=12_05.xlsx&amp;sheet=U0&amp;row=1174&amp;col=6&amp;number=4&amp;sourceID=14","4")</f>
        <v>4</v>
      </c>
      <c r="G1174" s="4" t="str">
        <f>HYPERLINK("http://141.218.60.56/~jnz1568/getInfo.php?workbook=12_05.xlsx&amp;sheet=U0&amp;row=1174&amp;col=7&amp;number=0.00534&amp;sourceID=14","0.00534")</f>
        <v>0.00534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HYPERLINK("http://141.218.60.56/~jnz1568/getInfo.php?workbook=12_05.xlsx&amp;sheet=U0&amp;row=1175&amp;col=6&amp;number=4.1&amp;sourceID=14","4.1")</f>
        <v>4.1</v>
      </c>
      <c r="G1175" s="4" t="str">
        <f>HYPERLINK("http://141.218.60.56/~jnz1568/getInfo.php?workbook=12_05.xlsx&amp;sheet=U0&amp;row=1175&amp;col=7&amp;number=0.00536&amp;sourceID=14","0.00536")</f>
        <v>0.00536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HYPERLINK("http://141.218.60.56/~jnz1568/getInfo.php?workbook=12_05.xlsx&amp;sheet=U0&amp;row=1176&amp;col=6&amp;number=4.2&amp;sourceID=14","4.2")</f>
        <v>4.2</v>
      </c>
      <c r="G1176" s="4" t="str">
        <f>HYPERLINK("http://141.218.60.56/~jnz1568/getInfo.php?workbook=12_05.xlsx&amp;sheet=U0&amp;row=1176&amp;col=7&amp;number=0.00539&amp;sourceID=14","0.00539")</f>
        <v>0.00539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HYPERLINK("http://141.218.60.56/~jnz1568/getInfo.php?workbook=12_05.xlsx&amp;sheet=U0&amp;row=1177&amp;col=6&amp;number=4.3&amp;sourceID=14","4.3")</f>
        <v>4.3</v>
      </c>
      <c r="G1177" s="4" t="str">
        <f>HYPERLINK("http://141.218.60.56/~jnz1568/getInfo.php?workbook=12_05.xlsx&amp;sheet=U0&amp;row=1177&amp;col=7&amp;number=0.00542&amp;sourceID=14","0.00542")</f>
        <v>0.00542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HYPERLINK("http://141.218.60.56/~jnz1568/getInfo.php?workbook=12_05.xlsx&amp;sheet=U0&amp;row=1178&amp;col=6&amp;number=4.4&amp;sourceID=14","4.4")</f>
        <v>4.4</v>
      </c>
      <c r="G1178" s="4" t="str">
        <f>HYPERLINK("http://141.218.60.56/~jnz1568/getInfo.php?workbook=12_05.xlsx&amp;sheet=U0&amp;row=1178&amp;col=7&amp;number=0.00546&amp;sourceID=14","0.00546")</f>
        <v>0.00546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HYPERLINK("http://141.218.60.56/~jnz1568/getInfo.php?workbook=12_05.xlsx&amp;sheet=U0&amp;row=1179&amp;col=6&amp;number=4.5&amp;sourceID=14","4.5")</f>
        <v>4.5</v>
      </c>
      <c r="G1179" s="4" t="str">
        <f>HYPERLINK("http://141.218.60.56/~jnz1568/getInfo.php?workbook=12_05.xlsx&amp;sheet=U0&amp;row=1179&amp;col=7&amp;number=0.00551&amp;sourceID=14","0.00551")</f>
        <v>0.00551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HYPERLINK("http://141.218.60.56/~jnz1568/getInfo.php?workbook=12_05.xlsx&amp;sheet=U0&amp;row=1180&amp;col=6&amp;number=4.6&amp;sourceID=14","4.6")</f>
        <v>4.6</v>
      </c>
      <c r="G1180" s="4" t="str">
        <f>HYPERLINK("http://141.218.60.56/~jnz1568/getInfo.php?workbook=12_05.xlsx&amp;sheet=U0&amp;row=1180&amp;col=7&amp;number=0.00556&amp;sourceID=14","0.00556")</f>
        <v>0.00556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HYPERLINK("http://141.218.60.56/~jnz1568/getInfo.php?workbook=12_05.xlsx&amp;sheet=U0&amp;row=1181&amp;col=6&amp;number=4.7&amp;sourceID=14","4.7")</f>
        <v>4.7</v>
      </c>
      <c r="G1181" s="4" t="str">
        <f>HYPERLINK("http://141.218.60.56/~jnz1568/getInfo.php?workbook=12_05.xlsx&amp;sheet=U0&amp;row=1181&amp;col=7&amp;number=0.00563&amp;sourceID=14","0.00563")</f>
        <v>0.00563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HYPERLINK("http://141.218.60.56/~jnz1568/getInfo.php?workbook=12_05.xlsx&amp;sheet=U0&amp;row=1182&amp;col=6&amp;number=4.8&amp;sourceID=14","4.8")</f>
        <v>4.8</v>
      </c>
      <c r="G1182" s="4" t="str">
        <f>HYPERLINK("http://141.218.60.56/~jnz1568/getInfo.php?workbook=12_05.xlsx&amp;sheet=U0&amp;row=1182&amp;col=7&amp;number=0.00569&amp;sourceID=14","0.00569")</f>
        <v>0.00569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HYPERLINK("http://141.218.60.56/~jnz1568/getInfo.php?workbook=12_05.xlsx&amp;sheet=U0&amp;row=1183&amp;col=6&amp;number=4.9&amp;sourceID=14","4.9")</f>
        <v>4.9</v>
      </c>
      <c r="G1183" s="4" t="str">
        <f>HYPERLINK("http://141.218.60.56/~jnz1568/getInfo.php?workbook=12_05.xlsx&amp;sheet=U0&amp;row=1183&amp;col=7&amp;number=0.00576&amp;sourceID=14","0.00576")</f>
        <v>0.00576</v>
      </c>
    </row>
    <row r="1184" spans="1:7">
      <c r="A1184" s="3">
        <v>12</v>
      </c>
      <c r="B1184" s="3">
        <v>5</v>
      </c>
      <c r="C1184" s="3">
        <v>5</v>
      </c>
      <c r="D1184" s="3">
        <v>15</v>
      </c>
      <c r="E1184" s="3">
        <v>1</v>
      </c>
      <c r="F1184" s="4" t="str">
        <f>HYPERLINK("http://141.218.60.56/~jnz1568/getInfo.php?workbook=12_05.xlsx&amp;sheet=U0&amp;row=1184&amp;col=6&amp;number=3&amp;sourceID=14","3")</f>
        <v>3</v>
      </c>
      <c r="G1184" s="4" t="str">
        <f>HYPERLINK("http://141.218.60.56/~jnz1568/getInfo.php?workbook=12_05.xlsx&amp;sheet=U0&amp;row=1184&amp;col=7&amp;number=0.0249&amp;sourceID=14","0.0249")</f>
        <v>0.0249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HYPERLINK("http://141.218.60.56/~jnz1568/getInfo.php?workbook=12_05.xlsx&amp;sheet=U0&amp;row=1185&amp;col=6&amp;number=3.1&amp;sourceID=14","3.1")</f>
        <v>3.1</v>
      </c>
      <c r="G1185" s="4" t="str">
        <f>HYPERLINK("http://141.218.60.56/~jnz1568/getInfo.php?workbook=12_05.xlsx&amp;sheet=U0&amp;row=1185&amp;col=7&amp;number=0.0249&amp;sourceID=14","0.0249")</f>
        <v>0.0249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HYPERLINK("http://141.218.60.56/~jnz1568/getInfo.php?workbook=12_05.xlsx&amp;sheet=U0&amp;row=1186&amp;col=6&amp;number=3.2&amp;sourceID=14","3.2")</f>
        <v>3.2</v>
      </c>
      <c r="G1186" s="4" t="str">
        <f>HYPERLINK("http://141.218.60.56/~jnz1568/getInfo.php?workbook=12_05.xlsx&amp;sheet=U0&amp;row=1186&amp;col=7&amp;number=0.0249&amp;sourceID=14","0.0249")</f>
        <v>0.0249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HYPERLINK("http://141.218.60.56/~jnz1568/getInfo.php?workbook=12_05.xlsx&amp;sheet=U0&amp;row=1187&amp;col=6&amp;number=3.3&amp;sourceID=14","3.3")</f>
        <v>3.3</v>
      </c>
      <c r="G1187" s="4" t="str">
        <f>HYPERLINK("http://141.218.60.56/~jnz1568/getInfo.php?workbook=12_05.xlsx&amp;sheet=U0&amp;row=1187&amp;col=7&amp;number=0.025&amp;sourceID=14","0.025")</f>
        <v>0.025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HYPERLINK("http://141.218.60.56/~jnz1568/getInfo.php?workbook=12_05.xlsx&amp;sheet=U0&amp;row=1188&amp;col=6&amp;number=3.4&amp;sourceID=14","3.4")</f>
        <v>3.4</v>
      </c>
      <c r="G1188" s="4" t="str">
        <f>HYPERLINK("http://141.218.60.56/~jnz1568/getInfo.php?workbook=12_05.xlsx&amp;sheet=U0&amp;row=1188&amp;col=7&amp;number=0.025&amp;sourceID=14","0.025")</f>
        <v>0.025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HYPERLINK("http://141.218.60.56/~jnz1568/getInfo.php?workbook=12_05.xlsx&amp;sheet=U0&amp;row=1189&amp;col=6&amp;number=3.5&amp;sourceID=14","3.5")</f>
        <v>3.5</v>
      </c>
      <c r="G1189" s="4" t="str">
        <f>HYPERLINK("http://141.218.60.56/~jnz1568/getInfo.php?workbook=12_05.xlsx&amp;sheet=U0&amp;row=1189&amp;col=7&amp;number=0.025&amp;sourceID=14","0.025")</f>
        <v>0.025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HYPERLINK("http://141.218.60.56/~jnz1568/getInfo.php?workbook=12_05.xlsx&amp;sheet=U0&amp;row=1190&amp;col=6&amp;number=3.6&amp;sourceID=14","3.6")</f>
        <v>3.6</v>
      </c>
      <c r="G1190" s="4" t="str">
        <f>HYPERLINK("http://141.218.60.56/~jnz1568/getInfo.php?workbook=12_05.xlsx&amp;sheet=U0&amp;row=1190&amp;col=7&amp;number=0.025&amp;sourceID=14","0.025")</f>
        <v>0.025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HYPERLINK("http://141.218.60.56/~jnz1568/getInfo.php?workbook=12_05.xlsx&amp;sheet=U0&amp;row=1191&amp;col=6&amp;number=3.7&amp;sourceID=14","3.7")</f>
        <v>3.7</v>
      </c>
      <c r="G1191" s="4" t="str">
        <f>HYPERLINK("http://141.218.60.56/~jnz1568/getInfo.php?workbook=12_05.xlsx&amp;sheet=U0&amp;row=1191&amp;col=7&amp;number=0.0251&amp;sourceID=14","0.0251")</f>
        <v>0.0251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HYPERLINK("http://141.218.60.56/~jnz1568/getInfo.php?workbook=12_05.xlsx&amp;sheet=U0&amp;row=1192&amp;col=6&amp;number=3.8&amp;sourceID=14","3.8")</f>
        <v>3.8</v>
      </c>
      <c r="G1192" s="4" t="str">
        <f>HYPERLINK("http://141.218.60.56/~jnz1568/getInfo.php?workbook=12_05.xlsx&amp;sheet=U0&amp;row=1192&amp;col=7&amp;number=0.0251&amp;sourceID=14","0.0251")</f>
        <v>0.0251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HYPERLINK("http://141.218.60.56/~jnz1568/getInfo.php?workbook=12_05.xlsx&amp;sheet=U0&amp;row=1193&amp;col=6&amp;number=3.9&amp;sourceID=14","3.9")</f>
        <v>3.9</v>
      </c>
      <c r="G1193" s="4" t="str">
        <f>HYPERLINK("http://141.218.60.56/~jnz1568/getInfo.php?workbook=12_05.xlsx&amp;sheet=U0&amp;row=1193&amp;col=7&amp;number=0.0252&amp;sourceID=14","0.0252")</f>
        <v>0.0252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HYPERLINK("http://141.218.60.56/~jnz1568/getInfo.php?workbook=12_05.xlsx&amp;sheet=U0&amp;row=1194&amp;col=6&amp;number=4&amp;sourceID=14","4")</f>
        <v>4</v>
      </c>
      <c r="G1194" s="4" t="str">
        <f>HYPERLINK("http://141.218.60.56/~jnz1568/getInfo.php?workbook=12_05.xlsx&amp;sheet=U0&amp;row=1194&amp;col=7&amp;number=0.0253&amp;sourceID=14","0.0253")</f>
        <v>0.0253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HYPERLINK("http://141.218.60.56/~jnz1568/getInfo.php?workbook=12_05.xlsx&amp;sheet=U0&amp;row=1195&amp;col=6&amp;number=4.1&amp;sourceID=14","4.1")</f>
        <v>4.1</v>
      </c>
      <c r="G1195" s="4" t="str">
        <f>HYPERLINK("http://141.218.60.56/~jnz1568/getInfo.php?workbook=12_05.xlsx&amp;sheet=U0&amp;row=1195&amp;col=7&amp;number=0.0254&amp;sourceID=14","0.0254")</f>
        <v>0.0254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HYPERLINK("http://141.218.60.56/~jnz1568/getInfo.php?workbook=12_05.xlsx&amp;sheet=U0&amp;row=1196&amp;col=6&amp;number=4.2&amp;sourceID=14","4.2")</f>
        <v>4.2</v>
      </c>
      <c r="G1196" s="4" t="str">
        <f>HYPERLINK("http://141.218.60.56/~jnz1568/getInfo.php?workbook=12_05.xlsx&amp;sheet=U0&amp;row=1196&amp;col=7&amp;number=0.0255&amp;sourceID=14","0.0255")</f>
        <v>0.0255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HYPERLINK("http://141.218.60.56/~jnz1568/getInfo.php?workbook=12_05.xlsx&amp;sheet=U0&amp;row=1197&amp;col=6&amp;number=4.3&amp;sourceID=14","4.3")</f>
        <v>4.3</v>
      </c>
      <c r="G1197" s="4" t="str">
        <f>HYPERLINK("http://141.218.60.56/~jnz1568/getInfo.php?workbook=12_05.xlsx&amp;sheet=U0&amp;row=1197&amp;col=7&amp;number=0.0257&amp;sourceID=14","0.0257")</f>
        <v>0.0257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HYPERLINK("http://141.218.60.56/~jnz1568/getInfo.php?workbook=12_05.xlsx&amp;sheet=U0&amp;row=1198&amp;col=6&amp;number=4.4&amp;sourceID=14","4.4")</f>
        <v>4.4</v>
      </c>
      <c r="G1198" s="4" t="str">
        <f>HYPERLINK("http://141.218.60.56/~jnz1568/getInfo.php?workbook=12_05.xlsx&amp;sheet=U0&amp;row=1198&amp;col=7&amp;number=0.0259&amp;sourceID=14","0.0259")</f>
        <v>0.0259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HYPERLINK("http://141.218.60.56/~jnz1568/getInfo.php?workbook=12_05.xlsx&amp;sheet=U0&amp;row=1199&amp;col=6&amp;number=4.5&amp;sourceID=14","4.5")</f>
        <v>4.5</v>
      </c>
      <c r="G1199" s="4" t="str">
        <f>HYPERLINK("http://141.218.60.56/~jnz1568/getInfo.php?workbook=12_05.xlsx&amp;sheet=U0&amp;row=1199&amp;col=7&amp;number=0.0261&amp;sourceID=14","0.0261")</f>
        <v>0.0261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HYPERLINK("http://141.218.60.56/~jnz1568/getInfo.php?workbook=12_05.xlsx&amp;sheet=U0&amp;row=1200&amp;col=6&amp;number=4.6&amp;sourceID=14","4.6")</f>
        <v>4.6</v>
      </c>
      <c r="G1200" s="4" t="str">
        <f>HYPERLINK("http://141.218.60.56/~jnz1568/getInfo.php?workbook=12_05.xlsx&amp;sheet=U0&amp;row=1200&amp;col=7&amp;number=0.0264&amp;sourceID=14","0.0264")</f>
        <v>0.0264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HYPERLINK("http://141.218.60.56/~jnz1568/getInfo.php?workbook=12_05.xlsx&amp;sheet=U0&amp;row=1201&amp;col=6&amp;number=4.7&amp;sourceID=14","4.7")</f>
        <v>4.7</v>
      </c>
      <c r="G1201" s="4" t="str">
        <f>HYPERLINK("http://141.218.60.56/~jnz1568/getInfo.php?workbook=12_05.xlsx&amp;sheet=U0&amp;row=1201&amp;col=7&amp;number=0.0267&amp;sourceID=14","0.0267")</f>
        <v>0.0267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HYPERLINK("http://141.218.60.56/~jnz1568/getInfo.php?workbook=12_05.xlsx&amp;sheet=U0&amp;row=1202&amp;col=6&amp;number=4.8&amp;sourceID=14","4.8")</f>
        <v>4.8</v>
      </c>
      <c r="G1202" s="4" t="str">
        <f>HYPERLINK("http://141.218.60.56/~jnz1568/getInfo.php?workbook=12_05.xlsx&amp;sheet=U0&amp;row=1202&amp;col=7&amp;number=0.0271&amp;sourceID=14","0.0271")</f>
        <v>0.0271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HYPERLINK("http://141.218.60.56/~jnz1568/getInfo.php?workbook=12_05.xlsx&amp;sheet=U0&amp;row=1203&amp;col=6&amp;number=4.9&amp;sourceID=14","4.9")</f>
        <v>4.9</v>
      </c>
      <c r="G1203" s="4" t="str">
        <f>HYPERLINK("http://141.218.60.56/~jnz1568/getInfo.php?workbook=12_05.xlsx&amp;sheet=U0&amp;row=1203&amp;col=7&amp;number=0.0274&amp;sourceID=14","0.0274")</f>
        <v>0.0274</v>
      </c>
    </row>
    <row r="1204" spans="1:7">
      <c r="A1204" s="3">
        <v>12</v>
      </c>
      <c r="B1204" s="3">
        <v>5</v>
      </c>
      <c r="C1204" s="3">
        <v>1</v>
      </c>
      <c r="D1204" s="3">
        <v>16</v>
      </c>
      <c r="E1204" s="3">
        <v>1</v>
      </c>
      <c r="F1204" s="4" t="str">
        <f>HYPERLINK("http://141.218.60.56/~jnz1568/getInfo.php?workbook=12_05.xlsx&amp;sheet=U0&amp;row=1204&amp;col=6&amp;number=3&amp;sourceID=14","3")</f>
        <v>3</v>
      </c>
      <c r="G1204" s="4" t="str">
        <f>HYPERLINK("http://141.218.60.56/~jnz1568/getInfo.php?workbook=12_05.xlsx&amp;sheet=U0&amp;row=1204&amp;col=7&amp;number=0.00741&amp;sourceID=14","0.00741")</f>
        <v>0.00741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HYPERLINK("http://141.218.60.56/~jnz1568/getInfo.php?workbook=12_05.xlsx&amp;sheet=U0&amp;row=1205&amp;col=6&amp;number=3.1&amp;sourceID=14","3.1")</f>
        <v>3.1</v>
      </c>
      <c r="G1205" s="4" t="str">
        <f>HYPERLINK("http://141.218.60.56/~jnz1568/getInfo.php?workbook=12_05.xlsx&amp;sheet=U0&amp;row=1205&amp;col=7&amp;number=0.00741&amp;sourceID=14","0.00741")</f>
        <v>0.00741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HYPERLINK("http://141.218.60.56/~jnz1568/getInfo.php?workbook=12_05.xlsx&amp;sheet=U0&amp;row=1206&amp;col=6&amp;number=3.2&amp;sourceID=14","3.2")</f>
        <v>3.2</v>
      </c>
      <c r="G1206" s="4" t="str">
        <f>HYPERLINK("http://141.218.60.56/~jnz1568/getInfo.php?workbook=12_05.xlsx&amp;sheet=U0&amp;row=1206&amp;col=7&amp;number=0.00741&amp;sourceID=14","0.00741")</f>
        <v>0.00741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HYPERLINK("http://141.218.60.56/~jnz1568/getInfo.php?workbook=12_05.xlsx&amp;sheet=U0&amp;row=1207&amp;col=6&amp;number=3.3&amp;sourceID=14","3.3")</f>
        <v>3.3</v>
      </c>
      <c r="G1207" s="4" t="str">
        <f>HYPERLINK("http://141.218.60.56/~jnz1568/getInfo.php?workbook=12_05.xlsx&amp;sheet=U0&amp;row=1207&amp;col=7&amp;number=0.00741&amp;sourceID=14","0.00741")</f>
        <v>0.00741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HYPERLINK("http://141.218.60.56/~jnz1568/getInfo.php?workbook=12_05.xlsx&amp;sheet=U0&amp;row=1208&amp;col=6&amp;number=3.4&amp;sourceID=14","3.4")</f>
        <v>3.4</v>
      </c>
      <c r="G1208" s="4" t="str">
        <f>HYPERLINK("http://141.218.60.56/~jnz1568/getInfo.php?workbook=12_05.xlsx&amp;sheet=U0&amp;row=1208&amp;col=7&amp;number=0.00741&amp;sourceID=14","0.00741")</f>
        <v>0.00741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HYPERLINK("http://141.218.60.56/~jnz1568/getInfo.php?workbook=12_05.xlsx&amp;sheet=U0&amp;row=1209&amp;col=6&amp;number=3.5&amp;sourceID=14","3.5")</f>
        <v>3.5</v>
      </c>
      <c r="G1209" s="4" t="str">
        <f>HYPERLINK("http://141.218.60.56/~jnz1568/getInfo.php?workbook=12_05.xlsx&amp;sheet=U0&amp;row=1209&amp;col=7&amp;number=0.00741&amp;sourceID=14","0.00741")</f>
        <v>0.00741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HYPERLINK("http://141.218.60.56/~jnz1568/getInfo.php?workbook=12_05.xlsx&amp;sheet=U0&amp;row=1210&amp;col=6&amp;number=3.6&amp;sourceID=14","3.6")</f>
        <v>3.6</v>
      </c>
      <c r="G1210" s="4" t="str">
        <f>HYPERLINK("http://141.218.60.56/~jnz1568/getInfo.php?workbook=12_05.xlsx&amp;sheet=U0&amp;row=1210&amp;col=7&amp;number=0.00741&amp;sourceID=14","0.00741")</f>
        <v>0.00741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HYPERLINK("http://141.218.60.56/~jnz1568/getInfo.php?workbook=12_05.xlsx&amp;sheet=U0&amp;row=1211&amp;col=6&amp;number=3.7&amp;sourceID=14","3.7")</f>
        <v>3.7</v>
      </c>
      <c r="G1211" s="4" t="str">
        <f>HYPERLINK("http://141.218.60.56/~jnz1568/getInfo.php?workbook=12_05.xlsx&amp;sheet=U0&amp;row=1211&amp;col=7&amp;number=0.00742&amp;sourceID=14","0.00742")</f>
        <v>0.00742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HYPERLINK("http://141.218.60.56/~jnz1568/getInfo.php?workbook=12_05.xlsx&amp;sheet=U0&amp;row=1212&amp;col=6&amp;number=3.8&amp;sourceID=14","3.8")</f>
        <v>3.8</v>
      </c>
      <c r="G1212" s="4" t="str">
        <f>HYPERLINK("http://141.218.60.56/~jnz1568/getInfo.php?workbook=12_05.xlsx&amp;sheet=U0&amp;row=1212&amp;col=7&amp;number=0.00742&amp;sourceID=14","0.00742")</f>
        <v>0.00742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HYPERLINK("http://141.218.60.56/~jnz1568/getInfo.php?workbook=12_05.xlsx&amp;sheet=U0&amp;row=1213&amp;col=6&amp;number=3.9&amp;sourceID=14","3.9")</f>
        <v>3.9</v>
      </c>
      <c r="G1213" s="4" t="str">
        <f>HYPERLINK("http://141.218.60.56/~jnz1568/getInfo.php?workbook=12_05.xlsx&amp;sheet=U0&amp;row=1213&amp;col=7&amp;number=0.00742&amp;sourceID=14","0.00742")</f>
        <v>0.00742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HYPERLINK("http://141.218.60.56/~jnz1568/getInfo.php?workbook=12_05.xlsx&amp;sheet=U0&amp;row=1214&amp;col=6&amp;number=4&amp;sourceID=14","4")</f>
        <v>4</v>
      </c>
      <c r="G1214" s="4" t="str">
        <f>HYPERLINK("http://141.218.60.56/~jnz1568/getInfo.php?workbook=12_05.xlsx&amp;sheet=U0&amp;row=1214&amp;col=7&amp;number=0.00742&amp;sourceID=14","0.00742")</f>
        <v>0.00742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HYPERLINK("http://141.218.60.56/~jnz1568/getInfo.php?workbook=12_05.xlsx&amp;sheet=U0&amp;row=1215&amp;col=6&amp;number=4.1&amp;sourceID=14","4.1")</f>
        <v>4.1</v>
      </c>
      <c r="G1215" s="4" t="str">
        <f>HYPERLINK("http://141.218.60.56/~jnz1568/getInfo.php?workbook=12_05.xlsx&amp;sheet=U0&amp;row=1215&amp;col=7&amp;number=0.00742&amp;sourceID=14","0.00742")</f>
        <v>0.00742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HYPERLINK("http://141.218.60.56/~jnz1568/getInfo.php?workbook=12_05.xlsx&amp;sheet=U0&amp;row=1216&amp;col=6&amp;number=4.2&amp;sourceID=14","4.2")</f>
        <v>4.2</v>
      </c>
      <c r="G1216" s="4" t="str">
        <f>HYPERLINK("http://141.218.60.56/~jnz1568/getInfo.php?workbook=12_05.xlsx&amp;sheet=U0&amp;row=1216&amp;col=7&amp;number=0.00743&amp;sourceID=14","0.00743")</f>
        <v>0.00743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HYPERLINK("http://141.218.60.56/~jnz1568/getInfo.php?workbook=12_05.xlsx&amp;sheet=U0&amp;row=1217&amp;col=6&amp;number=4.3&amp;sourceID=14","4.3")</f>
        <v>4.3</v>
      </c>
      <c r="G1217" s="4" t="str">
        <f>HYPERLINK("http://141.218.60.56/~jnz1568/getInfo.php?workbook=12_05.xlsx&amp;sheet=U0&amp;row=1217&amp;col=7&amp;number=0.00743&amp;sourceID=14","0.00743")</f>
        <v>0.00743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HYPERLINK("http://141.218.60.56/~jnz1568/getInfo.php?workbook=12_05.xlsx&amp;sheet=U0&amp;row=1218&amp;col=6&amp;number=4.4&amp;sourceID=14","4.4")</f>
        <v>4.4</v>
      </c>
      <c r="G1218" s="4" t="str">
        <f>HYPERLINK("http://141.218.60.56/~jnz1568/getInfo.php?workbook=12_05.xlsx&amp;sheet=U0&amp;row=1218&amp;col=7&amp;number=0.00744&amp;sourceID=14","0.00744")</f>
        <v>0.00744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HYPERLINK("http://141.218.60.56/~jnz1568/getInfo.php?workbook=12_05.xlsx&amp;sheet=U0&amp;row=1219&amp;col=6&amp;number=4.5&amp;sourceID=14","4.5")</f>
        <v>4.5</v>
      </c>
      <c r="G1219" s="4" t="str">
        <f>HYPERLINK("http://141.218.60.56/~jnz1568/getInfo.php?workbook=12_05.xlsx&amp;sheet=U0&amp;row=1219&amp;col=7&amp;number=0.00744&amp;sourceID=14","0.00744")</f>
        <v>0.00744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HYPERLINK("http://141.218.60.56/~jnz1568/getInfo.php?workbook=12_05.xlsx&amp;sheet=U0&amp;row=1220&amp;col=6&amp;number=4.6&amp;sourceID=14","4.6")</f>
        <v>4.6</v>
      </c>
      <c r="G1220" s="4" t="str">
        <f>HYPERLINK("http://141.218.60.56/~jnz1568/getInfo.php?workbook=12_05.xlsx&amp;sheet=U0&amp;row=1220&amp;col=7&amp;number=0.00745&amp;sourceID=14","0.00745")</f>
        <v>0.00745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HYPERLINK("http://141.218.60.56/~jnz1568/getInfo.php?workbook=12_05.xlsx&amp;sheet=U0&amp;row=1221&amp;col=6&amp;number=4.7&amp;sourceID=14","4.7")</f>
        <v>4.7</v>
      </c>
      <c r="G1221" s="4" t="str">
        <f>HYPERLINK("http://141.218.60.56/~jnz1568/getInfo.php?workbook=12_05.xlsx&amp;sheet=U0&amp;row=1221&amp;col=7&amp;number=0.00747&amp;sourceID=14","0.00747")</f>
        <v>0.00747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HYPERLINK("http://141.218.60.56/~jnz1568/getInfo.php?workbook=12_05.xlsx&amp;sheet=U0&amp;row=1222&amp;col=6&amp;number=4.8&amp;sourceID=14","4.8")</f>
        <v>4.8</v>
      </c>
      <c r="G1222" s="4" t="str">
        <f>HYPERLINK("http://141.218.60.56/~jnz1568/getInfo.php?workbook=12_05.xlsx&amp;sheet=U0&amp;row=1222&amp;col=7&amp;number=0.00748&amp;sourceID=14","0.00748")</f>
        <v>0.00748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HYPERLINK("http://141.218.60.56/~jnz1568/getInfo.php?workbook=12_05.xlsx&amp;sheet=U0&amp;row=1223&amp;col=6&amp;number=4.9&amp;sourceID=14","4.9")</f>
        <v>4.9</v>
      </c>
      <c r="G1223" s="4" t="str">
        <f>HYPERLINK("http://141.218.60.56/~jnz1568/getInfo.php?workbook=12_05.xlsx&amp;sheet=U0&amp;row=1223&amp;col=7&amp;number=0.0075&amp;sourceID=14","0.0075")</f>
        <v>0.0075</v>
      </c>
    </row>
    <row r="1224" spans="1:7">
      <c r="A1224" s="3">
        <v>12</v>
      </c>
      <c r="B1224" s="3">
        <v>5</v>
      </c>
      <c r="C1224" s="3">
        <v>1</v>
      </c>
      <c r="D1224" s="3">
        <v>17</v>
      </c>
      <c r="E1224" s="3">
        <v>1</v>
      </c>
      <c r="F1224" s="4" t="str">
        <f>HYPERLINK("http://141.218.60.56/~jnz1568/getInfo.php?workbook=12_05.xlsx&amp;sheet=U0&amp;row=1224&amp;col=6&amp;number=3&amp;sourceID=14","3")</f>
        <v>3</v>
      </c>
      <c r="G1224" s="4" t="str">
        <f>HYPERLINK("http://141.218.60.56/~jnz1568/getInfo.php?workbook=12_05.xlsx&amp;sheet=U0&amp;row=1224&amp;col=7&amp;number=0.00614&amp;sourceID=14","0.00614")</f>
        <v>0.00614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HYPERLINK("http://141.218.60.56/~jnz1568/getInfo.php?workbook=12_05.xlsx&amp;sheet=U0&amp;row=1225&amp;col=6&amp;number=3.1&amp;sourceID=14","3.1")</f>
        <v>3.1</v>
      </c>
      <c r="G1225" s="4" t="str">
        <f>HYPERLINK("http://141.218.60.56/~jnz1568/getInfo.php?workbook=12_05.xlsx&amp;sheet=U0&amp;row=1225&amp;col=7&amp;number=0.00614&amp;sourceID=14","0.00614")</f>
        <v>0.00614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HYPERLINK("http://141.218.60.56/~jnz1568/getInfo.php?workbook=12_05.xlsx&amp;sheet=U0&amp;row=1226&amp;col=6&amp;number=3.2&amp;sourceID=14","3.2")</f>
        <v>3.2</v>
      </c>
      <c r="G1226" s="4" t="str">
        <f>HYPERLINK("http://141.218.60.56/~jnz1568/getInfo.php?workbook=12_05.xlsx&amp;sheet=U0&amp;row=1226&amp;col=7&amp;number=0.00615&amp;sourceID=14","0.00615")</f>
        <v>0.00615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HYPERLINK("http://141.218.60.56/~jnz1568/getInfo.php?workbook=12_05.xlsx&amp;sheet=U0&amp;row=1227&amp;col=6&amp;number=3.3&amp;sourceID=14","3.3")</f>
        <v>3.3</v>
      </c>
      <c r="G1227" s="4" t="str">
        <f>HYPERLINK("http://141.218.60.56/~jnz1568/getInfo.php?workbook=12_05.xlsx&amp;sheet=U0&amp;row=1227&amp;col=7&amp;number=0.00615&amp;sourceID=14","0.00615")</f>
        <v>0.00615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HYPERLINK("http://141.218.60.56/~jnz1568/getInfo.php?workbook=12_05.xlsx&amp;sheet=U0&amp;row=1228&amp;col=6&amp;number=3.4&amp;sourceID=14","3.4")</f>
        <v>3.4</v>
      </c>
      <c r="G1228" s="4" t="str">
        <f>HYPERLINK("http://141.218.60.56/~jnz1568/getInfo.php?workbook=12_05.xlsx&amp;sheet=U0&amp;row=1228&amp;col=7&amp;number=0.00616&amp;sourceID=14","0.00616")</f>
        <v>0.00616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HYPERLINK("http://141.218.60.56/~jnz1568/getInfo.php?workbook=12_05.xlsx&amp;sheet=U0&amp;row=1229&amp;col=6&amp;number=3.5&amp;sourceID=14","3.5")</f>
        <v>3.5</v>
      </c>
      <c r="G1229" s="4" t="str">
        <f>HYPERLINK("http://141.218.60.56/~jnz1568/getInfo.php?workbook=12_05.xlsx&amp;sheet=U0&amp;row=1229&amp;col=7&amp;number=0.00616&amp;sourceID=14","0.00616")</f>
        <v>0.00616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HYPERLINK("http://141.218.60.56/~jnz1568/getInfo.php?workbook=12_05.xlsx&amp;sheet=U0&amp;row=1230&amp;col=6&amp;number=3.6&amp;sourceID=14","3.6")</f>
        <v>3.6</v>
      </c>
      <c r="G1230" s="4" t="str">
        <f>HYPERLINK("http://141.218.60.56/~jnz1568/getInfo.php?workbook=12_05.xlsx&amp;sheet=U0&amp;row=1230&amp;col=7&amp;number=0.00617&amp;sourceID=14","0.00617")</f>
        <v>0.00617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HYPERLINK("http://141.218.60.56/~jnz1568/getInfo.php?workbook=12_05.xlsx&amp;sheet=U0&amp;row=1231&amp;col=6&amp;number=3.7&amp;sourceID=14","3.7")</f>
        <v>3.7</v>
      </c>
      <c r="G1231" s="4" t="str">
        <f>HYPERLINK("http://141.218.60.56/~jnz1568/getInfo.php?workbook=12_05.xlsx&amp;sheet=U0&amp;row=1231&amp;col=7&amp;number=0.00618&amp;sourceID=14","0.00618")</f>
        <v>0.00618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HYPERLINK("http://141.218.60.56/~jnz1568/getInfo.php?workbook=12_05.xlsx&amp;sheet=U0&amp;row=1232&amp;col=6&amp;number=3.8&amp;sourceID=14","3.8")</f>
        <v>3.8</v>
      </c>
      <c r="G1232" s="4" t="str">
        <f>HYPERLINK("http://141.218.60.56/~jnz1568/getInfo.php?workbook=12_05.xlsx&amp;sheet=U0&amp;row=1232&amp;col=7&amp;number=0.00619&amp;sourceID=14","0.00619")</f>
        <v>0.00619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HYPERLINK("http://141.218.60.56/~jnz1568/getInfo.php?workbook=12_05.xlsx&amp;sheet=U0&amp;row=1233&amp;col=6&amp;number=3.9&amp;sourceID=14","3.9")</f>
        <v>3.9</v>
      </c>
      <c r="G1233" s="4" t="str">
        <f>HYPERLINK("http://141.218.60.56/~jnz1568/getInfo.php?workbook=12_05.xlsx&amp;sheet=U0&amp;row=1233&amp;col=7&amp;number=0.0062&amp;sourceID=14","0.0062")</f>
        <v>0.0062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HYPERLINK("http://141.218.60.56/~jnz1568/getInfo.php?workbook=12_05.xlsx&amp;sheet=U0&amp;row=1234&amp;col=6&amp;number=4&amp;sourceID=14","4")</f>
        <v>4</v>
      </c>
      <c r="G1234" s="4" t="str">
        <f>HYPERLINK("http://141.218.60.56/~jnz1568/getInfo.php?workbook=12_05.xlsx&amp;sheet=U0&amp;row=1234&amp;col=7&amp;number=0.00622&amp;sourceID=14","0.00622")</f>
        <v>0.00622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HYPERLINK("http://141.218.60.56/~jnz1568/getInfo.php?workbook=12_05.xlsx&amp;sheet=U0&amp;row=1235&amp;col=6&amp;number=4.1&amp;sourceID=14","4.1")</f>
        <v>4.1</v>
      </c>
      <c r="G1235" s="4" t="str">
        <f>HYPERLINK("http://141.218.60.56/~jnz1568/getInfo.php?workbook=12_05.xlsx&amp;sheet=U0&amp;row=1235&amp;col=7&amp;number=0.00624&amp;sourceID=14","0.00624")</f>
        <v>0.00624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HYPERLINK("http://141.218.60.56/~jnz1568/getInfo.php?workbook=12_05.xlsx&amp;sheet=U0&amp;row=1236&amp;col=6&amp;number=4.2&amp;sourceID=14","4.2")</f>
        <v>4.2</v>
      </c>
      <c r="G1236" s="4" t="str">
        <f>HYPERLINK("http://141.218.60.56/~jnz1568/getInfo.php?workbook=12_05.xlsx&amp;sheet=U0&amp;row=1236&amp;col=7&amp;number=0.00627&amp;sourceID=14","0.00627")</f>
        <v>0.00627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HYPERLINK("http://141.218.60.56/~jnz1568/getInfo.php?workbook=12_05.xlsx&amp;sheet=U0&amp;row=1237&amp;col=6&amp;number=4.3&amp;sourceID=14","4.3")</f>
        <v>4.3</v>
      </c>
      <c r="G1237" s="4" t="str">
        <f>HYPERLINK("http://141.218.60.56/~jnz1568/getInfo.php?workbook=12_05.xlsx&amp;sheet=U0&amp;row=1237&amp;col=7&amp;number=0.00631&amp;sourceID=14","0.00631")</f>
        <v>0.00631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HYPERLINK("http://141.218.60.56/~jnz1568/getInfo.php?workbook=12_05.xlsx&amp;sheet=U0&amp;row=1238&amp;col=6&amp;number=4.4&amp;sourceID=14","4.4")</f>
        <v>4.4</v>
      </c>
      <c r="G1238" s="4" t="str">
        <f>HYPERLINK("http://141.218.60.56/~jnz1568/getInfo.php?workbook=12_05.xlsx&amp;sheet=U0&amp;row=1238&amp;col=7&amp;number=0.00635&amp;sourceID=14","0.00635")</f>
        <v>0.00635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HYPERLINK("http://141.218.60.56/~jnz1568/getInfo.php?workbook=12_05.xlsx&amp;sheet=U0&amp;row=1239&amp;col=6&amp;number=4.5&amp;sourceID=14","4.5")</f>
        <v>4.5</v>
      </c>
      <c r="G1239" s="4" t="str">
        <f>HYPERLINK("http://141.218.60.56/~jnz1568/getInfo.php?workbook=12_05.xlsx&amp;sheet=U0&amp;row=1239&amp;col=7&amp;number=0.00641&amp;sourceID=14","0.00641")</f>
        <v>0.00641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HYPERLINK("http://141.218.60.56/~jnz1568/getInfo.php?workbook=12_05.xlsx&amp;sheet=U0&amp;row=1240&amp;col=6&amp;number=4.6&amp;sourceID=14","4.6")</f>
        <v>4.6</v>
      </c>
      <c r="G1240" s="4" t="str">
        <f>HYPERLINK("http://141.218.60.56/~jnz1568/getInfo.php?workbook=12_05.xlsx&amp;sheet=U0&amp;row=1240&amp;col=7&amp;number=0.00648&amp;sourceID=14","0.00648")</f>
        <v>0.00648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HYPERLINK("http://141.218.60.56/~jnz1568/getInfo.php?workbook=12_05.xlsx&amp;sheet=U0&amp;row=1241&amp;col=6&amp;number=4.7&amp;sourceID=14","4.7")</f>
        <v>4.7</v>
      </c>
      <c r="G1241" s="4" t="str">
        <f>HYPERLINK("http://141.218.60.56/~jnz1568/getInfo.php?workbook=12_05.xlsx&amp;sheet=U0&amp;row=1241&amp;col=7&amp;number=0.00657&amp;sourceID=14","0.00657")</f>
        <v>0.00657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HYPERLINK("http://141.218.60.56/~jnz1568/getInfo.php?workbook=12_05.xlsx&amp;sheet=U0&amp;row=1242&amp;col=6&amp;number=4.8&amp;sourceID=14","4.8")</f>
        <v>4.8</v>
      </c>
      <c r="G1242" s="4" t="str">
        <f>HYPERLINK("http://141.218.60.56/~jnz1568/getInfo.php?workbook=12_05.xlsx&amp;sheet=U0&amp;row=1242&amp;col=7&amp;number=0.00668&amp;sourceID=14","0.00668")</f>
        <v>0.00668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HYPERLINK("http://141.218.60.56/~jnz1568/getInfo.php?workbook=12_05.xlsx&amp;sheet=U0&amp;row=1243&amp;col=6&amp;number=4.9&amp;sourceID=14","4.9")</f>
        <v>4.9</v>
      </c>
      <c r="G1243" s="4" t="str">
        <f>HYPERLINK("http://141.218.60.56/~jnz1568/getInfo.php?workbook=12_05.xlsx&amp;sheet=U0&amp;row=1243&amp;col=7&amp;number=0.00681&amp;sourceID=14","0.00681")</f>
        <v>0.00681</v>
      </c>
    </row>
    <row r="1244" spans="1:7">
      <c r="A1244" s="3">
        <v>12</v>
      </c>
      <c r="B1244" s="3">
        <v>5</v>
      </c>
      <c r="C1244" s="3">
        <v>1</v>
      </c>
      <c r="D1244" s="3">
        <v>18</v>
      </c>
      <c r="E1244" s="3">
        <v>1</v>
      </c>
      <c r="F1244" s="4" t="str">
        <f>HYPERLINK("http://141.218.60.56/~jnz1568/getInfo.php?workbook=12_05.xlsx&amp;sheet=U0&amp;row=1244&amp;col=6&amp;number=3&amp;sourceID=14","3")</f>
        <v>3</v>
      </c>
      <c r="G1244" s="4" t="str">
        <f>HYPERLINK("http://141.218.60.56/~jnz1568/getInfo.php?workbook=12_05.xlsx&amp;sheet=U0&amp;row=1244&amp;col=7&amp;number=0.00333&amp;sourceID=14","0.00333")</f>
        <v>0.00333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HYPERLINK("http://141.218.60.56/~jnz1568/getInfo.php?workbook=12_05.xlsx&amp;sheet=U0&amp;row=1245&amp;col=6&amp;number=3.1&amp;sourceID=14","3.1")</f>
        <v>3.1</v>
      </c>
      <c r="G1245" s="4" t="str">
        <f>HYPERLINK("http://141.218.60.56/~jnz1568/getInfo.php?workbook=12_05.xlsx&amp;sheet=U0&amp;row=1245&amp;col=7&amp;number=0.00333&amp;sourceID=14","0.00333")</f>
        <v>0.00333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HYPERLINK("http://141.218.60.56/~jnz1568/getInfo.php?workbook=12_05.xlsx&amp;sheet=U0&amp;row=1246&amp;col=6&amp;number=3.2&amp;sourceID=14","3.2")</f>
        <v>3.2</v>
      </c>
      <c r="G1246" s="4" t="str">
        <f>HYPERLINK("http://141.218.60.56/~jnz1568/getInfo.php?workbook=12_05.xlsx&amp;sheet=U0&amp;row=1246&amp;col=7&amp;number=0.00334&amp;sourceID=14","0.00334")</f>
        <v>0.00334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HYPERLINK("http://141.218.60.56/~jnz1568/getInfo.php?workbook=12_05.xlsx&amp;sheet=U0&amp;row=1247&amp;col=6&amp;number=3.3&amp;sourceID=14","3.3")</f>
        <v>3.3</v>
      </c>
      <c r="G1247" s="4" t="str">
        <f>HYPERLINK("http://141.218.60.56/~jnz1568/getInfo.php?workbook=12_05.xlsx&amp;sheet=U0&amp;row=1247&amp;col=7&amp;number=0.00334&amp;sourceID=14","0.00334")</f>
        <v>0.00334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HYPERLINK("http://141.218.60.56/~jnz1568/getInfo.php?workbook=12_05.xlsx&amp;sheet=U0&amp;row=1248&amp;col=6&amp;number=3.4&amp;sourceID=14","3.4")</f>
        <v>3.4</v>
      </c>
      <c r="G1248" s="4" t="str">
        <f>HYPERLINK("http://141.218.60.56/~jnz1568/getInfo.php?workbook=12_05.xlsx&amp;sheet=U0&amp;row=1248&amp;col=7&amp;number=0.00334&amp;sourceID=14","0.00334")</f>
        <v>0.00334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HYPERLINK("http://141.218.60.56/~jnz1568/getInfo.php?workbook=12_05.xlsx&amp;sheet=U0&amp;row=1249&amp;col=6&amp;number=3.5&amp;sourceID=14","3.5")</f>
        <v>3.5</v>
      </c>
      <c r="G1249" s="4" t="str">
        <f>HYPERLINK("http://141.218.60.56/~jnz1568/getInfo.php?workbook=12_05.xlsx&amp;sheet=U0&amp;row=1249&amp;col=7&amp;number=0.00334&amp;sourceID=14","0.00334")</f>
        <v>0.00334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HYPERLINK("http://141.218.60.56/~jnz1568/getInfo.php?workbook=12_05.xlsx&amp;sheet=U0&amp;row=1250&amp;col=6&amp;number=3.6&amp;sourceID=14","3.6")</f>
        <v>3.6</v>
      </c>
      <c r="G1250" s="4" t="str">
        <f>HYPERLINK("http://141.218.60.56/~jnz1568/getInfo.php?workbook=12_05.xlsx&amp;sheet=U0&amp;row=1250&amp;col=7&amp;number=0.00334&amp;sourceID=14","0.00334")</f>
        <v>0.00334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HYPERLINK("http://141.218.60.56/~jnz1568/getInfo.php?workbook=12_05.xlsx&amp;sheet=U0&amp;row=1251&amp;col=6&amp;number=3.7&amp;sourceID=14","3.7")</f>
        <v>3.7</v>
      </c>
      <c r="G1251" s="4" t="str">
        <f>HYPERLINK("http://141.218.60.56/~jnz1568/getInfo.php?workbook=12_05.xlsx&amp;sheet=U0&amp;row=1251&amp;col=7&amp;number=0.00334&amp;sourceID=14","0.00334")</f>
        <v>0.00334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HYPERLINK("http://141.218.60.56/~jnz1568/getInfo.php?workbook=12_05.xlsx&amp;sheet=U0&amp;row=1252&amp;col=6&amp;number=3.8&amp;sourceID=14","3.8")</f>
        <v>3.8</v>
      </c>
      <c r="G1252" s="4" t="str">
        <f>HYPERLINK("http://141.218.60.56/~jnz1568/getInfo.php?workbook=12_05.xlsx&amp;sheet=U0&amp;row=1252&amp;col=7&amp;number=0.00335&amp;sourceID=14","0.00335")</f>
        <v>0.00335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HYPERLINK("http://141.218.60.56/~jnz1568/getInfo.php?workbook=12_05.xlsx&amp;sheet=U0&amp;row=1253&amp;col=6&amp;number=3.9&amp;sourceID=14","3.9")</f>
        <v>3.9</v>
      </c>
      <c r="G1253" s="4" t="str">
        <f>HYPERLINK("http://141.218.60.56/~jnz1568/getInfo.php?workbook=12_05.xlsx&amp;sheet=U0&amp;row=1253&amp;col=7&amp;number=0.00335&amp;sourceID=14","0.00335")</f>
        <v>0.00335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HYPERLINK("http://141.218.60.56/~jnz1568/getInfo.php?workbook=12_05.xlsx&amp;sheet=U0&amp;row=1254&amp;col=6&amp;number=4&amp;sourceID=14","4")</f>
        <v>4</v>
      </c>
      <c r="G1254" s="4" t="str">
        <f>HYPERLINK("http://141.218.60.56/~jnz1568/getInfo.php?workbook=12_05.xlsx&amp;sheet=U0&amp;row=1254&amp;col=7&amp;number=0.00336&amp;sourceID=14","0.00336")</f>
        <v>0.00336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HYPERLINK("http://141.218.60.56/~jnz1568/getInfo.php?workbook=12_05.xlsx&amp;sheet=U0&amp;row=1255&amp;col=6&amp;number=4.1&amp;sourceID=14","4.1")</f>
        <v>4.1</v>
      </c>
      <c r="G1255" s="4" t="str">
        <f>HYPERLINK("http://141.218.60.56/~jnz1568/getInfo.php?workbook=12_05.xlsx&amp;sheet=U0&amp;row=1255&amp;col=7&amp;number=0.00336&amp;sourceID=14","0.00336")</f>
        <v>0.00336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HYPERLINK("http://141.218.60.56/~jnz1568/getInfo.php?workbook=12_05.xlsx&amp;sheet=U0&amp;row=1256&amp;col=6&amp;number=4.2&amp;sourceID=14","4.2")</f>
        <v>4.2</v>
      </c>
      <c r="G1256" s="4" t="str">
        <f>HYPERLINK("http://141.218.60.56/~jnz1568/getInfo.php?workbook=12_05.xlsx&amp;sheet=U0&amp;row=1256&amp;col=7&amp;number=0.00337&amp;sourceID=14","0.00337")</f>
        <v>0.00337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HYPERLINK("http://141.218.60.56/~jnz1568/getInfo.php?workbook=12_05.xlsx&amp;sheet=U0&amp;row=1257&amp;col=6&amp;number=4.3&amp;sourceID=14","4.3")</f>
        <v>4.3</v>
      </c>
      <c r="G1257" s="4" t="str">
        <f>HYPERLINK("http://141.218.60.56/~jnz1568/getInfo.php?workbook=12_05.xlsx&amp;sheet=U0&amp;row=1257&amp;col=7&amp;number=0.00338&amp;sourceID=14","0.00338")</f>
        <v>0.00338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HYPERLINK("http://141.218.60.56/~jnz1568/getInfo.php?workbook=12_05.xlsx&amp;sheet=U0&amp;row=1258&amp;col=6&amp;number=4.4&amp;sourceID=14","4.4")</f>
        <v>4.4</v>
      </c>
      <c r="G1258" s="4" t="str">
        <f>HYPERLINK("http://141.218.60.56/~jnz1568/getInfo.php?workbook=12_05.xlsx&amp;sheet=U0&amp;row=1258&amp;col=7&amp;number=0.00339&amp;sourceID=14","0.00339")</f>
        <v>0.00339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HYPERLINK("http://141.218.60.56/~jnz1568/getInfo.php?workbook=12_05.xlsx&amp;sheet=U0&amp;row=1259&amp;col=6&amp;number=4.5&amp;sourceID=14","4.5")</f>
        <v>4.5</v>
      </c>
      <c r="G1259" s="4" t="str">
        <f>HYPERLINK("http://141.218.60.56/~jnz1568/getInfo.php?workbook=12_05.xlsx&amp;sheet=U0&amp;row=1259&amp;col=7&amp;number=0.00341&amp;sourceID=14","0.00341")</f>
        <v>0.00341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HYPERLINK("http://141.218.60.56/~jnz1568/getInfo.php?workbook=12_05.xlsx&amp;sheet=U0&amp;row=1260&amp;col=6&amp;number=4.6&amp;sourceID=14","4.6")</f>
        <v>4.6</v>
      </c>
      <c r="G1260" s="4" t="str">
        <f>HYPERLINK("http://141.218.60.56/~jnz1568/getInfo.php?workbook=12_05.xlsx&amp;sheet=U0&amp;row=1260&amp;col=7&amp;number=0.00343&amp;sourceID=14","0.00343")</f>
        <v>0.00343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HYPERLINK("http://141.218.60.56/~jnz1568/getInfo.php?workbook=12_05.xlsx&amp;sheet=U0&amp;row=1261&amp;col=6&amp;number=4.7&amp;sourceID=14","4.7")</f>
        <v>4.7</v>
      </c>
      <c r="G1261" s="4" t="str">
        <f>HYPERLINK("http://141.218.60.56/~jnz1568/getInfo.php?workbook=12_05.xlsx&amp;sheet=U0&amp;row=1261&amp;col=7&amp;number=0.00346&amp;sourceID=14","0.00346")</f>
        <v>0.00346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HYPERLINK("http://141.218.60.56/~jnz1568/getInfo.php?workbook=12_05.xlsx&amp;sheet=U0&amp;row=1262&amp;col=6&amp;number=4.8&amp;sourceID=14","4.8")</f>
        <v>4.8</v>
      </c>
      <c r="G1262" s="4" t="str">
        <f>HYPERLINK("http://141.218.60.56/~jnz1568/getInfo.php?workbook=12_05.xlsx&amp;sheet=U0&amp;row=1262&amp;col=7&amp;number=0.00349&amp;sourceID=14","0.00349")</f>
        <v>0.00349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HYPERLINK("http://141.218.60.56/~jnz1568/getInfo.php?workbook=12_05.xlsx&amp;sheet=U0&amp;row=1263&amp;col=6&amp;number=4.9&amp;sourceID=14","4.9")</f>
        <v>4.9</v>
      </c>
      <c r="G1263" s="4" t="str">
        <f>HYPERLINK("http://141.218.60.56/~jnz1568/getInfo.php?workbook=12_05.xlsx&amp;sheet=U0&amp;row=1263&amp;col=7&amp;number=0.00353&amp;sourceID=14","0.00353")</f>
        <v>0.00353</v>
      </c>
    </row>
    <row r="1264" spans="1:7">
      <c r="A1264" s="3">
        <v>12</v>
      </c>
      <c r="B1264" s="3">
        <v>5</v>
      </c>
      <c r="C1264" s="3">
        <v>1</v>
      </c>
      <c r="D1264" s="3">
        <v>19</v>
      </c>
      <c r="E1264" s="3">
        <v>1</v>
      </c>
      <c r="F1264" s="4" t="str">
        <f>HYPERLINK("http://141.218.60.56/~jnz1568/getInfo.php?workbook=12_05.xlsx&amp;sheet=U0&amp;row=1264&amp;col=6&amp;number=3&amp;sourceID=14","3")</f>
        <v>3</v>
      </c>
      <c r="G1264" s="4" t="str">
        <f>HYPERLINK("http://141.218.60.56/~jnz1568/getInfo.php?workbook=12_05.xlsx&amp;sheet=U0&amp;row=1264&amp;col=7&amp;number=0.00212&amp;sourceID=14","0.00212")</f>
        <v>0.00212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HYPERLINK("http://141.218.60.56/~jnz1568/getInfo.php?workbook=12_05.xlsx&amp;sheet=U0&amp;row=1265&amp;col=6&amp;number=3.1&amp;sourceID=14","3.1")</f>
        <v>3.1</v>
      </c>
      <c r="G1265" s="4" t="str">
        <f>HYPERLINK("http://141.218.60.56/~jnz1568/getInfo.php?workbook=12_05.xlsx&amp;sheet=U0&amp;row=1265&amp;col=7&amp;number=0.00212&amp;sourceID=14","0.00212")</f>
        <v>0.00212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HYPERLINK("http://141.218.60.56/~jnz1568/getInfo.php?workbook=12_05.xlsx&amp;sheet=U0&amp;row=1266&amp;col=6&amp;number=3.2&amp;sourceID=14","3.2")</f>
        <v>3.2</v>
      </c>
      <c r="G1266" s="4" t="str">
        <f>HYPERLINK("http://141.218.60.56/~jnz1568/getInfo.php?workbook=12_05.xlsx&amp;sheet=U0&amp;row=1266&amp;col=7&amp;number=0.00212&amp;sourceID=14","0.00212")</f>
        <v>0.00212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HYPERLINK("http://141.218.60.56/~jnz1568/getInfo.php?workbook=12_05.xlsx&amp;sheet=U0&amp;row=1267&amp;col=6&amp;number=3.3&amp;sourceID=14","3.3")</f>
        <v>3.3</v>
      </c>
      <c r="G1267" s="4" t="str">
        <f>HYPERLINK("http://141.218.60.56/~jnz1568/getInfo.php?workbook=12_05.xlsx&amp;sheet=U0&amp;row=1267&amp;col=7&amp;number=0.00212&amp;sourceID=14","0.00212")</f>
        <v>0.00212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HYPERLINK("http://141.218.60.56/~jnz1568/getInfo.php?workbook=12_05.xlsx&amp;sheet=U0&amp;row=1268&amp;col=6&amp;number=3.4&amp;sourceID=14","3.4")</f>
        <v>3.4</v>
      </c>
      <c r="G1268" s="4" t="str">
        <f>HYPERLINK("http://141.218.60.56/~jnz1568/getInfo.php?workbook=12_05.xlsx&amp;sheet=U0&amp;row=1268&amp;col=7&amp;number=0.00212&amp;sourceID=14","0.00212")</f>
        <v>0.00212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HYPERLINK("http://141.218.60.56/~jnz1568/getInfo.php?workbook=12_05.xlsx&amp;sheet=U0&amp;row=1269&amp;col=6&amp;number=3.5&amp;sourceID=14","3.5")</f>
        <v>3.5</v>
      </c>
      <c r="G1269" s="4" t="str">
        <f>HYPERLINK("http://141.218.60.56/~jnz1568/getInfo.php?workbook=12_05.xlsx&amp;sheet=U0&amp;row=1269&amp;col=7&amp;number=0.00212&amp;sourceID=14","0.00212")</f>
        <v>0.00212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HYPERLINK("http://141.218.60.56/~jnz1568/getInfo.php?workbook=12_05.xlsx&amp;sheet=U0&amp;row=1270&amp;col=6&amp;number=3.6&amp;sourceID=14","3.6")</f>
        <v>3.6</v>
      </c>
      <c r="G1270" s="4" t="str">
        <f>HYPERLINK("http://141.218.60.56/~jnz1568/getInfo.php?workbook=12_05.xlsx&amp;sheet=U0&amp;row=1270&amp;col=7&amp;number=0.00212&amp;sourceID=14","0.00212")</f>
        <v>0.00212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HYPERLINK("http://141.218.60.56/~jnz1568/getInfo.php?workbook=12_05.xlsx&amp;sheet=U0&amp;row=1271&amp;col=6&amp;number=3.7&amp;sourceID=14","3.7")</f>
        <v>3.7</v>
      </c>
      <c r="G1271" s="4" t="str">
        <f>HYPERLINK("http://141.218.60.56/~jnz1568/getInfo.php?workbook=12_05.xlsx&amp;sheet=U0&amp;row=1271&amp;col=7&amp;number=0.00212&amp;sourceID=14","0.00212")</f>
        <v>0.00212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HYPERLINK("http://141.218.60.56/~jnz1568/getInfo.php?workbook=12_05.xlsx&amp;sheet=U0&amp;row=1272&amp;col=6&amp;number=3.8&amp;sourceID=14","3.8")</f>
        <v>3.8</v>
      </c>
      <c r="G1272" s="4" t="str">
        <f>HYPERLINK("http://141.218.60.56/~jnz1568/getInfo.php?workbook=12_05.xlsx&amp;sheet=U0&amp;row=1272&amp;col=7&amp;number=0.00211&amp;sourceID=14","0.00211")</f>
        <v>0.00211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HYPERLINK("http://141.218.60.56/~jnz1568/getInfo.php?workbook=12_05.xlsx&amp;sheet=U0&amp;row=1273&amp;col=6&amp;number=3.9&amp;sourceID=14","3.9")</f>
        <v>3.9</v>
      </c>
      <c r="G1273" s="4" t="str">
        <f>HYPERLINK("http://141.218.60.56/~jnz1568/getInfo.php?workbook=12_05.xlsx&amp;sheet=U0&amp;row=1273&amp;col=7&amp;number=0.00211&amp;sourceID=14","0.00211")</f>
        <v>0.00211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HYPERLINK("http://141.218.60.56/~jnz1568/getInfo.php?workbook=12_05.xlsx&amp;sheet=U0&amp;row=1274&amp;col=6&amp;number=4&amp;sourceID=14","4")</f>
        <v>4</v>
      </c>
      <c r="G1274" s="4" t="str">
        <f>HYPERLINK("http://141.218.60.56/~jnz1568/getInfo.php?workbook=12_05.xlsx&amp;sheet=U0&amp;row=1274&amp;col=7&amp;number=0.00211&amp;sourceID=14","0.00211")</f>
        <v>0.00211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HYPERLINK("http://141.218.60.56/~jnz1568/getInfo.php?workbook=12_05.xlsx&amp;sheet=U0&amp;row=1275&amp;col=6&amp;number=4.1&amp;sourceID=14","4.1")</f>
        <v>4.1</v>
      </c>
      <c r="G1275" s="4" t="str">
        <f>HYPERLINK("http://141.218.60.56/~jnz1568/getInfo.php?workbook=12_05.xlsx&amp;sheet=U0&amp;row=1275&amp;col=7&amp;number=0.0021&amp;sourceID=14","0.0021")</f>
        <v>0.0021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HYPERLINK("http://141.218.60.56/~jnz1568/getInfo.php?workbook=12_05.xlsx&amp;sheet=U0&amp;row=1276&amp;col=6&amp;number=4.2&amp;sourceID=14","4.2")</f>
        <v>4.2</v>
      </c>
      <c r="G1276" s="4" t="str">
        <f>HYPERLINK("http://141.218.60.56/~jnz1568/getInfo.php?workbook=12_05.xlsx&amp;sheet=U0&amp;row=1276&amp;col=7&amp;number=0.00209&amp;sourceID=14","0.00209")</f>
        <v>0.00209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HYPERLINK("http://141.218.60.56/~jnz1568/getInfo.php?workbook=12_05.xlsx&amp;sheet=U0&amp;row=1277&amp;col=6&amp;number=4.3&amp;sourceID=14","4.3")</f>
        <v>4.3</v>
      </c>
      <c r="G1277" s="4" t="str">
        <f>HYPERLINK("http://141.218.60.56/~jnz1568/getInfo.php?workbook=12_05.xlsx&amp;sheet=U0&amp;row=1277&amp;col=7&amp;number=0.00209&amp;sourceID=14","0.00209")</f>
        <v>0.00209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HYPERLINK("http://141.218.60.56/~jnz1568/getInfo.php?workbook=12_05.xlsx&amp;sheet=U0&amp;row=1278&amp;col=6&amp;number=4.4&amp;sourceID=14","4.4")</f>
        <v>4.4</v>
      </c>
      <c r="G1278" s="4" t="str">
        <f>HYPERLINK("http://141.218.60.56/~jnz1568/getInfo.php?workbook=12_05.xlsx&amp;sheet=U0&amp;row=1278&amp;col=7&amp;number=0.00208&amp;sourceID=14","0.00208")</f>
        <v>0.00208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HYPERLINK("http://141.218.60.56/~jnz1568/getInfo.php?workbook=12_05.xlsx&amp;sheet=U0&amp;row=1279&amp;col=6&amp;number=4.5&amp;sourceID=14","4.5")</f>
        <v>4.5</v>
      </c>
      <c r="G1279" s="4" t="str">
        <f>HYPERLINK("http://141.218.60.56/~jnz1568/getInfo.php?workbook=12_05.xlsx&amp;sheet=U0&amp;row=1279&amp;col=7&amp;number=0.00207&amp;sourceID=14","0.00207")</f>
        <v>0.00207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HYPERLINK("http://141.218.60.56/~jnz1568/getInfo.php?workbook=12_05.xlsx&amp;sheet=U0&amp;row=1280&amp;col=6&amp;number=4.6&amp;sourceID=14","4.6")</f>
        <v>4.6</v>
      </c>
      <c r="G1280" s="4" t="str">
        <f>HYPERLINK("http://141.218.60.56/~jnz1568/getInfo.php?workbook=12_05.xlsx&amp;sheet=U0&amp;row=1280&amp;col=7&amp;number=0.00205&amp;sourceID=14","0.00205")</f>
        <v>0.00205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HYPERLINK("http://141.218.60.56/~jnz1568/getInfo.php?workbook=12_05.xlsx&amp;sheet=U0&amp;row=1281&amp;col=6&amp;number=4.7&amp;sourceID=14","4.7")</f>
        <v>4.7</v>
      </c>
      <c r="G1281" s="4" t="str">
        <f>HYPERLINK("http://141.218.60.56/~jnz1568/getInfo.php?workbook=12_05.xlsx&amp;sheet=U0&amp;row=1281&amp;col=7&amp;number=0.00203&amp;sourceID=14","0.00203")</f>
        <v>0.00203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HYPERLINK("http://141.218.60.56/~jnz1568/getInfo.php?workbook=12_05.xlsx&amp;sheet=U0&amp;row=1282&amp;col=6&amp;number=4.8&amp;sourceID=14","4.8")</f>
        <v>4.8</v>
      </c>
      <c r="G1282" s="4" t="str">
        <f>HYPERLINK("http://141.218.60.56/~jnz1568/getInfo.php?workbook=12_05.xlsx&amp;sheet=U0&amp;row=1282&amp;col=7&amp;number=0.00201&amp;sourceID=14","0.00201")</f>
        <v>0.00201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HYPERLINK("http://141.218.60.56/~jnz1568/getInfo.php?workbook=12_05.xlsx&amp;sheet=U0&amp;row=1283&amp;col=6&amp;number=4.9&amp;sourceID=14","4.9")</f>
        <v>4.9</v>
      </c>
      <c r="G1283" s="4" t="str">
        <f>HYPERLINK("http://141.218.60.56/~jnz1568/getInfo.php?workbook=12_05.xlsx&amp;sheet=U0&amp;row=1283&amp;col=7&amp;number=0.00198&amp;sourceID=14","0.00198")</f>
        <v>0.00198</v>
      </c>
    </row>
    <row r="1284" spans="1:7">
      <c r="A1284" s="3">
        <v>12</v>
      </c>
      <c r="B1284" s="3">
        <v>5</v>
      </c>
      <c r="C1284" s="3">
        <v>1</v>
      </c>
      <c r="D1284" s="3">
        <v>20</v>
      </c>
      <c r="E1284" s="3">
        <v>1</v>
      </c>
      <c r="F1284" s="4" t="str">
        <f>HYPERLINK("http://141.218.60.56/~jnz1568/getInfo.php?workbook=12_05.xlsx&amp;sheet=U0&amp;row=1284&amp;col=6&amp;number=3&amp;sourceID=14","3")</f>
        <v>3</v>
      </c>
      <c r="G1284" s="4" t="str">
        <f>HYPERLINK("http://141.218.60.56/~jnz1568/getInfo.php?workbook=12_05.xlsx&amp;sheet=U0&amp;row=1284&amp;col=7&amp;number=0.00343&amp;sourceID=14","0.00343")</f>
        <v>0.00343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HYPERLINK("http://141.218.60.56/~jnz1568/getInfo.php?workbook=12_05.xlsx&amp;sheet=U0&amp;row=1285&amp;col=6&amp;number=3.1&amp;sourceID=14","3.1")</f>
        <v>3.1</v>
      </c>
      <c r="G1285" s="4" t="str">
        <f>HYPERLINK("http://141.218.60.56/~jnz1568/getInfo.php?workbook=12_05.xlsx&amp;sheet=U0&amp;row=1285&amp;col=7&amp;number=0.00343&amp;sourceID=14","0.00343")</f>
        <v>0.00343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HYPERLINK("http://141.218.60.56/~jnz1568/getInfo.php?workbook=12_05.xlsx&amp;sheet=U0&amp;row=1286&amp;col=6&amp;number=3.2&amp;sourceID=14","3.2")</f>
        <v>3.2</v>
      </c>
      <c r="G1286" s="4" t="str">
        <f>HYPERLINK("http://141.218.60.56/~jnz1568/getInfo.php?workbook=12_05.xlsx&amp;sheet=U0&amp;row=1286&amp;col=7&amp;number=0.00343&amp;sourceID=14","0.00343")</f>
        <v>0.00343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HYPERLINK("http://141.218.60.56/~jnz1568/getInfo.php?workbook=12_05.xlsx&amp;sheet=U0&amp;row=1287&amp;col=6&amp;number=3.3&amp;sourceID=14","3.3")</f>
        <v>3.3</v>
      </c>
      <c r="G1287" s="4" t="str">
        <f>HYPERLINK("http://141.218.60.56/~jnz1568/getInfo.php?workbook=12_05.xlsx&amp;sheet=U0&amp;row=1287&amp;col=7&amp;number=0.00344&amp;sourceID=14","0.00344")</f>
        <v>0.00344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HYPERLINK("http://141.218.60.56/~jnz1568/getInfo.php?workbook=12_05.xlsx&amp;sheet=U0&amp;row=1288&amp;col=6&amp;number=3.4&amp;sourceID=14","3.4")</f>
        <v>3.4</v>
      </c>
      <c r="G1288" s="4" t="str">
        <f>HYPERLINK("http://141.218.60.56/~jnz1568/getInfo.php?workbook=12_05.xlsx&amp;sheet=U0&amp;row=1288&amp;col=7&amp;number=0.00344&amp;sourceID=14","0.00344")</f>
        <v>0.00344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HYPERLINK("http://141.218.60.56/~jnz1568/getInfo.php?workbook=12_05.xlsx&amp;sheet=U0&amp;row=1289&amp;col=6&amp;number=3.5&amp;sourceID=14","3.5")</f>
        <v>3.5</v>
      </c>
      <c r="G1289" s="4" t="str">
        <f>HYPERLINK("http://141.218.60.56/~jnz1568/getInfo.php?workbook=12_05.xlsx&amp;sheet=U0&amp;row=1289&amp;col=7&amp;number=0.00345&amp;sourceID=14","0.00345")</f>
        <v>0.00345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HYPERLINK("http://141.218.60.56/~jnz1568/getInfo.php?workbook=12_05.xlsx&amp;sheet=U0&amp;row=1290&amp;col=6&amp;number=3.6&amp;sourceID=14","3.6")</f>
        <v>3.6</v>
      </c>
      <c r="G1290" s="4" t="str">
        <f>HYPERLINK("http://141.218.60.56/~jnz1568/getInfo.php?workbook=12_05.xlsx&amp;sheet=U0&amp;row=1290&amp;col=7&amp;number=0.00345&amp;sourceID=14","0.00345")</f>
        <v>0.00345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HYPERLINK("http://141.218.60.56/~jnz1568/getInfo.php?workbook=12_05.xlsx&amp;sheet=U0&amp;row=1291&amp;col=6&amp;number=3.7&amp;sourceID=14","3.7")</f>
        <v>3.7</v>
      </c>
      <c r="G1291" s="4" t="str">
        <f>HYPERLINK("http://141.218.60.56/~jnz1568/getInfo.php?workbook=12_05.xlsx&amp;sheet=U0&amp;row=1291&amp;col=7&amp;number=0.00346&amp;sourceID=14","0.00346")</f>
        <v>0.00346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HYPERLINK("http://141.218.60.56/~jnz1568/getInfo.php?workbook=12_05.xlsx&amp;sheet=U0&amp;row=1292&amp;col=6&amp;number=3.8&amp;sourceID=14","3.8")</f>
        <v>3.8</v>
      </c>
      <c r="G1292" s="4" t="str">
        <f>HYPERLINK("http://141.218.60.56/~jnz1568/getInfo.php?workbook=12_05.xlsx&amp;sheet=U0&amp;row=1292&amp;col=7&amp;number=0.00347&amp;sourceID=14","0.00347")</f>
        <v>0.00347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HYPERLINK("http://141.218.60.56/~jnz1568/getInfo.php?workbook=12_05.xlsx&amp;sheet=U0&amp;row=1293&amp;col=6&amp;number=3.9&amp;sourceID=14","3.9")</f>
        <v>3.9</v>
      </c>
      <c r="G1293" s="4" t="str">
        <f>HYPERLINK("http://141.218.60.56/~jnz1568/getInfo.php?workbook=12_05.xlsx&amp;sheet=U0&amp;row=1293&amp;col=7&amp;number=0.00348&amp;sourceID=14","0.00348")</f>
        <v>0.00348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HYPERLINK("http://141.218.60.56/~jnz1568/getInfo.php?workbook=12_05.xlsx&amp;sheet=U0&amp;row=1294&amp;col=6&amp;number=4&amp;sourceID=14","4")</f>
        <v>4</v>
      </c>
      <c r="G1294" s="4" t="str">
        <f>HYPERLINK("http://141.218.60.56/~jnz1568/getInfo.php?workbook=12_05.xlsx&amp;sheet=U0&amp;row=1294&amp;col=7&amp;number=0.0035&amp;sourceID=14","0.0035")</f>
        <v>0.0035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HYPERLINK("http://141.218.60.56/~jnz1568/getInfo.php?workbook=12_05.xlsx&amp;sheet=U0&amp;row=1295&amp;col=6&amp;number=4.1&amp;sourceID=14","4.1")</f>
        <v>4.1</v>
      </c>
      <c r="G1295" s="4" t="str">
        <f>HYPERLINK("http://141.218.60.56/~jnz1568/getInfo.php?workbook=12_05.xlsx&amp;sheet=U0&amp;row=1295&amp;col=7&amp;number=0.00352&amp;sourceID=14","0.00352")</f>
        <v>0.00352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HYPERLINK("http://141.218.60.56/~jnz1568/getInfo.php?workbook=12_05.xlsx&amp;sheet=U0&amp;row=1296&amp;col=6&amp;number=4.2&amp;sourceID=14","4.2")</f>
        <v>4.2</v>
      </c>
      <c r="G1296" s="4" t="str">
        <f>HYPERLINK("http://141.218.60.56/~jnz1568/getInfo.php?workbook=12_05.xlsx&amp;sheet=U0&amp;row=1296&amp;col=7&amp;number=0.00355&amp;sourceID=14","0.00355")</f>
        <v>0.00355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HYPERLINK("http://141.218.60.56/~jnz1568/getInfo.php?workbook=12_05.xlsx&amp;sheet=U0&amp;row=1297&amp;col=6&amp;number=4.3&amp;sourceID=14","4.3")</f>
        <v>4.3</v>
      </c>
      <c r="G1297" s="4" t="str">
        <f>HYPERLINK("http://141.218.60.56/~jnz1568/getInfo.php?workbook=12_05.xlsx&amp;sheet=U0&amp;row=1297&amp;col=7&amp;number=0.00358&amp;sourceID=14","0.00358")</f>
        <v>0.00358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HYPERLINK("http://141.218.60.56/~jnz1568/getInfo.php?workbook=12_05.xlsx&amp;sheet=U0&amp;row=1298&amp;col=6&amp;number=4.4&amp;sourceID=14","4.4")</f>
        <v>4.4</v>
      </c>
      <c r="G1298" s="4" t="str">
        <f>HYPERLINK("http://141.218.60.56/~jnz1568/getInfo.php?workbook=12_05.xlsx&amp;sheet=U0&amp;row=1298&amp;col=7&amp;number=0.00362&amp;sourceID=14","0.00362")</f>
        <v>0.00362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HYPERLINK("http://141.218.60.56/~jnz1568/getInfo.php?workbook=12_05.xlsx&amp;sheet=U0&amp;row=1299&amp;col=6&amp;number=4.5&amp;sourceID=14","4.5")</f>
        <v>4.5</v>
      </c>
      <c r="G1299" s="4" t="str">
        <f>HYPERLINK("http://141.218.60.56/~jnz1568/getInfo.php?workbook=12_05.xlsx&amp;sheet=U0&amp;row=1299&amp;col=7&amp;number=0.00367&amp;sourceID=14","0.00367")</f>
        <v>0.00367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HYPERLINK("http://141.218.60.56/~jnz1568/getInfo.php?workbook=12_05.xlsx&amp;sheet=U0&amp;row=1300&amp;col=6&amp;number=4.6&amp;sourceID=14","4.6")</f>
        <v>4.6</v>
      </c>
      <c r="G1300" s="4" t="str">
        <f>HYPERLINK("http://141.218.60.56/~jnz1568/getInfo.php?workbook=12_05.xlsx&amp;sheet=U0&amp;row=1300&amp;col=7&amp;number=0.00373&amp;sourceID=14","0.00373")</f>
        <v>0.00373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HYPERLINK("http://141.218.60.56/~jnz1568/getInfo.php?workbook=12_05.xlsx&amp;sheet=U0&amp;row=1301&amp;col=6&amp;number=4.7&amp;sourceID=14","4.7")</f>
        <v>4.7</v>
      </c>
      <c r="G1301" s="4" t="str">
        <f>HYPERLINK("http://141.218.60.56/~jnz1568/getInfo.php?workbook=12_05.xlsx&amp;sheet=U0&amp;row=1301&amp;col=7&amp;number=0.00381&amp;sourceID=14","0.00381")</f>
        <v>0.00381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HYPERLINK("http://141.218.60.56/~jnz1568/getInfo.php?workbook=12_05.xlsx&amp;sheet=U0&amp;row=1302&amp;col=6&amp;number=4.8&amp;sourceID=14","4.8")</f>
        <v>4.8</v>
      </c>
      <c r="G1302" s="4" t="str">
        <f>HYPERLINK("http://141.218.60.56/~jnz1568/getInfo.php?workbook=12_05.xlsx&amp;sheet=U0&amp;row=1302&amp;col=7&amp;number=0.00391&amp;sourceID=14","0.00391")</f>
        <v>0.00391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HYPERLINK("http://141.218.60.56/~jnz1568/getInfo.php?workbook=12_05.xlsx&amp;sheet=U0&amp;row=1303&amp;col=6&amp;number=4.9&amp;sourceID=14","4.9")</f>
        <v>4.9</v>
      </c>
      <c r="G1303" s="4" t="str">
        <f>HYPERLINK("http://141.218.60.56/~jnz1568/getInfo.php?workbook=12_05.xlsx&amp;sheet=U0&amp;row=1303&amp;col=7&amp;number=0.00403&amp;sourceID=14","0.00403")</f>
        <v>0.00403</v>
      </c>
    </row>
    <row r="1304" spans="1:7">
      <c r="A1304" s="3">
        <v>12</v>
      </c>
      <c r="B1304" s="3">
        <v>5</v>
      </c>
      <c r="C1304" s="3">
        <v>1</v>
      </c>
      <c r="D1304" s="3">
        <v>21</v>
      </c>
      <c r="E1304" s="3">
        <v>1</v>
      </c>
      <c r="F1304" s="4" t="str">
        <f>HYPERLINK("http://141.218.60.56/~jnz1568/getInfo.php?workbook=12_05.xlsx&amp;sheet=U0&amp;row=1304&amp;col=6&amp;number=3&amp;sourceID=14","3")</f>
        <v>3</v>
      </c>
      <c r="G1304" s="4" t="str">
        <f>HYPERLINK("http://141.218.60.56/~jnz1568/getInfo.php?workbook=12_05.xlsx&amp;sheet=U0&amp;row=1304&amp;col=7&amp;number=0.002&amp;sourceID=14","0.002")</f>
        <v>0.002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HYPERLINK("http://141.218.60.56/~jnz1568/getInfo.php?workbook=12_05.xlsx&amp;sheet=U0&amp;row=1305&amp;col=6&amp;number=3.1&amp;sourceID=14","3.1")</f>
        <v>3.1</v>
      </c>
      <c r="G1305" s="4" t="str">
        <f>HYPERLINK("http://141.218.60.56/~jnz1568/getInfo.php?workbook=12_05.xlsx&amp;sheet=U0&amp;row=1305&amp;col=7&amp;number=0.002&amp;sourceID=14","0.002")</f>
        <v>0.002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HYPERLINK("http://141.218.60.56/~jnz1568/getInfo.php?workbook=12_05.xlsx&amp;sheet=U0&amp;row=1306&amp;col=6&amp;number=3.2&amp;sourceID=14","3.2")</f>
        <v>3.2</v>
      </c>
      <c r="G1306" s="4" t="str">
        <f>HYPERLINK("http://141.218.60.56/~jnz1568/getInfo.php?workbook=12_05.xlsx&amp;sheet=U0&amp;row=1306&amp;col=7&amp;number=0.002&amp;sourceID=14","0.002")</f>
        <v>0.002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HYPERLINK("http://141.218.60.56/~jnz1568/getInfo.php?workbook=12_05.xlsx&amp;sheet=U0&amp;row=1307&amp;col=6&amp;number=3.3&amp;sourceID=14","3.3")</f>
        <v>3.3</v>
      </c>
      <c r="G1307" s="4" t="str">
        <f>HYPERLINK("http://141.218.60.56/~jnz1568/getInfo.php?workbook=12_05.xlsx&amp;sheet=U0&amp;row=1307&amp;col=7&amp;number=0.00201&amp;sourceID=14","0.00201")</f>
        <v>0.00201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HYPERLINK("http://141.218.60.56/~jnz1568/getInfo.php?workbook=12_05.xlsx&amp;sheet=U0&amp;row=1308&amp;col=6&amp;number=3.4&amp;sourceID=14","3.4")</f>
        <v>3.4</v>
      </c>
      <c r="G1308" s="4" t="str">
        <f>HYPERLINK("http://141.218.60.56/~jnz1568/getInfo.php?workbook=12_05.xlsx&amp;sheet=U0&amp;row=1308&amp;col=7&amp;number=0.00201&amp;sourceID=14","0.00201")</f>
        <v>0.00201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HYPERLINK("http://141.218.60.56/~jnz1568/getInfo.php?workbook=12_05.xlsx&amp;sheet=U0&amp;row=1309&amp;col=6&amp;number=3.5&amp;sourceID=14","3.5")</f>
        <v>3.5</v>
      </c>
      <c r="G1309" s="4" t="str">
        <f>HYPERLINK("http://141.218.60.56/~jnz1568/getInfo.php?workbook=12_05.xlsx&amp;sheet=U0&amp;row=1309&amp;col=7&amp;number=0.00201&amp;sourceID=14","0.00201")</f>
        <v>0.00201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HYPERLINK("http://141.218.60.56/~jnz1568/getInfo.php?workbook=12_05.xlsx&amp;sheet=U0&amp;row=1310&amp;col=6&amp;number=3.6&amp;sourceID=14","3.6")</f>
        <v>3.6</v>
      </c>
      <c r="G1310" s="4" t="str">
        <f>HYPERLINK("http://141.218.60.56/~jnz1568/getInfo.php?workbook=12_05.xlsx&amp;sheet=U0&amp;row=1310&amp;col=7&amp;number=0.00201&amp;sourceID=14","0.00201")</f>
        <v>0.00201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HYPERLINK("http://141.218.60.56/~jnz1568/getInfo.php?workbook=12_05.xlsx&amp;sheet=U0&amp;row=1311&amp;col=6&amp;number=3.7&amp;sourceID=14","3.7")</f>
        <v>3.7</v>
      </c>
      <c r="G1311" s="4" t="str">
        <f>HYPERLINK("http://141.218.60.56/~jnz1568/getInfo.php?workbook=12_05.xlsx&amp;sheet=U0&amp;row=1311&amp;col=7&amp;number=0.00202&amp;sourceID=14","0.00202")</f>
        <v>0.00202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HYPERLINK("http://141.218.60.56/~jnz1568/getInfo.php?workbook=12_05.xlsx&amp;sheet=U0&amp;row=1312&amp;col=6&amp;number=3.8&amp;sourceID=14","3.8")</f>
        <v>3.8</v>
      </c>
      <c r="G1312" s="4" t="str">
        <f>HYPERLINK("http://141.218.60.56/~jnz1568/getInfo.php?workbook=12_05.xlsx&amp;sheet=U0&amp;row=1312&amp;col=7&amp;number=0.00202&amp;sourceID=14","0.00202")</f>
        <v>0.00202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HYPERLINK("http://141.218.60.56/~jnz1568/getInfo.php?workbook=12_05.xlsx&amp;sheet=U0&amp;row=1313&amp;col=6&amp;number=3.9&amp;sourceID=14","3.9")</f>
        <v>3.9</v>
      </c>
      <c r="G1313" s="4" t="str">
        <f>HYPERLINK("http://141.218.60.56/~jnz1568/getInfo.php?workbook=12_05.xlsx&amp;sheet=U0&amp;row=1313&amp;col=7&amp;number=0.00203&amp;sourceID=14","0.00203")</f>
        <v>0.00203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HYPERLINK("http://141.218.60.56/~jnz1568/getInfo.php?workbook=12_05.xlsx&amp;sheet=U0&amp;row=1314&amp;col=6&amp;number=4&amp;sourceID=14","4")</f>
        <v>4</v>
      </c>
      <c r="G1314" s="4" t="str">
        <f>HYPERLINK("http://141.218.60.56/~jnz1568/getInfo.php?workbook=12_05.xlsx&amp;sheet=U0&amp;row=1314&amp;col=7&amp;number=0.00204&amp;sourceID=14","0.00204")</f>
        <v>0.00204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HYPERLINK("http://141.218.60.56/~jnz1568/getInfo.php?workbook=12_05.xlsx&amp;sheet=U0&amp;row=1315&amp;col=6&amp;number=4.1&amp;sourceID=14","4.1")</f>
        <v>4.1</v>
      </c>
      <c r="G1315" s="4" t="str">
        <f>HYPERLINK("http://141.218.60.56/~jnz1568/getInfo.php?workbook=12_05.xlsx&amp;sheet=U0&amp;row=1315&amp;col=7&amp;number=0.00205&amp;sourceID=14","0.00205")</f>
        <v>0.00205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HYPERLINK("http://141.218.60.56/~jnz1568/getInfo.php?workbook=12_05.xlsx&amp;sheet=U0&amp;row=1316&amp;col=6&amp;number=4.2&amp;sourceID=14","4.2")</f>
        <v>4.2</v>
      </c>
      <c r="G1316" s="4" t="str">
        <f>HYPERLINK("http://141.218.60.56/~jnz1568/getInfo.php?workbook=12_05.xlsx&amp;sheet=U0&amp;row=1316&amp;col=7&amp;number=0.00206&amp;sourceID=14","0.00206")</f>
        <v>0.00206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HYPERLINK("http://141.218.60.56/~jnz1568/getInfo.php?workbook=12_05.xlsx&amp;sheet=U0&amp;row=1317&amp;col=6&amp;number=4.3&amp;sourceID=14","4.3")</f>
        <v>4.3</v>
      </c>
      <c r="G1317" s="4" t="str">
        <f>HYPERLINK("http://141.218.60.56/~jnz1568/getInfo.php?workbook=12_05.xlsx&amp;sheet=U0&amp;row=1317&amp;col=7&amp;number=0.00207&amp;sourceID=14","0.00207")</f>
        <v>0.00207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HYPERLINK("http://141.218.60.56/~jnz1568/getInfo.php?workbook=12_05.xlsx&amp;sheet=U0&amp;row=1318&amp;col=6&amp;number=4.4&amp;sourceID=14","4.4")</f>
        <v>4.4</v>
      </c>
      <c r="G1318" s="4" t="str">
        <f>HYPERLINK("http://141.218.60.56/~jnz1568/getInfo.php?workbook=12_05.xlsx&amp;sheet=U0&amp;row=1318&amp;col=7&amp;number=0.00209&amp;sourceID=14","0.00209")</f>
        <v>0.00209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HYPERLINK("http://141.218.60.56/~jnz1568/getInfo.php?workbook=12_05.xlsx&amp;sheet=U0&amp;row=1319&amp;col=6&amp;number=4.5&amp;sourceID=14","4.5")</f>
        <v>4.5</v>
      </c>
      <c r="G1319" s="4" t="str">
        <f>HYPERLINK("http://141.218.60.56/~jnz1568/getInfo.php?workbook=12_05.xlsx&amp;sheet=U0&amp;row=1319&amp;col=7&amp;number=0.00212&amp;sourceID=14","0.00212")</f>
        <v>0.00212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HYPERLINK("http://141.218.60.56/~jnz1568/getInfo.php?workbook=12_05.xlsx&amp;sheet=U0&amp;row=1320&amp;col=6&amp;number=4.6&amp;sourceID=14","4.6")</f>
        <v>4.6</v>
      </c>
      <c r="G1320" s="4" t="str">
        <f>HYPERLINK("http://141.218.60.56/~jnz1568/getInfo.php?workbook=12_05.xlsx&amp;sheet=U0&amp;row=1320&amp;col=7&amp;number=0.00215&amp;sourceID=14","0.00215")</f>
        <v>0.00215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HYPERLINK("http://141.218.60.56/~jnz1568/getInfo.php?workbook=12_05.xlsx&amp;sheet=U0&amp;row=1321&amp;col=6&amp;number=4.7&amp;sourceID=14","4.7")</f>
        <v>4.7</v>
      </c>
      <c r="G1321" s="4" t="str">
        <f>HYPERLINK("http://141.218.60.56/~jnz1568/getInfo.php?workbook=12_05.xlsx&amp;sheet=U0&amp;row=1321&amp;col=7&amp;number=0.00218&amp;sourceID=14","0.00218")</f>
        <v>0.00218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HYPERLINK("http://141.218.60.56/~jnz1568/getInfo.php?workbook=12_05.xlsx&amp;sheet=U0&amp;row=1322&amp;col=6&amp;number=4.8&amp;sourceID=14","4.8")</f>
        <v>4.8</v>
      </c>
      <c r="G1322" s="4" t="str">
        <f>HYPERLINK("http://141.218.60.56/~jnz1568/getInfo.php?workbook=12_05.xlsx&amp;sheet=U0&amp;row=1322&amp;col=7&amp;number=0.00223&amp;sourceID=14","0.00223")</f>
        <v>0.00223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HYPERLINK("http://141.218.60.56/~jnz1568/getInfo.php?workbook=12_05.xlsx&amp;sheet=U0&amp;row=1323&amp;col=6&amp;number=4.9&amp;sourceID=14","4.9")</f>
        <v>4.9</v>
      </c>
      <c r="G1323" s="4" t="str">
        <f>HYPERLINK("http://141.218.60.56/~jnz1568/getInfo.php?workbook=12_05.xlsx&amp;sheet=U0&amp;row=1323&amp;col=7&amp;number=0.00229&amp;sourceID=14","0.00229")</f>
        <v>0.00229</v>
      </c>
    </row>
    <row r="1324" spans="1:7">
      <c r="A1324" s="3">
        <v>12</v>
      </c>
      <c r="B1324" s="3">
        <v>5</v>
      </c>
      <c r="C1324" s="3">
        <v>1</v>
      </c>
      <c r="D1324" s="3">
        <v>22</v>
      </c>
      <c r="E1324" s="3">
        <v>1</v>
      </c>
      <c r="F1324" s="4" t="str">
        <f>HYPERLINK("http://141.218.60.56/~jnz1568/getInfo.php?workbook=12_05.xlsx&amp;sheet=U0&amp;row=1324&amp;col=6&amp;number=3&amp;sourceID=14","3")</f>
        <v>3</v>
      </c>
      <c r="G1324" s="4" t="str">
        <f>HYPERLINK("http://141.218.60.56/~jnz1568/getInfo.php?workbook=12_05.xlsx&amp;sheet=U0&amp;row=1324&amp;col=7&amp;number=0.0011&amp;sourceID=14","0.0011")</f>
        <v>0.0011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HYPERLINK("http://141.218.60.56/~jnz1568/getInfo.php?workbook=12_05.xlsx&amp;sheet=U0&amp;row=1325&amp;col=6&amp;number=3.1&amp;sourceID=14","3.1")</f>
        <v>3.1</v>
      </c>
      <c r="G1325" s="4" t="str">
        <f>HYPERLINK("http://141.218.60.56/~jnz1568/getInfo.php?workbook=12_05.xlsx&amp;sheet=U0&amp;row=1325&amp;col=7&amp;number=0.0011&amp;sourceID=14","0.0011")</f>
        <v>0.0011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HYPERLINK("http://141.218.60.56/~jnz1568/getInfo.php?workbook=12_05.xlsx&amp;sheet=U0&amp;row=1326&amp;col=6&amp;number=3.2&amp;sourceID=14","3.2")</f>
        <v>3.2</v>
      </c>
      <c r="G1326" s="4" t="str">
        <f>HYPERLINK("http://141.218.60.56/~jnz1568/getInfo.php?workbook=12_05.xlsx&amp;sheet=U0&amp;row=1326&amp;col=7&amp;number=0.0011&amp;sourceID=14","0.0011")</f>
        <v>0.0011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HYPERLINK("http://141.218.60.56/~jnz1568/getInfo.php?workbook=12_05.xlsx&amp;sheet=U0&amp;row=1327&amp;col=6&amp;number=3.3&amp;sourceID=14","3.3")</f>
        <v>3.3</v>
      </c>
      <c r="G1327" s="4" t="str">
        <f>HYPERLINK("http://141.218.60.56/~jnz1568/getInfo.php?workbook=12_05.xlsx&amp;sheet=U0&amp;row=1327&amp;col=7&amp;number=0.0011&amp;sourceID=14","0.0011")</f>
        <v>0.0011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HYPERLINK("http://141.218.60.56/~jnz1568/getInfo.php?workbook=12_05.xlsx&amp;sheet=U0&amp;row=1328&amp;col=6&amp;number=3.4&amp;sourceID=14","3.4")</f>
        <v>3.4</v>
      </c>
      <c r="G1328" s="4" t="str">
        <f>HYPERLINK("http://141.218.60.56/~jnz1568/getInfo.php?workbook=12_05.xlsx&amp;sheet=U0&amp;row=1328&amp;col=7&amp;number=0.0011&amp;sourceID=14","0.0011")</f>
        <v>0.0011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HYPERLINK("http://141.218.60.56/~jnz1568/getInfo.php?workbook=12_05.xlsx&amp;sheet=U0&amp;row=1329&amp;col=6&amp;number=3.5&amp;sourceID=14","3.5")</f>
        <v>3.5</v>
      </c>
      <c r="G1329" s="4" t="str">
        <f>HYPERLINK("http://141.218.60.56/~jnz1568/getInfo.php?workbook=12_05.xlsx&amp;sheet=U0&amp;row=1329&amp;col=7&amp;number=0.0011&amp;sourceID=14","0.0011")</f>
        <v>0.0011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HYPERLINK("http://141.218.60.56/~jnz1568/getInfo.php?workbook=12_05.xlsx&amp;sheet=U0&amp;row=1330&amp;col=6&amp;number=3.6&amp;sourceID=14","3.6")</f>
        <v>3.6</v>
      </c>
      <c r="G1330" s="4" t="str">
        <f>HYPERLINK("http://141.218.60.56/~jnz1568/getInfo.php?workbook=12_05.xlsx&amp;sheet=U0&amp;row=1330&amp;col=7&amp;number=0.0011&amp;sourceID=14","0.0011")</f>
        <v>0.0011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HYPERLINK("http://141.218.60.56/~jnz1568/getInfo.php?workbook=12_05.xlsx&amp;sheet=U0&amp;row=1331&amp;col=6&amp;number=3.7&amp;sourceID=14","3.7")</f>
        <v>3.7</v>
      </c>
      <c r="G1331" s="4" t="str">
        <f>HYPERLINK("http://141.218.60.56/~jnz1568/getInfo.php?workbook=12_05.xlsx&amp;sheet=U0&amp;row=1331&amp;col=7&amp;number=0.0011&amp;sourceID=14","0.0011")</f>
        <v>0.0011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HYPERLINK("http://141.218.60.56/~jnz1568/getInfo.php?workbook=12_05.xlsx&amp;sheet=U0&amp;row=1332&amp;col=6&amp;number=3.8&amp;sourceID=14","3.8")</f>
        <v>3.8</v>
      </c>
      <c r="G1332" s="4" t="str">
        <f>HYPERLINK("http://141.218.60.56/~jnz1568/getInfo.php?workbook=12_05.xlsx&amp;sheet=U0&amp;row=1332&amp;col=7&amp;number=0.0011&amp;sourceID=14","0.0011")</f>
        <v>0.0011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HYPERLINK("http://141.218.60.56/~jnz1568/getInfo.php?workbook=12_05.xlsx&amp;sheet=U0&amp;row=1333&amp;col=6&amp;number=3.9&amp;sourceID=14","3.9")</f>
        <v>3.9</v>
      </c>
      <c r="G1333" s="4" t="str">
        <f>HYPERLINK("http://141.218.60.56/~jnz1568/getInfo.php?workbook=12_05.xlsx&amp;sheet=U0&amp;row=1333&amp;col=7&amp;number=0.0011&amp;sourceID=14","0.0011")</f>
        <v>0.0011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HYPERLINK("http://141.218.60.56/~jnz1568/getInfo.php?workbook=12_05.xlsx&amp;sheet=U0&amp;row=1334&amp;col=6&amp;number=4&amp;sourceID=14","4")</f>
        <v>4</v>
      </c>
      <c r="G1334" s="4" t="str">
        <f>HYPERLINK("http://141.218.60.56/~jnz1568/getInfo.php?workbook=12_05.xlsx&amp;sheet=U0&amp;row=1334&amp;col=7&amp;number=0.0011&amp;sourceID=14","0.0011")</f>
        <v>0.0011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HYPERLINK("http://141.218.60.56/~jnz1568/getInfo.php?workbook=12_05.xlsx&amp;sheet=U0&amp;row=1335&amp;col=6&amp;number=4.1&amp;sourceID=14","4.1")</f>
        <v>4.1</v>
      </c>
      <c r="G1335" s="4" t="str">
        <f>HYPERLINK("http://141.218.60.56/~jnz1568/getInfo.php?workbook=12_05.xlsx&amp;sheet=U0&amp;row=1335&amp;col=7&amp;number=0.0011&amp;sourceID=14","0.0011")</f>
        <v>0.0011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HYPERLINK("http://141.218.60.56/~jnz1568/getInfo.php?workbook=12_05.xlsx&amp;sheet=U0&amp;row=1336&amp;col=6&amp;number=4.2&amp;sourceID=14","4.2")</f>
        <v>4.2</v>
      </c>
      <c r="G1336" s="4" t="str">
        <f>HYPERLINK("http://141.218.60.56/~jnz1568/getInfo.php?workbook=12_05.xlsx&amp;sheet=U0&amp;row=1336&amp;col=7&amp;number=0.0011&amp;sourceID=14","0.0011")</f>
        <v>0.0011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HYPERLINK("http://141.218.60.56/~jnz1568/getInfo.php?workbook=12_05.xlsx&amp;sheet=U0&amp;row=1337&amp;col=6&amp;number=4.3&amp;sourceID=14","4.3")</f>
        <v>4.3</v>
      </c>
      <c r="G1337" s="4" t="str">
        <f>HYPERLINK("http://141.218.60.56/~jnz1568/getInfo.php?workbook=12_05.xlsx&amp;sheet=U0&amp;row=1337&amp;col=7&amp;number=0.0011&amp;sourceID=14","0.0011")</f>
        <v>0.0011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HYPERLINK("http://141.218.60.56/~jnz1568/getInfo.php?workbook=12_05.xlsx&amp;sheet=U0&amp;row=1338&amp;col=6&amp;number=4.4&amp;sourceID=14","4.4")</f>
        <v>4.4</v>
      </c>
      <c r="G1338" s="4" t="str">
        <f>HYPERLINK("http://141.218.60.56/~jnz1568/getInfo.php?workbook=12_05.xlsx&amp;sheet=U0&amp;row=1338&amp;col=7&amp;number=0.0011&amp;sourceID=14","0.0011")</f>
        <v>0.0011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HYPERLINK("http://141.218.60.56/~jnz1568/getInfo.php?workbook=12_05.xlsx&amp;sheet=U0&amp;row=1339&amp;col=6&amp;number=4.5&amp;sourceID=14","4.5")</f>
        <v>4.5</v>
      </c>
      <c r="G1339" s="4" t="str">
        <f>HYPERLINK("http://141.218.60.56/~jnz1568/getInfo.php?workbook=12_05.xlsx&amp;sheet=U0&amp;row=1339&amp;col=7&amp;number=0.0011&amp;sourceID=14","0.0011")</f>
        <v>0.0011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HYPERLINK("http://141.218.60.56/~jnz1568/getInfo.php?workbook=12_05.xlsx&amp;sheet=U0&amp;row=1340&amp;col=6&amp;number=4.6&amp;sourceID=14","4.6")</f>
        <v>4.6</v>
      </c>
      <c r="G1340" s="4" t="str">
        <f>HYPERLINK("http://141.218.60.56/~jnz1568/getInfo.php?workbook=12_05.xlsx&amp;sheet=U0&amp;row=1340&amp;col=7&amp;number=0.0011&amp;sourceID=14","0.0011")</f>
        <v>0.0011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HYPERLINK("http://141.218.60.56/~jnz1568/getInfo.php?workbook=12_05.xlsx&amp;sheet=U0&amp;row=1341&amp;col=6&amp;number=4.7&amp;sourceID=14","4.7")</f>
        <v>4.7</v>
      </c>
      <c r="G1341" s="4" t="str">
        <f>HYPERLINK("http://141.218.60.56/~jnz1568/getInfo.php?workbook=12_05.xlsx&amp;sheet=U0&amp;row=1341&amp;col=7&amp;number=0.00111&amp;sourceID=14","0.00111")</f>
        <v>0.00111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HYPERLINK("http://141.218.60.56/~jnz1568/getInfo.php?workbook=12_05.xlsx&amp;sheet=U0&amp;row=1342&amp;col=6&amp;number=4.8&amp;sourceID=14","4.8")</f>
        <v>4.8</v>
      </c>
      <c r="G1342" s="4" t="str">
        <f>HYPERLINK("http://141.218.60.56/~jnz1568/getInfo.php?workbook=12_05.xlsx&amp;sheet=U0&amp;row=1342&amp;col=7&amp;number=0.00111&amp;sourceID=14","0.00111")</f>
        <v>0.00111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HYPERLINK("http://141.218.60.56/~jnz1568/getInfo.php?workbook=12_05.xlsx&amp;sheet=U0&amp;row=1343&amp;col=6&amp;number=4.9&amp;sourceID=14","4.9")</f>
        <v>4.9</v>
      </c>
      <c r="G1343" s="4" t="str">
        <f>HYPERLINK("http://141.218.60.56/~jnz1568/getInfo.php?workbook=12_05.xlsx&amp;sheet=U0&amp;row=1343&amp;col=7&amp;number=0.00111&amp;sourceID=14","0.00111")</f>
        <v>0.00111</v>
      </c>
    </row>
    <row r="1344" spans="1:7">
      <c r="A1344" s="3">
        <v>12</v>
      </c>
      <c r="B1344" s="3">
        <v>5</v>
      </c>
      <c r="C1344" s="3">
        <v>1</v>
      </c>
      <c r="D1344" s="3">
        <v>24</v>
      </c>
      <c r="E1344" s="3">
        <v>1</v>
      </c>
      <c r="F1344" s="4" t="str">
        <f>HYPERLINK("http://141.218.60.56/~jnz1568/getInfo.php?workbook=12_05.xlsx&amp;sheet=U0&amp;row=1344&amp;col=6&amp;number=3&amp;sourceID=14","3")</f>
        <v>3</v>
      </c>
      <c r="G1344" s="4" t="str">
        <f>HYPERLINK("http://141.218.60.56/~jnz1568/getInfo.php?workbook=12_05.xlsx&amp;sheet=U0&amp;row=1344&amp;col=7&amp;number=0.000856&amp;sourceID=14","0.000856")</f>
        <v>0.000856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HYPERLINK("http://141.218.60.56/~jnz1568/getInfo.php?workbook=12_05.xlsx&amp;sheet=U0&amp;row=1345&amp;col=6&amp;number=3.1&amp;sourceID=14","3.1")</f>
        <v>3.1</v>
      </c>
      <c r="G1345" s="4" t="str">
        <f>HYPERLINK("http://141.218.60.56/~jnz1568/getInfo.php?workbook=12_05.xlsx&amp;sheet=U0&amp;row=1345&amp;col=7&amp;number=0.000856&amp;sourceID=14","0.000856")</f>
        <v>0.000856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HYPERLINK("http://141.218.60.56/~jnz1568/getInfo.php?workbook=12_05.xlsx&amp;sheet=U0&amp;row=1346&amp;col=6&amp;number=3.2&amp;sourceID=14","3.2")</f>
        <v>3.2</v>
      </c>
      <c r="G1346" s="4" t="str">
        <f>HYPERLINK("http://141.218.60.56/~jnz1568/getInfo.php?workbook=12_05.xlsx&amp;sheet=U0&amp;row=1346&amp;col=7&amp;number=0.000857&amp;sourceID=14","0.000857")</f>
        <v>0.000857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HYPERLINK("http://141.218.60.56/~jnz1568/getInfo.php?workbook=12_05.xlsx&amp;sheet=U0&amp;row=1347&amp;col=6&amp;number=3.3&amp;sourceID=14","3.3")</f>
        <v>3.3</v>
      </c>
      <c r="G1347" s="4" t="str">
        <f>HYPERLINK("http://141.218.60.56/~jnz1568/getInfo.php?workbook=12_05.xlsx&amp;sheet=U0&amp;row=1347&amp;col=7&amp;number=0.000857&amp;sourceID=14","0.000857")</f>
        <v>0.000857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HYPERLINK("http://141.218.60.56/~jnz1568/getInfo.php?workbook=12_05.xlsx&amp;sheet=U0&amp;row=1348&amp;col=6&amp;number=3.4&amp;sourceID=14","3.4")</f>
        <v>3.4</v>
      </c>
      <c r="G1348" s="4" t="str">
        <f>HYPERLINK("http://141.218.60.56/~jnz1568/getInfo.php?workbook=12_05.xlsx&amp;sheet=U0&amp;row=1348&amp;col=7&amp;number=0.000858&amp;sourceID=14","0.000858")</f>
        <v>0.000858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HYPERLINK("http://141.218.60.56/~jnz1568/getInfo.php?workbook=12_05.xlsx&amp;sheet=U0&amp;row=1349&amp;col=6&amp;number=3.5&amp;sourceID=14","3.5")</f>
        <v>3.5</v>
      </c>
      <c r="G1349" s="4" t="str">
        <f>HYPERLINK("http://141.218.60.56/~jnz1568/getInfo.php?workbook=12_05.xlsx&amp;sheet=U0&amp;row=1349&amp;col=7&amp;number=0.000859&amp;sourceID=14","0.000859")</f>
        <v>0.000859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HYPERLINK("http://141.218.60.56/~jnz1568/getInfo.php?workbook=12_05.xlsx&amp;sheet=U0&amp;row=1350&amp;col=6&amp;number=3.6&amp;sourceID=14","3.6")</f>
        <v>3.6</v>
      </c>
      <c r="G1350" s="4" t="str">
        <f>HYPERLINK("http://141.218.60.56/~jnz1568/getInfo.php?workbook=12_05.xlsx&amp;sheet=U0&amp;row=1350&amp;col=7&amp;number=0.00086&amp;sourceID=14","0.00086")</f>
        <v>0.00086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HYPERLINK("http://141.218.60.56/~jnz1568/getInfo.php?workbook=12_05.xlsx&amp;sheet=U0&amp;row=1351&amp;col=6&amp;number=3.7&amp;sourceID=14","3.7")</f>
        <v>3.7</v>
      </c>
      <c r="G1351" s="4" t="str">
        <f>HYPERLINK("http://141.218.60.56/~jnz1568/getInfo.php?workbook=12_05.xlsx&amp;sheet=U0&amp;row=1351&amp;col=7&amp;number=0.000861&amp;sourceID=14","0.000861")</f>
        <v>0.000861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HYPERLINK("http://141.218.60.56/~jnz1568/getInfo.php?workbook=12_05.xlsx&amp;sheet=U0&amp;row=1352&amp;col=6&amp;number=3.8&amp;sourceID=14","3.8")</f>
        <v>3.8</v>
      </c>
      <c r="G1352" s="4" t="str">
        <f>HYPERLINK("http://141.218.60.56/~jnz1568/getInfo.php?workbook=12_05.xlsx&amp;sheet=U0&amp;row=1352&amp;col=7&amp;number=0.000863&amp;sourceID=14","0.000863")</f>
        <v>0.000863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HYPERLINK("http://141.218.60.56/~jnz1568/getInfo.php?workbook=12_05.xlsx&amp;sheet=U0&amp;row=1353&amp;col=6&amp;number=3.9&amp;sourceID=14","3.9")</f>
        <v>3.9</v>
      </c>
      <c r="G1353" s="4" t="str">
        <f>HYPERLINK("http://141.218.60.56/~jnz1568/getInfo.php?workbook=12_05.xlsx&amp;sheet=U0&amp;row=1353&amp;col=7&amp;number=0.000865&amp;sourceID=14","0.000865")</f>
        <v>0.000865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HYPERLINK("http://141.218.60.56/~jnz1568/getInfo.php?workbook=12_05.xlsx&amp;sheet=U0&amp;row=1354&amp;col=6&amp;number=4&amp;sourceID=14","4")</f>
        <v>4</v>
      </c>
      <c r="G1354" s="4" t="str">
        <f>HYPERLINK("http://141.218.60.56/~jnz1568/getInfo.php?workbook=12_05.xlsx&amp;sheet=U0&amp;row=1354&amp;col=7&amp;number=0.000867&amp;sourceID=14","0.000867")</f>
        <v>0.000867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HYPERLINK("http://141.218.60.56/~jnz1568/getInfo.php?workbook=12_05.xlsx&amp;sheet=U0&amp;row=1355&amp;col=6&amp;number=4.1&amp;sourceID=14","4.1")</f>
        <v>4.1</v>
      </c>
      <c r="G1355" s="4" t="str">
        <f>HYPERLINK("http://141.218.60.56/~jnz1568/getInfo.php?workbook=12_05.xlsx&amp;sheet=U0&amp;row=1355&amp;col=7&amp;number=0.000871&amp;sourceID=14","0.000871")</f>
        <v>0.000871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HYPERLINK("http://141.218.60.56/~jnz1568/getInfo.php?workbook=12_05.xlsx&amp;sheet=U0&amp;row=1356&amp;col=6&amp;number=4.2&amp;sourceID=14","4.2")</f>
        <v>4.2</v>
      </c>
      <c r="G1356" s="4" t="str">
        <f>HYPERLINK("http://141.218.60.56/~jnz1568/getInfo.php?workbook=12_05.xlsx&amp;sheet=U0&amp;row=1356&amp;col=7&amp;number=0.000875&amp;sourceID=14","0.000875")</f>
        <v>0.000875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HYPERLINK("http://141.218.60.56/~jnz1568/getInfo.php?workbook=12_05.xlsx&amp;sheet=U0&amp;row=1357&amp;col=6&amp;number=4.3&amp;sourceID=14","4.3")</f>
        <v>4.3</v>
      </c>
      <c r="G1357" s="4" t="str">
        <f>HYPERLINK("http://141.218.60.56/~jnz1568/getInfo.php?workbook=12_05.xlsx&amp;sheet=U0&amp;row=1357&amp;col=7&amp;number=0.00088&amp;sourceID=14","0.00088")</f>
        <v>0.00088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HYPERLINK("http://141.218.60.56/~jnz1568/getInfo.php?workbook=12_05.xlsx&amp;sheet=U0&amp;row=1358&amp;col=6&amp;number=4.4&amp;sourceID=14","4.4")</f>
        <v>4.4</v>
      </c>
      <c r="G1358" s="4" t="str">
        <f>HYPERLINK("http://141.218.60.56/~jnz1568/getInfo.php?workbook=12_05.xlsx&amp;sheet=U0&amp;row=1358&amp;col=7&amp;number=0.000887&amp;sourceID=14","0.000887")</f>
        <v>0.000887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HYPERLINK("http://141.218.60.56/~jnz1568/getInfo.php?workbook=12_05.xlsx&amp;sheet=U0&amp;row=1359&amp;col=6&amp;number=4.5&amp;sourceID=14","4.5")</f>
        <v>4.5</v>
      </c>
      <c r="G1359" s="4" t="str">
        <f>HYPERLINK("http://141.218.60.56/~jnz1568/getInfo.php?workbook=12_05.xlsx&amp;sheet=U0&amp;row=1359&amp;col=7&amp;number=0.000895&amp;sourceID=14","0.000895")</f>
        <v>0.000895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HYPERLINK("http://141.218.60.56/~jnz1568/getInfo.php?workbook=12_05.xlsx&amp;sheet=U0&amp;row=1360&amp;col=6&amp;number=4.6&amp;sourceID=14","4.6")</f>
        <v>4.6</v>
      </c>
      <c r="G1360" s="4" t="str">
        <f>HYPERLINK("http://141.218.60.56/~jnz1568/getInfo.php?workbook=12_05.xlsx&amp;sheet=U0&amp;row=1360&amp;col=7&amp;number=0.000905&amp;sourceID=14","0.000905")</f>
        <v>0.000905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HYPERLINK("http://141.218.60.56/~jnz1568/getInfo.php?workbook=12_05.xlsx&amp;sheet=U0&amp;row=1361&amp;col=6&amp;number=4.7&amp;sourceID=14","4.7")</f>
        <v>4.7</v>
      </c>
      <c r="G1361" s="4" t="str">
        <f>HYPERLINK("http://141.218.60.56/~jnz1568/getInfo.php?workbook=12_05.xlsx&amp;sheet=U0&amp;row=1361&amp;col=7&amp;number=0.000917&amp;sourceID=14","0.000917")</f>
        <v>0.000917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HYPERLINK("http://141.218.60.56/~jnz1568/getInfo.php?workbook=12_05.xlsx&amp;sheet=U0&amp;row=1362&amp;col=6&amp;number=4.8&amp;sourceID=14","4.8")</f>
        <v>4.8</v>
      </c>
      <c r="G1362" s="4" t="str">
        <f>HYPERLINK("http://141.218.60.56/~jnz1568/getInfo.php?workbook=12_05.xlsx&amp;sheet=U0&amp;row=1362&amp;col=7&amp;number=0.000933&amp;sourceID=14","0.000933")</f>
        <v>0.000933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HYPERLINK("http://141.218.60.56/~jnz1568/getInfo.php?workbook=12_05.xlsx&amp;sheet=U0&amp;row=1363&amp;col=6&amp;number=4.9&amp;sourceID=14","4.9")</f>
        <v>4.9</v>
      </c>
      <c r="G1363" s="4" t="str">
        <f>HYPERLINK("http://141.218.60.56/~jnz1568/getInfo.php?workbook=12_05.xlsx&amp;sheet=U0&amp;row=1363&amp;col=7&amp;number=0.000953&amp;sourceID=14","0.000953")</f>
        <v>0.000953</v>
      </c>
    </row>
    <row r="1364" spans="1:7">
      <c r="A1364" s="3">
        <v>12</v>
      </c>
      <c r="B1364" s="3">
        <v>5</v>
      </c>
      <c r="C1364" s="3">
        <v>1</v>
      </c>
      <c r="D1364" s="3">
        <v>25</v>
      </c>
      <c r="E1364" s="3">
        <v>1</v>
      </c>
      <c r="F1364" s="4" t="str">
        <f>HYPERLINK("http://141.218.60.56/~jnz1568/getInfo.php?workbook=12_05.xlsx&amp;sheet=U0&amp;row=1364&amp;col=6&amp;number=3&amp;sourceID=14","3")</f>
        <v>3</v>
      </c>
      <c r="G1364" s="4" t="str">
        <f>HYPERLINK("http://141.218.60.56/~jnz1568/getInfo.php?workbook=12_05.xlsx&amp;sheet=U0&amp;row=1364&amp;col=7&amp;number=0.000393&amp;sourceID=14","0.000393")</f>
        <v>0.000393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HYPERLINK("http://141.218.60.56/~jnz1568/getInfo.php?workbook=12_05.xlsx&amp;sheet=U0&amp;row=1365&amp;col=6&amp;number=3.1&amp;sourceID=14","3.1")</f>
        <v>3.1</v>
      </c>
      <c r="G1365" s="4" t="str">
        <f>HYPERLINK("http://141.218.60.56/~jnz1568/getInfo.php?workbook=12_05.xlsx&amp;sheet=U0&amp;row=1365&amp;col=7&amp;number=0.000393&amp;sourceID=14","0.000393")</f>
        <v>0.000393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HYPERLINK("http://141.218.60.56/~jnz1568/getInfo.php?workbook=12_05.xlsx&amp;sheet=U0&amp;row=1366&amp;col=6&amp;number=3.2&amp;sourceID=14","3.2")</f>
        <v>3.2</v>
      </c>
      <c r="G1366" s="4" t="str">
        <f>HYPERLINK("http://141.218.60.56/~jnz1568/getInfo.php?workbook=12_05.xlsx&amp;sheet=U0&amp;row=1366&amp;col=7&amp;number=0.000393&amp;sourceID=14","0.000393")</f>
        <v>0.000393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HYPERLINK("http://141.218.60.56/~jnz1568/getInfo.php?workbook=12_05.xlsx&amp;sheet=U0&amp;row=1367&amp;col=6&amp;number=3.3&amp;sourceID=14","3.3")</f>
        <v>3.3</v>
      </c>
      <c r="G1367" s="4" t="str">
        <f>HYPERLINK("http://141.218.60.56/~jnz1568/getInfo.php?workbook=12_05.xlsx&amp;sheet=U0&amp;row=1367&amp;col=7&amp;number=0.000393&amp;sourceID=14","0.000393")</f>
        <v>0.000393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HYPERLINK("http://141.218.60.56/~jnz1568/getInfo.php?workbook=12_05.xlsx&amp;sheet=U0&amp;row=1368&amp;col=6&amp;number=3.4&amp;sourceID=14","3.4")</f>
        <v>3.4</v>
      </c>
      <c r="G1368" s="4" t="str">
        <f>HYPERLINK("http://141.218.60.56/~jnz1568/getInfo.php?workbook=12_05.xlsx&amp;sheet=U0&amp;row=1368&amp;col=7&amp;number=0.000393&amp;sourceID=14","0.000393")</f>
        <v>0.000393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HYPERLINK("http://141.218.60.56/~jnz1568/getInfo.php?workbook=12_05.xlsx&amp;sheet=U0&amp;row=1369&amp;col=6&amp;number=3.5&amp;sourceID=14","3.5")</f>
        <v>3.5</v>
      </c>
      <c r="G1369" s="4" t="str">
        <f>HYPERLINK("http://141.218.60.56/~jnz1568/getInfo.php?workbook=12_05.xlsx&amp;sheet=U0&amp;row=1369&amp;col=7&amp;number=0.000393&amp;sourceID=14","0.000393")</f>
        <v>0.000393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HYPERLINK("http://141.218.60.56/~jnz1568/getInfo.php?workbook=12_05.xlsx&amp;sheet=U0&amp;row=1370&amp;col=6&amp;number=3.6&amp;sourceID=14","3.6")</f>
        <v>3.6</v>
      </c>
      <c r="G1370" s="4" t="str">
        <f>HYPERLINK("http://141.218.60.56/~jnz1568/getInfo.php?workbook=12_05.xlsx&amp;sheet=U0&amp;row=1370&amp;col=7&amp;number=0.000393&amp;sourceID=14","0.000393")</f>
        <v>0.000393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HYPERLINK("http://141.218.60.56/~jnz1568/getInfo.php?workbook=12_05.xlsx&amp;sheet=U0&amp;row=1371&amp;col=6&amp;number=3.7&amp;sourceID=14","3.7")</f>
        <v>3.7</v>
      </c>
      <c r="G1371" s="4" t="str">
        <f>HYPERLINK("http://141.218.60.56/~jnz1568/getInfo.php?workbook=12_05.xlsx&amp;sheet=U0&amp;row=1371&amp;col=7&amp;number=0.000393&amp;sourceID=14","0.000393")</f>
        <v>0.000393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HYPERLINK("http://141.218.60.56/~jnz1568/getInfo.php?workbook=12_05.xlsx&amp;sheet=U0&amp;row=1372&amp;col=6&amp;number=3.8&amp;sourceID=14","3.8")</f>
        <v>3.8</v>
      </c>
      <c r="G1372" s="4" t="str">
        <f>HYPERLINK("http://141.218.60.56/~jnz1568/getInfo.php?workbook=12_05.xlsx&amp;sheet=U0&amp;row=1372&amp;col=7&amp;number=0.000393&amp;sourceID=14","0.000393")</f>
        <v>0.000393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HYPERLINK("http://141.218.60.56/~jnz1568/getInfo.php?workbook=12_05.xlsx&amp;sheet=U0&amp;row=1373&amp;col=6&amp;number=3.9&amp;sourceID=14","3.9")</f>
        <v>3.9</v>
      </c>
      <c r="G1373" s="4" t="str">
        <f>HYPERLINK("http://141.218.60.56/~jnz1568/getInfo.php?workbook=12_05.xlsx&amp;sheet=U0&amp;row=1373&amp;col=7&amp;number=0.000393&amp;sourceID=14","0.000393")</f>
        <v>0.000393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HYPERLINK("http://141.218.60.56/~jnz1568/getInfo.php?workbook=12_05.xlsx&amp;sheet=U0&amp;row=1374&amp;col=6&amp;number=4&amp;sourceID=14","4")</f>
        <v>4</v>
      </c>
      <c r="G1374" s="4" t="str">
        <f>HYPERLINK("http://141.218.60.56/~jnz1568/getInfo.php?workbook=12_05.xlsx&amp;sheet=U0&amp;row=1374&amp;col=7&amp;number=0.000393&amp;sourceID=14","0.000393")</f>
        <v>0.000393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HYPERLINK("http://141.218.60.56/~jnz1568/getInfo.php?workbook=12_05.xlsx&amp;sheet=U0&amp;row=1375&amp;col=6&amp;number=4.1&amp;sourceID=14","4.1")</f>
        <v>4.1</v>
      </c>
      <c r="G1375" s="4" t="str">
        <f>HYPERLINK("http://141.218.60.56/~jnz1568/getInfo.php?workbook=12_05.xlsx&amp;sheet=U0&amp;row=1375&amp;col=7&amp;number=0.000393&amp;sourceID=14","0.000393")</f>
        <v>0.000393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HYPERLINK("http://141.218.60.56/~jnz1568/getInfo.php?workbook=12_05.xlsx&amp;sheet=U0&amp;row=1376&amp;col=6&amp;number=4.2&amp;sourceID=14","4.2")</f>
        <v>4.2</v>
      </c>
      <c r="G1376" s="4" t="str">
        <f>HYPERLINK("http://141.218.60.56/~jnz1568/getInfo.php?workbook=12_05.xlsx&amp;sheet=U0&amp;row=1376&amp;col=7&amp;number=0.000392&amp;sourceID=14","0.000392")</f>
        <v>0.000392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HYPERLINK("http://141.218.60.56/~jnz1568/getInfo.php?workbook=12_05.xlsx&amp;sheet=U0&amp;row=1377&amp;col=6&amp;number=4.3&amp;sourceID=14","4.3")</f>
        <v>4.3</v>
      </c>
      <c r="G1377" s="4" t="str">
        <f>HYPERLINK("http://141.218.60.56/~jnz1568/getInfo.php?workbook=12_05.xlsx&amp;sheet=U0&amp;row=1377&amp;col=7&amp;number=0.000392&amp;sourceID=14","0.000392")</f>
        <v>0.000392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HYPERLINK("http://141.218.60.56/~jnz1568/getInfo.php?workbook=12_05.xlsx&amp;sheet=U0&amp;row=1378&amp;col=6&amp;number=4.4&amp;sourceID=14","4.4")</f>
        <v>4.4</v>
      </c>
      <c r="G1378" s="4" t="str">
        <f>HYPERLINK("http://141.218.60.56/~jnz1568/getInfo.php?workbook=12_05.xlsx&amp;sheet=U0&amp;row=1378&amp;col=7&amp;number=0.000392&amp;sourceID=14","0.000392")</f>
        <v>0.000392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HYPERLINK("http://141.218.60.56/~jnz1568/getInfo.php?workbook=12_05.xlsx&amp;sheet=U0&amp;row=1379&amp;col=6&amp;number=4.5&amp;sourceID=14","4.5")</f>
        <v>4.5</v>
      </c>
      <c r="G1379" s="4" t="str">
        <f>HYPERLINK("http://141.218.60.56/~jnz1568/getInfo.php?workbook=12_05.xlsx&amp;sheet=U0&amp;row=1379&amp;col=7&amp;number=0.000392&amp;sourceID=14","0.000392")</f>
        <v>0.000392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HYPERLINK("http://141.218.60.56/~jnz1568/getInfo.php?workbook=12_05.xlsx&amp;sheet=U0&amp;row=1380&amp;col=6&amp;number=4.6&amp;sourceID=14","4.6")</f>
        <v>4.6</v>
      </c>
      <c r="G1380" s="4" t="str">
        <f>HYPERLINK("http://141.218.60.56/~jnz1568/getInfo.php?workbook=12_05.xlsx&amp;sheet=U0&amp;row=1380&amp;col=7&amp;number=0.000391&amp;sourceID=14","0.000391")</f>
        <v>0.000391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HYPERLINK("http://141.218.60.56/~jnz1568/getInfo.php?workbook=12_05.xlsx&amp;sheet=U0&amp;row=1381&amp;col=6&amp;number=4.7&amp;sourceID=14","4.7")</f>
        <v>4.7</v>
      </c>
      <c r="G1381" s="4" t="str">
        <f>HYPERLINK("http://141.218.60.56/~jnz1568/getInfo.php?workbook=12_05.xlsx&amp;sheet=U0&amp;row=1381&amp;col=7&amp;number=0.000391&amp;sourceID=14","0.000391")</f>
        <v>0.000391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HYPERLINK("http://141.218.60.56/~jnz1568/getInfo.php?workbook=12_05.xlsx&amp;sheet=U0&amp;row=1382&amp;col=6&amp;number=4.8&amp;sourceID=14","4.8")</f>
        <v>4.8</v>
      </c>
      <c r="G1382" s="4" t="str">
        <f>HYPERLINK("http://141.218.60.56/~jnz1568/getInfo.php?workbook=12_05.xlsx&amp;sheet=U0&amp;row=1382&amp;col=7&amp;number=0.00039&amp;sourceID=14","0.00039")</f>
        <v>0.00039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HYPERLINK("http://141.218.60.56/~jnz1568/getInfo.php?workbook=12_05.xlsx&amp;sheet=U0&amp;row=1383&amp;col=6&amp;number=4.9&amp;sourceID=14","4.9")</f>
        <v>4.9</v>
      </c>
      <c r="G1383" s="4" t="str">
        <f>HYPERLINK("http://141.218.60.56/~jnz1568/getInfo.php?workbook=12_05.xlsx&amp;sheet=U0&amp;row=1383&amp;col=7&amp;number=0.000389&amp;sourceID=14","0.000389")</f>
        <v>0.000389</v>
      </c>
    </row>
    <row r="1384" spans="1:7">
      <c r="A1384" s="3">
        <v>12</v>
      </c>
      <c r="B1384" s="3">
        <v>5</v>
      </c>
      <c r="C1384" s="3">
        <v>1</v>
      </c>
      <c r="D1384" s="3">
        <v>26</v>
      </c>
      <c r="E1384" s="3">
        <v>1</v>
      </c>
      <c r="F1384" s="4" t="str">
        <f>HYPERLINK("http://141.218.60.56/~jnz1568/getInfo.php?workbook=12_05.xlsx&amp;sheet=U0&amp;row=1384&amp;col=6&amp;number=3&amp;sourceID=14","3")</f>
        <v>3</v>
      </c>
      <c r="G1384" s="4" t="str">
        <f>HYPERLINK("http://141.218.60.56/~jnz1568/getInfo.php?workbook=12_05.xlsx&amp;sheet=U0&amp;row=1384&amp;col=7&amp;number=0.000465&amp;sourceID=14","0.000465")</f>
        <v>0.000465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HYPERLINK("http://141.218.60.56/~jnz1568/getInfo.php?workbook=12_05.xlsx&amp;sheet=U0&amp;row=1385&amp;col=6&amp;number=3.1&amp;sourceID=14","3.1")</f>
        <v>3.1</v>
      </c>
      <c r="G1385" s="4" t="str">
        <f>HYPERLINK("http://141.218.60.56/~jnz1568/getInfo.php?workbook=12_05.xlsx&amp;sheet=U0&amp;row=1385&amp;col=7&amp;number=0.000465&amp;sourceID=14","0.000465")</f>
        <v>0.000465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HYPERLINK("http://141.218.60.56/~jnz1568/getInfo.php?workbook=12_05.xlsx&amp;sheet=U0&amp;row=1386&amp;col=6&amp;number=3.2&amp;sourceID=14","3.2")</f>
        <v>3.2</v>
      </c>
      <c r="G1386" s="4" t="str">
        <f>HYPERLINK("http://141.218.60.56/~jnz1568/getInfo.php?workbook=12_05.xlsx&amp;sheet=U0&amp;row=1386&amp;col=7&amp;number=0.000465&amp;sourceID=14","0.000465")</f>
        <v>0.000465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HYPERLINK("http://141.218.60.56/~jnz1568/getInfo.php?workbook=12_05.xlsx&amp;sheet=U0&amp;row=1387&amp;col=6&amp;number=3.3&amp;sourceID=14","3.3")</f>
        <v>3.3</v>
      </c>
      <c r="G1387" s="4" t="str">
        <f>HYPERLINK("http://141.218.60.56/~jnz1568/getInfo.php?workbook=12_05.xlsx&amp;sheet=U0&amp;row=1387&amp;col=7&amp;number=0.000465&amp;sourceID=14","0.000465")</f>
        <v>0.000465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HYPERLINK("http://141.218.60.56/~jnz1568/getInfo.php?workbook=12_05.xlsx&amp;sheet=U0&amp;row=1388&amp;col=6&amp;number=3.4&amp;sourceID=14","3.4")</f>
        <v>3.4</v>
      </c>
      <c r="G1388" s="4" t="str">
        <f>HYPERLINK("http://141.218.60.56/~jnz1568/getInfo.php?workbook=12_05.xlsx&amp;sheet=U0&amp;row=1388&amp;col=7&amp;number=0.000465&amp;sourceID=14","0.000465")</f>
        <v>0.000465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HYPERLINK("http://141.218.60.56/~jnz1568/getInfo.php?workbook=12_05.xlsx&amp;sheet=U0&amp;row=1389&amp;col=6&amp;number=3.5&amp;sourceID=14","3.5")</f>
        <v>3.5</v>
      </c>
      <c r="G1389" s="4" t="str">
        <f>HYPERLINK("http://141.218.60.56/~jnz1568/getInfo.php?workbook=12_05.xlsx&amp;sheet=U0&amp;row=1389&amp;col=7&amp;number=0.000465&amp;sourceID=14","0.000465")</f>
        <v>0.000465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HYPERLINK("http://141.218.60.56/~jnz1568/getInfo.php?workbook=12_05.xlsx&amp;sheet=U0&amp;row=1390&amp;col=6&amp;number=3.6&amp;sourceID=14","3.6")</f>
        <v>3.6</v>
      </c>
      <c r="G1390" s="4" t="str">
        <f>HYPERLINK("http://141.218.60.56/~jnz1568/getInfo.php?workbook=12_05.xlsx&amp;sheet=U0&amp;row=1390&amp;col=7&amp;number=0.000466&amp;sourceID=14","0.000466")</f>
        <v>0.000466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HYPERLINK("http://141.218.60.56/~jnz1568/getInfo.php?workbook=12_05.xlsx&amp;sheet=U0&amp;row=1391&amp;col=6&amp;number=3.7&amp;sourceID=14","3.7")</f>
        <v>3.7</v>
      </c>
      <c r="G1391" s="4" t="str">
        <f>HYPERLINK("http://141.218.60.56/~jnz1568/getInfo.php?workbook=12_05.xlsx&amp;sheet=U0&amp;row=1391&amp;col=7&amp;number=0.000466&amp;sourceID=14","0.000466")</f>
        <v>0.000466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HYPERLINK("http://141.218.60.56/~jnz1568/getInfo.php?workbook=12_05.xlsx&amp;sheet=U0&amp;row=1392&amp;col=6&amp;number=3.8&amp;sourceID=14","3.8")</f>
        <v>3.8</v>
      </c>
      <c r="G1392" s="4" t="str">
        <f>HYPERLINK("http://141.218.60.56/~jnz1568/getInfo.php?workbook=12_05.xlsx&amp;sheet=U0&amp;row=1392&amp;col=7&amp;number=0.000466&amp;sourceID=14","0.000466")</f>
        <v>0.000466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HYPERLINK("http://141.218.60.56/~jnz1568/getInfo.php?workbook=12_05.xlsx&amp;sheet=U0&amp;row=1393&amp;col=6&amp;number=3.9&amp;sourceID=14","3.9")</f>
        <v>3.9</v>
      </c>
      <c r="G1393" s="4" t="str">
        <f>HYPERLINK("http://141.218.60.56/~jnz1568/getInfo.php?workbook=12_05.xlsx&amp;sheet=U0&amp;row=1393&amp;col=7&amp;number=0.000467&amp;sourceID=14","0.000467")</f>
        <v>0.000467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HYPERLINK("http://141.218.60.56/~jnz1568/getInfo.php?workbook=12_05.xlsx&amp;sheet=U0&amp;row=1394&amp;col=6&amp;number=4&amp;sourceID=14","4")</f>
        <v>4</v>
      </c>
      <c r="G1394" s="4" t="str">
        <f>HYPERLINK("http://141.218.60.56/~jnz1568/getInfo.php?workbook=12_05.xlsx&amp;sheet=U0&amp;row=1394&amp;col=7&amp;number=0.000467&amp;sourceID=14","0.000467")</f>
        <v>0.000467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HYPERLINK("http://141.218.60.56/~jnz1568/getInfo.php?workbook=12_05.xlsx&amp;sheet=U0&amp;row=1395&amp;col=6&amp;number=4.1&amp;sourceID=14","4.1")</f>
        <v>4.1</v>
      </c>
      <c r="G1395" s="4" t="str">
        <f>HYPERLINK("http://141.218.60.56/~jnz1568/getInfo.php?workbook=12_05.xlsx&amp;sheet=U0&amp;row=1395&amp;col=7&amp;number=0.000468&amp;sourceID=14","0.000468")</f>
        <v>0.000468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HYPERLINK("http://141.218.60.56/~jnz1568/getInfo.php?workbook=12_05.xlsx&amp;sheet=U0&amp;row=1396&amp;col=6&amp;number=4.2&amp;sourceID=14","4.2")</f>
        <v>4.2</v>
      </c>
      <c r="G1396" s="4" t="str">
        <f>HYPERLINK("http://141.218.60.56/~jnz1568/getInfo.php?workbook=12_05.xlsx&amp;sheet=U0&amp;row=1396&amp;col=7&amp;number=0.000469&amp;sourceID=14","0.000469")</f>
        <v>0.000469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HYPERLINK("http://141.218.60.56/~jnz1568/getInfo.php?workbook=12_05.xlsx&amp;sheet=U0&amp;row=1397&amp;col=6&amp;number=4.3&amp;sourceID=14","4.3")</f>
        <v>4.3</v>
      </c>
      <c r="G1397" s="4" t="str">
        <f>HYPERLINK("http://141.218.60.56/~jnz1568/getInfo.php?workbook=12_05.xlsx&amp;sheet=U0&amp;row=1397&amp;col=7&amp;number=0.00047&amp;sourceID=14","0.00047")</f>
        <v>0.00047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HYPERLINK("http://141.218.60.56/~jnz1568/getInfo.php?workbook=12_05.xlsx&amp;sheet=U0&amp;row=1398&amp;col=6&amp;number=4.4&amp;sourceID=14","4.4")</f>
        <v>4.4</v>
      </c>
      <c r="G1398" s="4" t="str">
        <f>HYPERLINK("http://141.218.60.56/~jnz1568/getInfo.php?workbook=12_05.xlsx&amp;sheet=U0&amp;row=1398&amp;col=7&amp;number=0.000472&amp;sourceID=14","0.000472")</f>
        <v>0.000472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HYPERLINK("http://141.218.60.56/~jnz1568/getInfo.php?workbook=12_05.xlsx&amp;sheet=U0&amp;row=1399&amp;col=6&amp;number=4.5&amp;sourceID=14","4.5")</f>
        <v>4.5</v>
      </c>
      <c r="G1399" s="4" t="str">
        <f>HYPERLINK("http://141.218.60.56/~jnz1568/getInfo.php?workbook=12_05.xlsx&amp;sheet=U0&amp;row=1399&amp;col=7&amp;number=0.000474&amp;sourceID=14","0.000474")</f>
        <v>0.000474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HYPERLINK("http://141.218.60.56/~jnz1568/getInfo.php?workbook=12_05.xlsx&amp;sheet=U0&amp;row=1400&amp;col=6&amp;number=4.6&amp;sourceID=14","4.6")</f>
        <v>4.6</v>
      </c>
      <c r="G1400" s="4" t="str">
        <f>HYPERLINK("http://141.218.60.56/~jnz1568/getInfo.php?workbook=12_05.xlsx&amp;sheet=U0&amp;row=1400&amp;col=7&amp;number=0.000477&amp;sourceID=14","0.000477")</f>
        <v>0.000477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HYPERLINK("http://141.218.60.56/~jnz1568/getInfo.php?workbook=12_05.xlsx&amp;sheet=U0&amp;row=1401&amp;col=6&amp;number=4.7&amp;sourceID=14","4.7")</f>
        <v>4.7</v>
      </c>
      <c r="G1401" s="4" t="str">
        <f>HYPERLINK("http://141.218.60.56/~jnz1568/getInfo.php?workbook=12_05.xlsx&amp;sheet=U0&amp;row=1401&amp;col=7&amp;number=0.00048&amp;sourceID=14","0.00048")</f>
        <v>0.00048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HYPERLINK("http://141.218.60.56/~jnz1568/getInfo.php?workbook=12_05.xlsx&amp;sheet=U0&amp;row=1402&amp;col=6&amp;number=4.8&amp;sourceID=14","4.8")</f>
        <v>4.8</v>
      </c>
      <c r="G1402" s="4" t="str">
        <f>HYPERLINK("http://141.218.60.56/~jnz1568/getInfo.php?workbook=12_05.xlsx&amp;sheet=U0&amp;row=1402&amp;col=7&amp;number=0.000484&amp;sourceID=14","0.000484")</f>
        <v>0.000484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HYPERLINK("http://141.218.60.56/~jnz1568/getInfo.php?workbook=12_05.xlsx&amp;sheet=U0&amp;row=1403&amp;col=6&amp;number=4.9&amp;sourceID=14","4.9")</f>
        <v>4.9</v>
      </c>
      <c r="G1403" s="4" t="str">
        <f>HYPERLINK("http://141.218.60.56/~jnz1568/getInfo.php?workbook=12_05.xlsx&amp;sheet=U0&amp;row=1403&amp;col=7&amp;number=0.000489&amp;sourceID=14","0.000489")</f>
        <v>0.000489</v>
      </c>
    </row>
    <row r="1404" spans="1:7">
      <c r="A1404" s="3">
        <v>12</v>
      </c>
      <c r="B1404" s="3">
        <v>5</v>
      </c>
      <c r="C1404" s="3">
        <v>1</v>
      </c>
      <c r="D1404" s="3">
        <v>27</v>
      </c>
      <c r="E1404" s="3">
        <v>1</v>
      </c>
      <c r="F1404" s="4" t="str">
        <f>HYPERLINK("http://141.218.60.56/~jnz1568/getInfo.php?workbook=12_05.xlsx&amp;sheet=U0&amp;row=1404&amp;col=6&amp;number=3&amp;sourceID=14","3")</f>
        <v>3</v>
      </c>
      <c r="G1404" s="4" t="str">
        <f>HYPERLINK("http://141.218.60.56/~jnz1568/getInfo.php?workbook=12_05.xlsx&amp;sheet=U0&amp;row=1404&amp;col=7&amp;number=9.89e-05&amp;sourceID=14","9.89e-05")</f>
        <v>9.89e-05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HYPERLINK("http://141.218.60.56/~jnz1568/getInfo.php?workbook=12_05.xlsx&amp;sheet=U0&amp;row=1405&amp;col=6&amp;number=3.1&amp;sourceID=14","3.1")</f>
        <v>3.1</v>
      </c>
      <c r="G1405" s="4" t="str">
        <f>HYPERLINK("http://141.218.60.56/~jnz1568/getInfo.php?workbook=12_05.xlsx&amp;sheet=U0&amp;row=1405&amp;col=7&amp;number=9.89e-05&amp;sourceID=14","9.89e-05")</f>
        <v>9.89e-05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HYPERLINK("http://141.218.60.56/~jnz1568/getInfo.php?workbook=12_05.xlsx&amp;sheet=U0&amp;row=1406&amp;col=6&amp;number=3.2&amp;sourceID=14","3.2")</f>
        <v>3.2</v>
      </c>
      <c r="G1406" s="4" t="str">
        <f>HYPERLINK("http://141.218.60.56/~jnz1568/getInfo.php?workbook=12_05.xlsx&amp;sheet=U0&amp;row=1406&amp;col=7&amp;number=9.89e-05&amp;sourceID=14","9.89e-05")</f>
        <v>9.89e-05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HYPERLINK("http://141.218.60.56/~jnz1568/getInfo.php?workbook=12_05.xlsx&amp;sheet=U0&amp;row=1407&amp;col=6&amp;number=3.3&amp;sourceID=14","3.3")</f>
        <v>3.3</v>
      </c>
      <c r="G1407" s="4" t="str">
        <f>HYPERLINK("http://141.218.60.56/~jnz1568/getInfo.php?workbook=12_05.xlsx&amp;sheet=U0&amp;row=1407&amp;col=7&amp;number=9.88e-05&amp;sourceID=14","9.88e-05")</f>
        <v>9.88e-05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HYPERLINK("http://141.218.60.56/~jnz1568/getInfo.php?workbook=12_05.xlsx&amp;sheet=U0&amp;row=1408&amp;col=6&amp;number=3.4&amp;sourceID=14","3.4")</f>
        <v>3.4</v>
      </c>
      <c r="G1408" s="4" t="str">
        <f>HYPERLINK("http://141.218.60.56/~jnz1568/getInfo.php?workbook=12_05.xlsx&amp;sheet=U0&amp;row=1408&amp;col=7&amp;number=9.88e-05&amp;sourceID=14","9.88e-05")</f>
        <v>9.88e-05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HYPERLINK("http://141.218.60.56/~jnz1568/getInfo.php?workbook=12_05.xlsx&amp;sheet=U0&amp;row=1409&amp;col=6&amp;number=3.5&amp;sourceID=14","3.5")</f>
        <v>3.5</v>
      </c>
      <c r="G1409" s="4" t="str">
        <f>HYPERLINK("http://141.218.60.56/~jnz1568/getInfo.php?workbook=12_05.xlsx&amp;sheet=U0&amp;row=1409&amp;col=7&amp;number=9.87e-05&amp;sourceID=14","9.87e-05")</f>
        <v>9.87e-05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HYPERLINK("http://141.218.60.56/~jnz1568/getInfo.php?workbook=12_05.xlsx&amp;sheet=U0&amp;row=1410&amp;col=6&amp;number=3.6&amp;sourceID=14","3.6")</f>
        <v>3.6</v>
      </c>
      <c r="G1410" s="4" t="str">
        <f>HYPERLINK("http://141.218.60.56/~jnz1568/getInfo.php?workbook=12_05.xlsx&amp;sheet=U0&amp;row=1410&amp;col=7&amp;number=9.87e-05&amp;sourceID=14","9.87e-05")</f>
        <v>9.87e-05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HYPERLINK("http://141.218.60.56/~jnz1568/getInfo.php?workbook=12_05.xlsx&amp;sheet=U0&amp;row=1411&amp;col=6&amp;number=3.7&amp;sourceID=14","3.7")</f>
        <v>3.7</v>
      </c>
      <c r="G1411" s="4" t="str">
        <f>HYPERLINK("http://141.218.60.56/~jnz1568/getInfo.php?workbook=12_05.xlsx&amp;sheet=U0&amp;row=1411&amp;col=7&amp;number=9.86e-05&amp;sourceID=14","9.86e-05")</f>
        <v>9.86e-05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HYPERLINK("http://141.218.60.56/~jnz1568/getInfo.php?workbook=12_05.xlsx&amp;sheet=U0&amp;row=1412&amp;col=6&amp;number=3.8&amp;sourceID=14","3.8")</f>
        <v>3.8</v>
      </c>
      <c r="G1412" s="4" t="str">
        <f>HYPERLINK("http://141.218.60.56/~jnz1568/getInfo.php?workbook=12_05.xlsx&amp;sheet=U0&amp;row=1412&amp;col=7&amp;number=9.84e-05&amp;sourceID=14","9.84e-05")</f>
        <v>9.84e-05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HYPERLINK("http://141.218.60.56/~jnz1568/getInfo.php?workbook=12_05.xlsx&amp;sheet=U0&amp;row=1413&amp;col=6&amp;number=3.9&amp;sourceID=14","3.9")</f>
        <v>3.9</v>
      </c>
      <c r="G1413" s="4" t="str">
        <f>HYPERLINK("http://141.218.60.56/~jnz1568/getInfo.php?workbook=12_05.xlsx&amp;sheet=U0&amp;row=1413&amp;col=7&amp;number=9.83e-05&amp;sourceID=14","9.83e-05")</f>
        <v>9.83e-05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HYPERLINK("http://141.218.60.56/~jnz1568/getInfo.php?workbook=12_05.xlsx&amp;sheet=U0&amp;row=1414&amp;col=6&amp;number=4&amp;sourceID=14","4")</f>
        <v>4</v>
      </c>
      <c r="G1414" s="4" t="str">
        <f>HYPERLINK("http://141.218.60.56/~jnz1568/getInfo.php?workbook=12_05.xlsx&amp;sheet=U0&amp;row=1414&amp;col=7&amp;number=9.81e-05&amp;sourceID=14","9.81e-05")</f>
        <v>9.81e-05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HYPERLINK("http://141.218.60.56/~jnz1568/getInfo.php?workbook=12_05.xlsx&amp;sheet=U0&amp;row=1415&amp;col=6&amp;number=4.1&amp;sourceID=14","4.1")</f>
        <v>4.1</v>
      </c>
      <c r="G1415" s="4" t="str">
        <f>HYPERLINK("http://141.218.60.56/~jnz1568/getInfo.php?workbook=12_05.xlsx&amp;sheet=U0&amp;row=1415&amp;col=7&amp;number=9.79e-05&amp;sourceID=14","9.79e-05")</f>
        <v>9.79e-05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HYPERLINK("http://141.218.60.56/~jnz1568/getInfo.php?workbook=12_05.xlsx&amp;sheet=U0&amp;row=1416&amp;col=6&amp;number=4.2&amp;sourceID=14","4.2")</f>
        <v>4.2</v>
      </c>
      <c r="G1416" s="4" t="str">
        <f>HYPERLINK("http://141.218.60.56/~jnz1568/getInfo.php?workbook=12_05.xlsx&amp;sheet=U0&amp;row=1416&amp;col=7&amp;number=9.76e-05&amp;sourceID=14","9.76e-05")</f>
        <v>9.76e-05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HYPERLINK("http://141.218.60.56/~jnz1568/getInfo.php?workbook=12_05.xlsx&amp;sheet=U0&amp;row=1417&amp;col=6&amp;number=4.3&amp;sourceID=14","4.3")</f>
        <v>4.3</v>
      </c>
      <c r="G1417" s="4" t="str">
        <f>HYPERLINK("http://141.218.60.56/~jnz1568/getInfo.php?workbook=12_05.xlsx&amp;sheet=U0&amp;row=1417&amp;col=7&amp;number=9.72e-05&amp;sourceID=14","9.72e-05")</f>
        <v>9.72e-05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HYPERLINK("http://141.218.60.56/~jnz1568/getInfo.php?workbook=12_05.xlsx&amp;sheet=U0&amp;row=1418&amp;col=6&amp;number=4.4&amp;sourceID=14","4.4")</f>
        <v>4.4</v>
      </c>
      <c r="G1418" s="4" t="str">
        <f>HYPERLINK("http://141.218.60.56/~jnz1568/getInfo.php?workbook=12_05.xlsx&amp;sheet=U0&amp;row=1418&amp;col=7&amp;number=9.67e-05&amp;sourceID=14","9.67e-05")</f>
        <v>9.67e-05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HYPERLINK("http://141.218.60.56/~jnz1568/getInfo.php?workbook=12_05.xlsx&amp;sheet=U0&amp;row=1419&amp;col=6&amp;number=4.5&amp;sourceID=14","4.5")</f>
        <v>4.5</v>
      </c>
      <c r="G1419" s="4" t="str">
        <f>HYPERLINK("http://141.218.60.56/~jnz1568/getInfo.php?workbook=12_05.xlsx&amp;sheet=U0&amp;row=1419&amp;col=7&amp;number=9.62e-05&amp;sourceID=14","9.62e-05")</f>
        <v>9.62e-05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HYPERLINK("http://141.218.60.56/~jnz1568/getInfo.php?workbook=12_05.xlsx&amp;sheet=U0&amp;row=1420&amp;col=6&amp;number=4.6&amp;sourceID=14","4.6")</f>
        <v>4.6</v>
      </c>
      <c r="G1420" s="4" t="str">
        <f>HYPERLINK("http://141.218.60.56/~jnz1568/getInfo.php?workbook=12_05.xlsx&amp;sheet=U0&amp;row=1420&amp;col=7&amp;number=9.55e-05&amp;sourceID=14","9.55e-05")</f>
        <v>9.55e-05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HYPERLINK("http://141.218.60.56/~jnz1568/getInfo.php?workbook=12_05.xlsx&amp;sheet=U0&amp;row=1421&amp;col=6&amp;number=4.7&amp;sourceID=14","4.7")</f>
        <v>4.7</v>
      </c>
      <c r="G1421" s="4" t="str">
        <f>HYPERLINK("http://141.218.60.56/~jnz1568/getInfo.php?workbook=12_05.xlsx&amp;sheet=U0&amp;row=1421&amp;col=7&amp;number=9.46e-05&amp;sourceID=14","9.46e-05")</f>
        <v>9.46e-05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HYPERLINK("http://141.218.60.56/~jnz1568/getInfo.php?workbook=12_05.xlsx&amp;sheet=U0&amp;row=1422&amp;col=6&amp;number=4.8&amp;sourceID=14","4.8")</f>
        <v>4.8</v>
      </c>
      <c r="G1422" s="4" t="str">
        <f>HYPERLINK("http://141.218.60.56/~jnz1568/getInfo.php?workbook=12_05.xlsx&amp;sheet=U0&amp;row=1422&amp;col=7&amp;number=9.35e-05&amp;sourceID=14","9.35e-05")</f>
        <v>9.35e-05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HYPERLINK("http://141.218.60.56/~jnz1568/getInfo.php?workbook=12_05.xlsx&amp;sheet=U0&amp;row=1423&amp;col=6&amp;number=4.9&amp;sourceID=14","4.9")</f>
        <v>4.9</v>
      </c>
      <c r="G1423" s="4" t="str">
        <f>HYPERLINK("http://141.218.60.56/~jnz1568/getInfo.php?workbook=12_05.xlsx&amp;sheet=U0&amp;row=1423&amp;col=7&amp;number=9.21e-05&amp;sourceID=14","9.21e-05")</f>
        <v>9.21e-05</v>
      </c>
    </row>
    <row r="1424" spans="1:7">
      <c r="A1424" s="3">
        <v>12</v>
      </c>
      <c r="B1424" s="3">
        <v>5</v>
      </c>
      <c r="C1424" s="3">
        <v>1</v>
      </c>
      <c r="D1424" s="3">
        <v>28</v>
      </c>
      <c r="E1424" s="3">
        <v>1</v>
      </c>
      <c r="F1424" s="4" t="str">
        <f>HYPERLINK("http://141.218.60.56/~jnz1568/getInfo.php?workbook=12_05.xlsx&amp;sheet=U0&amp;row=1424&amp;col=6&amp;number=3&amp;sourceID=14","3")</f>
        <v>3</v>
      </c>
      <c r="G1424" s="4" t="str">
        <f>HYPERLINK("http://141.218.60.56/~jnz1568/getInfo.php?workbook=12_05.xlsx&amp;sheet=U0&amp;row=1424&amp;col=7&amp;number=0.000294&amp;sourceID=14","0.000294")</f>
        <v>0.000294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HYPERLINK("http://141.218.60.56/~jnz1568/getInfo.php?workbook=12_05.xlsx&amp;sheet=U0&amp;row=1425&amp;col=6&amp;number=3.1&amp;sourceID=14","3.1")</f>
        <v>3.1</v>
      </c>
      <c r="G1425" s="4" t="str">
        <f>HYPERLINK("http://141.218.60.56/~jnz1568/getInfo.php?workbook=12_05.xlsx&amp;sheet=U0&amp;row=1425&amp;col=7&amp;number=0.000294&amp;sourceID=14","0.000294")</f>
        <v>0.000294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HYPERLINK("http://141.218.60.56/~jnz1568/getInfo.php?workbook=12_05.xlsx&amp;sheet=U0&amp;row=1426&amp;col=6&amp;number=3.2&amp;sourceID=14","3.2")</f>
        <v>3.2</v>
      </c>
      <c r="G1426" s="4" t="str">
        <f>HYPERLINK("http://141.218.60.56/~jnz1568/getInfo.php?workbook=12_05.xlsx&amp;sheet=U0&amp;row=1426&amp;col=7&amp;number=0.000294&amp;sourceID=14","0.000294")</f>
        <v>0.000294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HYPERLINK("http://141.218.60.56/~jnz1568/getInfo.php?workbook=12_05.xlsx&amp;sheet=U0&amp;row=1427&amp;col=6&amp;number=3.3&amp;sourceID=14","3.3")</f>
        <v>3.3</v>
      </c>
      <c r="G1427" s="4" t="str">
        <f>HYPERLINK("http://141.218.60.56/~jnz1568/getInfo.php?workbook=12_05.xlsx&amp;sheet=U0&amp;row=1427&amp;col=7&amp;number=0.000294&amp;sourceID=14","0.000294")</f>
        <v>0.000294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HYPERLINK("http://141.218.60.56/~jnz1568/getInfo.php?workbook=12_05.xlsx&amp;sheet=U0&amp;row=1428&amp;col=6&amp;number=3.4&amp;sourceID=14","3.4")</f>
        <v>3.4</v>
      </c>
      <c r="G1428" s="4" t="str">
        <f>HYPERLINK("http://141.218.60.56/~jnz1568/getInfo.php?workbook=12_05.xlsx&amp;sheet=U0&amp;row=1428&amp;col=7&amp;number=0.000294&amp;sourceID=14","0.000294")</f>
        <v>0.000294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HYPERLINK("http://141.218.60.56/~jnz1568/getInfo.php?workbook=12_05.xlsx&amp;sheet=U0&amp;row=1429&amp;col=6&amp;number=3.5&amp;sourceID=14","3.5")</f>
        <v>3.5</v>
      </c>
      <c r="G1429" s="4" t="str">
        <f>HYPERLINK("http://141.218.60.56/~jnz1568/getInfo.php?workbook=12_05.xlsx&amp;sheet=U0&amp;row=1429&amp;col=7&amp;number=0.000294&amp;sourceID=14","0.000294")</f>
        <v>0.000294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HYPERLINK("http://141.218.60.56/~jnz1568/getInfo.php?workbook=12_05.xlsx&amp;sheet=U0&amp;row=1430&amp;col=6&amp;number=3.6&amp;sourceID=14","3.6")</f>
        <v>3.6</v>
      </c>
      <c r="G1430" s="4" t="str">
        <f>HYPERLINK("http://141.218.60.56/~jnz1568/getInfo.php?workbook=12_05.xlsx&amp;sheet=U0&amp;row=1430&amp;col=7&amp;number=0.000294&amp;sourceID=14","0.000294")</f>
        <v>0.000294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HYPERLINK("http://141.218.60.56/~jnz1568/getInfo.php?workbook=12_05.xlsx&amp;sheet=U0&amp;row=1431&amp;col=6&amp;number=3.7&amp;sourceID=14","3.7")</f>
        <v>3.7</v>
      </c>
      <c r="G1431" s="4" t="str">
        <f>HYPERLINK("http://141.218.60.56/~jnz1568/getInfo.php?workbook=12_05.xlsx&amp;sheet=U0&amp;row=1431&amp;col=7&amp;number=0.000294&amp;sourceID=14","0.000294")</f>
        <v>0.000294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HYPERLINK("http://141.218.60.56/~jnz1568/getInfo.php?workbook=12_05.xlsx&amp;sheet=U0&amp;row=1432&amp;col=6&amp;number=3.8&amp;sourceID=14","3.8")</f>
        <v>3.8</v>
      </c>
      <c r="G1432" s="4" t="str">
        <f>HYPERLINK("http://141.218.60.56/~jnz1568/getInfo.php?workbook=12_05.xlsx&amp;sheet=U0&amp;row=1432&amp;col=7&amp;number=0.000294&amp;sourceID=14","0.000294")</f>
        <v>0.000294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HYPERLINK("http://141.218.60.56/~jnz1568/getInfo.php?workbook=12_05.xlsx&amp;sheet=U0&amp;row=1433&amp;col=6&amp;number=3.9&amp;sourceID=14","3.9")</f>
        <v>3.9</v>
      </c>
      <c r="G1433" s="4" t="str">
        <f>HYPERLINK("http://141.218.60.56/~jnz1568/getInfo.php?workbook=12_05.xlsx&amp;sheet=U0&amp;row=1433&amp;col=7&amp;number=0.000294&amp;sourceID=14","0.000294")</f>
        <v>0.000294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HYPERLINK("http://141.218.60.56/~jnz1568/getInfo.php?workbook=12_05.xlsx&amp;sheet=U0&amp;row=1434&amp;col=6&amp;number=4&amp;sourceID=14","4")</f>
        <v>4</v>
      </c>
      <c r="G1434" s="4" t="str">
        <f>HYPERLINK("http://141.218.60.56/~jnz1568/getInfo.php?workbook=12_05.xlsx&amp;sheet=U0&amp;row=1434&amp;col=7&amp;number=0.000295&amp;sourceID=14","0.000295")</f>
        <v>0.000295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HYPERLINK("http://141.218.60.56/~jnz1568/getInfo.php?workbook=12_05.xlsx&amp;sheet=U0&amp;row=1435&amp;col=6&amp;number=4.1&amp;sourceID=14","4.1")</f>
        <v>4.1</v>
      </c>
      <c r="G1435" s="4" t="str">
        <f>HYPERLINK("http://141.218.60.56/~jnz1568/getInfo.php?workbook=12_05.xlsx&amp;sheet=U0&amp;row=1435&amp;col=7&amp;number=0.000295&amp;sourceID=14","0.000295")</f>
        <v>0.000295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HYPERLINK("http://141.218.60.56/~jnz1568/getInfo.php?workbook=12_05.xlsx&amp;sheet=U0&amp;row=1436&amp;col=6&amp;number=4.2&amp;sourceID=14","4.2")</f>
        <v>4.2</v>
      </c>
      <c r="G1436" s="4" t="str">
        <f>HYPERLINK("http://141.218.60.56/~jnz1568/getInfo.php?workbook=12_05.xlsx&amp;sheet=U0&amp;row=1436&amp;col=7&amp;number=0.000296&amp;sourceID=14","0.000296")</f>
        <v>0.000296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HYPERLINK("http://141.218.60.56/~jnz1568/getInfo.php?workbook=12_05.xlsx&amp;sheet=U0&amp;row=1437&amp;col=6&amp;number=4.3&amp;sourceID=14","4.3")</f>
        <v>4.3</v>
      </c>
      <c r="G1437" s="4" t="str">
        <f>HYPERLINK("http://141.218.60.56/~jnz1568/getInfo.php?workbook=12_05.xlsx&amp;sheet=U0&amp;row=1437&amp;col=7&amp;number=0.000296&amp;sourceID=14","0.000296")</f>
        <v>0.000296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HYPERLINK("http://141.218.60.56/~jnz1568/getInfo.php?workbook=12_05.xlsx&amp;sheet=U0&amp;row=1438&amp;col=6&amp;number=4.4&amp;sourceID=14","4.4")</f>
        <v>4.4</v>
      </c>
      <c r="G1438" s="4" t="str">
        <f>HYPERLINK("http://141.218.60.56/~jnz1568/getInfo.php?workbook=12_05.xlsx&amp;sheet=U0&amp;row=1438&amp;col=7&amp;number=0.000297&amp;sourceID=14","0.000297")</f>
        <v>0.000297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HYPERLINK("http://141.218.60.56/~jnz1568/getInfo.php?workbook=12_05.xlsx&amp;sheet=U0&amp;row=1439&amp;col=6&amp;number=4.5&amp;sourceID=14","4.5")</f>
        <v>4.5</v>
      </c>
      <c r="G1439" s="4" t="str">
        <f>HYPERLINK("http://141.218.60.56/~jnz1568/getInfo.php?workbook=12_05.xlsx&amp;sheet=U0&amp;row=1439&amp;col=7&amp;number=0.000298&amp;sourceID=14","0.000298")</f>
        <v>0.000298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HYPERLINK("http://141.218.60.56/~jnz1568/getInfo.php?workbook=12_05.xlsx&amp;sheet=U0&amp;row=1440&amp;col=6&amp;number=4.6&amp;sourceID=14","4.6")</f>
        <v>4.6</v>
      </c>
      <c r="G1440" s="4" t="str">
        <f>HYPERLINK("http://141.218.60.56/~jnz1568/getInfo.php?workbook=12_05.xlsx&amp;sheet=U0&amp;row=1440&amp;col=7&amp;number=0.000299&amp;sourceID=14","0.000299")</f>
        <v>0.000299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HYPERLINK("http://141.218.60.56/~jnz1568/getInfo.php?workbook=12_05.xlsx&amp;sheet=U0&amp;row=1441&amp;col=6&amp;number=4.7&amp;sourceID=14","4.7")</f>
        <v>4.7</v>
      </c>
      <c r="G1441" s="4" t="str">
        <f>HYPERLINK("http://141.218.60.56/~jnz1568/getInfo.php?workbook=12_05.xlsx&amp;sheet=U0&amp;row=1441&amp;col=7&amp;number=0.0003&amp;sourceID=14","0.0003")</f>
        <v>0.0003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HYPERLINK("http://141.218.60.56/~jnz1568/getInfo.php?workbook=12_05.xlsx&amp;sheet=U0&amp;row=1442&amp;col=6&amp;number=4.8&amp;sourceID=14","4.8")</f>
        <v>4.8</v>
      </c>
      <c r="G1442" s="4" t="str">
        <f>HYPERLINK("http://141.218.60.56/~jnz1568/getInfo.php?workbook=12_05.xlsx&amp;sheet=U0&amp;row=1442&amp;col=7&amp;number=0.000302&amp;sourceID=14","0.000302")</f>
        <v>0.000302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HYPERLINK("http://141.218.60.56/~jnz1568/getInfo.php?workbook=12_05.xlsx&amp;sheet=U0&amp;row=1443&amp;col=6&amp;number=4.9&amp;sourceID=14","4.9")</f>
        <v>4.9</v>
      </c>
      <c r="G1443" s="4" t="str">
        <f>HYPERLINK("http://141.218.60.56/~jnz1568/getInfo.php?workbook=12_05.xlsx&amp;sheet=U0&amp;row=1443&amp;col=7&amp;number=0.000304&amp;sourceID=14","0.000304")</f>
        <v>0.000304</v>
      </c>
    </row>
    <row r="1444" spans="1:7">
      <c r="A1444" s="3">
        <v>12</v>
      </c>
      <c r="B1444" s="3">
        <v>5</v>
      </c>
      <c r="C1444" s="3">
        <v>1</v>
      </c>
      <c r="D1444" s="3">
        <v>29</v>
      </c>
      <c r="E1444" s="3">
        <v>1</v>
      </c>
      <c r="F1444" s="4" t="str">
        <f>HYPERLINK("http://141.218.60.56/~jnz1568/getInfo.php?workbook=12_05.xlsx&amp;sheet=U0&amp;row=1444&amp;col=6&amp;number=3&amp;sourceID=14","3")</f>
        <v>3</v>
      </c>
      <c r="G1444" s="4" t="str">
        <f>HYPERLINK("http://141.218.60.56/~jnz1568/getInfo.php?workbook=12_05.xlsx&amp;sheet=U0&amp;row=1444&amp;col=7&amp;number=0.00122&amp;sourceID=14","0.00122")</f>
        <v>0.00122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HYPERLINK("http://141.218.60.56/~jnz1568/getInfo.php?workbook=12_05.xlsx&amp;sheet=U0&amp;row=1445&amp;col=6&amp;number=3.1&amp;sourceID=14","3.1")</f>
        <v>3.1</v>
      </c>
      <c r="G1445" s="4" t="str">
        <f>HYPERLINK("http://141.218.60.56/~jnz1568/getInfo.php?workbook=12_05.xlsx&amp;sheet=U0&amp;row=1445&amp;col=7&amp;number=0.00122&amp;sourceID=14","0.00122")</f>
        <v>0.00122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HYPERLINK("http://141.218.60.56/~jnz1568/getInfo.php?workbook=12_05.xlsx&amp;sheet=U0&amp;row=1446&amp;col=6&amp;number=3.2&amp;sourceID=14","3.2")</f>
        <v>3.2</v>
      </c>
      <c r="G1446" s="4" t="str">
        <f>HYPERLINK("http://141.218.60.56/~jnz1568/getInfo.php?workbook=12_05.xlsx&amp;sheet=U0&amp;row=1446&amp;col=7&amp;number=0.00122&amp;sourceID=14","0.00122")</f>
        <v>0.00122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HYPERLINK("http://141.218.60.56/~jnz1568/getInfo.php?workbook=12_05.xlsx&amp;sheet=U0&amp;row=1447&amp;col=6&amp;number=3.3&amp;sourceID=14","3.3")</f>
        <v>3.3</v>
      </c>
      <c r="G1447" s="4" t="str">
        <f>HYPERLINK("http://141.218.60.56/~jnz1568/getInfo.php?workbook=12_05.xlsx&amp;sheet=U0&amp;row=1447&amp;col=7&amp;number=0.00123&amp;sourceID=14","0.00123")</f>
        <v>0.00123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HYPERLINK("http://141.218.60.56/~jnz1568/getInfo.php?workbook=12_05.xlsx&amp;sheet=U0&amp;row=1448&amp;col=6&amp;number=3.4&amp;sourceID=14","3.4")</f>
        <v>3.4</v>
      </c>
      <c r="G1448" s="4" t="str">
        <f>HYPERLINK("http://141.218.60.56/~jnz1568/getInfo.php?workbook=12_05.xlsx&amp;sheet=U0&amp;row=1448&amp;col=7&amp;number=0.00123&amp;sourceID=14","0.00123")</f>
        <v>0.00123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HYPERLINK("http://141.218.60.56/~jnz1568/getInfo.php?workbook=12_05.xlsx&amp;sheet=U0&amp;row=1449&amp;col=6&amp;number=3.5&amp;sourceID=14","3.5")</f>
        <v>3.5</v>
      </c>
      <c r="G1449" s="4" t="str">
        <f>HYPERLINK("http://141.218.60.56/~jnz1568/getInfo.php?workbook=12_05.xlsx&amp;sheet=U0&amp;row=1449&amp;col=7&amp;number=0.00123&amp;sourceID=14","0.00123")</f>
        <v>0.00123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HYPERLINK("http://141.218.60.56/~jnz1568/getInfo.php?workbook=12_05.xlsx&amp;sheet=U0&amp;row=1450&amp;col=6&amp;number=3.6&amp;sourceID=14","3.6")</f>
        <v>3.6</v>
      </c>
      <c r="G1450" s="4" t="str">
        <f>HYPERLINK("http://141.218.60.56/~jnz1568/getInfo.php?workbook=12_05.xlsx&amp;sheet=U0&amp;row=1450&amp;col=7&amp;number=0.00123&amp;sourceID=14","0.00123")</f>
        <v>0.00123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HYPERLINK("http://141.218.60.56/~jnz1568/getInfo.php?workbook=12_05.xlsx&amp;sheet=U0&amp;row=1451&amp;col=6&amp;number=3.7&amp;sourceID=14","3.7")</f>
        <v>3.7</v>
      </c>
      <c r="G1451" s="4" t="str">
        <f>HYPERLINK("http://141.218.60.56/~jnz1568/getInfo.php?workbook=12_05.xlsx&amp;sheet=U0&amp;row=1451&amp;col=7&amp;number=0.00123&amp;sourceID=14","0.00123")</f>
        <v>0.00123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HYPERLINK("http://141.218.60.56/~jnz1568/getInfo.php?workbook=12_05.xlsx&amp;sheet=U0&amp;row=1452&amp;col=6&amp;number=3.8&amp;sourceID=14","3.8")</f>
        <v>3.8</v>
      </c>
      <c r="G1452" s="4" t="str">
        <f>HYPERLINK("http://141.218.60.56/~jnz1568/getInfo.php?workbook=12_05.xlsx&amp;sheet=U0&amp;row=1452&amp;col=7&amp;number=0.00123&amp;sourceID=14","0.00123")</f>
        <v>0.00123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HYPERLINK("http://141.218.60.56/~jnz1568/getInfo.php?workbook=12_05.xlsx&amp;sheet=U0&amp;row=1453&amp;col=6&amp;number=3.9&amp;sourceID=14","3.9")</f>
        <v>3.9</v>
      </c>
      <c r="G1453" s="4" t="str">
        <f>HYPERLINK("http://141.218.60.56/~jnz1568/getInfo.php?workbook=12_05.xlsx&amp;sheet=U0&amp;row=1453&amp;col=7&amp;number=0.00123&amp;sourceID=14","0.00123")</f>
        <v>0.00123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HYPERLINK("http://141.218.60.56/~jnz1568/getInfo.php?workbook=12_05.xlsx&amp;sheet=U0&amp;row=1454&amp;col=6&amp;number=4&amp;sourceID=14","4")</f>
        <v>4</v>
      </c>
      <c r="G1454" s="4" t="str">
        <f>HYPERLINK("http://141.218.60.56/~jnz1568/getInfo.php?workbook=12_05.xlsx&amp;sheet=U0&amp;row=1454&amp;col=7&amp;number=0.00123&amp;sourceID=14","0.00123")</f>
        <v>0.00123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HYPERLINK("http://141.218.60.56/~jnz1568/getInfo.php?workbook=12_05.xlsx&amp;sheet=U0&amp;row=1455&amp;col=6&amp;number=4.1&amp;sourceID=14","4.1")</f>
        <v>4.1</v>
      </c>
      <c r="G1455" s="4" t="str">
        <f>HYPERLINK("http://141.218.60.56/~jnz1568/getInfo.php?workbook=12_05.xlsx&amp;sheet=U0&amp;row=1455&amp;col=7&amp;number=0.00123&amp;sourceID=14","0.00123")</f>
        <v>0.00123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HYPERLINK("http://141.218.60.56/~jnz1568/getInfo.php?workbook=12_05.xlsx&amp;sheet=U0&amp;row=1456&amp;col=6&amp;number=4.2&amp;sourceID=14","4.2")</f>
        <v>4.2</v>
      </c>
      <c r="G1456" s="4" t="str">
        <f>HYPERLINK("http://141.218.60.56/~jnz1568/getInfo.php?workbook=12_05.xlsx&amp;sheet=U0&amp;row=1456&amp;col=7&amp;number=0.00124&amp;sourceID=14","0.00124")</f>
        <v>0.00124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HYPERLINK("http://141.218.60.56/~jnz1568/getInfo.php?workbook=12_05.xlsx&amp;sheet=U0&amp;row=1457&amp;col=6&amp;number=4.3&amp;sourceID=14","4.3")</f>
        <v>4.3</v>
      </c>
      <c r="G1457" s="4" t="str">
        <f>HYPERLINK("http://141.218.60.56/~jnz1568/getInfo.php?workbook=12_05.xlsx&amp;sheet=U0&amp;row=1457&amp;col=7&amp;number=0.00124&amp;sourceID=14","0.00124")</f>
        <v>0.00124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HYPERLINK("http://141.218.60.56/~jnz1568/getInfo.php?workbook=12_05.xlsx&amp;sheet=U0&amp;row=1458&amp;col=6&amp;number=4.4&amp;sourceID=14","4.4")</f>
        <v>4.4</v>
      </c>
      <c r="G1458" s="4" t="str">
        <f>HYPERLINK("http://141.218.60.56/~jnz1568/getInfo.php?workbook=12_05.xlsx&amp;sheet=U0&amp;row=1458&amp;col=7&amp;number=0.00124&amp;sourceID=14","0.00124")</f>
        <v>0.00124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HYPERLINK("http://141.218.60.56/~jnz1568/getInfo.php?workbook=12_05.xlsx&amp;sheet=U0&amp;row=1459&amp;col=6&amp;number=4.5&amp;sourceID=14","4.5")</f>
        <v>4.5</v>
      </c>
      <c r="G1459" s="4" t="str">
        <f>HYPERLINK("http://141.218.60.56/~jnz1568/getInfo.php?workbook=12_05.xlsx&amp;sheet=U0&amp;row=1459&amp;col=7&amp;number=0.00125&amp;sourceID=14","0.00125")</f>
        <v>0.00125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HYPERLINK("http://141.218.60.56/~jnz1568/getInfo.php?workbook=12_05.xlsx&amp;sheet=U0&amp;row=1460&amp;col=6&amp;number=4.6&amp;sourceID=14","4.6")</f>
        <v>4.6</v>
      </c>
      <c r="G1460" s="4" t="str">
        <f>HYPERLINK("http://141.218.60.56/~jnz1568/getInfo.php?workbook=12_05.xlsx&amp;sheet=U0&amp;row=1460&amp;col=7&amp;number=0.00125&amp;sourceID=14","0.00125")</f>
        <v>0.00125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HYPERLINK("http://141.218.60.56/~jnz1568/getInfo.php?workbook=12_05.xlsx&amp;sheet=U0&amp;row=1461&amp;col=6&amp;number=4.7&amp;sourceID=14","4.7")</f>
        <v>4.7</v>
      </c>
      <c r="G1461" s="4" t="str">
        <f>HYPERLINK("http://141.218.60.56/~jnz1568/getInfo.php?workbook=12_05.xlsx&amp;sheet=U0&amp;row=1461&amp;col=7&amp;number=0.00126&amp;sourceID=14","0.00126")</f>
        <v>0.00126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HYPERLINK("http://141.218.60.56/~jnz1568/getInfo.php?workbook=12_05.xlsx&amp;sheet=U0&amp;row=1462&amp;col=6&amp;number=4.8&amp;sourceID=14","4.8")</f>
        <v>4.8</v>
      </c>
      <c r="G1462" s="4" t="str">
        <f>HYPERLINK("http://141.218.60.56/~jnz1568/getInfo.php?workbook=12_05.xlsx&amp;sheet=U0&amp;row=1462&amp;col=7&amp;number=0.00127&amp;sourceID=14","0.00127")</f>
        <v>0.00127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HYPERLINK("http://141.218.60.56/~jnz1568/getInfo.php?workbook=12_05.xlsx&amp;sheet=U0&amp;row=1463&amp;col=6&amp;number=4.9&amp;sourceID=14","4.9")</f>
        <v>4.9</v>
      </c>
      <c r="G1463" s="4" t="str">
        <f>HYPERLINK("http://141.218.60.56/~jnz1568/getInfo.php?workbook=12_05.xlsx&amp;sheet=U0&amp;row=1463&amp;col=7&amp;number=0.00128&amp;sourceID=14","0.00128")</f>
        <v>0.00128</v>
      </c>
    </row>
    <row r="1464" spans="1:7">
      <c r="A1464" s="3">
        <v>12</v>
      </c>
      <c r="B1464" s="3">
        <v>5</v>
      </c>
      <c r="C1464" s="3">
        <v>1</v>
      </c>
      <c r="D1464" s="3">
        <v>30</v>
      </c>
      <c r="E1464" s="3">
        <v>1</v>
      </c>
      <c r="F1464" s="4" t="str">
        <f>HYPERLINK("http://141.218.60.56/~jnz1568/getInfo.php?workbook=12_05.xlsx&amp;sheet=U0&amp;row=1464&amp;col=6&amp;number=3&amp;sourceID=14","3")</f>
        <v>3</v>
      </c>
      <c r="G1464" s="4" t="str">
        <f>HYPERLINK("http://141.218.60.56/~jnz1568/getInfo.php?workbook=12_05.xlsx&amp;sheet=U0&amp;row=1464&amp;col=7&amp;number=0.000455&amp;sourceID=14","0.000455")</f>
        <v>0.000455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HYPERLINK("http://141.218.60.56/~jnz1568/getInfo.php?workbook=12_05.xlsx&amp;sheet=U0&amp;row=1465&amp;col=6&amp;number=3.1&amp;sourceID=14","3.1")</f>
        <v>3.1</v>
      </c>
      <c r="G1465" s="4" t="str">
        <f>HYPERLINK("http://141.218.60.56/~jnz1568/getInfo.php?workbook=12_05.xlsx&amp;sheet=U0&amp;row=1465&amp;col=7&amp;number=0.000455&amp;sourceID=14","0.000455")</f>
        <v>0.000455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HYPERLINK("http://141.218.60.56/~jnz1568/getInfo.php?workbook=12_05.xlsx&amp;sheet=U0&amp;row=1466&amp;col=6&amp;number=3.2&amp;sourceID=14","3.2")</f>
        <v>3.2</v>
      </c>
      <c r="G1466" s="4" t="str">
        <f>HYPERLINK("http://141.218.60.56/~jnz1568/getInfo.php?workbook=12_05.xlsx&amp;sheet=U0&amp;row=1466&amp;col=7&amp;number=0.000455&amp;sourceID=14","0.000455")</f>
        <v>0.000455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HYPERLINK("http://141.218.60.56/~jnz1568/getInfo.php?workbook=12_05.xlsx&amp;sheet=U0&amp;row=1467&amp;col=6&amp;number=3.3&amp;sourceID=14","3.3")</f>
        <v>3.3</v>
      </c>
      <c r="G1467" s="4" t="str">
        <f>HYPERLINK("http://141.218.60.56/~jnz1568/getInfo.php?workbook=12_05.xlsx&amp;sheet=U0&amp;row=1467&amp;col=7&amp;number=0.000455&amp;sourceID=14","0.000455")</f>
        <v>0.000455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HYPERLINK("http://141.218.60.56/~jnz1568/getInfo.php?workbook=12_05.xlsx&amp;sheet=U0&amp;row=1468&amp;col=6&amp;number=3.4&amp;sourceID=14","3.4")</f>
        <v>3.4</v>
      </c>
      <c r="G1468" s="4" t="str">
        <f>HYPERLINK("http://141.218.60.56/~jnz1568/getInfo.php?workbook=12_05.xlsx&amp;sheet=U0&amp;row=1468&amp;col=7&amp;number=0.000455&amp;sourceID=14","0.000455")</f>
        <v>0.000455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HYPERLINK("http://141.218.60.56/~jnz1568/getInfo.php?workbook=12_05.xlsx&amp;sheet=U0&amp;row=1469&amp;col=6&amp;number=3.5&amp;sourceID=14","3.5")</f>
        <v>3.5</v>
      </c>
      <c r="G1469" s="4" t="str">
        <f>HYPERLINK("http://141.218.60.56/~jnz1568/getInfo.php?workbook=12_05.xlsx&amp;sheet=U0&amp;row=1469&amp;col=7&amp;number=0.000456&amp;sourceID=14","0.000456")</f>
        <v>0.000456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HYPERLINK("http://141.218.60.56/~jnz1568/getInfo.php?workbook=12_05.xlsx&amp;sheet=U0&amp;row=1470&amp;col=6&amp;number=3.6&amp;sourceID=14","3.6")</f>
        <v>3.6</v>
      </c>
      <c r="G1470" s="4" t="str">
        <f>HYPERLINK("http://141.218.60.56/~jnz1568/getInfo.php?workbook=12_05.xlsx&amp;sheet=U0&amp;row=1470&amp;col=7&amp;number=0.000456&amp;sourceID=14","0.000456")</f>
        <v>0.000456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HYPERLINK("http://141.218.60.56/~jnz1568/getInfo.php?workbook=12_05.xlsx&amp;sheet=U0&amp;row=1471&amp;col=6&amp;number=3.7&amp;sourceID=14","3.7")</f>
        <v>3.7</v>
      </c>
      <c r="G1471" s="4" t="str">
        <f>HYPERLINK("http://141.218.60.56/~jnz1568/getInfo.php?workbook=12_05.xlsx&amp;sheet=U0&amp;row=1471&amp;col=7&amp;number=0.000456&amp;sourceID=14","0.000456")</f>
        <v>0.000456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HYPERLINK("http://141.218.60.56/~jnz1568/getInfo.php?workbook=12_05.xlsx&amp;sheet=U0&amp;row=1472&amp;col=6&amp;number=3.8&amp;sourceID=14","3.8")</f>
        <v>3.8</v>
      </c>
      <c r="G1472" s="4" t="str">
        <f>HYPERLINK("http://141.218.60.56/~jnz1568/getInfo.php?workbook=12_05.xlsx&amp;sheet=U0&amp;row=1472&amp;col=7&amp;number=0.000456&amp;sourceID=14","0.000456")</f>
        <v>0.000456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HYPERLINK("http://141.218.60.56/~jnz1568/getInfo.php?workbook=12_05.xlsx&amp;sheet=U0&amp;row=1473&amp;col=6&amp;number=3.9&amp;sourceID=14","3.9")</f>
        <v>3.9</v>
      </c>
      <c r="G1473" s="4" t="str">
        <f>HYPERLINK("http://141.218.60.56/~jnz1568/getInfo.php?workbook=12_05.xlsx&amp;sheet=U0&amp;row=1473&amp;col=7&amp;number=0.000456&amp;sourceID=14","0.000456")</f>
        <v>0.000456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HYPERLINK("http://141.218.60.56/~jnz1568/getInfo.php?workbook=12_05.xlsx&amp;sheet=U0&amp;row=1474&amp;col=6&amp;number=4&amp;sourceID=14","4")</f>
        <v>4</v>
      </c>
      <c r="G1474" s="4" t="str">
        <f>HYPERLINK("http://141.218.60.56/~jnz1568/getInfo.php?workbook=12_05.xlsx&amp;sheet=U0&amp;row=1474&amp;col=7&amp;number=0.000457&amp;sourceID=14","0.000457")</f>
        <v>0.000457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HYPERLINK("http://141.218.60.56/~jnz1568/getInfo.php?workbook=12_05.xlsx&amp;sheet=U0&amp;row=1475&amp;col=6&amp;number=4.1&amp;sourceID=14","4.1")</f>
        <v>4.1</v>
      </c>
      <c r="G1475" s="4" t="str">
        <f>HYPERLINK("http://141.218.60.56/~jnz1568/getInfo.php?workbook=12_05.xlsx&amp;sheet=U0&amp;row=1475&amp;col=7&amp;number=0.000457&amp;sourceID=14","0.000457")</f>
        <v>0.000457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HYPERLINK("http://141.218.60.56/~jnz1568/getInfo.php?workbook=12_05.xlsx&amp;sheet=U0&amp;row=1476&amp;col=6&amp;number=4.2&amp;sourceID=14","4.2")</f>
        <v>4.2</v>
      </c>
      <c r="G1476" s="4" t="str">
        <f>HYPERLINK("http://141.218.60.56/~jnz1568/getInfo.php?workbook=12_05.xlsx&amp;sheet=U0&amp;row=1476&amp;col=7&amp;number=0.000458&amp;sourceID=14","0.000458")</f>
        <v>0.000458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HYPERLINK("http://141.218.60.56/~jnz1568/getInfo.php?workbook=12_05.xlsx&amp;sheet=U0&amp;row=1477&amp;col=6&amp;number=4.3&amp;sourceID=14","4.3")</f>
        <v>4.3</v>
      </c>
      <c r="G1477" s="4" t="str">
        <f>HYPERLINK("http://141.218.60.56/~jnz1568/getInfo.php?workbook=12_05.xlsx&amp;sheet=U0&amp;row=1477&amp;col=7&amp;number=0.000459&amp;sourceID=14","0.000459")</f>
        <v>0.000459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HYPERLINK("http://141.218.60.56/~jnz1568/getInfo.php?workbook=12_05.xlsx&amp;sheet=U0&amp;row=1478&amp;col=6&amp;number=4.4&amp;sourceID=14","4.4")</f>
        <v>4.4</v>
      </c>
      <c r="G1478" s="4" t="str">
        <f>HYPERLINK("http://141.218.60.56/~jnz1568/getInfo.php?workbook=12_05.xlsx&amp;sheet=U0&amp;row=1478&amp;col=7&amp;number=0.000459&amp;sourceID=14","0.000459")</f>
        <v>0.000459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HYPERLINK("http://141.218.60.56/~jnz1568/getInfo.php?workbook=12_05.xlsx&amp;sheet=U0&amp;row=1479&amp;col=6&amp;number=4.5&amp;sourceID=14","4.5")</f>
        <v>4.5</v>
      </c>
      <c r="G1479" s="4" t="str">
        <f>HYPERLINK("http://141.218.60.56/~jnz1568/getInfo.php?workbook=12_05.xlsx&amp;sheet=U0&amp;row=1479&amp;col=7&amp;number=0.000461&amp;sourceID=14","0.000461")</f>
        <v>0.000461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HYPERLINK("http://141.218.60.56/~jnz1568/getInfo.php?workbook=12_05.xlsx&amp;sheet=U0&amp;row=1480&amp;col=6&amp;number=4.6&amp;sourceID=14","4.6")</f>
        <v>4.6</v>
      </c>
      <c r="G1480" s="4" t="str">
        <f>HYPERLINK("http://141.218.60.56/~jnz1568/getInfo.php?workbook=12_05.xlsx&amp;sheet=U0&amp;row=1480&amp;col=7&amp;number=0.000462&amp;sourceID=14","0.000462")</f>
        <v>0.000462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HYPERLINK("http://141.218.60.56/~jnz1568/getInfo.php?workbook=12_05.xlsx&amp;sheet=U0&amp;row=1481&amp;col=6&amp;number=4.7&amp;sourceID=14","4.7")</f>
        <v>4.7</v>
      </c>
      <c r="G1481" s="4" t="str">
        <f>HYPERLINK("http://141.218.60.56/~jnz1568/getInfo.php?workbook=12_05.xlsx&amp;sheet=U0&amp;row=1481&amp;col=7&amp;number=0.000464&amp;sourceID=14","0.000464")</f>
        <v>0.000464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HYPERLINK("http://141.218.60.56/~jnz1568/getInfo.php?workbook=12_05.xlsx&amp;sheet=U0&amp;row=1482&amp;col=6&amp;number=4.8&amp;sourceID=14","4.8")</f>
        <v>4.8</v>
      </c>
      <c r="G1482" s="4" t="str">
        <f>HYPERLINK("http://141.218.60.56/~jnz1568/getInfo.php?workbook=12_05.xlsx&amp;sheet=U0&amp;row=1482&amp;col=7&amp;number=0.000466&amp;sourceID=14","0.000466")</f>
        <v>0.000466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HYPERLINK("http://141.218.60.56/~jnz1568/getInfo.php?workbook=12_05.xlsx&amp;sheet=U0&amp;row=1483&amp;col=6&amp;number=4.9&amp;sourceID=14","4.9")</f>
        <v>4.9</v>
      </c>
      <c r="G1483" s="4" t="str">
        <f>HYPERLINK("http://141.218.60.56/~jnz1568/getInfo.php?workbook=12_05.xlsx&amp;sheet=U0&amp;row=1483&amp;col=7&amp;number=0.000469&amp;sourceID=14","0.000469")</f>
        <v>0.000469</v>
      </c>
    </row>
    <row r="1484" spans="1:7">
      <c r="A1484" s="3">
        <v>12</v>
      </c>
      <c r="B1484" s="3">
        <v>5</v>
      </c>
      <c r="C1484" s="3">
        <v>1</v>
      </c>
      <c r="D1484" s="3">
        <v>31</v>
      </c>
      <c r="E1484" s="3">
        <v>1</v>
      </c>
      <c r="F1484" s="4" t="str">
        <f>HYPERLINK("http://141.218.60.56/~jnz1568/getInfo.php?workbook=12_05.xlsx&amp;sheet=U0&amp;row=1484&amp;col=6&amp;number=3&amp;sourceID=14","3")</f>
        <v>3</v>
      </c>
      <c r="G1484" s="4" t="str">
        <f>HYPERLINK("http://141.218.60.56/~jnz1568/getInfo.php?workbook=12_05.xlsx&amp;sheet=U0&amp;row=1484&amp;col=7&amp;number=0.215&amp;sourceID=14","0.215")</f>
        <v>0.215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HYPERLINK("http://141.218.60.56/~jnz1568/getInfo.php?workbook=12_05.xlsx&amp;sheet=U0&amp;row=1485&amp;col=6&amp;number=3.1&amp;sourceID=14","3.1")</f>
        <v>3.1</v>
      </c>
      <c r="G1485" s="4" t="str">
        <f>HYPERLINK("http://141.218.60.56/~jnz1568/getInfo.php?workbook=12_05.xlsx&amp;sheet=U0&amp;row=1485&amp;col=7&amp;number=0.215&amp;sourceID=14","0.215")</f>
        <v>0.215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HYPERLINK("http://141.218.60.56/~jnz1568/getInfo.php?workbook=12_05.xlsx&amp;sheet=U0&amp;row=1486&amp;col=6&amp;number=3.2&amp;sourceID=14","3.2")</f>
        <v>3.2</v>
      </c>
      <c r="G1486" s="4" t="str">
        <f>HYPERLINK("http://141.218.60.56/~jnz1568/getInfo.php?workbook=12_05.xlsx&amp;sheet=U0&amp;row=1486&amp;col=7&amp;number=0.215&amp;sourceID=14","0.215")</f>
        <v>0.215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HYPERLINK("http://141.218.60.56/~jnz1568/getInfo.php?workbook=12_05.xlsx&amp;sheet=U0&amp;row=1487&amp;col=6&amp;number=3.3&amp;sourceID=14","3.3")</f>
        <v>3.3</v>
      </c>
      <c r="G1487" s="4" t="str">
        <f>HYPERLINK("http://141.218.60.56/~jnz1568/getInfo.php?workbook=12_05.xlsx&amp;sheet=U0&amp;row=1487&amp;col=7&amp;number=0.215&amp;sourceID=14","0.215")</f>
        <v>0.215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HYPERLINK("http://141.218.60.56/~jnz1568/getInfo.php?workbook=12_05.xlsx&amp;sheet=U0&amp;row=1488&amp;col=6&amp;number=3.4&amp;sourceID=14","3.4")</f>
        <v>3.4</v>
      </c>
      <c r="G1488" s="4" t="str">
        <f>HYPERLINK("http://141.218.60.56/~jnz1568/getInfo.php?workbook=12_05.xlsx&amp;sheet=U0&amp;row=1488&amp;col=7&amp;number=0.216&amp;sourceID=14","0.216")</f>
        <v>0.216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HYPERLINK("http://141.218.60.56/~jnz1568/getInfo.php?workbook=12_05.xlsx&amp;sheet=U0&amp;row=1489&amp;col=6&amp;number=3.5&amp;sourceID=14","3.5")</f>
        <v>3.5</v>
      </c>
      <c r="G1489" s="4" t="str">
        <f>HYPERLINK("http://141.218.60.56/~jnz1568/getInfo.php?workbook=12_05.xlsx&amp;sheet=U0&amp;row=1489&amp;col=7&amp;number=0.216&amp;sourceID=14","0.216")</f>
        <v>0.216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HYPERLINK("http://141.218.60.56/~jnz1568/getInfo.php?workbook=12_05.xlsx&amp;sheet=U0&amp;row=1490&amp;col=6&amp;number=3.6&amp;sourceID=14","3.6")</f>
        <v>3.6</v>
      </c>
      <c r="G1490" s="4" t="str">
        <f>HYPERLINK("http://141.218.60.56/~jnz1568/getInfo.php?workbook=12_05.xlsx&amp;sheet=U0&amp;row=1490&amp;col=7&amp;number=0.216&amp;sourceID=14","0.216")</f>
        <v>0.216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HYPERLINK("http://141.218.60.56/~jnz1568/getInfo.php?workbook=12_05.xlsx&amp;sheet=U0&amp;row=1491&amp;col=6&amp;number=3.7&amp;sourceID=14","3.7")</f>
        <v>3.7</v>
      </c>
      <c r="G1491" s="4" t="str">
        <f>HYPERLINK("http://141.218.60.56/~jnz1568/getInfo.php?workbook=12_05.xlsx&amp;sheet=U0&amp;row=1491&amp;col=7&amp;number=0.216&amp;sourceID=14","0.216")</f>
        <v>0.216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HYPERLINK("http://141.218.60.56/~jnz1568/getInfo.php?workbook=12_05.xlsx&amp;sheet=U0&amp;row=1492&amp;col=6&amp;number=3.8&amp;sourceID=14","3.8")</f>
        <v>3.8</v>
      </c>
      <c r="G1492" s="4" t="str">
        <f>HYPERLINK("http://141.218.60.56/~jnz1568/getInfo.php?workbook=12_05.xlsx&amp;sheet=U0&amp;row=1492&amp;col=7&amp;number=0.216&amp;sourceID=14","0.216")</f>
        <v>0.216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HYPERLINK("http://141.218.60.56/~jnz1568/getInfo.php?workbook=12_05.xlsx&amp;sheet=U0&amp;row=1493&amp;col=6&amp;number=3.9&amp;sourceID=14","3.9")</f>
        <v>3.9</v>
      </c>
      <c r="G1493" s="4" t="str">
        <f>HYPERLINK("http://141.218.60.56/~jnz1568/getInfo.php?workbook=12_05.xlsx&amp;sheet=U0&amp;row=1493&amp;col=7&amp;number=0.216&amp;sourceID=14","0.216")</f>
        <v>0.216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HYPERLINK("http://141.218.60.56/~jnz1568/getInfo.php?workbook=12_05.xlsx&amp;sheet=U0&amp;row=1494&amp;col=6&amp;number=4&amp;sourceID=14","4")</f>
        <v>4</v>
      </c>
      <c r="G1494" s="4" t="str">
        <f>HYPERLINK("http://141.218.60.56/~jnz1568/getInfo.php?workbook=12_05.xlsx&amp;sheet=U0&amp;row=1494&amp;col=7&amp;number=0.217&amp;sourceID=14","0.217")</f>
        <v>0.217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HYPERLINK("http://141.218.60.56/~jnz1568/getInfo.php?workbook=12_05.xlsx&amp;sheet=U0&amp;row=1495&amp;col=6&amp;number=4.1&amp;sourceID=14","4.1")</f>
        <v>4.1</v>
      </c>
      <c r="G1495" s="4" t="str">
        <f>HYPERLINK("http://141.218.60.56/~jnz1568/getInfo.php?workbook=12_05.xlsx&amp;sheet=U0&amp;row=1495&amp;col=7&amp;number=0.217&amp;sourceID=14","0.217")</f>
        <v>0.217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HYPERLINK("http://141.218.60.56/~jnz1568/getInfo.php?workbook=12_05.xlsx&amp;sheet=U0&amp;row=1496&amp;col=6&amp;number=4.2&amp;sourceID=14","4.2")</f>
        <v>4.2</v>
      </c>
      <c r="G1496" s="4" t="str">
        <f>HYPERLINK("http://141.218.60.56/~jnz1568/getInfo.php?workbook=12_05.xlsx&amp;sheet=U0&amp;row=1496&amp;col=7&amp;number=0.217&amp;sourceID=14","0.217")</f>
        <v>0.217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HYPERLINK("http://141.218.60.56/~jnz1568/getInfo.php?workbook=12_05.xlsx&amp;sheet=U0&amp;row=1497&amp;col=6&amp;number=4.3&amp;sourceID=14","4.3")</f>
        <v>4.3</v>
      </c>
      <c r="G1497" s="4" t="str">
        <f>HYPERLINK("http://141.218.60.56/~jnz1568/getInfo.php?workbook=12_05.xlsx&amp;sheet=U0&amp;row=1497&amp;col=7&amp;number=0.218&amp;sourceID=14","0.218")</f>
        <v>0.218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HYPERLINK("http://141.218.60.56/~jnz1568/getInfo.php?workbook=12_05.xlsx&amp;sheet=U0&amp;row=1498&amp;col=6&amp;number=4.4&amp;sourceID=14","4.4")</f>
        <v>4.4</v>
      </c>
      <c r="G1498" s="4" t="str">
        <f>HYPERLINK("http://141.218.60.56/~jnz1568/getInfo.php?workbook=12_05.xlsx&amp;sheet=U0&amp;row=1498&amp;col=7&amp;number=0.219&amp;sourceID=14","0.219")</f>
        <v>0.219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HYPERLINK("http://141.218.60.56/~jnz1568/getInfo.php?workbook=12_05.xlsx&amp;sheet=U0&amp;row=1499&amp;col=6&amp;number=4.5&amp;sourceID=14","4.5")</f>
        <v>4.5</v>
      </c>
      <c r="G1499" s="4" t="str">
        <f>HYPERLINK("http://141.218.60.56/~jnz1568/getInfo.php?workbook=12_05.xlsx&amp;sheet=U0&amp;row=1499&amp;col=7&amp;number=0.219&amp;sourceID=14","0.219")</f>
        <v>0.219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HYPERLINK("http://141.218.60.56/~jnz1568/getInfo.php?workbook=12_05.xlsx&amp;sheet=U0&amp;row=1500&amp;col=6&amp;number=4.6&amp;sourceID=14","4.6")</f>
        <v>4.6</v>
      </c>
      <c r="G1500" s="4" t="str">
        <f>HYPERLINK("http://141.218.60.56/~jnz1568/getInfo.php?workbook=12_05.xlsx&amp;sheet=U0&amp;row=1500&amp;col=7&amp;number=0.22&amp;sourceID=14","0.22")</f>
        <v>0.22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HYPERLINK("http://141.218.60.56/~jnz1568/getInfo.php?workbook=12_05.xlsx&amp;sheet=U0&amp;row=1501&amp;col=6&amp;number=4.7&amp;sourceID=14","4.7")</f>
        <v>4.7</v>
      </c>
      <c r="G1501" s="4" t="str">
        <f>HYPERLINK("http://141.218.60.56/~jnz1568/getInfo.php?workbook=12_05.xlsx&amp;sheet=U0&amp;row=1501&amp;col=7&amp;number=0.222&amp;sourceID=14","0.222")</f>
        <v>0.222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HYPERLINK("http://141.218.60.56/~jnz1568/getInfo.php?workbook=12_05.xlsx&amp;sheet=U0&amp;row=1502&amp;col=6&amp;number=4.8&amp;sourceID=14","4.8")</f>
        <v>4.8</v>
      </c>
      <c r="G1502" s="4" t="str">
        <f>HYPERLINK("http://141.218.60.56/~jnz1568/getInfo.php?workbook=12_05.xlsx&amp;sheet=U0&amp;row=1502&amp;col=7&amp;number=0.223&amp;sourceID=14","0.223")</f>
        <v>0.223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HYPERLINK("http://141.218.60.56/~jnz1568/getInfo.php?workbook=12_05.xlsx&amp;sheet=U0&amp;row=1503&amp;col=6&amp;number=4.9&amp;sourceID=14","4.9")</f>
        <v>4.9</v>
      </c>
      <c r="G1503" s="4" t="str">
        <f>HYPERLINK("http://141.218.60.56/~jnz1568/getInfo.php?workbook=12_05.xlsx&amp;sheet=U0&amp;row=1503&amp;col=7&amp;number=0.226&amp;sourceID=14","0.226")</f>
        <v>0.226</v>
      </c>
    </row>
    <row r="1504" spans="1:7">
      <c r="A1504" s="3">
        <v>12</v>
      </c>
      <c r="B1504" s="3">
        <v>5</v>
      </c>
      <c r="C1504" s="3">
        <v>1</v>
      </c>
      <c r="D1504" s="3">
        <v>32</v>
      </c>
      <c r="E1504" s="3">
        <v>1</v>
      </c>
      <c r="F1504" s="4" t="str">
        <f>HYPERLINK("http://141.218.60.56/~jnz1568/getInfo.php?workbook=12_05.xlsx&amp;sheet=U0&amp;row=1504&amp;col=6&amp;number=3&amp;sourceID=14","3")</f>
        <v>3</v>
      </c>
      <c r="G1504" s="4" t="str">
        <f>HYPERLINK("http://141.218.60.56/~jnz1568/getInfo.php?workbook=12_05.xlsx&amp;sheet=U0&amp;row=1504&amp;col=7&amp;number=0.00539&amp;sourceID=14","0.00539")</f>
        <v>0.00539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HYPERLINK("http://141.218.60.56/~jnz1568/getInfo.php?workbook=12_05.xlsx&amp;sheet=U0&amp;row=1505&amp;col=6&amp;number=3.1&amp;sourceID=14","3.1")</f>
        <v>3.1</v>
      </c>
      <c r="G1505" s="4" t="str">
        <f>HYPERLINK("http://141.218.60.56/~jnz1568/getInfo.php?workbook=12_05.xlsx&amp;sheet=U0&amp;row=1505&amp;col=7&amp;number=0.00539&amp;sourceID=14","0.00539")</f>
        <v>0.00539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HYPERLINK("http://141.218.60.56/~jnz1568/getInfo.php?workbook=12_05.xlsx&amp;sheet=U0&amp;row=1506&amp;col=6&amp;number=3.2&amp;sourceID=14","3.2")</f>
        <v>3.2</v>
      </c>
      <c r="G1506" s="4" t="str">
        <f>HYPERLINK("http://141.218.60.56/~jnz1568/getInfo.php?workbook=12_05.xlsx&amp;sheet=U0&amp;row=1506&amp;col=7&amp;number=0.00539&amp;sourceID=14","0.00539")</f>
        <v>0.00539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HYPERLINK("http://141.218.60.56/~jnz1568/getInfo.php?workbook=12_05.xlsx&amp;sheet=U0&amp;row=1507&amp;col=6&amp;number=3.3&amp;sourceID=14","3.3")</f>
        <v>3.3</v>
      </c>
      <c r="G1507" s="4" t="str">
        <f>HYPERLINK("http://141.218.60.56/~jnz1568/getInfo.php?workbook=12_05.xlsx&amp;sheet=U0&amp;row=1507&amp;col=7&amp;number=0.00539&amp;sourceID=14","0.00539")</f>
        <v>0.00539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HYPERLINK("http://141.218.60.56/~jnz1568/getInfo.php?workbook=12_05.xlsx&amp;sheet=U0&amp;row=1508&amp;col=6&amp;number=3.4&amp;sourceID=14","3.4")</f>
        <v>3.4</v>
      </c>
      <c r="G1508" s="4" t="str">
        <f>HYPERLINK("http://141.218.60.56/~jnz1568/getInfo.php?workbook=12_05.xlsx&amp;sheet=U0&amp;row=1508&amp;col=7&amp;number=0.0054&amp;sourceID=14","0.0054")</f>
        <v>0.0054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HYPERLINK("http://141.218.60.56/~jnz1568/getInfo.php?workbook=12_05.xlsx&amp;sheet=U0&amp;row=1509&amp;col=6&amp;number=3.5&amp;sourceID=14","3.5")</f>
        <v>3.5</v>
      </c>
      <c r="G1509" s="4" t="str">
        <f>HYPERLINK("http://141.218.60.56/~jnz1568/getInfo.php?workbook=12_05.xlsx&amp;sheet=U0&amp;row=1509&amp;col=7&amp;number=0.0054&amp;sourceID=14","0.0054")</f>
        <v>0.0054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HYPERLINK("http://141.218.60.56/~jnz1568/getInfo.php?workbook=12_05.xlsx&amp;sheet=U0&amp;row=1510&amp;col=6&amp;number=3.6&amp;sourceID=14","3.6")</f>
        <v>3.6</v>
      </c>
      <c r="G1510" s="4" t="str">
        <f>HYPERLINK("http://141.218.60.56/~jnz1568/getInfo.php?workbook=12_05.xlsx&amp;sheet=U0&amp;row=1510&amp;col=7&amp;number=0.0054&amp;sourceID=14","0.0054")</f>
        <v>0.0054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HYPERLINK("http://141.218.60.56/~jnz1568/getInfo.php?workbook=12_05.xlsx&amp;sheet=U0&amp;row=1511&amp;col=6&amp;number=3.7&amp;sourceID=14","3.7")</f>
        <v>3.7</v>
      </c>
      <c r="G1511" s="4" t="str">
        <f>HYPERLINK("http://141.218.60.56/~jnz1568/getInfo.php?workbook=12_05.xlsx&amp;sheet=U0&amp;row=1511&amp;col=7&amp;number=0.00541&amp;sourceID=14","0.00541")</f>
        <v>0.00541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HYPERLINK("http://141.218.60.56/~jnz1568/getInfo.php?workbook=12_05.xlsx&amp;sheet=U0&amp;row=1512&amp;col=6&amp;number=3.8&amp;sourceID=14","3.8")</f>
        <v>3.8</v>
      </c>
      <c r="G1512" s="4" t="str">
        <f>HYPERLINK("http://141.218.60.56/~jnz1568/getInfo.php?workbook=12_05.xlsx&amp;sheet=U0&amp;row=1512&amp;col=7&amp;number=0.00541&amp;sourceID=14","0.00541")</f>
        <v>0.00541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HYPERLINK("http://141.218.60.56/~jnz1568/getInfo.php?workbook=12_05.xlsx&amp;sheet=U0&amp;row=1513&amp;col=6&amp;number=3.9&amp;sourceID=14","3.9")</f>
        <v>3.9</v>
      </c>
      <c r="G1513" s="4" t="str">
        <f>HYPERLINK("http://141.218.60.56/~jnz1568/getInfo.php?workbook=12_05.xlsx&amp;sheet=U0&amp;row=1513&amp;col=7&amp;number=0.00542&amp;sourceID=14","0.00542")</f>
        <v>0.00542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HYPERLINK("http://141.218.60.56/~jnz1568/getInfo.php?workbook=12_05.xlsx&amp;sheet=U0&amp;row=1514&amp;col=6&amp;number=4&amp;sourceID=14","4")</f>
        <v>4</v>
      </c>
      <c r="G1514" s="4" t="str">
        <f>HYPERLINK("http://141.218.60.56/~jnz1568/getInfo.php?workbook=12_05.xlsx&amp;sheet=U0&amp;row=1514&amp;col=7&amp;number=0.00542&amp;sourceID=14","0.00542")</f>
        <v>0.00542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HYPERLINK("http://141.218.60.56/~jnz1568/getInfo.php?workbook=12_05.xlsx&amp;sheet=U0&amp;row=1515&amp;col=6&amp;number=4.1&amp;sourceID=14","4.1")</f>
        <v>4.1</v>
      </c>
      <c r="G1515" s="4" t="str">
        <f>HYPERLINK("http://141.218.60.56/~jnz1568/getInfo.php?workbook=12_05.xlsx&amp;sheet=U0&amp;row=1515&amp;col=7&amp;number=0.00543&amp;sourceID=14","0.00543")</f>
        <v>0.00543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HYPERLINK("http://141.218.60.56/~jnz1568/getInfo.php?workbook=12_05.xlsx&amp;sheet=U0&amp;row=1516&amp;col=6&amp;number=4.2&amp;sourceID=14","4.2")</f>
        <v>4.2</v>
      </c>
      <c r="G1516" s="4" t="str">
        <f>HYPERLINK("http://141.218.60.56/~jnz1568/getInfo.php?workbook=12_05.xlsx&amp;sheet=U0&amp;row=1516&amp;col=7&amp;number=0.00544&amp;sourceID=14","0.00544")</f>
        <v>0.00544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HYPERLINK("http://141.218.60.56/~jnz1568/getInfo.php?workbook=12_05.xlsx&amp;sheet=U0&amp;row=1517&amp;col=6&amp;number=4.3&amp;sourceID=14","4.3")</f>
        <v>4.3</v>
      </c>
      <c r="G1517" s="4" t="str">
        <f>HYPERLINK("http://141.218.60.56/~jnz1568/getInfo.php?workbook=12_05.xlsx&amp;sheet=U0&amp;row=1517&amp;col=7&amp;number=0.00546&amp;sourceID=14","0.00546")</f>
        <v>0.00546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HYPERLINK("http://141.218.60.56/~jnz1568/getInfo.php?workbook=12_05.xlsx&amp;sheet=U0&amp;row=1518&amp;col=6&amp;number=4.4&amp;sourceID=14","4.4")</f>
        <v>4.4</v>
      </c>
      <c r="G1518" s="4" t="str">
        <f>HYPERLINK("http://141.218.60.56/~jnz1568/getInfo.php?workbook=12_05.xlsx&amp;sheet=U0&amp;row=1518&amp;col=7&amp;number=0.00547&amp;sourceID=14","0.00547")</f>
        <v>0.00547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HYPERLINK("http://141.218.60.56/~jnz1568/getInfo.php?workbook=12_05.xlsx&amp;sheet=U0&amp;row=1519&amp;col=6&amp;number=4.5&amp;sourceID=14","4.5")</f>
        <v>4.5</v>
      </c>
      <c r="G1519" s="4" t="str">
        <f>HYPERLINK("http://141.218.60.56/~jnz1568/getInfo.php?workbook=12_05.xlsx&amp;sheet=U0&amp;row=1519&amp;col=7&amp;number=0.0055&amp;sourceID=14","0.0055")</f>
        <v>0.0055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HYPERLINK("http://141.218.60.56/~jnz1568/getInfo.php?workbook=12_05.xlsx&amp;sheet=U0&amp;row=1520&amp;col=6&amp;number=4.6&amp;sourceID=14","4.6")</f>
        <v>4.6</v>
      </c>
      <c r="G1520" s="4" t="str">
        <f>HYPERLINK("http://141.218.60.56/~jnz1568/getInfo.php?workbook=12_05.xlsx&amp;sheet=U0&amp;row=1520&amp;col=7&amp;number=0.00552&amp;sourceID=14","0.00552")</f>
        <v>0.00552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HYPERLINK("http://141.218.60.56/~jnz1568/getInfo.php?workbook=12_05.xlsx&amp;sheet=U0&amp;row=1521&amp;col=6&amp;number=4.7&amp;sourceID=14","4.7")</f>
        <v>4.7</v>
      </c>
      <c r="G1521" s="4" t="str">
        <f>HYPERLINK("http://141.218.60.56/~jnz1568/getInfo.php?workbook=12_05.xlsx&amp;sheet=U0&amp;row=1521&amp;col=7&amp;number=0.00556&amp;sourceID=14","0.00556")</f>
        <v>0.00556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HYPERLINK("http://141.218.60.56/~jnz1568/getInfo.php?workbook=12_05.xlsx&amp;sheet=U0&amp;row=1522&amp;col=6&amp;number=4.8&amp;sourceID=14","4.8")</f>
        <v>4.8</v>
      </c>
      <c r="G1522" s="4" t="str">
        <f>HYPERLINK("http://141.218.60.56/~jnz1568/getInfo.php?workbook=12_05.xlsx&amp;sheet=U0&amp;row=1522&amp;col=7&amp;number=0.0056&amp;sourceID=14","0.0056")</f>
        <v>0.0056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HYPERLINK("http://141.218.60.56/~jnz1568/getInfo.php?workbook=12_05.xlsx&amp;sheet=U0&amp;row=1523&amp;col=6&amp;number=4.9&amp;sourceID=14","4.9")</f>
        <v>4.9</v>
      </c>
      <c r="G1523" s="4" t="str">
        <f>HYPERLINK("http://141.218.60.56/~jnz1568/getInfo.php?workbook=12_05.xlsx&amp;sheet=U0&amp;row=1523&amp;col=7&amp;number=0.00566&amp;sourceID=14","0.00566")</f>
        <v>0.00566</v>
      </c>
    </row>
    <row r="1524" spans="1:7">
      <c r="A1524" s="3">
        <v>12</v>
      </c>
      <c r="B1524" s="3">
        <v>5</v>
      </c>
      <c r="C1524" s="3">
        <v>1</v>
      </c>
      <c r="D1524" s="3">
        <v>33</v>
      </c>
      <c r="E1524" s="3">
        <v>1</v>
      </c>
      <c r="F1524" s="4" t="str">
        <f>HYPERLINK("http://141.218.60.56/~jnz1568/getInfo.php?workbook=12_05.xlsx&amp;sheet=U0&amp;row=1524&amp;col=6&amp;number=3&amp;sourceID=14","3")</f>
        <v>3</v>
      </c>
      <c r="G1524" s="4" t="str">
        <f>HYPERLINK("http://141.218.60.56/~jnz1568/getInfo.php?workbook=12_05.xlsx&amp;sheet=U0&amp;row=1524&amp;col=7&amp;number=0.00391&amp;sourceID=14","0.00391")</f>
        <v>0.00391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HYPERLINK("http://141.218.60.56/~jnz1568/getInfo.php?workbook=12_05.xlsx&amp;sheet=U0&amp;row=1525&amp;col=6&amp;number=3.1&amp;sourceID=14","3.1")</f>
        <v>3.1</v>
      </c>
      <c r="G1525" s="4" t="str">
        <f>HYPERLINK("http://141.218.60.56/~jnz1568/getInfo.php?workbook=12_05.xlsx&amp;sheet=U0&amp;row=1525&amp;col=7&amp;number=0.00391&amp;sourceID=14","0.00391")</f>
        <v>0.00391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HYPERLINK("http://141.218.60.56/~jnz1568/getInfo.php?workbook=12_05.xlsx&amp;sheet=U0&amp;row=1526&amp;col=6&amp;number=3.2&amp;sourceID=14","3.2")</f>
        <v>3.2</v>
      </c>
      <c r="G1526" s="4" t="str">
        <f>HYPERLINK("http://141.218.60.56/~jnz1568/getInfo.php?workbook=12_05.xlsx&amp;sheet=U0&amp;row=1526&amp;col=7&amp;number=0.00391&amp;sourceID=14","0.00391")</f>
        <v>0.00391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HYPERLINK("http://141.218.60.56/~jnz1568/getInfo.php?workbook=12_05.xlsx&amp;sheet=U0&amp;row=1527&amp;col=6&amp;number=3.3&amp;sourceID=14","3.3")</f>
        <v>3.3</v>
      </c>
      <c r="G1527" s="4" t="str">
        <f>HYPERLINK("http://141.218.60.56/~jnz1568/getInfo.php?workbook=12_05.xlsx&amp;sheet=U0&amp;row=1527&amp;col=7&amp;number=0.00391&amp;sourceID=14","0.00391")</f>
        <v>0.00391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HYPERLINK("http://141.218.60.56/~jnz1568/getInfo.php?workbook=12_05.xlsx&amp;sheet=U0&amp;row=1528&amp;col=6&amp;number=3.4&amp;sourceID=14","3.4")</f>
        <v>3.4</v>
      </c>
      <c r="G1528" s="4" t="str">
        <f>HYPERLINK("http://141.218.60.56/~jnz1568/getInfo.php?workbook=12_05.xlsx&amp;sheet=U0&amp;row=1528&amp;col=7&amp;number=0.00391&amp;sourceID=14","0.00391")</f>
        <v>0.00391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HYPERLINK("http://141.218.60.56/~jnz1568/getInfo.php?workbook=12_05.xlsx&amp;sheet=U0&amp;row=1529&amp;col=6&amp;number=3.5&amp;sourceID=14","3.5")</f>
        <v>3.5</v>
      </c>
      <c r="G1529" s="4" t="str">
        <f>HYPERLINK("http://141.218.60.56/~jnz1568/getInfo.php?workbook=12_05.xlsx&amp;sheet=U0&amp;row=1529&amp;col=7&amp;number=0.00391&amp;sourceID=14","0.00391")</f>
        <v>0.00391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HYPERLINK("http://141.218.60.56/~jnz1568/getInfo.php?workbook=12_05.xlsx&amp;sheet=U0&amp;row=1530&amp;col=6&amp;number=3.6&amp;sourceID=14","3.6")</f>
        <v>3.6</v>
      </c>
      <c r="G1530" s="4" t="str">
        <f>HYPERLINK("http://141.218.60.56/~jnz1568/getInfo.php?workbook=12_05.xlsx&amp;sheet=U0&amp;row=1530&amp;col=7&amp;number=0.00391&amp;sourceID=14","0.00391")</f>
        <v>0.00391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HYPERLINK("http://141.218.60.56/~jnz1568/getInfo.php?workbook=12_05.xlsx&amp;sheet=U0&amp;row=1531&amp;col=6&amp;number=3.7&amp;sourceID=14","3.7")</f>
        <v>3.7</v>
      </c>
      <c r="G1531" s="4" t="str">
        <f>HYPERLINK("http://141.218.60.56/~jnz1568/getInfo.php?workbook=12_05.xlsx&amp;sheet=U0&amp;row=1531&amp;col=7&amp;number=0.00391&amp;sourceID=14","0.00391")</f>
        <v>0.00391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HYPERLINK("http://141.218.60.56/~jnz1568/getInfo.php?workbook=12_05.xlsx&amp;sheet=U0&amp;row=1532&amp;col=6&amp;number=3.8&amp;sourceID=14","3.8")</f>
        <v>3.8</v>
      </c>
      <c r="G1532" s="4" t="str">
        <f>HYPERLINK("http://141.218.60.56/~jnz1568/getInfo.php?workbook=12_05.xlsx&amp;sheet=U0&amp;row=1532&amp;col=7&amp;number=0.00391&amp;sourceID=14","0.00391")</f>
        <v>0.00391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HYPERLINK("http://141.218.60.56/~jnz1568/getInfo.php?workbook=12_05.xlsx&amp;sheet=U0&amp;row=1533&amp;col=6&amp;number=3.9&amp;sourceID=14","3.9")</f>
        <v>3.9</v>
      </c>
      <c r="G1533" s="4" t="str">
        <f>HYPERLINK("http://141.218.60.56/~jnz1568/getInfo.php?workbook=12_05.xlsx&amp;sheet=U0&amp;row=1533&amp;col=7&amp;number=0.0039&amp;sourceID=14","0.0039")</f>
        <v>0.0039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HYPERLINK("http://141.218.60.56/~jnz1568/getInfo.php?workbook=12_05.xlsx&amp;sheet=U0&amp;row=1534&amp;col=6&amp;number=4&amp;sourceID=14","4")</f>
        <v>4</v>
      </c>
      <c r="G1534" s="4" t="str">
        <f>HYPERLINK("http://141.218.60.56/~jnz1568/getInfo.php?workbook=12_05.xlsx&amp;sheet=U0&amp;row=1534&amp;col=7&amp;number=0.0039&amp;sourceID=14","0.0039")</f>
        <v>0.0039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HYPERLINK("http://141.218.60.56/~jnz1568/getInfo.php?workbook=12_05.xlsx&amp;sheet=U0&amp;row=1535&amp;col=6&amp;number=4.1&amp;sourceID=14","4.1")</f>
        <v>4.1</v>
      </c>
      <c r="G1535" s="4" t="str">
        <f>HYPERLINK("http://141.218.60.56/~jnz1568/getInfo.php?workbook=12_05.xlsx&amp;sheet=U0&amp;row=1535&amp;col=7&amp;number=0.0039&amp;sourceID=14","0.0039")</f>
        <v>0.0039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HYPERLINK("http://141.218.60.56/~jnz1568/getInfo.php?workbook=12_05.xlsx&amp;sheet=U0&amp;row=1536&amp;col=6&amp;number=4.2&amp;sourceID=14","4.2")</f>
        <v>4.2</v>
      </c>
      <c r="G1536" s="4" t="str">
        <f>HYPERLINK("http://141.218.60.56/~jnz1568/getInfo.php?workbook=12_05.xlsx&amp;sheet=U0&amp;row=1536&amp;col=7&amp;number=0.0039&amp;sourceID=14","0.0039")</f>
        <v>0.0039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HYPERLINK("http://141.218.60.56/~jnz1568/getInfo.php?workbook=12_05.xlsx&amp;sheet=U0&amp;row=1537&amp;col=6&amp;number=4.3&amp;sourceID=14","4.3")</f>
        <v>4.3</v>
      </c>
      <c r="G1537" s="4" t="str">
        <f>HYPERLINK("http://141.218.60.56/~jnz1568/getInfo.php?workbook=12_05.xlsx&amp;sheet=U0&amp;row=1537&amp;col=7&amp;number=0.00389&amp;sourceID=14","0.00389")</f>
        <v>0.00389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HYPERLINK("http://141.218.60.56/~jnz1568/getInfo.php?workbook=12_05.xlsx&amp;sheet=U0&amp;row=1538&amp;col=6&amp;number=4.4&amp;sourceID=14","4.4")</f>
        <v>4.4</v>
      </c>
      <c r="G1538" s="4" t="str">
        <f>HYPERLINK("http://141.218.60.56/~jnz1568/getInfo.php?workbook=12_05.xlsx&amp;sheet=U0&amp;row=1538&amp;col=7&amp;number=0.00389&amp;sourceID=14","0.00389")</f>
        <v>0.00389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HYPERLINK("http://141.218.60.56/~jnz1568/getInfo.php?workbook=12_05.xlsx&amp;sheet=U0&amp;row=1539&amp;col=6&amp;number=4.5&amp;sourceID=14","4.5")</f>
        <v>4.5</v>
      </c>
      <c r="G1539" s="4" t="str">
        <f>HYPERLINK("http://141.218.60.56/~jnz1568/getInfo.php?workbook=12_05.xlsx&amp;sheet=U0&amp;row=1539&amp;col=7&amp;number=0.00388&amp;sourceID=14","0.00388")</f>
        <v>0.00388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HYPERLINK("http://141.218.60.56/~jnz1568/getInfo.php?workbook=12_05.xlsx&amp;sheet=U0&amp;row=1540&amp;col=6&amp;number=4.6&amp;sourceID=14","4.6")</f>
        <v>4.6</v>
      </c>
      <c r="G1540" s="4" t="str">
        <f>HYPERLINK("http://141.218.60.56/~jnz1568/getInfo.php?workbook=12_05.xlsx&amp;sheet=U0&amp;row=1540&amp;col=7&amp;number=0.00388&amp;sourceID=14","0.00388")</f>
        <v>0.00388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HYPERLINK("http://141.218.60.56/~jnz1568/getInfo.php?workbook=12_05.xlsx&amp;sheet=U0&amp;row=1541&amp;col=6&amp;number=4.7&amp;sourceID=14","4.7")</f>
        <v>4.7</v>
      </c>
      <c r="G1541" s="4" t="str">
        <f>HYPERLINK("http://141.218.60.56/~jnz1568/getInfo.php?workbook=12_05.xlsx&amp;sheet=U0&amp;row=1541&amp;col=7&amp;number=0.00387&amp;sourceID=14","0.00387")</f>
        <v>0.00387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HYPERLINK("http://141.218.60.56/~jnz1568/getInfo.php?workbook=12_05.xlsx&amp;sheet=U0&amp;row=1542&amp;col=6&amp;number=4.8&amp;sourceID=14","4.8")</f>
        <v>4.8</v>
      </c>
      <c r="G1542" s="4" t="str">
        <f>HYPERLINK("http://141.218.60.56/~jnz1568/getInfo.php?workbook=12_05.xlsx&amp;sheet=U0&amp;row=1542&amp;col=7&amp;number=0.00386&amp;sourceID=14","0.00386")</f>
        <v>0.00386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HYPERLINK("http://141.218.60.56/~jnz1568/getInfo.php?workbook=12_05.xlsx&amp;sheet=U0&amp;row=1543&amp;col=6&amp;number=4.9&amp;sourceID=14","4.9")</f>
        <v>4.9</v>
      </c>
      <c r="G1543" s="4" t="str">
        <f>HYPERLINK("http://141.218.60.56/~jnz1568/getInfo.php?workbook=12_05.xlsx&amp;sheet=U0&amp;row=1543&amp;col=7&amp;number=0.00385&amp;sourceID=14","0.00385")</f>
        <v>0.00385</v>
      </c>
    </row>
    <row r="1544" spans="1:7">
      <c r="A1544" s="3">
        <v>12</v>
      </c>
      <c r="B1544" s="3">
        <v>5</v>
      </c>
      <c r="C1544" s="3">
        <v>1</v>
      </c>
      <c r="D1544" s="3">
        <v>34</v>
      </c>
      <c r="E1544" s="3">
        <v>1</v>
      </c>
      <c r="F1544" s="4" t="str">
        <f>HYPERLINK("http://141.218.60.56/~jnz1568/getInfo.php?workbook=12_05.xlsx&amp;sheet=U0&amp;row=1544&amp;col=6&amp;number=3&amp;sourceID=14","3")</f>
        <v>3</v>
      </c>
      <c r="G1544" s="4" t="str">
        <f>HYPERLINK("http://141.218.60.56/~jnz1568/getInfo.php?workbook=12_05.xlsx&amp;sheet=U0&amp;row=1544&amp;col=7&amp;number=0.0026&amp;sourceID=14","0.0026")</f>
        <v>0.0026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HYPERLINK("http://141.218.60.56/~jnz1568/getInfo.php?workbook=12_05.xlsx&amp;sheet=U0&amp;row=1545&amp;col=6&amp;number=3.1&amp;sourceID=14","3.1")</f>
        <v>3.1</v>
      </c>
      <c r="G1545" s="4" t="str">
        <f>HYPERLINK("http://141.218.60.56/~jnz1568/getInfo.php?workbook=12_05.xlsx&amp;sheet=U0&amp;row=1545&amp;col=7&amp;number=0.0026&amp;sourceID=14","0.0026")</f>
        <v>0.0026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HYPERLINK("http://141.218.60.56/~jnz1568/getInfo.php?workbook=12_05.xlsx&amp;sheet=U0&amp;row=1546&amp;col=6&amp;number=3.2&amp;sourceID=14","3.2")</f>
        <v>3.2</v>
      </c>
      <c r="G1546" s="4" t="str">
        <f>HYPERLINK("http://141.218.60.56/~jnz1568/getInfo.php?workbook=12_05.xlsx&amp;sheet=U0&amp;row=1546&amp;col=7&amp;number=0.0026&amp;sourceID=14","0.0026")</f>
        <v>0.0026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HYPERLINK("http://141.218.60.56/~jnz1568/getInfo.php?workbook=12_05.xlsx&amp;sheet=U0&amp;row=1547&amp;col=6&amp;number=3.3&amp;sourceID=14","3.3")</f>
        <v>3.3</v>
      </c>
      <c r="G1547" s="4" t="str">
        <f>HYPERLINK("http://141.218.60.56/~jnz1568/getInfo.php?workbook=12_05.xlsx&amp;sheet=U0&amp;row=1547&amp;col=7&amp;number=0.0026&amp;sourceID=14","0.0026")</f>
        <v>0.0026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HYPERLINK("http://141.218.60.56/~jnz1568/getInfo.php?workbook=12_05.xlsx&amp;sheet=U0&amp;row=1548&amp;col=6&amp;number=3.4&amp;sourceID=14","3.4")</f>
        <v>3.4</v>
      </c>
      <c r="G1548" s="4" t="str">
        <f>HYPERLINK("http://141.218.60.56/~jnz1568/getInfo.php?workbook=12_05.xlsx&amp;sheet=U0&amp;row=1548&amp;col=7&amp;number=0.0026&amp;sourceID=14","0.0026")</f>
        <v>0.0026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HYPERLINK("http://141.218.60.56/~jnz1568/getInfo.php?workbook=12_05.xlsx&amp;sheet=U0&amp;row=1549&amp;col=6&amp;number=3.5&amp;sourceID=14","3.5")</f>
        <v>3.5</v>
      </c>
      <c r="G1549" s="4" t="str">
        <f>HYPERLINK("http://141.218.60.56/~jnz1568/getInfo.php?workbook=12_05.xlsx&amp;sheet=U0&amp;row=1549&amp;col=7&amp;number=0.00259&amp;sourceID=14","0.00259")</f>
        <v>0.00259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HYPERLINK("http://141.218.60.56/~jnz1568/getInfo.php?workbook=12_05.xlsx&amp;sheet=U0&amp;row=1550&amp;col=6&amp;number=3.6&amp;sourceID=14","3.6")</f>
        <v>3.6</v>
      </c>
      <c r="G1550" s="4" t="str">
        <f>HYPERLINK("http://141.218.60.56/~jnz1568/getInfo.php?workbook=12_05.xlsx&amp;sheet=U0&amp;row=1550&amp;col=7&amp;number=0.00259&amp;sourceID=14","0.00259")</f>
        <v>0.00259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HYPERLINK("http://141.218.60.56/~jnz1568/getInfo.php?workbook=12_05.xlsx&amp;sheet=U0&amp;row=1551&amp;col=6&amp;number=3.7&amp;sourceID=14","3.7")</f>
        <v>3.7</v>
      </c>
      <c r="G1551" s="4" t="str">
        <f>HYPERLINK("http://141.218.60.56/~jnz1568/getInfo.php?workbook=12_05.xlsx&amp;sheet=U0&amp;row=1551&amp;col=7&amp;number=0.00259&amp;sourceID=14","0.00259")</f>
        <v>0.00259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HYPERLINK("http://141.218.60.56/~jnz1568/getInfo.php?workbook=12_05.xlsx&amp;sheet=U0&amp;row=1552&amp;col=6&amp;number=3.8&amp;sourceID=14","3.8")</f>
        <v>3.8</v>
      </c>
      <c r="G1552" s="4" t="str">
        <f>HYPERLINK("http://141.218.60.56/~jnz1568/getInfo.php?workbook=12_05.xlsx&amp;sheet=U0&amp;row=1552&amp;col=7&amp;number=0.00259&amp;sourceID=14","0.00259")</f>
        <v>0.00259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HYPERLINK("http://141.218.60.56/~jnz1568/getInfo.php?workbook=12_05.xlsx&amp;sheet=U0&amp;row=1553&amp;col=6&amp;number=3.9&amp;sourceID=14","3.9")</f>
        <v>3.9</v>
      </c>
      <c r="G1553" s="4" t="str">
        <f>HYPERLINK("http://141.218.60.56/~jnz1568/getInfo.php?workbook=12_05.xlsx&amp;sheet=U0&amp;row=1553&amp;col=7&amp;number=0.00258&amp;sourceID=14","0.00258")</f>
        <v>0.00258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HYPERLINK("http://141.218.60.56/~jnz1568/getInfo.php?workbook=12_05.xlsx&amp;sheet=U0&amp;row=1554&amp;col=6&amp;number=4&amp;sourceID=14","4")</f>
        <v>4</v>
      </c>
      <c r="G1554" s="4" t="str">
        <f>HYPERLINK("http://141.218.60.56/~jnz1568/getInfo.php?workbook=12_05.xlsx&amp;sheet=U0&amp;row=1554&amp;col=7&amp;number=0.00258&amp;sourceID=14","0.00258")</f>
        <v>0.00258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HYPERLINK("http://141.218.60.56/~jnz1568/getInfo.php?workbook=12_05.xlsx&amp;sheet=U0&amp;row=1555&amp;col=6&amp;number=4.1&amp;sourceID=14","4.1")</f>
        <v>4.1</v>
      </c>
      <c r="G1555" s="4" t="str">
        <f>HYPERLINK("http://141.218.60.56/~jnz1568/getInfo.php?workbook=12_05.xlsx&amp;sheet=U0&amp;row=1555&amp;col=7&amp;number=0.00257&amp;sourceID=14","0.00257")</f>
        <v>0.00257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HYPERLINK("http://141.218.60.56/~jnz1568/getInfo.php?workbook=12_05.xlsx&amp;sheet=U0&amp;row=1556&amp;col=6&amp;number=4.2&amp;sourceID=14","4.2")</f>
        <v>4.2</v>
      </c>
      <c r="G1556" s="4" t="str">
        <f>HYPERLINK("http://141.218.60.56/~jnz1568/getInfo.php?workbook=12_05.xlsx&amp;sheet=U0&amp;row=1556&amp;col=7&amp;number=0.00256&amp;sourceID=14","0.00256")</f>
        <v>0.00256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HYPERLINK("http://141.218.60.56/~jnz1568/getInfo.php?workbook=12_05.xlsx&amp;sheet=U0&amp;row=1557&amp;col=6&amp;number=4.3&amp;sourceID=14","4.3")</f>
        <v>4.3</v>
      </c>
      <c r="G1557" s="4" t="str">
        <f>HYPERLINK("http://141.218.60.56/~jnz1568/getInfo.php?workbook=12_05.xlsx&amp;sheet=U0&amp;row=1557&amp;col=7&amp;number=0.00255&amp;sourceID=14","0.00255")</f>
        <v>0.00255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HYPERLINK("http://141.218.60.56/~jnz1568/getInfo.php?workbook=12_05.xlsx&amp;sheet=U0&amp;row=1558&amp;col=6&amp;number=4.4&amp;sourceID=14","4.4")</f>
        <v>4.4</v>
      </c>
      <c r="G1558" s="4" t="str">
        <f>HYPERLINK("http://141.218.60.56/~jnz1568/getInfo.php?workbook=12_05.xlsx&amp;sheet=U0&amp;row=1558&amp;col=7&amp;number=0.00254&amp;sourceID=14","0.00254")</f>
        <v>0.00254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HYPERLINK("http://141.218.60.56/~jnz1568/getInfo.php?workbook=12_05.xlsx&amp;sheet=U0&amp;row=1559&amp;col=6&amp;number=4.5&amp;sourceID=14","4.5")</f>
        <v>4.5</v>
      </c>
      <c r="G1559" s="4" t="str">
        <f>HYPERLINK("http://141.218.60.56/~jnz1568/getInfo.php?workbook=12_05.xlsx&amp;sheet=U0&amp;row=1559&amp;col=7&amp;number=0.00253&amp;sourceID=14","0.00253")</f>
        <v>0.00253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HYPERLINK("http://141.218.60.56/~jnz1568/getInfo.php?workbook=12_05.xlsx&amp;sheet=U0&amp;row=1560&amp;col=6&amp;number=4.6&amp;sourceID=14","4.6")</f>
        <v>4.6</v>
      </c>
      <c r="G1560" s="4" t="str">
        <f>HYPERLINK("http://141.218.60.56/~jnz1568/getInfo.php?workbook=12_05.xlsx&amp;sheet=U0&amp;row=1560&amp;col=7&amp;number=0.00251&amp;sourceID=14","0.00251")</f>
        <v>0.00251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HYPERLINK("http://141.218.60.56/~jnz1568/getInfo.php?workbook=12_05.xlsx&amp;sheet=U0&amp;row=1561&amp;col=6&amp;number=4.7&amp;sourceID=14","4.7")</f>
        <v>4.7</v>
      </c>
      <c r="G1561" s="4" t="str">
        <f>HYPERLINK("http://141.218.60.56/~jnz1568/getInfo.php?workbook=12_05.xlsx&amp;sheet=U0&amp;row=1561&amp;col=7&amp;number=0.00249&amp;sourceID=14","0.00249")</f>
        <v>0.00249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HYPERLINK("http://141.218.60.56/~jnz1568/getInfo.php?workbook=12_05.xlsx&amp;sheet=U0&amp;row=1562&amp;col=6&amp;number=4.8&amp;sourceID=14","4.8")</f>
        <v>4.8</v>
      </c>
      <c r="G1562" s="4" t="str">
        <f>HYPERLINK("http://141.218.60.56/~jnz1568/getInfo.php?workbook=12_05.xlsx&amp;sheet=U0&amp;row=1562&amp;col=7&amp;number=0.00246&amp;sourceID=14","0.00246")</f>
        <v>0.00246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HYPERLINK("http://141.218.60.56/~jnz1568/getInfo.php?workbook=12_05.xlsx&amp;sheet=U0&amp;row=1563&amp;col=6&amp;number=4.9&amp;sourceID=14","4.9")</f>
        <v>4.9</v>
      </c>
      <c r="G1563" s="4" t="str">
        <f>HYPERLINK("http://141.218.60.56/~jnz1568/getInfo.php?workbook=12_05.xlsx&amp;sheet=U0&amp;row=1563&amp;col=7&amp;number=0.00242&amp;sourceID=14","0.00242")</f>
        <v>0.00242</v>
      </c>
    </row>
    <row r="1564" spans="1:7">
      <c r="A1564" s="3">
        <v>12</v>
      </c>
      <c r="B1564" s="3">
        <v>5</v>
      </c>
      <c r="C1564" s="3">
        <v>1</v>
      </c>
      <c r="D1564" s="3">
        <v>35</v>
      </c>
      <c r="E1564" s="3">
        <v>1</v>
      </c>
      <c r="F1564" s="4" t="str">
        <f>HYPERLINK("http://141.218.60.56/~jnz1568/getInfo.php?workbook=12_05.xlsx&amp;sheet=U0&amp;row=1564&amp;col=6&amp;number=3&amp;sourceID=14","3")</f>
        <v>3</v>
      </c>
      <c r="G1564" s="4" t="str">
        <f>HYPERLINK("http://141.218.60.56/~jnz1568/getInfo.php?workbook=12_05.xlsx&amp;sheet=U0&amp;row=1564&amp;col=7&amp;number=0.00238&amp;sourceID=14","0.00238")</f>
        <v>0.00238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HYPERLINK("http://141.218.60.56/~jnz1568/getInfo.php?workbook=12_05.xlsx&amp;sheet=U0&amp;row=1565&amp;col=6&amp;number=3.1&amp;sourceID=14","3.1")</f>
        <v>3.1</v>
      </c>
      <c r="G1565" s="4" t="str">
        <f>HYPERLINK("http://141.218.60.56/~jnz1568/getInfo.php?workbook=12_05.xlsx&amp;sheet=U0&amp;row=1565&amp;col=7&amp;number=0.00238&amp;sourceID=14","0.00238")</f>
        <v>0.00238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HYPERLINK("http://141.218.60.56/~jnz1568/getInfo.php?workbook=12_05.xlsx&amp;sheet=U0&amp;row=1566&amp;col=6&amp;number=3.2&amp;sourceID=14","3.2")</f>
        <v>3.2</v>
      </c>
      <c r="G1566" s="4" t="str">
        <f>HYPERLINK("http://141.218.60.56/~jnz1568/getInfo.php?workbook=12_05.xlsx&amp;sheet=U0&amp;row=1566&amp;col=7&amp;number=0.00238&amp;sourceID=14","0.00238")</f>
        <v>0.00238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HYPERLINK("http://141.218.60.56/~jnz1568/getInfo.php?workbook=12_05.xlsx&amp;sheet=U0&amp;row=1567&amp;col=6&amp;number=3.3&amp;sourceID=14","3.3")</f>
        <v>3.3</v>
      </c>
      <c r="G1567" s="4" t="str">
        <f>HYPERLINK("http://141.218.60.56/~jnz1568/getInfo.php?workbook=12_05.xlsx&amp;sheet=U0&amp;row=1567&amp;col=7&amp;number=0.00237&amp;sourceID=14","0.00237")</f>
        <v>0.00237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HYPERLINK("http://141.218.60.56/~jnz1568/getInfo.php?workbook=12_05.xlsx&amp;sheet=U0&amp;row=1568&amp;col=6&amp;number=3.4&amp;sourceID=14","3.4")</f>
        <v>3.4</v>
      </c>
      <c r="G1568" s="4" t="str">
        <f>HYPERLINK("http://141.218.60.56/~jnz1568/getInfo.php?workbook=12_05.xlsx&amp;sheet=U0&amp;row=1568&amp;col=7&amp;number=0.00237&amp;sourceID=14","0.00237")</f>
        <v>0.00237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HYPERLINK("http://141.218.60.56/~jnz1568/getInfo.php?workbook=12_05.xlsx&amp;sheet=U0&amp;row=1569&amp;col=6&amp;number=3.5&amp;sourceID=14","3.5")</f>
        <v>3.5</v>
      </c>
      <c r="G1569" s="4" t="str">
        <f>HYPERLINK("http://141.218.60.56/~jnz1568/getInfo.php?workbook=12_05.xlsx&amp;sheet=U0&amp;row=1569&amp;col=7&amp;number=0.00237&amp;sourceID=14","0.00237")</f>
        <v>0.00237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HYPERLINK("http://141.218.60.56/~jnz1568/getInfo.php?workbook=12_05.xlsx&amp;sheet=U0&amp;row=1570&amp;col=6&amp;number=3.6&amp;sourceID=14","3.6")</f>
        <v>3.6</v>
      </c>
      <c r="G1570" s="4" t="str">
        <f>HYPERLINK("http://141.218.60.56/~jnz1568/getInfo.php?workbook=12_05.xlsx&amp;sheet=U0&amp;row=1570&amp;col=7&amp;number=0.00237&amp;sourceID=14","0.00237")</f>
        <v>0.00237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HYPERLINK("http://141.218.60.56/~jnz1568/getInfo.php?workbook=12_05.xlsx&amp;sheet=U0&amp;row=1571&amp;col=6&amp;number=3.7&amp;sourceID=14","3.7")</f>
        <v>3.7</v>
      </c>
      <c r="G1571" s="4" t="str">
        <f>HYPERLINK("http://141.218.60.56/~jnz1568/getInfo.php?workbook=12_05.xlsx&amp;sheet=U0&amp;row=1571&amp;col=7&amp;number=0.00237&amp;sourceID=14","0.00237")</f>
        <v>0.00237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HYPERLINK("http://141.218.60.56/~jnz1568/getInfo.php?workbook=12_05.xlsx&amp;sheet=U0&amp;row=1572&amp;col=6&amp;number=3.8&amp;sourceID=14","3.8")</f>
        <v>3.8</v>
      </c>
      <c r="G1572" s="4" t="str">
        <f>HYPERLINK("http://141.218.60.56/~jnz1568/getInfo.php?workbook=12_05.xlsx&amp;sheet=U0&amp;row=1572&amp;col=7&amp;number=0.00237&amp;sourceID=14","0.00237")</f>
        <v>0.00237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HYPERLINK("http://141.218.60.56/~jnz1568/getInfo.php?workbook=12_05.xlsx&amp;sheet=U0&amp;row=1573&amp;col=6&amp;number=3.9&amp;sourceID=14","3.9")</f>
        <v>3.9</v>
      </c>
      <c r="G1573" s="4" t="str">
        <f>HYPERLINK("http://141.218.60.56/~jnz1568/getInfo.php?workbook=12_05.xlsx&amp;sheet=U0&amp;row=1573&amp;col=7&amp;number=0.00236&amp;sourceID=14","0.00236")</f>
        <v>0.00236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HYPERLINK("http://141.218.60.56/~jnz1568/getInfo.php?workbook=12_05.xlsx&amp;sheet=U0&amp;row=1574&amp;col=6&amp;number=4&amp;sourceID=14","4")</f>
        <v>4</v>
      </c>
      <c r="G1574" s="4" t="str">
        <f>HYPERLINK("http://141.218.60.56/~jnz1568/getInfo.php?workbook=12_05.xlsx&amp;sheet=U0&amp;row=1574&amp;col=7&amp;number=0.00236&amp;sourceID=14","0.00236")</f>
        <v>0.00236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HYPERLINK("http://141.218.60.56/~jnz1568/getInfo.php?workbook=12_05.xlsx&amp;sheet=U0&amp;row=1575&amp;col=6&amp;number=4.1&amp;sourceID=14","4.1")</f>
        <v>4.1</v>
      </c>
      <c r="G1575" s="4" t="str">
        <f>HYPERLINK("http://141.218.60.56/~jnz1568/getInfo.php?workbook=12_05.xlsx&amp;sheet=U0&amp;row=1575&amp;col=7&amp;number=0.00235&amp;sourceID=14","0.00235")</f>
        <v>0.00235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HYPERLINK("http://141.218.60.56/~jnz1568/getInfo.php?workbook=12_05.xlsx&amp;sheet=U0&amp;row=1576&amp;col=6&amp;number=4.2&amp;sourceID=14","4.2")</f>
        <v>4.2</v>
      </c>
      <c r="G1576" s="4" t="str">
        <f>HYPERLINK("http://141.218.60.56/~jnz1568/getInfo.php?workbook=12_05.xlsx&amp;sheet=U0&amp;row=1576&amp;col=7&amp;number=0.00234&amp;sourceID=14","0.00234")</f>
        <v>0.00234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HYPERLINK("http://141.218.60.56/~jnz1568/getInfo.php?workbook=12_05.xlsx&amp;sheet=U0&amp;row=1577&amp;col=6&amp;number=4.3&amp;sourceID=14","4.3")</f>
        <v>4.3</v>
      </c>
      <c r="G1577" s="4" t="str">
        <f>HYPERLINK("http://141.218.60.56/~jnz1568/getInfo.php?workbook=12_05.xlsx&amp;sheet=U0&amp;row=1577&amp;col=7&amp;number=0.00234&amp;sourceID=14","0.00234")</f>
        <v>0.00234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HYPERLINK("http://141.218.60.56/~jnz1568/getInfo.php?workbook=12_05.xlsx&amp;sheet=U0&amp;row=1578&amp;col=6&amp;number=4.4&amp;sourceID=14","4.4")</f>
        <v>4.4</v>
      </c>
      <c r="G1578" s="4" t="str">
        <f>HYPERLINK("http://141.218.60.56/~jnz1568/getInfo.php?workbook=12_05.xlsx&amp;sheet=U0&amp;row=1578&amp;col=7&amp;number=0.00232&amp;sourceID=14","0.00232")</f>
        <v>0.00232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HYPERLINK("http://141.218.60.56/~jnz1568/getInfo.php?workbook=12_05.xlsx&amp;sheet=U0&amp;row=1579&amp;col=6&amp;number=4.5&amp;sourceID=14","4.5")</f>
        <v>4.5</v>
      </c>
      <c r="G1579" s="4" t="str">
        <f>HYPERLINK("http://141.218.60.56/~jnz1568/getInfo.php?workbook=12_05.xlsx&amp;sheet=U0&amp;row=1579&amp;col=7&amp;number=0.00231&amp;sourceID=14","0.00231")</f>
        <v>0.00231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HYPERLINK("http://141.218.60.56/~jnz1568/getInfo.php?workbook=12_05.xlsx&amp;sheet=U0&amp;row=1580&amp;col=6&amp;number=4.6&amp;sourceID=14","4.6")</f>
        <v>4.6</v>
      </c>
      <c r="G1580" s="4" t="str">
        <f>HYPERLINK("http://141.218.60.56/~jnz1568/getInfo.php?workbook=12_05.xlsx&amp;sheet=U0&amp;row=1580&amp;col=7&amp;number=0.00229&amp;sourceID=14","0.00229")</f>
        <v>0.00229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HYPERLINK("http://141.218.60.56/~jnz1568/getInfo.php?workbook=12_05.xlsx&amp;sheet=U0&amp;row=1581&amp;col=6&amp;number=4.7&amp;sourceID=14","4.7")</f>
        <v>4.7</v>
      </c>
      <c r="G1581" s="4" t="str">
        <f>HYPERLINK("http://141.218.60.56/~jnz1568/getInfo.php?workbook=12_05.xlsx&amp;sheet=U0&amp;row=1581&amp;col=7&amp;number=0.00227&amp;sourceID=14","0.00227")</f>
        <v>0.00227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HYPERLINK("http://141.218.60.56/~jnz1568/getInfo.php?workbook=12_05.xlsx&amp;sheet=U0&amp;row=1582&amp;col=6&amp;number=4.8&amp;sourceID=14","4.8")</f>
        <v>4.8</v>
      </c>
      <c r="G1582" s="4" t="str">
        <f>HYPERLINK("http://141.218.60.56/~jnz1568/getInfo.php?workbook=12_05.xlsx&amp;sheet=U0&amp;row=1582&amp;col=7&amp;number=0.00225&amp;sourceID=14","0.00225")</f>
        <v>0.00225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HYPERLINK("http://141.218.60.56/~jnz1568/getInfo.php?workbook=12_05.xlsx&amp;sheet=U0&amp;row=1583&amp;col=6&amp;number=4.9&amp;sourceID=14","4.9")</f>
        <v>4.9</v>
      </c>
      <c r="G1583" s="4" t="str">
        <f>HYPERLINK("http://141.218.60.56/~jnz1568/getInfo.php?workbook=12_05.xlsx&amp;sheet=U0&amp;row=1583&amp;col=7&amp;number=0.00221&amp;sourceID=14","0.00221")</f>
        <v>0.00221</v>
      </c>
    </row>
    <row r="1584" spans="1:7">
      <c r="A1584" s="3">
        <v>12</v>
      </c>
      <c r="B1584" s="3">
        <v>5</v>
      </c>
      <c r="C1584" s="3">
        <v>1</v>
      </c>
      <c r="D1584" s="3">
        <v>36</v>
      </c>
      <c r="E1584" s="3">
        <v>1</v>
      </c>
      <c r="F1584" s="4" t="str">
        <f>HYPERLINK("http://141.218.60.56/~jnz1568/getInfo.php?workbook=12_05.xlsx&amp;sheet=U0&amp;row=1584&amp;col=6&amp;number=3&amp;sourceID=14","3")</f>
        <v>3</v>
      </c>
      <c r="G1584" s="4" t="str">
        <f>HYPERLINK("http://141.218.60.56/~jnz1568/getInfo.php?workbook=12_05.xlsx&amp;sheet=U0&amp;row=1584&amp;col=7&amp;number=0.0167&amp;sourceID=14","0.0167")</f>
        <v>0.0167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HYPERLINK("http://141.218.60.56/~jnz1568/getInfo.php?workbook=12_05.xlsx&amp;sheet=U0&amp;row=1585&amp;col=6&amp;number=3.1&amp;sourceID=14","3.1")</f>
        <v>3.1</v>
      </c>
      <c r="G1585" s="4" t="str">
        <f>HYPERLINK("http://141.218.60.56/~jnz1568/getInfo.php?workbook=12_05.xlsx&amp;sheet=U0&amp;row=1585&amp;col=7&amp;number=0.0167&amp;sourceID=14","0.0167")</f>
        <v>0.0167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HYPERLINK("http://141.218.60.56/~jnz1568/getInfo.php?workbook=12_05.xlsx&amp;sheet=U0&amp;row=1586&amp;col=6&amp;number=3.2&amp;sourceID=14","3.2")</f>
        <v>3.2</v>
      </c>
      <c r="G1586" s="4" t="str">
        <f>HYPERLINK("http://141.218.60.56/~jnz1568/getInfo.php?workbook=12_05.xlsx&amp;sheet=U0&amp;row=1586&amp;col=7&amp;number=0.0167&amp;sourceID=14","0.0167")</f>
        <v>0.0167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HYPERLINK("http://141.218.60.56/~jnz1568/getInfo.php?workbook=12_05.xlsx&amp;sheet=U0&amp;row=1587&amp;col=6&amp;number=3.3&amp;sourceID=14","3.3")</f>
        <v>3.3</v>
      </c>
      <c r="G1587" s="4" t="str">
        <f>HYPERLINK("http://141.218.60.56/~jnz1568/getInfo.php?workbook=12_05.xlsx&amp;sheet=U0&amp;row=1587&amp;col=7&amp;number=0.0167&amp;sourceID=14","0.0167")</f>
        <v>0.0167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HYPERLINK("http://141.218.60.56/~jnz1568/getInfo.php?workbook=12_05.xlsx&amp;sheet=U0&amp;row=1588&amp;col=6&amp;number=3.4&amp;sourceID=14","3.4")</f>
        <v>3.4</v>
      </c>
      <c r="G1588" s="4" t="str">
        <f>HYPERLINK("http://141.218.60.56/~jnz1568/getInfo.php?workbook=12_05.xlsx&amp;sheet=U0&amp;row=1588&amp;col=7&amp;number=0.0167&amp;sourceID=14","0.0167")</f>
        <v>0.0167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HYPERLINK("http://141.218.60.56/~jnz1568/getInfo.php?workbook=12_05.xlsx&amp;sheet=U0&amp;row=1589&amp;col=6&amp;number=3.5&amp;sourceID=14","3.5")</f>
        <v>3.5</v>
      </c>
      <c r="G1589" s="4" t="str">
        <f>HYPERLINK("http://141.218.60.56/~jnz1568/getInfo.php?workbook=12_05.xlsx&amp;sheet=U0&amp;row=1589&amp;col=7&amp;number=0.0168&amp;sourceID=14","0.0168")</f>
        <v>0.0168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HYPERLINK("http://141.218.60.56/~jnz1568/getInfo.php?workbook=12_05.xlsx&amp;sheet=U0&amp;row=1590&amp;col=6&amp;number=3.6&amp;sourceID=14","3.6")</f>
        <v>3.6</v>
      </c>
      <c r="G1590" s="4" t="str">
        <f>HYPERLINK("http://141.218.60.56/~jnz1568/getInfo.php?workbook=12_05.xlsx&amp;sheet=U0&amp;row=1590&amp;col=7&amp;number=0.0168&amp;sourceID=14","0.0168")</f>
        <v>0.0168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HYPERLINK("http://141.218.60.56/~jnz1568/getInfo.php?workbook=12_05.xlsx&amp;sheet=U0&amp;row=1591&amp;col=6&amp;number=3.7&amp;sourceID=14","3.7")</f>
        <v>3.7</v>
      </c>
      <c r="G1591" s="4" t="str">
        <f>HYPERLINK("http://141.218.60.56/~jnz1568/getInfo.php?workbook=12_05.xlsx&amp;sheet=U0&amp;row=1591&amp;col=7&amp;number=0.0168&amp;sourceID=14","0.0168")</f>
        <v>0.0168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HYPERLINK("http://141.218.60.56/~jnz1568/getInfo.php?workbook=12_05.xlsx&amp;sheet=U0&amp;row=1592&amp;col=6&amp;number=3.8&amp;sourceID=14","3.8")</f>
        <v>3.8</v>
      </c>
      <c r="G1592" s="4" t="str">
        <f>HYPERLINK("http://141.218.60.56/~jnz1568/getInfo.php?workbook=12_05.xlsx&amp;sheet=U0&amp;row=1592&amp;col=7&amp;number=0.0169&amp;sourceID=14","0.0169")</f>
        <v>0.0169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HYPERLINK("http://141.218.60.56/~jnz1568/getInfo.php?workbook=12_05.xlsx&amp;sheet=U0&amp;row=1593&amp;col=6&amp;number=3.9&amp;sourceID=14","3.9")</f>
        <v>3.9</v>
      </c>
      <c r="G1593" s="4" t="str">
        <f>HYPERLINK("http://141.218.60.56/~jnz1568/getInfo.php?workbook=12_05.xlsx&amp;sheet=U0&amp;row=1593&amp;col=7&amp;number=0.0169&amp;sourceID=14","0.0169")</f>
        <v>0.0169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HYPERLINK("http://141.218.60.56/~jnz1568/getInfo.php?workbook=12_05.xlsx&amp;sheet=U0&amp;row=1594&amp;col=6&amp;number=4&amp;sourceID=14","4")</f>
        <v>4</v>
      </c>
      <c r="G1594" s="4" t="str">
        <f>HYPERLINK("http://141.218.60.56/~jnz1568/getInfo.php?workbook=12_05.xlsx&amp;sheet=U0&amp;row=1594&amp;col=7&amp;number=0.017&amp;sourceID=14","0.017")</f>
        <v>0.017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HYPERLINK("http://141.218.60.56/~jnz1568/getInfo.php?workbook=12_05.xlsx&amp;sheet=U0&amp;row=1595&amp;col=6&amp;number=4.1&amp;sourceID=14","4.1")</f>
        <v>4.1</v>
      </c>
      <c r="G1595" s="4" t="str">
        <f>HYPERLINK("http://141.218.60.56/~jnz1568/getInfo.php?workbook=12_05.xlsx&amp;sheet=U0&amp;row=1595&amp;col=7&amp;number=0.0171&amp;sourceID=14","0.0171")</f>
        <v>0.0171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HYPERLINK("http://141.218.60.56/~jnz1568/getInfo.php?workbook=12_05.xlsx&amp;sheet=U0&amp;row=1596&amp;col=6&amp;number=4.2&amp;sourceID=14","4.2")</f>
        <v>4.2</v>
      </c>
      <c r="G1596" s="4" t="str">
        <f>HYPERLINK("http://141.218.60.56/~jnz1568/getInfo.php?workbook=12_05.xlsx&amp;sheet=U0&amp;row=1596&amp;col=7&amp;number=0.0172&amp;sourceID=14","0.0172")</f>
        <v>0.0172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HYPERLINK("http://141.218.60.56/~jnz1568/getInfo.php?workbook=12_05.xlsx&amp;sheet=U0&amp;row=1597&amp;col=6&amp;number=4.3&amp;sourceID=14","4.3")</f>
        <v>4.3</v>
      </c>
      <c r="G1597" s="4" t="str">
        <f>HYPERLINK("http://141.218.60.56/~jnz1568/getInfo.php?workbook=12_05.xlsx&amp;sheet=U0&amp;row=1597&amp;col=7&amp;number=0.0174&amp;sourceID=14","0.0174")</f>
        <v>0.0174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HYPERLINK("http://141.218.60.56/~jnz1568/getInfo.php?workbook=12_05.xlsx&amp;sheet=U0&amp;row=1598&amp;col=6&amp;number=4.4&amp;sourceID=14","4.4")</f>
        <v>4.4</v>
      </c>
      <c r="G1598" s="4" t="str">
        <f>HYPERLINK("http://141.218.60.56/~jnz1568/getInfo.php?workbook=12_05.xlsx&amp;sheet=U0&amp;row=1598&amp;col=7&amp;number=0.0176&amp;sourceID=14","0.0176")</f>
        <v>0.0176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HYPERLINK("http://141.218.60.56/~jnz1568/getInfo.php?workbook=12_05.xlsx&amp;sheet=U0&amp;row=1599&amp;col=6&amp;number=4.5&amp;sourceID=14","4.5")</f>
        <v>4.5</v>
      </c>
      <c r="G1599" s="4" t="str">
        <f>HYPERLINK("http://141.218.60.56/~jnz1568/getInfo.php?workbook=12_05.xlsx&amp;sheet=U0&amp;row=1599&amp;col=7&amp;number=0.0178&amp;sourceID=14","0.0178")</f>
        <v>0.0178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HYPERLINK("http://141.218.60.56/~jnz1568/getInfo.php?workbook=12_05.xlsx&amp;sheet=U0&amp;row=1600&amp;col=6&amp;number=4.6&amp;sourceID=14","4.6")</f>
        <v>4.6</v>
      </c>
      <c r="G1600" s="4" t="str">
        <f>HYPERLINK("http://141.218.60.56/~jnz1568/getInfo.php?workbook=12_05.xlsx&amp;sheet=U0&amp;row=1600&amp;col=7&amp;number=0.0181&amp;sourceID=14","0.0181")</f>
        <v>0.0181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HYPERLINK("http://141.218.60.56/~jnz1568/getInfo.php?workbook=12_05.xlsx&amp;sheet=U0&amp;row=1601&amp;col=6&amp;number=4.7&amp;sourceID=14","4.7")</f>
        <v>4.7</v>
      </c>
      <c r="G1601" s="4" t="str">
        <f>HYPERLINK("http://141.218.60.56/~jnz1568/getInfo.php?workbook=12_05.xlsx&amp;sheet=U0&amp;row=1601&amp;col=7&amp;number=0.0185&amp;sourceID=14","0.0185")</f>
        <v>0.0185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HYPERLINK("http://141.218.60.56/~jnz1568/getInfo.php?workbook=12_05.xlsx&amp;sheet=U0&amp;row=1602&amp;col=6&amp;number=4.8&amp;sourceID=14","4.8")</f>
        <v>4.8</v>
      </c>
      <c r="G1602" s="4" t="str">
        <f>HYPERLINK("http://141.218.60.56/~jnz1568/getInfo.php?workbook=12_05.xlsx&amp;sheet=U0&amp;row=1602&amp;col=7&amp;number=0.019&amp;sourceID=14","0.019")</f>
        <v>0.019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HYPERLINK("http://141.218.60.56/~jnz1568/getInfo.php?workbook=12_05.xlsx&amp;sheet=U0&amp;row=1603&amp;col=6&amp;number=4.9&amp;sourceID=14","4.9")</f>
        <v>4.9</v>
      </c>
      <c r="G1603" s="4" t="str">
        <f>HYPERLINK("http://141.218.60.56/~jnz1568/getInfo.php?workbook=12_05.xlsx&amp;sheet=U0&amp;row=1603&amp;col=7&amp;number=0.0196&amp;sourceID=14","0.0196")</f>
        <v>0.0196</v>
      </c>
    </row>
    <row r="1604" spans="1:7">
      <c r="A1604" s="3">
        <v>12</v>
      </c>
      <c r="B1604" s="3">
        <v>5</v>
      </c>
      <c r="C1604" s="3">
        <v>1</v>
      </c>
      <c r="D1604" s="3">
        <v>37</v>
      </c>
      <c r="E1604" s="3">
        <v>1</v>
      </c>
      <c r="F1604" s="4" t="str">
        <f>HYPERLINK("http://141.218.60.56/~jnz1568/getInfo.php?workbook=12_05.xlsx&amp;sheet=U0&amp;row=1604&amp;col=6&amp;number=3&amp;sourceID=14","3")</f>
        <v>3</v>
      </c>
      <c r="G1604" s="4" t="str">
        <f>HYPERLINK("http://141.218.60.56/~jnz1568/getInfo.php?workbook=12_05.xlsx&amp;sheet=U0&amp;row=1604&amp;col=7&amp;number=0.00204&amp;sourceID=14","0.00204")</f>
        <v>0.00204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HYPERLINK("http://141.218.60.56/~jnz1568/getInfo.php?workbook=12_05.xlsx&amp;sheet=U0&amp;row=1605&amp;col=6&amp;number=3.1&amp;sourceID=14","3.1")</f>
        <v>3.1</v>
      </c>
      <c r="G1605" s="4" t="str">
        <f>HYPERLINK("http://141.218.60.56/~jnz1568/getInfo.php?workbook=12_05.xlsx&amp;sheet=U0&amp;row=1605&amp;col=7&amp;number=0.00204&amp;sourceID=14","0.00204")</f>
        <v>0.00204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HYPERLINK("http://141.218.60.56/~jnz1568/getInfo.php?workbook=12_05.xlsx&amp;sheet=U0&amp;row=1606&amp;col=6&amp;number=3.2&amp;sourceID=14","3.2")</f>
        <v>3.2</v>
      </c>
      <c r="G1606" s="4" t="str">
        <f>HYPERLINK("http://141.218.60.56/~jnz1568/getInfo.php?workbook=12_05.xlsx&amp;sheet=U0&amp;row=1606&amp;col=7&amp;number=0.00204&amp;sourceID=14","0.00204")</f>
        <v>0.00204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HYPERLINK("http://141.218.60.56/~jnz1568/getInfo.php?workbook=12_05.xlsx&amp;sheet=U0&amp;row=1607&amp;col=6&amp;number=3.3&amp;sourceID=14","3.3")</f>
        <v>3.3</v>
      </c>
      <c r="G1607" s="4" t="str">
        <f>HYPERLINK("http://141.218.60.56/~jnz1568/getInfo.php?workbook=12_05.xlsx&amp;sheet=U0&amp;row=1607&amp;col=7&amp;number=0.00204&amp;sourceID=14","0.00204")</f>
        <v>0.00204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HYPERLINK("http://141.218.60.56/~jnz1568/getInfo.php?workbook=12_05.xlsx&amp;sheet=U0&amp;row=1608&amp;col=6&amp;number=3.4&amp;sourceID=14","3.4")</f>
        <v>3.4</v>
      </c>
      <c r="G1608" s="4" t="str">
        <f>HYPERLINK("http://141.218.60.56/~jnz1568/getInfo.php?workbook=12_05.xlsx&amp;sheet=U0&amp;row=1608&amp;col=7&amp;number=0.00204&amp;sourceID=14","0.00204")</f>
        <v>0.00204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HYPERLINK("http://141.218.60.56/~jnz1568/getInfo.php?workbook=12_05.xlsx&amp;sheet=U0&amp;row=1609&amp;col=6&amp;number=3.5&amp;sourceID=14","3.5")</f>
        <v>3.5</v>
      </c>
      <c r="G1609" s="4" t="str">
        <f>HYPERLINK("http://141.218.60.56/~jnz1568/getInfo.php?workbook=12_05.xlsx&amp;sheet=U0&amp;row=1609&amp;col=7&amp;number=0.00204&amp;sourceID=14","0.00204")</f>
        <v>0.00204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HYPERLINK("http://141.218.60.56/~jnz1568/getInfo.php?workbook=12_05.xlsx&amp;sheet=U0&amp;row=1610&amp;col=6&amp;number=3.6&amp;sourceID=14","3.6")</f>
        <v>3.6</v>
      </c>
      <c r="G1610" s="4" t="str">
        <f>HYPERLINK("http://141.218.60.56/~jnz1568/getInfo.php?workbook=12_05.xlsx&amp;sheet=U0&amp;row=1610&amp;col=7&amp;number=0.00203&amp;sourceID=14","0.00203")</f>
        <v>0.00203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HYPERLINK("http://141.218.60.56/~jnz1568/getInfo.php?workbook=12_05.xlsx&amp;sheet=U0&amp;row=1611&amp;col=6&amp;number=3.7&amp;sourceID=14","3.7")</f>
        <v>3.7</v>
      </c>
      <c r="G1611" s="4" t="str">
        <f>HYPERLINK("http://141.218.60.56/~jnz1568/getInfo.php?workbook=12_05.xlsx&amp;sheet=U0&amp;row=1611&amp;col=7&amp;number=0.00203&amp;sourceID=14","0.00203")</f>
        <v>0.00203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HYPERLINK("http://141.218.60.56/~jnz1568/getInfo.php?workbook=12_05.xlsx&amp;sheet=U0&amp;row=1612&amp;col=6&amp;number=3.8&amp;sourceID=14","3.8")</f>
        <v>3.8</v>
      </c>
      <c r="G1612" s="4" t="str">
        <f>HYPERLINK("http://141.218.60.56/~jnz1568/getInfo.php?workbook=12_05.xlsx&amp;sheet=U0&amp;row=1612&amp;col=7&amp;number=0.00203&amp;sourceID=14","0.00203")</f>
        <v>0.00203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HYPERLINK("http://141.218.60.56/~jnz1568/getInfo.php?workbook=12_05.xlsx&amp;sheet=U0&amp;row=1613&amp;col=6&amp;number=3.9&amp;sourceID=14","3.9")</f>
        <v>3.9</v>
      </c>
      <c r="G1613" s="4" t="str">
        <f>HYPERLINK("http://141.218.60.56/~jnz1568/getInfo.php?workbook=12_05.xlsx&amp;sheet=U0&amp;row=1613&amp;col=7&amp;number=0.00203&amp;sourceID=14","0.00203")</f>
        <v>0.00203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HYPERLINK("http://141.218.60.56/~jnz1568/getInfo.php?workbook=12_05.xlsx&amp;sheet=U0&amp;row=1614&amp;col=6&amp;number=4&amp;sourceID=14","4")</f>
        <v>4</v>
      </c>
      <c r="G1614" s="4" t="str">
        <f>HYPERLINK("http://141.218.60.56/~jnz1568/getInfo.php?workbook=12_05.xlsx&amp;sheet=U0&amp;row=1614&amp;col=7&amp;number=0.00203&amp;sourceID=14","0.00203")</f>
        <v>0.00203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HYPERLINK("http://141.218.60.56/~jnz1568/getInfo.php?workbook=12_05.xlsx&amp;sheet=U0&amp;row=1615&amp;col=6&amp;number=4.1&amp;sourceID=14","4.1")</f>
        <v>4.1</v>
      </c>
      <c r="G1615" s="4" t="str">
        <f>HYPERLINK("http://141.218.60.56/~jnz1568/getInfo.php?workbook=12_05.xlsx&amp;sheet=U0&amp;row=1615&amp;col=7&amp;number=0.00202&amp;sourceID=14","0.00202")</f>
        <v>0.00202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HYPERLINK("http://141.218.60.56/~jnz1568/getInfo.php?workbook=12_05.xlsx&amp;sheet=U0&amp;row=1616&amp;col=6&amp;number=4.2&amp;sourceID=14","4.2")</f>
        <v>4.2</v>
      </c>
      <c r="G1616" s="4" t="str">
        <f>HYPERLINK("http://141.218.60.56/~jnz1568/getInfo.php?workbook=12_05.xlsx&amp;sheet=U0&amp;row=1616&amp;col=7&amp;number=0.00202&amp;sourceID=14","0.00202")</f>
        <v>0.00202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HYPERLINK("http://141.218.60.56/~jnz1568/getInfo.php?workbook=12_05.xlsx&amp;sheet=U0&amp;row=1617&amp;col=6&amp;number=4.3&amp;sourceID=14","4.3")</f>
        <v>4.3</v>
      </c>
      <c r="G1617" s="4" t="str">
        <f>HYPERLINK("http://141.218.60.56/~jnz1568/getInfo.php?workbook=12_05.xlsx&amp;sheet=U0&amp;row=1617&amp;col=7&amp;number=0.00202&amp;sourceID=14","0.00202")</f>
        <v>0.00202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HYPERLINK("http://141.218.60.56/~jnz1568/getInfo.php?workbook=12_05.xlsx&amp;sheet=U0&amp;row=1618&amp;col=6&amp;number=4.4&amp;sourceID=14","4.4")</f>
        <v>4.4</v>
      </c>
      <c r="G1618" s="4" t="str">
        <f>HYPERLINK("http://141.218.60.56/~jnz1568/getInfo.php?workbook=12_05.xlsx&amp;sheet=U0&amp;row=1618&amp;col=7&amp;number=0.00201&amp;sourceID=14","0.00201")</f>
        <v>0.00201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HYPERLINK("http://141.218.60.56/~jnz1568/getInfo.php?workbook=12_05.xlsx&amp;sheet=U0&amp;row=1619&amp;col=6&amp;number=4.5&amp;sourceID=14","4.5")</f>
        <v>4.5</v>
      </c>
      <c r="G1619" s="4" t="str">
        <f>HYPERLINK("http://141.218.60.56/~jnz1568/getInfo.php?workbook=12_05.xlsx&amp;sheet=U0&amp;row=1619&amp;col=7&amp;number=0.002&amp;sourceID=14","0.002")</f>
        <v>0.002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HYPERLINK("http://141.218.60.56/~jnz1568/getInfo.php?workbook=12_05.xlsx&amp;sheet=U0&amp;row=1620&amp;col=6&amp;number=4.6&amp;sourceID=14","4.6")</f>
        <v>4.6</v>
      </c>
      <c r="G1620" s="4" t="str">
        <f>HYPERLINK("http://141.218.60.56/~jnz1568/getInfo.php?workbook=12_05.xlsx&amp;sheet=U0&amp;row=1620&amp;col=7&amp;number=0.00199&amp;sourceID=14","0.00199")</f>
        <v>0.00199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HYPERLINK("http://141.218.60.56/~jnz1568/getInfo.php?workbook=12_05.xlsx&amp;sheet=U0&amp;row=1621&amp;col=6&amp;number=4.7&amp;sourceID=14","4.7")</f>
        <v>4.7</v>
      </c>
      <c r="G1621" s="4" t="str">
        <f>HYPERLINK("http://141.218.60.56/~jnz1568/getInfo.php?workbook=12_05.xlsx&amp;sheet=U0&amp;row=1621&amp;col=7&amp;number=0.00198&amp;sourceID=14","0.00198")</f>
        <v>0.00198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HYPERLINK("http://141.218.60.56/~jnz1568/getInfo.php?workbook=12_05.xlsx&amp;sheet=U0&amp;row=1622&amp;col=6&amp;number=4.8&amp;sourceID=14","4.8")</f>
        <v>4.8</v>
      </c>
      <c r="G1622" s="4" t="str">
        <f>HYPERLINK("http://141.218.60.56/~jnz1568/getInfo.php?workbook=12_05.xlsx&amp;sheet=U0&amp;row=1622&amp;col=7&amp;number=0.00196&amp;sourceID=14","0.00196")</f>
        <v>0.00196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HYPERLINK("http://141.218.60.56/~jnz1568/getInfo.php?workbook=12_05.xlsx&amp;sheet=U0&amp;row=1623&amp;col=6&amp;number=4.9&amp;sourceID=14","4.9")</f>
        <v>4.9</v>
      </c>
      <c r="G1623" s="4" t="str">
        <f>HYPERLINK("http://141.218.60.56/~jnz1568/getInfo.php?workbook=12_05.xlsx&amp;sheet=U0&amp;row=1623&amp;col=7&amp;number=0.00195&amp;sourceID=14","0.00195")</f>
        <v>0.00195</v>
      </c>
    </row>
    <row r="1624" spans="1:7">
      <c r="A1624" s="3">
        <v>12</v>
      </c>
      <c r="B1624" s="3">
        <v>5</v>
      </c>
      <c r="C1624" s="3">
        <v>1</v>
      </c>
      <c r="D1624" s="3">
        <v>38</v>
      </c>
      <c r="E1624" s="3">
        <v>1</v>
      </c>
      <c r="F1624" s="4" t="str">
        <f>HYPERLINK("http://141.218.60.56/~jnz1568/getInfo.php?workbook=12_05.xlsx&amp;sheet=U0&amp;row=1624&amp;col=6&amp;number=3&amp;sourceID=14","3")</f>
        <v>3</v>
      </c>
      <c r="G1624" s="4" t="str">
        <f>HYPERLINK("http://141.218.60.56/~jnz1568/getInfo.php?workbook=12_05.xlsx&amp;sheet=U0&amp;row=1624&amp;col=7&amp;number=0.0017&amp;sourceID=14","0.0017")</f>
        <v>0.0017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HYPERLINK("http://141.218.60.56/~jnz1568/getInfo.php?workbook=12_05.xlsx&amp;sheet=U0&amp;row=1625&amp;col=6&amp;number=3.1&amp;sourceID=14","3.1")</f>
        <v>3.1</v>
      </c>
      <c r="G1625" s="4" t="str">
        <f>HYPERLINK("http://141.218.60.56/~jnz1568/getInfo.php?workbook=12_05.xlsx&amp;sheet=U0&amp;row=1625&amp;col=7&amp;number=0.0017&amp;sourceID=14","0.0017")</f>
        <v>0.0017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HYPERLINK("http://141.218.60.56/~jnz1568/getInfo.php?workbook=12_05.xlsx&amp;sheet=U0&amp;row=1626&amp;col=6&amp;number=3.2&amp;sourceID=14","3.2")</f>
        <v>3.2</v>
      </c>
      <c r="G1626" s="4" t="str">
        <f>HYPERLINK("http://141.218.60.56/~jnz1568/getInfo.php?workbook=12_05.xlsx&amp;sheet=U0&amp;row=1626&amp;col=7&amp;number=0.0017&amp;sourceID=14","0.0017")</f>
        <v>0.0017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HYPERLINK("http://141.218.60.56/~jnz1568/getInfo.php?workbook=12_05.xlsx&amp;sheet=U0&amp;row=1627&amp;col=6&amp;number=3.3&amp;sourceID=14","3.3")</f>
        <v>3.3</v>
      </c>
      <c r="G1627" s="4" t="str">
        <f>HYPERLINK("http://141.218.60.56/~jnz1568/getInfo.php?workbook=12_05.xlsx&amp;sheet=U0&amp;row=1627&amp;col=7&amp;number=0.0017&amp;sourceID=14","0.0017")</f>
        <v>0.0017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HYPERLINK("http://141.218.60.56/~jnz1568/getInfo.php?workbook=12_05.xlsx&amp;sheet=U0&amp;row=1628&amp;col=6&amp;number=3.4&amp;sourceID=14","3.4")</f>
        <v>3.4</v>
      </c>
      <c r="G1628" s="4" t="str">
        <f>HYPERLINK("http://141.218.60.56/~jnz1568/getInfo.php?workbook=12_05.xlsx&amp;sheet=U0&amp;row=1628&amp;col=7&amp;number=0.00171&amp;sourceID=14","0.00171")</f>
        <v>0.00171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HYPERLINK("http://141.218.60.56/~jnz1568/getInfo.php?workbook=12_05.xlsx&amp;sheet=U0&amp;row=1629&amp;col=6&amp;number=3.5&amp;sourceID=14","3.5")</f>
        <v>3.5</v>
      </c>
      <c r="G1629" s="4" t="str">
        <f>HYPERLINK("http://141.218.60.56/~jnz1568/getInfo.php?workbook=12_05.xlsx&amp;sheet=U0&amp;row=1629&amp;col=7&amp;number=0.00171&amp;sourceID=14","0.00171")</f>
        <v>0.00171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HYPERLINK("http://141.218.60.56/~jnz1568/getInfo.php?workbook=12_05.xlsx&amp;sheet=U0&amp;row=1630&amp;col=6&amp;number=3.6&amp;sourceID=14","3.6")</f>
        <v>3.6</v>
      </c>
      <c r="G1630" s="4" t="str">
        <f>HYPERLINK("http://141.218.60.56/~jnz1568/getInfo.php?workbook=12_05.xlsx&amp;sheet=U0&amp;row=1630&amp;col=7&amp;number=0.00171&amp;sourceID=14","0.00171")</f>
        <v>0.00171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HYPERLINK("http://141.218.60.56/~jnz1568/getInfo.php?workbook=12_05.xlsx&amp;sheet=U0&amp;row=1631&amp;col=6&amp;number=3.7&amp;sourceID=14","3.7")</f>
        <v>3.7</v>
      </c>
      <c r="G1631" s="4" t="str">
        <f>HYPERLINK("http://141.218.60.56/~jnz1568/getInfo.php?workbook=12_05.xlsx&amp;sheet=U0&amp;row=1631&amp;col=7&amp;number=0.00171&amp;sourceID=14","0.00171")</f>
        <v>0.00171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HYPERLINK("http://141.218.60.56/~jnz1568/getInfo.php?workbook=12_05.xlsx&amp;sheet=U0&amp;row=1632&amp;col=6&amp;number=3.8&amp;sourceID=14","3.8")</f>
        <v>3.8</v>
      </c>
      <c r="G1632" s="4" t="str">
        <f>HYPERLINK("http://141.218.60.56/~jnz1568/getInfo.php?workbook=12_05.xlsx&amp;sheet=U0&amp;row=1632&amp;col=7&amp;number=0.00172&amp;sourceID=14","0.00172")</f>
        <v>0.00172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HYPERLINK("http://141.218.60.56/~jnz1568/getInfo.php?workbook=12_05.xlsx&amp;sheet=U0&amp;row=1633&amp;col=6&amp;number=3.9&amp;sourceID=14","3.9")</f>
        <v>3.9</v>
      </c>
      <c r="G1633" s="4" t="str">
        <f>HYPERLINK("http://141.218.60.56/~jnz1568/getInfo.php?workbook=12_05.xlsx&amp;sheet=U0&amp;row=1633&amp;col=7&amp;number=0.00172&amp;sourceID=14","0.00172")</f>
        <v>0.00172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HYPERLINK("http://141.218.60.56/~jnz1568/getInfo.php?workbook=12_05.xlsx&amp;sheet=U0&amp;row=1634&amp;col=6&amp;number=4&amp;sourceID=14","4")</f>
        <v>4</v>
      </c>
      <c r="G1634" s="4" t="str">
        <f>HYPERLINK("http://141.218.60.56/~jnz1568/getInfo.php?workbook=12_05.xlsx&amp;sheet=U0&amp;row=1634&amp;col=7&amp;number=0.00173&amp;sourceID=14","0.00173")</f>
        <v>0.00173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HYPERLINK("http://141.218.60.56/~jnz1568/getInfo.php?workbook=12_05.xlsx&amp;sheet=U0&amp;row=1635&amp;col=6&amp;number=4.1&amp;sourceID=14","4.1")</f>
        <v>4.1</v>
      </c>
      <c r="G1635" s="4" t="str">
        <f>HYPERLINK("http://141.218.60.56/~jnz1568/getInfo.php?workbook=12_05.xlsx&amp;sheet=U0&amp;row=1635&amp;col=7&amp;number=0.00174&amp;sourceID=14","0.00174")</f>
        <v>0.00174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HYPERLINK("http://141.218.60.56/~jnz1568/getInfo.php?workbook=12_05.xlsx&amp;sheet=U0&amp;row=1636&amp;col=6&amp;number=4.2&amp;sourceID=14","4.2")</f>
        <v>4.2</v>
      </c>
      <c r="G1636" s="4" t="str">
        <f>HYPERLINK("http://141.218.60.56/~jnz1568/getInfo.php?workbook=12_05.xlsx&amp;sheet=U0&amp;row=1636&amp;col=7&amp;number=0.00175&amp;sourceID=14","0.00175")</f>
        <v>0.00175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HYPERLINK("http://141.218.60.56/~jnz1568/getInfo.php?workbook=12_05.xlsx&amp;sheet=U0&amp;row=1637&amp;col=6&amp;number=4.3&amp;sourceID=14","4.3")</f>
        <v>4.3</v>
      </c>
      <c r="G1637" s="4" t="str">
        <f>HYPERLINK("http://141.218.60.56/~jnz1568/getInfo.php?workbook=12_05.xlsx&amp;sheet=U0&amp;row=1637&amp;col=7&amp;number=0.00176&amp;sourceID=14","0.00176")</f>
        <v>0.00176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HYPERLINK("http://141.218.60.56/~jnz1568/getInfo.php?workbook=12_05.xlsx&amp;sheet=U0&amp;row=1638&amp;col=6&amp;number=4.4&amp;sourceID=14","4.4")</f>
        <v>4.4</v>
      </c>
      <c r="G1638" s="4" t="str">
        <f>HYPERLINK("http://141.218.60.56/~jnz1568/getInfo.php?workbook=12_05.xlsx&amp;sheet=U0&amp;row=1638&amp;col=7&amp;number=0.00178&amp;sourceID=14","0.00178")</f>
        <v>0.00178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HYPERLINK("http://141.218.60.56/~jnz1568/getInfo.php?workbook=12_05.xlsx&amp;sheet=U0&amp;row=1639&amp;col=6&amp;number=4.5&amp;sourceID=14","4.5")</f>
        <v>4.5</v>
      </c>
      <c r="G1639" s="4" t="str">
        <f>HYPERLINK("http://141.218.60.56/~jnz1568/getInfo.php?workbook=12_05.xlsx&amp;sheet=U0&amp;row=1639&amp;col=7&amp;number=0.0018&amp;sourceID=14","0.0018")</f>
        <v>0.0018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HYPERLINK("http://141.218.60.56/~jnz1568/getInfo.php?workbook=12_05.xlsx&amp;sheet=U0&amp;row=1640&amp;col=6&amp;number=4.6&amp;sourceID=14","4.6")</f>
        <v>4.6</v>
      </c>
      <c r="G1640" s="4" t="str">
        <f>HYPERLINK("http://141.218.60.56/~jnz1568/getInfo.php?workbook=12_05.xlsx&amp;sheet=U0&amp;row=1640&amp;col=7&amp;number=0.00183&amp;sourceID=14","0.00183")</f>
        <v>0.00183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HYPERLINK("http://141.218.60.56/~jnz1568/getInfo.php?workbook=12_05.xlsx&amp;sheet=U0&amp;row=1641&amp;col=6&amp;number=4.7&amp;sourceID=14","4.7")</f>
        <v>4.7</v>
      </c>
      <c r="G1641" s="4" t="str">
        <f>HYPERLINK("http://141.218.60.56/~jnz1568/getInfo.php?workbook=12_05.xlsx&amp;sheet=U0&amp;row=1641&amp;col=7&amp;number=0.00186&amp;sourceID=14","0.00186")</f>
        <v>0.00186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HYPERLINK("http://141.218.60.56/~jnz1568/getInfo.php?workbook=12_05.xlsx&amp;sheet=U0&amp;row=1642&amp;col=6&amp;number=4.8&amp;sourceID=14","4.8")</f>
        <v>4.8</v>
      </c>
      <c r="G1642" s="4" t="str">
        <f>HYPERLINK("http://141.218.60.56/~jnz1568/getInfo.php?workbook=12_05.xlsx&amp;sheet=U0&amp;row=1642&amp;col=7&amp;number=0.0019&amp;sourceID=14","0.0019")</f>
        <v>0.0019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HYPERLINK("http://141.218.60.56/~jnz1568/getInfo.php?workbook=12_05.xlsx&amp;sheet=U0&amp;row=1643&amp;col=6&amp;number=4.9&amp;sourceID=14","4.9")</f>
        <v>4.9</v>
      </c>
      <c r="G1643" s="4" t="str">
        <f>HYPERLINK("http://141.218.60.56/~jnz1568/getInfo.php?workbook=12_05.xlsx&amp;sheet=U0&amp;row=1643&amp;col=7&amp;number=0.00195&amp;sourceID=14","0.00195")</f>
        <v>0.00195</v>
      </c>
    </row>
    <row r="1644" spans="1:7">
      <c r="A1644" s="3">
        <v>12</v>
      </c>
      <c r="B1644" s="3">
        <v>5</v>
      </c>
      <c r="C1644" s="3">
        <v>1</v>
      </c>
      <c r="D1644" s="3">
        <v>40</v>
      </c>
      <c r="E1644" s="3">
        <v>1</v>
      </c>
      <c r="F1644" s="4" t="str">
        <f>HYPERLINK("http://141.218.60.56/~jnz1568/getInfo.php?workbook=12_05.xlsx&amp;sheet=U0&amp;row=1644&amp;col=6&amp;number=3&amp;sourceID=14","3")</f>
        <v>3</v>
      </c>
      <c r="G1644" s="4" t="str">
        <f>HYPERLINK("http://141.218.60.56/~jnz1568/getInfo.php?workbook=12_05.xlsx&amp;sheet=U0&amp;row=1644&amp;col=7&amp;number=0.000562&amp;sourceID=14","0.000562")</f>
        <v>0.000562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HYPERLINK("http://141.218.60.56/~jnz1568/getInfo.php?workbook=12_05.xlsx&amp;sheet=U0&amp;row=1645&amp;col=6&amp;number=3.1&amp;sourceID=14","3.1")</f>
        <v>3.1</v>
      </c>
      <c r="G1645" s="4" t="str">
        <f>HYPERLINK("http://141.218.60.56/~jnz1568/getInfo.php?workbook=12_05.xlsx&amp;sheet=U0&amp;row=1645&amp;col=7&amp;number=0.000562&amp;sourceID=14","0.000562")</f>
        <v>0.000562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HYPERLINK("http://141.218.60.56/~jnz1568/getInfo.php?workbook=12_05.xlsx&amp;sheet=U0&amp;row=1646&amp;col=6&amp;number=3.2&amp;sourceID=14","3.2")</f>
        <v>3.2</v>
      </c>
      <c r="G1646" s="4" t="str">
        <f>HYPERLINK("http://141.218.60.56/~jnz1568/getInfo.php?workbook=12_05.xlsx&amp;sheet=U0&amp;row=1646&amp;col=7&amp;number=0.000562&amp;sourceID=14","0.000562")</f>
        <v>0.000562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HYPERLINK("http://141.218.60.56/~jnz1568/getInfo.php?workbook=12_05.xlsx&amp;sheet=U0&amp;row=1647&amp;col=6&amp;number=3.3&amp;sourceID=14","3.3")</f>
        <v>3.3</v>
      </c>
      <c r="G1647" s="4" t="str">
        <f>HYPERLINK("http://141.218.60.56/~jnz1568/getInfo.php?workbook=12_05.xlsx&amp;sheet=U0&amp;row=1647&amp;col=7&amp;number=0.000562&amp;sourceID=14","0.000562")</f>
        <v>0.000562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HYPERLINK("http://141.218.60.56/~jnz1568/getInfo.php?workbook=12_05.xlsx&amp;sheet=U0&amp;row=1648&amp;col=6&amp;number=3.4&amp;sourceID=14","3.4")</f>
        <v>3.4</v>
      </c>
      <c r="G1648" s="4" t="str">
        <f>HYPERLINK("http://141.218.60.56/~jnz1568/getInfo.php?workbook=12_05.xlsx&amp;sheet=U0&amp;row=1648&amp;col=7&amp;number=0.000562&amp;sourceID=14","0.000562")</f>
        <v>0.000562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HYPERLINK("http://141.218.60.56/~jnz1568/getInfo.php?workbook=12_05.xlsx&amp;sheet=U0&amp;row=1649&amp;col=6&amp;number=3.5&amp;sourceID=14","3.5")</f>
        <v>3.5</v>
      </c>
      <c r="G1649" s="4" t="str">
        <f>HYPERLINK("http://141.218.60.56/~jnz1568/getInfo.php?workbook=12_05.xlsx&amp;sheet=U0&amp;row=1649&amp;col=7&amp;number=0.000563&amp;sourceID=14","0.000563")</f>
        <v>0.000563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HYPERLINK("http://141.218.60.56/~jnz1568/getInfo.php?workbook=12_05.xlsx&amp;sheet=U0&amp;row=1650&amp;col=6&amp;number=3.6&amp;sourceID=14","3.6")</f>
        <v>3.6</v>
      </c>
      <c r="G1650" s="4" t="str">
        <f>HYPERLINK("http://141.218.60.56/~jnz1568/getInfo.php?workbook=12_05.xlsx&amp;sheet=U0&amp;row=1650&amp;col=7&amp;number=0.000563&amp;sourceID=14","0.000563")</f>
        <v>0.000563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HYPERLINK("http://141.218.60.56/~jnz1568/getInfo.php?workbook=12_05.xlsx&amp;sheet=U0&amp;row=1651&amp;col=6&amp;number=3.7&amp;sourceID=14","3.7")</f>
        <v>3.7</v>
      </c>
      <c r="G1651" s="4" t="str">
        <f>HYPERLINK("http://141.218.60.56/~jnz1568/getInfo.php?workbook=12_05.xlsx&amp;sheet=U0&amp;row=1651&amp;col=7&amp;number=0.000564&amp;sourceID=14","0.000564")</f>
        <v>0.000564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HYPERLINK("http://141.218.60.56/~jnz1568/getInfo.php?workbook=12_05.xlsx&amp;sheet=U0&amp;row=1652&amp;col=6&amp;number=3.8&amp;sourceID=14","3.8")</f>
        <v>3.8</v>
      </c>
      <c r="G1652" s="4" t="str">
        <f>HYPERLINK("http://141.218.60.56/~jnz1568/getInfo.php?workbook=12_05.xlsx&amp;sheet=U0&amp;row=1652&amp;col=7&amp;number=0.000565&amp;sourceID=14","0.000565")</f>
        <v>0.000565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HYPERLINK("http://141.218.60.56/~jnz1568/getInfo.php?workbook=12_05.xlsx&amp;sheet=U0&amp;row=1653&amp;col=6&amp;number=3.9&amp;sourceID=14","3.9")</f>
        <v>3.9</v>
      </c>
      <c r="G1653" s="4" t="str">
        <f>HYPERLINK("http://141.218.60.56/~jnz1568/getInfo.php?workbook=12_05.xlsx&amp;sheet=U0&amp;row=1653&amp;col=7&amp;number=0.000566&amp;sourceID=14","0.000566")</f>
        <v>0.000566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HYPERLINK("http://141.218.60.56/~jnz1568/getInfo.php?workbook=12_05.xlsx&amp;sheet=U0&amp;row=1654&amp;col=6&amp;number=4&amp;sourceID=14","4")</f>
        <v>4</v>
      </c>
      <c r="G1654" s="4" t="str">
        <f>HYPERLINK("http://141.218.60.56/~jnz1568/getInfo.php?workbook=12_05.xlsx&amp;sheet=U0&amp;row=1654&amp;col=7&amp;number=0.000567&amp;sourceID=14","0.000567")</f>
        <v>0.000567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HYPERLINK("http://141.218.60.56/~jnz1568/getInfo.php?workbook=12_05.xlsx&amp;sheet=U0&amp;row=1655&amp;col=6&amp;number=4.1&amp;sourceID=14","4.1")</f>
        <v>4.1</v>
      </c>
      <c r="G1655" s="4" t="str">
        <f>HYPERLINK("http://141.218.60.56/~jnz1568/getInfo.php?workbook=12_05.xlsx&amp;sheet=U0&amp;row=1655&amp;col=7&amp;number=0.000569&amp;sourceID=14","0.000569")</f>
        <v>0.000569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HYPERLINK("http://141.218.60.56/~jnz1568/getInfo.php?workbook=12_05.xlsx&amp;sheet=U0&amp;row=1656&amp;col=6&amp;number=4.2&amp;sourceID=14","4.2")</f>
        <v>4.2</v>
      </c>
      <c r="G1656" s="4" t="str">
        <f>HYPERLINK("http://141.218.60.56/~jnz1568/getInfo.php?workbook=12_05.xlsx&amp;sheet=U0&amp;row=1656&amp;col=7&amp;number=0.000571&amp;sourceID=14","0.000571")</f>
        <v>0.000571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HYPERLINK("http://141.218.60.56/~jnz1568/getInfo.php?workbook=12_05.xlsx&amp;sheet=U0&amp;row=1657&amp;col=6&amp;number=4.3&amp;sourceID=14","4.3")</f>
        <v>4.3</v>
      </c>
      <c r="G1657" s="4" t="str">
        <f>HYPERLINK("http://141.218.60.56/~jnz1568/getInfo.php?workbook=12_05.xlsx&amp;sheet=U0&amp;row=1657&amp;col=7&amp;number=0.000573&amp;sourceID=14","0.000573")</f>
        <v>0.000573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HYPERLINK("http://141.218.60.56/~jnz1568/getInfo.php?workbook=12_05.xlsx&amp;sheet=U0&amp;row=1658&amp;col=6&amp;number=4.4&amp;sourceID=14","4.4")</f>
        <v>4.4</v>
      </c>
      <c r="G1658" s="4" t="str">
        <f>HYPERLINK("http://141.218.60.56/~jnz1568/getInfo.php?workbook=12_05.xlsx&amp;sheet=U0&amp;row=1658&amp;col=7&amp;number=0.000576&amp;sourceID=14","0.000576")</f>
        <v>0.000576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HYPERLINK("http://141.218.60.56/~jnz1568/getInfo.php?workbook=12_05.xlsx&amp;sheet=U0&amp;row=1659&amp;col=6&amp;number=4.5&amp;sourceID=14","4.5")</f>
        <v>4.5</v>
      </c>
      <c r="G1659" s="4" t="str">
        <f>HYPERLINK("http://141.218.60.56/~jnz1568/getInfo.php?workbook=12_05.xlsx&amp;sheet=U0&amp;row=1659&amp;col=7&amp;number=0.00058&amp;sourceID=14","0.00058")</f>
        <v>0.00058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HYPERLINK("http://141.218.60.56/~jnz1568/getInfo.php?workbook=12_05.xlsx&amp;sheet=U0&amp;row=1660&amp;col=6&amp;number=4.6&amp;sourceID=14","4.6")</f>
        <v>4.6</v>
      </c>
      <c r="G1660" s="4" t="str">
        <f>HYPERLINK("http://141.218.60.56/~jnz1568/getInfo.php?workbook=12_05.xlsx&amp;sheet=U0&amp;row=1660&amp;col=7&amp;number=0.000585&amp;sourceID=14","0.000585")</f>
        <v>0.000585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HYPERLINK("http://141.218.60.56/~jnz1568/getInfo.php?workbook=12_05.xlsx&amp;sheet=U0&amp;row=1661&amp;col=6&amp;number=4.7&amp;sourceID=14","4.7")</f>
        <v>4.7</v>
      </c>
      <c r="G1661" s="4" t="str">
        <f>HYPERLINK("http://141.218.60.56/~jnz1568/getInfo.php?workbook=12_05.xlsx&amp;sheet=U0&amp;row=1661&amp;col=7&amp;number=0.000591&amp;sourceID=14","0.000591")</f>
        <v>0.000591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HYPERLINK("http://141.218.60.56/~jnz1568/getInfo.php?workbook=12_05.xlsx&amp;sheet=U0&amp;row=1662&amp;col=6&amp;number=4.8&amp;sourceID=14","4.8")</f>
        <v>4.8</v>
      </c>
      <c r="G1662" s="4" t="str">
        <f>HYPERLINK("http://141.218.60.56/~jnz1568/getInfo.php?workbook=12_05.xlsx&amp;sheet=U0&amp;row=1662&amp;col=7&amp;number=0.000599&amp;sourceID=14","0.000599")</f>
        <v>0.000599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HYPERLINK("http://141.218.60.56/~jnz1568/getInfo.php?workbook=12_05.xlsx&amp;sheet=U0&amp;row=1663&amp;col=6&amp;number=4.9&amp;sourceID=14","4.9")</f>
        <v>4.9</v>
      </c>
      <c r="G1663" s="4" t="str">
        <f>HYPERLINK("http://141.218.60.56/~jnz1568/getInfo.php?workbook=12_05.xlsx&amp;sheet=U0&amp;row=1663&amp;col=7&amp;number=0.000608&amp;sourceID=14","0.000608")</f>
        <v>0.000608</v>
      </c>
    </row>
    <row r="1664" spans="1:7">
      <c r="A1664" s="3">
        <v>12</v>
      </c>
      <c r="B1664" s="3">
        <v>5</v>
      </c>
      <c r="C1664" s="3">
        <v>1</v>
      </c>
      <c r="D1664" s="3">
        <v>41</v>
      </c>
      <c r="E1664" s="3">
        <v>1</v>
      </c>
      <c r="F1664" s="4" t="str">
        <f>HYPERLINK("http://141.218.60.56/~jnz1568/getInfo.php?workbook=12_05.xlsx&amp;sheet=U0&amp;row=1664&amp;col=6&amp;number=3&amp;sourceID=14","3")</f>
        <v>3</v>
      </c>
      <c r="G1664" s="4" t="str">
        <f>HYPERLINK("http://141.218.60.56/~jnz1568/getInfo.php?workbook=12_05.xlsx&amp;sheet=U0&amp;row=1664&amp;col=7&amp;number=0.000349&amp;sourceID=14","0.000349")</f>
        <v>0.000349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HYPERLINK("http://141.218.60.56/~jnz1568/getInfo.php?workbook=12_05.xlsx&amp;sheet=U0&amp;row=1665&amp;col=6&amp;number=3.1&amp;sourceID=14","3.1")</f>
        <v>3.1</v>
      </c>
      <c r="G1665" s="4" t="str">
        <f>HYPERLINK("http://141.218.60.56/~jnz1568/getInfo.php?workbook=12_05.xlsx&amp;sheet=U0&amp;row=1665&amp;col=7&amp;number=0.000349&amp;sourceID=14","0.000349")</f>
        <v>0.000349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HYPERLINK("http://141.218.60.56/~jnz1568/getInfo.php?workbook=12_05.xlsx&amp;sheet=U0&amp;row=1666&amp;col=6&amp;number=3.2&amp;sourceID=14","3.2")</f>
        <v>3.2</v>
      </c>
      <c r="G1666" s="4" t="str">
        <f>HYPERLINK("http://141.218.60.56/~jnz1568/getInfo.php?workbook=12_05.xlsx&amp;sheet=U0&amp;row=1666&amp;col=7&amp;number=0.000349&amp;sourceID=14","0.000349")</f>
        <v>0.000349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HYPERLINK("http://141.218.60.56/~jnz1568/getInfo.php?workbook=12_05.xlsx&amp;sheet=U0&amp;row=1667&amp;col=6&amp;number=3.3&amp;sourceID=14","3.3")</f>
        <v>3.3</v>
      </c>
      <c r="G1667" s="4" t="str">
        <f>HYPERLINK("http://141.218.60.56/~jnz1568/getInfo.php?workbook=12_05.xlsx&amp;sheet=U0&amp;row=1667&amp;col=7&amp;number=0.00035&amp;sourceID=14","0.00035")</f>
        <v>0.00035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HYPERLINK("http://141.218.60.56/~jnz1568/getInfo.php?workbook=12_05.xlsx&amp;sheet=U0&amp;row=1668&amp;col=6&amp;number=3.4&amp;sourceID=14","3.4")</f>
        <v>3.4</v>
      </c>
      <c r="G1668" s="4" t="str">
        <f>HYPERLINK("http://141.218.60.56/~jnz1568/getInfo.php?workbook=12_05.xlsx&amp;sheet=U0&amp;row=1668&amp;col=7&amp;number=0.00035&amp;sourceID=14","0.00035")</f>
        <v>0.00035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HYPERLINK("http://141.218.60.56/~jnz1568/getInfo.php?workbook=12_05.xlsx&amp;sheet=U0&amp;row=1669&amp;col=6&amp;number=3.5&amp;sourceID=14","3.5")</f>
        <v>3.5</v>
      </c>
      <c r="G1669" s="4" t="str">
        <f>HYPERLINK("http://141.218.60.56/~jnz1568/getInfo.php?workbook=12_05.xlsx&amp;sheet=U0&amp;row=1669&amp;col=7&amp;number=0.00035&amp;sourceID=14","0.00035")</f>
        <v>0.00035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HYPERLINK("http://141.218.60.56/~jnz1568/getInfo.php?workbook=12_05.xlsx&amp;sheet=U0&amp;row=1670&amp;col=6&amp;number=3.6&amp;sourceID=14","3.6")</f>
        <v>3.6</v>
      </c>
      <c r="G1670" s="4" t="str">
        <f>HYPERLINK("http://141.218.60.56/~jnz1568/getInfo.php?workbook=12_05.xlsx&amp;sheet=U0&amp;row=1670&amp;col=7&amp;number=0.000351&amp;sourceID=14","0.000351")</f>
        <v>0.000351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HYPERLINK("http://141.218.60.56/~jnz1568/getInfo.php?workbook=12_05.xlsx&amp;sheet=U0&amp;row=1671&amp;col=6&amp;number=3.7&amp;sourceID=14","3.7")</f>
        <v>3.7</v>
      </c>
      <c r="G1671" s="4" t="str">
        <f>HYPERLINK("http://141.218.60.56/~jnz1568/getInfo.php?workbook=12_05.xlsx&amp;sheet=U0&amp;row=1671&amp;col=7&amp;number=0.000351&amp;sourceID=14","0.000351")</f>
        <v>0.000351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HYPERLINK("http://141.218.60.56/~jnz1568/getInfo.php?workbook=12_05.xlsx&amp;sheet=U0&amp;row=1672&amp;col=6&amp;number=3.8&amp;sourceID=14","3.8")</f>
        <v>3.8</v>
      </c>
      <c r="G1672" s="4" t="str">
        <f>HYPERLINK("http://141.218.60.56/~jnz1568/getInfo.php?workbook=12_05.xlsx&amp;sheet=U0&amp;row=1672&amp;col=7&amp;number=0.000352&amp;sourceID=14","0.000352")</f>
        <v>0.000352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HYPERLINK("http://141.218.60.56/~jnz1568/getInfo.php?workbook=12_05.xlsx&amp;sheet=U0&amp;row=1673&amp;col=6&amp;number=3.9&amp;sourceID=14","3.9")</f>
        <v>3.9</v>
      </c>
      <c r="G1673" s="4" t="str">
        <f>HYPERLINK("http://141.218.60.56/~jnz1568/getInfo.php?workbook=12_05.xlsx&amp;sheet=U0&amp;row=1673&amp;col=7&amp;number=0.000352&amp;sourceID=14","0.000352")</f>
        <v>0.000352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HYPERLINK("http://141.218.60.56/~jnz1568/getInfo.php?workbook=12_05.xlsx&amp;sheet=U0&amp;row=1674&amp;col=6&amp;number=4&amp;sourceID=14","4")</f>
        <v>4</v>
      </c>
      <c r="G1674" s="4" t="str">
        <f>HYPERLINK("http://141.218.60.56/~jnz1568/getInfo.php?workbook=12_05.xlsx&amp;sheet=U0&amp;row=1674&amp;col=7&amp;number=0.000353&amp;sourceID=14","0.000353")</f>
        <v>0.000353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HYPERLINK("http://141.218.60.56/~jnz1568/getInfo.php?workbook=12_05.xlsx&amp;sheet=U0&amp;row=1675&amp;col=6&amp;number=4.1&amp;sourceID=14","4.1")</f>
        <v>4.1</v>
      </c>
      <c r="G1675" s="4" t="str">
        <f>HYPERLINK("http://141.218.60.56/~jnz1568/getInfo.php?workbook=12_05.xlsx&amp;sheet=U0&amp;row=1675&amp;col=7&amp;number=0.000354&amp;sourceID=14","0.000354")</f>
        <v>0.000354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HYPERLINK("http://141.218.60.56/~jnz1568/getInfo.php?workbook=12_05.xlsx&amp;sheet=U0&amp;row=1676&amp;col=6&amp;number=4.2&amp;sourceID=14","4.2")</f>
        <v>4.2</v>
      </c>
      <c r="G1676" s="4" t="str">
        <f>HYPERLINK("http://141.218.60.56/~jnz1568/getInfo.php?workbook=12_05.xlsx&amp;sheet=U0&amp;row=1676&amp;col=7&amp;number=0.000356&amp;sourceID=14","0.000356")</f>
        <v>0.000356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HYPERLINK("http://141.218.60.56/~jnz1568/getInfo.php?workbook=12_05.xlsx&amp;sheet=U0&amp;row=1677&amp;col=6&amp;number=4.3&amp;sourceID=14","4.3")</f>
        <v>4.3</v>
      </c>
      <c r="G1677" s="4" t="str">
        <f>HYPERLINK("http://141.218.60.56/~jnz1568/getInfo.php?workbook=12_05.xlsx&amp;sheet=U0&amp;row=1677&amp;col=7&amp;number=0.000357&amp;sourceID=14","0.000357")</f>
        <v>0.000357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HYPERLINK("http://141.218.60.56/~jnz1568/getInfo.php?workbook=12_05.xlsx&amp;sheet=U0&amp;row=1678&amp;col=6&amp;number=4.4&amp;sourceID=14","4.4")</f>
        <v>4.4</v>
      </c>
      <c r="G1678" s="4" t="str">
        <f>HYPERLINK("http://141.218.60.56/~jnz1568/getInfo.php?workbook=12_05.xlsx&amp;sheet=U0&amp;row=1678&amp;col=7&amp;number=0.00036&amp;sourceID=14","0.00036")</f>
        <v>0.00036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HYPERLINK("http://141.218.60.56/~jnz1568/getInfo.php?workbook=12_05.xlsx&amp;sheet=U0&amp;row=1679&amp;col=6&amp;number=4.5&amp;sourceID=14","4.5")</f>
        <v>4.5</v>
      </c>
      <c r="G1679" s="4" t="str">
        <f>HYPERLINK("http://141.218.60.56/~jnz1568/getInfo.php?workbook=12_05.xlsx&amp;sheet=U0&amp;row=1679&amp;col=7&amp;number=0.000362&amp;sourceID=14","0.000362")</f>
        <v>0.000362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HYPERLINK("http://141.218.60.56/~jnz1568/getInfo.php?workbook=12_05.xlsx&amp;sheet=U0&amp;row=1680&amp;col=6&amp;number=4.6&amp;sourceID=14","4.6")</f>
        <v>4.6</v>
      </c>
      <c r="G1680" s="4" t="str">
        <f>HYPERLINK("http://141.218.60.56/~jnz1568/getInfo.php?workbook=12_05.xlsx&amp;sheet=U0&amp;row=1680&amp;col=7&amp;number=0.000366&amp;sourceID=14","0.000366")</f>
        <v>0.000366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HYPERLINK("http://141.218.60.56/~jnz1568/getInfo.php?workbook=12_05.xlsx&amp;sheet=U0&amp;row=1681&amp;col=6&amp;number=4.7&amp;sourceID=14","4.7")</f>
        <v>4.7</v>
      </c>
      <c r="G1681" s="4" t="str">
        <f>HYPERLINK("http://141.218.60.56/~jnz1568/getInfo.php?workbook=12_05.xlsx&amp;sheet=U0&amp;row=1681&amp;col=7&amp;number=0.00037&amp;sourceID=14","0.00037")</f>
        <v>0.00037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HYPERLINK("http://141.218.60.56/~jnz1568/getInfo.php?workbook=12_05.xlsx&amp;sheet=U0&amp;row=1682&amp;col=6&amp;number=4.8&amp;sourceID=14","4.8")</f>
        <v>4.8</v>
      </c>
      <c r="G1682" s="4" t="str">
        <f>HYPERLINK("http://141.218.60.56/~jnz1568/getInfo.php?workbook=12_05.xlsx&amp;sheet=U0&amp;row=1682&amp;col=7&amp;number=0.000375&amp;sourceID=14","0.000375")</f>
        <v>0.000375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HYPERLINK("http://141.218.60.56/~jnz1568/getInfo.php?workbook=12_05.xlsx&amp;sheet=U0&amp;row=1683&amp;col=6&amp;number=4.9&amp;sourceID=14","4.9")</f>
        <v>4.9</v>
      </c>
      <c r="G1683" s="4" t="str">
        <f>HYPERLINK("http://141.218.60.56/~jnz1568/getInfo.php?workbook=12_05.xlsx&amp;sheet=U0&amp;row=1683&amp;col=7&amp;number=0.000382&amp;sourceID=14","0.000382")</f>
        <v>0.000382</v>
      </c>
    </row>
    <row r="1684" spans="1:7">
      <c r="A1684" s="3">
        <v>12</v>
      </c>
      <c r="B1684" s="3">
        <v>5</v>
      </c>
      <c r="C1684" s="3">
        <v>1</v>
      </c>
      <c r="D1684" s="3">
        <v>42</v>
      </c>
      <c r="E1684" s="3">
        <v>1</v>
      </c>
      <c r="F1684" s="4" t="str">
        <f>HYPERLINK("http://141.218.60.56/~jnz1568/getInfo.php?workbook=12_05.xlsx&amp;sheet=U0&amp;row=1684&amp;col=6&amp;number=3&amp;sourceID=14","3")</f>
        <v>3</v>
      </c>
      <c r="G1684" s="4" t="str">
        <f>HYPERLINK("http://141.218.60.56/~jnz1568/getInfo.php?workbook=12_05.xlsx&amp;sheet=U0&amp;row=1684&amp;col=7&amp;number=0.000277&amp;sourceID=14","0.000277")</f>
        <v>0.000277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HYPERLINK("http://141.218.60.56/~jnz1568/getInfo.php?workbook=12_05.xlsx&amp;sheet=U0&amp;row=1685&amp;col=6&amp;number=3.1&amp;sourceID=14","3.1")</f>
        <v>3.1</v>
      </c>
      <c r="G1685" s="4" t="str">
        <f>HYPERLINK("http://141.218.60.56/~jnz1568/getInfo.php?workbook=12_05.xlsx&amp;sheet=U0&amp;row=1685&amp;col=7&amp;number=0.000277&amp;sourceID=14","0.000277")</f>
        <v>0.000277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HYPERLINK("http://141.218.60.56/~jnz1568/getInfo.php?workbook=12_05.xlsx&amp;sheet=U0&amp;row=1686&amp;col=6&amp;number=3.2&amp;sourceID=14","3.2")</f>
        <v>3.2</v>
      </c>
      <c r="G1686" s="4" t="str">
        <f>HYPERLINK("http://141.218.60.56/~jnz1568/getInfo.php?workbook=12_05.xlsx&amp;sheet=U0&amp;row=1686&amp;col=7&amp;number=0.000277&amp;sourceID=14","0.000277")</f>
        <v>0.000277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HYPERLINK("http://141.218.60.56/~jnz1568/getInfo.php?workbook=12_05.xlsx&amp;sheet=U0&amp;row=1687&amp;col=6&amp;number=3.3&amp;sourceID=14","3.3")</f>
        <v>3.3</v>
      </c>
      <c r="G1687" s="4" t="str">
        <f>HYPERLINK("http://141.218.60.56/~jnz1568/getInfo.php?workbook=12_05.xlsx&amp;sheet=U0&amp;row=1687&amp;col=7&amp;number=0.000277&amp;sourceID=14","0.000277")</f>
        <v>0.000277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HYPERLINK("http://141.218.60.56/~jnz1568/getInfo.php?workbook=12_05.xlsx&amp;sheet=U0&amp;row=1688&amp;col=6&amp;number=3.4&amp;sourceID=14","3.4")</f>
        <v>3.4</v>
      </c>
      <c r="G1688" s="4" t="str">
        <f>HYPERLINK("http://141.218.60.56/~jnz1568/getInfo.php?workbook=12_05.xlsx&amp;sheet=U0&amp;row=1688&amp;col=7&amp;number=0.000277&amp;sourceID=14","0.000277")</f>
        <v>0.000277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HYPERLINK("http://141.218.60.56/~jnz1568/getInfo.php?workbook=12_05.xlsx&amp;sheet=U0&amp;row=1689&amp;col=6&amp;number=3.5&amp;sourceID=14","3.5")</f>
        <v>3.5</v>
      </c>
      <c r="G1689" s="4" t="str">
        <f>HYPERLINK("http://141.218.60.56/~jnz1568/getInfo.php?workbook=12_05.xlsx&amp;sheet=U0&amp;row=1689&amp;col=7&amp;number=0.000277&amp;sourceID=14","0.000277")</f>
        <v>0.000277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HYPERLINK("http://141.218.60.56/~jnz1568/getInfo.php?workbook=12_05.xlsx&amp;sheet=U0&amp;row=1690&amp;col=6&amp;number=3.6&amp;sourceID=14","3.6")</f>
        <v>3.6</v>
      </c>
      <c r="G1690" s="4" t="str">
        <f>HYPERLINK("http://141.218.60.56/~jnz1568/getInfo.php?workbook=12_05.xlsx&amp;sheet=U0&amp;row=1690&amp;col=7&amp;number=0.000276&amp;sourceID=14","0.000276")</f>
        <v>0.000276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HYPERLINK("http://141.218.60.56/~jnz1568/getInfo.php?workbook=12_05.xlsx&amp;sheet=U0&amp;row=1691&amp;col=6&amp;number=3.7&amp;sourceID=14","3.7")</f>
        <v>3.7</v>
      </c>
      <c r="G1691" s="4" t="str">
        <f>HYPERLINK("http://141.218.60.56/~jnz1568/getInfo.php?workbook=12_05.xlsx&amp;sheet=U0&amp;row=1691&amp;col=7&amp;number=0.000276&amp;sourceID=14","0.000276")</f>
        <v>0.000276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HYPERLINK("http://141.218.60.56/~jnz1568/getInfo.php?workbook=12_05.xlsx&amp;sheet=U0&amp;row=1692&amp;col=6&amp;number=3.8&amp;sourceID=14","3.8")</f>
        <v>3.8</v>
      </c>
      <c r="G1692" s="4" t="str">
        <f>HYPERLINK("http://141.218.60.56/~jnz1568/getInfo.php?workbook=12_05.xlsx&amp;sheet=U0&amp;row=1692&amp;col=7&amp;number=0.000276&amp;sourceID=14","0.000276")</f>
        <v>0.000276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HYPERLINK("http://141.218.60.56/~jnz1568/getInfo.php?workbook=12_05.xlsx&amp;sheet=U0&amp;row=1693&amp;col=6&amp;number=3.9&amp;sourceID=14","3.9")</f>
        <v>3.9</v>
      </c>
      <c r="G1693" s="4" t="str">
        <f>HYPERLINK("http://141.218.60.56/~jnz1568/getInfo.php?workbook=12_05.xlsx&amp;sheet=U0&amp;row=1693&amp;col=7&amp;number=0.000275&amp;sourceID=14","0.000275")</f>
        <v>0.000275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HYPERLINK("http://141.218.60.56/~jnz1568/getInfo.php?workbook=12_05.xlsx&amp;sheet=U0&amp;row=1694&amp;col=6&amp;number=4&amp;sourceID=14","4")</f>
        <v>4</v>
      </c>
      <c r="G1694" s="4" t="str">
        <f>HYPERLINK("http://141.218.60.56/~jnz1568/getInfo.php?workbook=12_05.xlsx&amp;sheet=U0&amp;row=1694&amp;col=7&amp;number=0.000275&amp;sourceID=14","0.000275")</f>
        <v>0.000275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HYPERLINK("http://141.218.60.56/~jnz1568/getInfo.php?workbook=12_05.xlsx&amp;sheet=U0&amp;row=1695&amp;col=6&amp;number=4.1&amp;sourceID=14","4.1")</f>
        <v>4.1</v>
      </c>
      <c r="G1695" s="4" t="str">
        <f>HYPERLINK("http://141.218.60.56/~jnz1568/getInfo.php?workbook=12_05.xlsx&amp;sheet=U0&amp;row=1695&amp;col=7&amp;number=0.000274&amp;sourceID=14","0.000274")</f>
        <v>0.000274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HYPERLINK("http://141.218.60.56/~jnz1568/getInfo.php?workbook=12_05.xlsx&amp;sheet=U0&amp;row=1696&amp;col=6&amp;number=4.2&amp;sourceID=14","4.2")</f>
        <v>4.2</v>
      </c>
      <c r="G1696" s="4" t="str">
        <f>HYPERLINK("http://141.218.60.56/~jnz1568/getInfo.php?workbook=12_05.xlsx&amp;sheet=U0&amp;row=1696&amp;col=7&amp;number=0.000273&amp;sourceID=14","0.000273")</f>
        <v>0.000273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HYPERLINK("http://141.218.60.56/~jnz1568/getInfo.php?workbook=12_05.xlsx&amp;sheet=U0&amp;row=1697&amp;col=6&amp;number=4.3&amp;sourceID=14","4.3")</f>
        <v>4.3</v>
      </c>
      <c r="G1697" s="4" t="str">
        <f>HYPERLINK("http://141.218.60.56/~jnz1568/getInfo.php?workbook=12_05.xlsx&amp;sheet=U0&amp;row=1697&amp;col=7&amp;number=0.000272&amp;sourceID=14","0.000272")</f>
        <v>0.000272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HYPERLINK("http://141.218.60.56/~jnz1568/getInfo.php?workbook=12_05.xlsx&amp;sheet=U0&amp;row=1698&amp;col=6&amp;number=4.4&amp;sourceID=14","4.4")</f>
        <v>4.4</v>
      </c>
      <c r="G1698" s="4" t="str">
        <f>HYPERLINK("http://141.218.60.56/~jnz1568/getInfo.php?workbook=12_05.xlsx&amp;sheet=U0&amp;row=1698&amp;col=7&amp;number=0.00027&amp;sourceID=14","0.00027")</f>
        <v>0.00027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HYPERLINK("http://141.218.60.56/~jnz1568/getInfo.php?workbook=12_05.xlsx&amp;sheet=U0&amp;row=1699&amp;col=6&amp;number=4.5&amp;sourceID=14","4.5")</f>
        <v>4.5</v>
      </c>
      <c r="G1699" s="4" t="str">
        <f>HYPERLINK("http://141.218.60.56/~jnz1568/getInfo.php?workbook=12_05.xlsx&amp;sheet=U0&amp;row=1699&amp;col=7&amp;number=0.000268&amp;sourceID=14","0.000268")</f>
        <v>0.000268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HYPERLINK("http://141.218.60.56/~jnz1568/getInfo.php?workbook=12_05.xlsx&amp;sheet=U0&amp;row=1700&amp;col=6&amp;number=4.6&amp;sourceID=14","4.6")</f>
        <v>4.6</v>
      </c>
      <c r="G1700" s="4" t="str">
        <f>HYPERLINK("http://141.218.60.56/~jnz1568/getInfo.php?workbook=12_05.xlsx&amp;sheet=U0&amp;row=1700&amp;col=7&amp;number=0.000266&amp;sourceID=14","0.000266")</f>
        <v>0.000266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HYPERLINK("http://141.218.60.56/~jnz1568/getInfo.php?workbook=12_05.xlsx&amp;sheet=U0&amp;row=1701&amp;col=6&amp;number=4.7&amp;sourceID=14","4.7")</f>
        <v>4.7</v>
      </c>
      <c r="G1701" s="4" t="str">
        <f>HYPERLINK("http://141.218.60.56/~jnz1568/getInfo.php?workbook=12_05.xlsx&amp;sheet=U0&amp;row=1701&amp;col=7&amp;number=0.000263&amp;sourceID=14","0.000263")</f>
        <v>0.000263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HYPERLINK("http://141.218.60.56/~jnz1568/getInfo.php?workbook=12_05.xlsx&amp;sheet=U0&amp;row=1702&amp;col=6&amp;number=4.8&amp;sourceID=14","4.8")</f>
        <v>4.8</v>
      </c>
      <c r="G1702" s="4" t="str">
        <f>HYPERLINK("http://141.218.60.56/~jnz1568/getInfo.php?workbook=12_05.xlsx&amp;sheet=U0&amp;row=1702&amp;col=7&amp;number=0.000259&amp;sourceID=14","0.000259")</f>
        <v>0.000259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HYPERLINK("http://141.218.60.56/~jnz1568/getInfo.php?workbook=12_05.xlsx&amp;sheet=U0&amp;row=1703&amp;col=6&amp;number=4.9&amp;sourceID=14","4.9")</f>
        <v>4.9</v>
      </c>
      <c r="G1703" s="4" t="str">
        <f>HYPERLINK("http://141.218.60.56/~jnz1568/getInfo.php?workbook=12_05.xlsx&amp;sheet=U0&amp;row=1703&amp;col=7&amp;number=0.000255&amp;sourceID=14","0.000255")</f>
        <v>0.000255</v>
      </c>
    </row>
    <row r="1704" spans="1:7">
      <c r="A1704" s="3">
        <v>12</v>
      </c>
      <c r="B1704" s="3">
        <v>5</v>
      </c>
      <c r="C1704" s="3">
        <v>1</v>
      </c>
      <c r="D1704" s="3">
        <v>43</v>
      </c>
      <c r="E1704" s="3">
        <v>1</v>
      </c>
      <c r="F1704" s="4" t="str">
        <f>HYPERLINK("http://141.218.60.56/~jnz1568/getInfo.php?workbook=12_05.xlsx&amp;sheet=U0&amp;row=1704&amp;col=6&amp;number=3&amp;sourceID=14","3")</f>
        <v>3</v>
      </c>
      <c r="G1704" s="4" t="str">
        <f>HYPERLINK("http://141.218.60.56/~jnz1568/getInfo.php?workbook=12_05.xlsx&amp;sheet=U0&amp;row=1704&amp;col=7&amp;number=0.000579&amp;sourceID=14","0.000579")</f>
        <v>0.000579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HYPERLINK("http://141.218.60.56/~jnz1568/getInfo.php?workbook=12_05.xlsx&amp;sheet=U0&amp;row=1705&amp;col=6&amp;number=3.1&amp;sourceID=14","3.1")</f>
        <v>3.1</v>
      </c>
      <c r="G1705" s="4" t="str">
        <f>HYPERLINK("http://141.218.60.56/~jnz1568/getInfo.php?workbook=12_05.xlsx&amp;sheet=U0&amp;row=1705&amp;col=7&amp;number=0.000579&amp;sourceID=14","0.000579")</f>
        <v>0.000579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HYPERLINK("http://141.218.60.56/~jnz1568/getInfo.php?workbook=12_05.xlsx&amp;sheet=U0&amp;row=1706&amp;col=6&amp;number=3.2&amp;sourceID=14","3.2")</f>
        <v>3.2</v>
      </c>
      <c r="G1706" s="4" t="str">
        <f>HYPERLINK("http://141.218.60.56/~jnz1568/getInfo.php?workbook=12_05.xlsx&amp;sheet=U0&amp;row=1706&amp;col=7&amp;number=0.000579&amp;sourceID=14","0.000579")</f>
        <v>0.000579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HYPERLINK("http://141.218.60.56/~jnz1568/getInfo.php?workbook=12_05.xlsx&amp;sheet=U0&amp;row=1707&amp;col=6&amp;number=3.3&amp;sourceID=14","3.3")</f>
        <v>3.3</v>
      </c>
      <c r="G1707" s="4" t="str">
        <f>HYPERLINK("http://141.218.60.56/~jnz1568/getInfo.php?workbook=12_05.xlsx&amp;sheet=U0&amp;row=1707&amp;col=7&amp;number=0.000579&amp;sourceID=14","0.000579")</f>
        <v>0.000579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HYPERLINK("http://141.218.60.56/~jnz1568/getInfo.php?workbook=12_05.xlsx&amp;sheet=U0&amp;row=1708&amp;col=6&amp;number=3.4&amp;sourceID=14","3.4")</f>
        <v>3.4</v>
      </c>
      <c r="G1708" s="4" t="str">
        <f>HYPERLINK("http://141.218.60.56/~jnz1568/getInfo.php?workbook=12_05.xlsx&amp;sheet=U0&amp;row=1708&amp;col=7&amp;number=0.000579&amp;sourceID=14","0.000579")</f>
        <v>0.000579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HYPERLINK("http://141.218.60.56/~jnz1568/getInfo.php?workbook=12_05.xlsx&amp;sheet=U0&amp;row=1709&amp;col=6&amp;number=3.5&amp;sourceID=14","3.5")</f>
        <v>3.5</v>
      </c>
      <c r="G1709" s="4" t="str">
        <f>HYPERLINK("http://141.218.60.56/~jnz1568/getInfo.php?workbook=12_05.xlsx&amp;sheet=U0&amp;row=1709&amp;col=7&amp;number=0.000579&amp;sourceID=14","0.000579")</f>
        <v>0.000579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HYPERLINK("http://141.218.60.56/~jnz1568/getInfo.php?workbook=12_05.xlsx&amp;sheet=U0&amp;row=1710&amp;col=6&amp;number=3.6&amp;sourceID=14","3.6")</f>
        <v>3.6</v>
      </c>
      <c r="G1710" s="4" t="str">
        <f>HYPERLINK("http://141.218.60.56/~jnz1568/getInfo.php?workbook=12_05.xlsx&amp;sheet=U0&amp;row=1710&amp;col=7&amp;number=0.000579&amp;sourceID=14","0.000579")</f>
        <v>0.000579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HYPERLINK("http://141.218.60.56/~jnz1568/getInfo.php?workbook=12_05.xlsx&amp;sheet=U0&amp;row=1711&amp;col=6&amp;number=3.7&amp;sourceID=14","3.7")</f>
        <v>3.7</v>
      </c>
      <c r="G1711" s="4" t="str">
        <f>HYPERLINK("http://141.218.60.56/~jnz1568/getInfo.php?workbook=12_05.xlsx&amp;sheet=U0&amp;row=1711&amp;col=7&amp;number=0.000578&amp;sourceID=14","0.000578")</f>
        <v>0.000578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HYPERLINK("http://141.218.60.56/~jnz1568/getInfo.php?workbook=12_05.xlsx&amp;sheet=U0&amp;row=1712&amp;col=6&amp;number=3.8&amp;sourceID=14","3.8")</f>
        <v>3.8</v>
      </c>
      <c r="G1712" s="4" t="str">
        <f>HYPERLINK("http://141.218.60.56/~jnz1568/getInfo.php?workbook=12_05.xlsx&amp;sheet=U0&amp;row=1712&amp;col=7&amp;number=0.000578&amp;sourceID=14","0.000578")</f>
        <v>0.000578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HYPERLINK("http://141.218.60.56/~jnz1568/getInfo.php?workbook=12_05.xlsx&amp;sheet=U0&amp;row=1713&amp;col=6&amp;number=3.9&amp;sourceID=14","3.9")</f>
        <v>3.9</v>
      </c>
      <c r="G1713" s="4" t="str">
        <f>HYPERLINK("http://141.218.60.56/~jnz1568/getInfo.php?workbook=12_05.xlsx&amp;sheet=U0&amp;row=1713&amp;col=7&amp;number=0.000578&amp;sourceID=14","0.000578")</f>
        <v>0.000578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HYPERLINK("http://141.218.60.56/~jnz1568/getInfo.php?workbook=12_05.xlsx&amp;sheet=U0&amp;row=1714&amp;col=6&amp;number=4&amp;sourceID=14","4")</f>
        <v>4</v>
      </c>
      <c r="G1714" s="4" t="str">
        <f>HYPERLINK("http://141.218.60.56/~jnz1568/getInfo.php?workbook=12_05.xlsx&amp;sheet=U0&amp;row=1714&amp;col=7&amp;number=0.000578&amp;sourceID=14","0.000578")</f>
        <v>0.000578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HYPERLINK("http://141.218.60.56/~jnz1568/getInfo.php?workbook=12_05.xlsx&amp;sheet=U0&amp;row=1715&amp;col=6&amp;number=4.1&amp;sourceID=14","4.1")</f>
        <v>4.1</v>
      </c>
      <c r="G1715" s="4" t="str">
        <f>HYPERLINK("http://141.218.60.56/~jnz1568/getInfo.php?workbook=12_05.xlsx&amp;sheet=U0&amp;row=1715&amp;col=7&amp;number=0.000578&amp;sourceID=14","0.000578")</f>
        <v>0.000578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HYPERLINK("http://141.218.60.56/~jnz1568/getInfo.php?workbook=12_05.xlsx&amp;sheet=U0&amp;row=1716&amp;col=6&amp;number=4.2&amp;sourceID=14","4.2")</f>
        <v>4.2</v>
      </c>
      <c r="G1716" s="4" t="str">
        <f>HYPERLINK("http://141.218.60.56/~jnz1568/getInfo.php?workbook=12_05.xlsx&amp;sheet=U0&amp;row=1716&amp;col=7&amp;number=0.000578&amp;sourceID=14","0.000578")</f>
        <v>0.000578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HYPERLINK("http://141.218.60.56/~jnz1568/getInfo.php?workbook=12_05.xlsx&amp;sheet=U0&amp;row=1717&amp;col=6&amp;number=4.3&amp;sourceID=14","4.3")</f>
        <v>4.3</v>
      </c>
      <c r="G1717" s="4" t="str">
        <f>HYPERLINK("http://141.218.60.56/~jnz1568/getInfo.php?workbook=12_05.xlsx&amp;sheet=U0&amp;row=1717&amp;col=7&amp;number=0.000578&amp;sourceID=14","0.000578")</f>
        <v>0.000578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HYPERLINK("http://141.218.60.56/~jnz1568/getInfo.php?workbook=12_05.xlsx&amp;sheet=U0&amp;row=1718&amp;col=6&amp;number=4.4&amp;sourceID=14","4.4")</f>
        <v>4.4</v>
      </c>
      <c r="G1718" s="4" t="str">
        <f>HYPERLINK("http://141.218.60.56/~jnz1568/getInfo.php?workbook=12_05.xlsx&amp;sheet=U0&amp;row=1718&amp;col=7&amp;number=0.000578&amp;sourceID=14","0.000578")</f>
        <v>0.000578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HYPERLINK("http://141.218.60.56/~jnz1568/getInfo.php?workbook=12_05.xlsx&amp;sheet=U0&amp;row=1719&amp;col=6&amp;number=4.5&amp;sourceID=14","4.5")</f>
        <v>4.5</v>
      </c>
      <c r="G1719" s="4" t="str">
        <f>HYPERLINK("http://141.218.60.56/~jnz1568/getInfo.php?workbook=12_05.xlsx&amp;sheet=U0&amp;row=1719&amp;col=7&amp;number=0.000577&amp;sourceID=14","0.000577")</f>
        <v>0.000577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HYPERLINK("http://141.218.60.56/~jnz1568/getInfo.php?workbook=12_05.xlsx&amp;sheet=U0&amp;row=1720&amp;col=6&amp;number=4.6&amp;sourceID=14","4.6")</f>
        <v>4.6</v>
      </c>
      <c r="G1720" s="4" t="str">
        <f>HYPERLINK("http://141.218.60.56/~jnz1568/getInfo.php?workbook=12_05.xlsx&amp;sheet=U0&amp;row=1720&amp;col=7&amp;number=0.000577&amp;sourceID=14","0.000577")</f>
        <v>0.000577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HYPERLINK("http://141.218.60.56/~jnz1568/getInfo.php?workbook=12_05.xlsx&amp;sheet=U0&amp;row=1721&amp;col=6&amp;number=4.7&amp;sourceID=14","4.7")</f>
        <v>4.7</v>
      </c>
      <c r="G1721" s="4" t="str">
        <f>HYPERLINK("http://141.218.60.56/~jnz1568/getInfo.php?workbook=12_05.xlsx&amp;sheet=U0&amp;row=1721&amp;col=7&amp;number=0.000577&amp;sourceID=14","0.000577")</f>
        <v>0.000577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HYPERLINK("http://141.218.60.56/~jnz1568/getInfo.php?workbook=12_05.xlsx&amp;sheet=U0&amp;row=1722&amp;col=6&amp;number=4.8&amp;sourceID=14","4.8")</f>
        <v>4.8</v>
      </c>
      <c r="G1722" s="4" t="str">
        <f>HYPERLINK("http://141.218.60.56/~jnz1568/getInfo.php?workbook=12_05.xlsx&amp;sheet=U0&amp;row=1722&amp;col=7&amp;number=0.000576&amp;sourceID=14","0.000576")</f>
        <v>0.000576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HYPERLINK("http://141.218.60.56/~jnz1568/getInfo.php?workbook=12_05.xlsx&amp;sheet=U0&amp;row=1723&amp;col=6&amp;number=4.9&amp;sourceID=14","4.9")</f>
        <v>4.9</v>
      </c>
      <c r="G1723" s="4" t="str">
        <f>HYPERLINK("http://141.218.60.56/~jnz1568/getInfo.php?workbook=12_05.xlsx&amp;sheet=U0&amp;row=1723&amp;col=7&amp;number=0.000576&amp;sourceID=14","0.000576")</f>
        <v>0.000576</v>
      </c>
    </row>
    <row r="1724" spans="1:7">
      <c r="A1724" s="3">
        <v>12</v>
      </c>
      <c r="B1724" s="3">
        <v>5</v>
      </c>
      <c r="C1724" s="3">
        <v>1</v>
      </c>
      <c r="D1724" s="3">
        <v>44</v>
      </c>
      <c r="E1724" s="3">
        <v>1</v>
      </c>
      <c r="F1724" s="4" t="str">
        <f>HYPERLINK("http://141.218.60.56/~jnz1568/getInfo.php?workbook=12_05.xlsx&amp;sheet=U0&amp;row=1724&amp;col=6&amp;number=3&amp;sourceID=14","3")</f>
        <v>3</v>
      </c>
      <c r="G1724" s="4" t="str">
        <f>HYPERLINK("http://141.218.60.56/~jnz1568/getInfo.php?workbook=12_05.xlsx&amp;sheet=U0&amp;row=1724&amp;col=7&amp;number=0.000359&amp;sourceID=14","0.000359")</f>
        <v>0.000359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HYPERLINK("http://141.218.60.56/~jnz1568/getInfo.php?workbook=12_05.xlsx&amp;sheet=U0&amp;row=1725&amp;col=6&amp;number=3.1&amp;sourceID=14","3.1")</f>
        <v>3.1</v>
      </c>
      <c r="G1725" s="4" t="str">
        <f>HYPERLINK("http://141.218.60.56/~jnz1568/getInfo.php?workbook=12_05.xlsx&amp;sheet=U0&amp;row=1725&amp;col=7&amp;number=0.000359&amp;sourceID=14","0.000359")</f>
        <v>0.000359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HYPERLINK("http://141.218.60.56/~jnz1568/getInfo.php?workbook=12_05.xlsx&amp;sheet=U0&amp;row=1726&amp;col=6&amp;number=3.2&amp;sourceID=14","3.2")</f>
        <v>3.2</v>
      </c>
      <c r="G1726" s="4" t="str">
        <f>HYPERLINK("http://141.218.60.56/~jnz1568/getInfo.php?workbook=12_05.xlsx&amp;sheet=U0&amp;row=1726&amp;col=7&amp;number=0.000359&amp;sourceID=14","0.000359")</f>
        <v>0.000359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HYPERLINK("http://141.218.60.56/~jnz1568/getInfo.php?workbook=12_05.xlsx&amp;sheet=U0&amp;row=1727&amp;col=6&amp;number=3.3&amp;sourceID=14","3.3")</f>
        <v>3.3</v>
      </c>
      <c r="G1727" s="4" t="str">
        <f>HYPERLINK("http://141.218.60.56/~jnz1568/getInfo.php?workbook=12_05.xlsx&amp;sheet=U0&amp;row=1727&amp;col=7&amp;number=0.000359&amp;sourceID=14","0.000359")</f>
        <v>0.000359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HYPERLINK("http://141.218.60.56/~jnz1568/getInfo.php?workbook=12_05.xlsx&amp;sheet=U0&amp;row=1728&amp;col=6&amp;number=3.4&amp;sourceID=14","3.4")</f>
        <v>3.4</v>
      </c>
      <c r="G1728" s="4" t="str">
        <f>HYPERLINK("http://141.218.60.56/~jnz1568/getInfo.php?workbook=12_05.xlsx&amp;sheet=U0&amp;row=1728&amp;col=7&amp;number=0.000358&amp;sourceID=14","0.000358")</f>
        <v>0.000358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HYPERLINK("http://141.218.60.56/~jnz1568/getInfo.php?workbook=12_05.xlsx&amp;sheet=U0&amp;row=1729&amp;col=6&amp;number=3.5&amp;sourceID=14","3.5")</f>
        <v>3.5</v>
      </c>
      <c r="G1729" s="4" t="str">
        <f>HYPERLINK("http://141.218.60.56/~jnz1568/getInfo.php?workbook=12_05.xlsx&amp;sheet=U0&amp;row=1729&amp;col=7&amp;number=0.000358&amp;sourceID=14","0.000358")</f>
        <v>0.000358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HYPERLINK("http://141.218.60.56/~jnz1568/getInfo.php?workbook=12_05.xlsx&amp;sheet=U0&amp;row=1730&amp;col=6&amp;number=3.6&amp;sourceID=14","3.6")</f>
        <v>3.6</v>
      </c>
      <c r="G1730" s="4" t="str">
        <f>HYPERLINK("http://141.218.60.56/~jnz1568/getInfo.php?workbook=12_05.xlsx&amp;sheet=U0&amp;row=1730&amp;col=7&amp;number=0.000358&amp;sourceID=14","0.000358")</f>
        <v>0.000358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HYPERLINK("http://141.218.60.56/~jnz1568/getInfo.php?workbook=12_05.xlsx&amp;sheet=U0&amp;row=1731&amp;col=6&amp;number=3.7&amp;sourceID=14","3.7")</f>
        <v>3.7</v>
      </c>
      <c r="G1731" s="4" t="str">
        <f>HYPERLINK("http://141.218.60.56/~jnz1568/getInfo.php?workbook=12_05.xlsx&amp;sheet=U0&amp;row=1731&amp;col=7&amp;number=0.000358&amp;sourceID=14","0.000358")</f>
        <v>0.000358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HYPERLINK("http://141.218.60.56/~jnz1568/getInfo.php?workbook=12_05.xlsx&amp;sheet=U0&amp;row=1732&amp;col=6&amp;number=3.8&amp;sourceID=14","3.8")</f>
        <v>3.8</v>
      </c>
      <c r="G1732" s="4" t="str">
        <f>HYPERLINK("http://141.218.60.56/~jnz1568/getInfo.php?workbook=12_05.xlsx&amp;sheet=U0&amp;row=1732&amp;col=7&amp;number=0.000358&amp;sourceID=14","0.000358")</f>
        <v>0.000358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HYPERLINK("http://141.218.60.56/~jnz1568/getInfo.php?workbook=12_05.xlsx&amp;sheet=U0&amp;row=1733&amp;col=6&amp;number=3.9&amp;sourceID=14","3.9")</f>
        <v>3.9</v>
      </c>
      <c r="G1733" s="4" t="str">
        <f>HYPERLINK("http://141.218.60.56/~jnz1568/getInfo.php?workbook=12_05.xlsx&amp;sheet=U0&amp;row=1733&amp;col=7&amp;number=0.000357&amp;sourceID=14","0.000357")</f>
        <v>0.000357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HYPERLINK("http://141.218.60.56/~jnz1568/getInfo.php?workbook=12_05.xlsx&amp;sheet=U0&amp;row=1734&amp;col=6&amp;number=4&amp;sourceID=14","4")</f>
        <v>4</v>
      </c>
      <c r="G1734" s="4" t="str">
        <f>HYPERLINK("http://141.218.60.56/~jnz1568/getInfo.php?workbook=12_05.xlsx&amp;sheet=U0&amp;row=1734&amp;col=7&amp;number=0.000357&amp;sourceID=14","0.000357")</f>
        <v>0.000357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HYPERLINK("http://141.218.60.56/~jnz1568/getInfo.php?workbook=12_05.xlsx&amp;sheet=U0&amp;row=1735&amp;col=6&amp;number=4.1&amp;sourceID=14","4.1")</f>
        <v>4.1</v>
      </c>
      <c r="G1735" s="4" t="str">
        <f>HYPERLINK("http://141.218.60.56/~jnz1568/getInfo.php?workbook=12_05.xlsx&amp;sheet=U0&amp;row=1735&amp;col=7&amp;number=0.000356&amp;sourceID=14","0.000356")</f>
        <v>0.000356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HYPERLINK("http://141.218.60.56/~jnz1568/getInfo.php?workbook=12_05.xlsx&amp;sheet=U0&amp;row=1736&amp;col=6&amp;number=4.2&amp;sourceID=14","4.2")</f>
        <v>4.2</v>
      </c>
      <c r="G1736" s="4" t="str">
        <f>HYPERLINK("http://141.218.60.56/~jnz1568/getInfo.php?workbook=12_05.xlsx&amp;sheet=U0&amp;row=1736&amp;col=7&amp;number=0.000355&amp;sourceID=14","0.000355")</f>
        <v>0.000355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HYPERLINK("http://141.218.60.56/~jnz1568/getInfo.php?workbook=12_05.xlsx&amp;sheet=U0&amp;row=1737&amp;col=6&amp;number=4.3&amp;sourceID=14","4.3")</f>
        <v>4.3</v>
      </c>
      <c r="G1737" s="4" t="str">
        <f>HYPERLINK("http://141.218.60.56/~jnz1568/getInfo.php?workbook=12_05.xlsx&amp;sheet=U0&amp;row=1737&amp;col=7&amp;number=0.000354&amp;sourceID=14","0.000354")</f>
        <v>0.000354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HYPERLINK("http://141.218.60.56/~jnz1568/getInfo.php?workbook=12_05.xlsx&amp;sheet=U0&amp;row=1738&amp;col=6&amp;number=4.4&amp;sourceID=14","4.4")</f>
        <v>4.4</v>
      </c>
      <c r="G1738" s="4" t="str">
        <f>HYPERLINK("http://141.218.60.56/~jnz1568/getInfo.php?workbook=12_05.xlsx&amp;sheet=U0&amp;row=1738&amp;col=7&amp;number=0.000353&amp;sourceID=14","0.000353")</f>
        <v>0.000353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HYPERLINK("http://141.218.60.56/~jnz1568/getInfo.php?workbook=12_05.xlsx&amp;sheet=U0&amp;row=1739&amp;col=6&amp;number=4.5&amp;sourceID=14","4.5")</f>
        <v>4.5</v>
      </c>
      <c r="G1739" s="4" t="str">
        <f>HYPERLINK("http://141.218.60.56/~jnz1568/getInfo.php?workbook=12_05.xlsx&amp;sheet=U0&amp;row=1739&amp;col=7&amp;number=0.000352&amp;sourceID=14","0.000352")</f>
        <v>0.000352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HYPERLINK("http://141.218.60.56/~jnz1568/getInfo.php?workbook=12_05.xlsx&amp;sheet=U0&amp;row=1740&amp;col=6&amp;number=4.6&amp;sourceID=14","4.6")</f>
        <v>4.6</v>
      </c>
      <c r="G1740" s="4" t="str">
        <f>HYPERLINK("http://141.218.60.56/~jnz1568/getInfo.php?workbook=12_05.xlsx&amp;sheet=U0&amp;row=1740&amp;col=7&amp;number=0.00035&amp;sourceID=14","0.00035")</f>
        <v>0.00035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HYPERLINK("http://141.218.60.56/~jnz1568/getInfo.php?workbook=12_05.xlsx&amp;sheet=U0&amp;row=1741&amp;col=6&amp;number=4.7&amp;sourceID=14","4.7")</f>
        <v>4.7</v>
      </c>
      <c r="G1741" s="4" t="str">
        <f>HYPERLINK("http://141.218.60.56/~jnz1568/getInfo.php?workbook=12_05.xlsx&amp;sheet=U0&amp;row=1741&amp;col=7&amp;number=0.000348&amp;sourceID=14","0.000348")</f>
        <v>0.000348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HYPERLINK("http://141.218.60.56/~jnz1568/getInfo.php?workbook=12_05.xlsx&amp;sheet=U0&amp;row=1742&amp;col=6&amp;number=4.8&amp;sourceID=14","4.8")</f>
        <v>4.8</v>
      </c>
      <c r="G1742" s="4" t="str">
        <f>HYPERLINK("http://141.218.60.56/~jnz1568/getInfo.php?workbook=12_05.xlsx&amp;sheet=U0&amp;row=1742&amp;col=7&amp;number=0.000345&amp;sourceID=14","0.000345")</f>
        <v>0.000345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HYPERLINK("http://141.218.60.56/~jnz1568/getInfo.php?workbook=12_05.xlsx&amp;sheet=U0&amp;row=1743&amp;col=6&amp;number=4.9&amp;sourceID=14","4.9")</f>
        <v>4.9</v>
      </c>
      <c r="G1743" s="4" t="str">
        <f>HYPERLINK("http://141.218.60.56/~jnz1568/getInfo.php?workbook=12_05.xlsx&amp;sheet=U0&amp;row=1743&amp;col=7&amp;number=0.000341&amp;sourceID=14","0.000341")</f>
        <v>0.000341</v>
      </c>
    </row>
    <row r="1744" spans="1:7">
      <c r="A1744" s="3">
        <v>12</v>
      </c>
      <c r="B1744" s="3">
        <v>5</v>
      </c>
      <c r="C1744" s="3">
        <v>1</v>
      </c>
      <c r="D1744" s="3">
        <v>45</v>
      </c>
      <c r="E1744" s="3">
        <v>1</v>
      </c>
      <c r="F1744" s="4" t="str">
        <f>HYPERLINK("http://141.218.60.56/~jnz1568/getInfo.php?workbook=12_05.xlsx&amp;sheet=U0&amp;row=1744&amp;col=6&amp;number=3&amp;sourceID=14","3")</f>
        <v>3</v>
      </c>
      <c r="G1744" s="4" t="str">
        <f>HYPERLINK("http://141.218.60.56/~jnz1568/getInfo.php?workbook=12_05.xlsx&amp;sheet=U0&amp;row=1744&amp;col=7&amp;number=0.00017&amp;sourceID=14","0.00017")</f>
        <v>0.00017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HYPERLINK("http://141.218.60.56/~jnz1568/getInfo.php?workbook=12_05.xlsx&amp;sheet=U0&amp;row=1745&amp;col=6&amp;number=3.1&amp;sourceID=14","3.1")</f>
        <v>3.1</v>
      </c>
      <c r="G1745" s="4" t="str">
        <f>HYPERLINK("http://141.218.60.56/~jnz1568/getInfo.php?workbook=12_05.xlsx&amp;sheet=U0&amp;row=1745&amp;col=7&amp;number=0.00017&amp;sourceID=14","0.00017")</f>
        <v>0.00017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HYPERLINK("http://141.218.60.56/~jnz1568/getInfo.php?workbook=12_05.xlsx&amp;sheet=U0&amp;row=1746&amp;col=6&amp;number=3.2&amp;sourceID=14","3.2")</f>
        <v>3.2</v>
      </c>
      <c r="G1746" s="4" t="str">
        <f>HYPERLINK("http://141.218.60.56/~jnz1568/getInfo.php?workbook=12_05.xlsx&amp;sheet=U0&amp;row=1746&amp;col=7&amp;number=0.00017&amp;sourceID=14","0.00017")</f>
        <v>0.00017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HYPERLINK("http://141.218.60.56/~jnz1568/getInfo.php?workbook=12_05.xlsx&amp;sheet=U0&amp;row=1747&amp;col=6&amp;number=3.3&amp;sourceID=14","3.3")</f>
        <v>3.3</v>
      </c>
      <c r="G1747" s="4" t="str">
        <f>HYPERLINK("http://141.218.60.56/~jnz1568/getInfo.php?workbook=12_05.xlsx&amp;sheet=U0&amp;row=1747&amp;col=7&amp;number=0.00017&amp;sourceID=14","0.00017")</f>
        <v>0.00017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HYPERLINK("http://141.218.60.56/~jnz1568/getInfo.php?workbook=12_05.xlsx&amp;sheet=U0&amp;row=1748&amp;col=6&amp;number=3.4&amp;sourceID=14","3.4")</f>
        <v>3.4</v>
      </c>
      <c r="G1748" s="4" t="str">
        <f>HYPERLINK("http://141.218.60.56/~jnz1568/getInfo.php?workbook=12_05.xlsx&amp;sheet=U0&amp;row=1748&amp;col=7&amp;number=0.00017&amp;sourceID=14","0.00017")</f>
        <v>0.00017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HYPERLINK("http://141.218.60.56/~jnz1568/getInfo.php?workbook=12_05.xlsx&amp;sheet=U0&amp;row=1749&amp;col=6&amp;number=3.5&amp;sourceID=14","3.5")</f>
        <v>3.5</v>
      </c>
      <c r="G1749" s="4" t="str">
        <f>HYPERLINK("http://141.218.60.56/~jnz1568/getInfo.php?workbook=12_05.xlsx&amp;sheet=U0&amp;row=1749&amp;col=7&amp;number=0.00017&amp;sourceID=14","0.00017")</f>
        <v>0.00017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HYPERLINK("http://141.218.60.56/~jnz1568/getInfo.php?workbook=12_05.xlsx&amp;sheet=U0&amp;row=1750&amp;col=6&amp;number=3.6&amp;sourceID=14","3.6")</f>
        <v>3.6</v>
      </c>
      <c r="G1750" s="4" t="str">
        <f>HYPERLINK("http://141.218.60.56/~jnz1568/getInfo.php?workbook=12_05.xlsx&amp;sheet=U0&amp;row=1750&amp;col=7&amp;number=0.00017&amp;sourceID=14","0.00017")</f>
        <v>0.00017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HYPERLINK("http://141.218.60.56/~jnz1568/getInfo.php?workbook=12_05.xlsx&amp;sheet=U0&amp;row=1751&amp;col=6&amp;number=3.7&amp;sourceID=14","3.7")</f>
        <v>3.7</v>
      </c>
      <c r="G1751" s="4" t="str">
        <f>HYPERLINK("http://141.218.60.56/~jnz1568/getInfo.php?workbook=12_05.xlsx&amp;sheet=U0&amp;row=1751&amp;col=7&amp;number=0.00017&amp;sourceID=14","0.00017")</f>
        <v>0.00017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HYPERLINK("http://141.218.60.56/~jnz1568/getInfo.php?workbook=12_05.xlsx&amp;sheet=U0&amp;row=1752&amp;col=6&amp;number=3.8&amp;sourceID=14","3.8")</f>
        <v>3.8</v>
      </c>
      <c r="G1752" s="4" t="str">
        <f>HYPERLINK("http://141.218.60.56/~jnz1568/getInfo.php?workbook=12_05.xlsx&amp;sheet=U0&amp;row=1752&amp;col=7&amp;number=0.00017&amp;sourceID=14","0.00017")</f>
        <v>0.00017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HYPERLINK("http://141.218.60.56/~jnz1568/getInfo.php?workbook=12_05.xlsx&amp;sheet=U0&amp;row=1753&amp;col=6&amp;number=3.9&amp;sourceID=14","3.9")</f>
        <v>3.9</v>
      </c>
      <c r="G1753" s="4" t="str">
        <f>HYPERLINK("http://141.218.60.56/~jnz1568/getInfo.php?workbook=12_05.xlsx&amp;sheet=U0&amp;row=1753&amp;col=7&amp;number=0.000169&amp;sourceID=14","0.000169")</f>
        <v>0.000169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HYPERLINK("http://141.218.60.56/~jnz1568/getInfo.php?workbook=12_05.xlsx&amp;sheet=U0&amp;row=1754&amp;col=6&amp;number=4&amp;sourceID=14","4")</f>
        <v>4</v>
      </c>
      <c r="G1754" s="4" t="str">
        <f>HYPERLINK("http://141.218.60.56/~jnz1568/getInfo.php?workbook=12_05.xlsx&amp;sheet=U0&amp;row=1754&amp;col=7&amp;number=0.000169&amp;sourceID=14","0.000169")</f>
        <v>0.000169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HYPERLINK("http://141.218.60.56/~jnz1568/getInfo.php?workbook=12_05.xlsx&amp;sheet=U0&amp;row=1755&amp;col=6&amp;number=4.1&amp;sourceID=14","4.1")</f>
        <v>4.1</v>
      </c>
      <c r="G1755" s="4" t="str">
        <f>HYPERLINK("http://141.218.60.56/~jnz1568/getInfo.php?workbook=12_05.xlsx&amp;sheet=U0&amp;row=1755&amp;col=7&amp;number=0.000169&amp;sourceID=14","0.000169")</f>
        <v>0.000169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HYPERLINK("http://141.218.60.56/~jnz1568/getInfo.php?workbook=12_05.xlsx&amp;sheet=U0&amp;row=1756&amp;col=6&amp;number=4.2&amp;sourceID=14","4.2")</f>
        <v>4.2</v>
      </c>
      <c r="G1756" s="4" t="str">
        <f>HYPERLINK("http://141.218.60.56/~jnz1568/getInfo.php?workbook=12_05.xlsx&amp;sheet=U0&amp;row=1756&amp;col=7&amp;number=0.000168&amp;sourceID=14","0.000168")</f>
        <v>0.000168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HYPERLINK("http://141.218.60.56/~jnz1568/getInfo.php?workbook=12_05.xlsx&amp;sheet=U0&amp;row=1757&amp;col=6&amp;number=4.3&amp;sourceID=14","4.3")</f>
        <v>4.3</v>
      </c>
      <c r="G1757" s="4" t="str">
        <f>HYPERLINK("http://141.218.60.56/~jnz1568/getInfo.php?workbook=12_05.xlsx&amp;sheet=U0&amp;row=1757&amp;col=7&amp;number=0.000167&amp;sourceID=14","0.000167")</f>
        <v>0.000167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HYPERLINK("http://141.218.60.56/~jnz1568/getInfo.php?workbook=12_05.xlsx&amp;sheet=U0&amp;row=1758&amp;col=6&amp;number=4.4&amp;sourceID=14","4.4")</f>
        <v>4.4</v>
      </c>
      <c r="G1758" s="4" t="str">
        <f>HYPERLINK("http://141.218.60.56/~jnz1568/getInfo.php?workbook=12_05.xlsx&amp;sheet=U0&amp;row=1758&amp;col=7&amp;number=0.000167&amp;sourceID=14","0.000167")</f>
        <v>0.000167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HYPERLINK("http://141.218.60.56/~jnz1568/getInfo.php?workbook=12_05.xlsx&amp;sheet=U0&amp;row=1759&amp;col=6&amp;number=4.5&amp;sourceID=14","4.5")</f>
        <v>4.5</v>
      </c>
      <c r="G1759" s="4" t="str">
        <f>HYPERLINK("http://141.218.60.56/~jnz1568/getInfo.php?workbook=12_05.xlsx&amp;sheet=U0&amp;row=1759&amp;col=7&amp;number=0.000165&amp;sourceID=14","0.000165")</f>
        <v>0.000165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HYPERLINK("http://141.218.60.56/~jnz1568/getInfo.php?workbook=12_05.xlsx&amp;sheet=U0&amp;row=1760&amp;col=6&amp;number=4.6&amp;sourceID=14","4.6")</f>
        <v>4.6</v>
      </c>
      <c r="G1760" s="4" t="str">
        <f>HYPERLINK("http://141.218.60.56/~jnz1568/getInfo.php?workbook=12_05.xlsx&amp;sheet=U0&amp;row=1760&amp;col=7&amp;number=0.000164&amp;sourceID=14","0.000164")</f>
        <v>0.000164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HYPERLINK("http://141.218.60.56/~jnz1568/getInfo.php?workbook=12_05.xlsx&amp;sheet=U0&amp;row=1761&amp;col=6&amp;number=4.7&amp;sourceID=14","4.7")</f>
        <v>4.7</v>
      </c>
      <c r="G1761" s="4" t="str">
        <f>HYPERLINK("http://141.218.60.56/~jnz1568/getInfo.php?workbook=12_05.xlsx&amp;sheet=U0&amp;row=1761&amp;col=7&amp;number=0.000163&amp;sourceID=14","0.000163")</f>
        <v>0.000163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HYPERLINK("http://141.218.60.56/~jnz1568/getInfo.php?workbook=12_05.xlsx&amp;sheet=U0&amp;row=1762&amp;col=6&amp;number=4.8&amp;sourceID=14","4.8")</f>
        <v>4.8</v>
      </c>
      <c r="G1762" s="4" t="str">
        <f>HYPERLINK("http://141.218.60.56/~jnz1568/getInfo.php?workbook=12_05.xlsx&amp;sheet=U0&amp;row=1762&amp;col=7&amp;number=0.000161&amp;sourceID=14","0.000161")</f>
        <v>0.000161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HYPERLINK("http://141.218.60.56/~jnz1568/getInfo.php?workbook=12_05.xlsx&amp;sheet=U0&amp;row=1763&amp;col=6&amp;number=4.9&amp;sourceID=14","4.9")</f>
        <v>4.9</v>
      </c>
      <c r="G1763" s="4" t="str">
        <f>HYPERLINK("http://141.218.60.56/~jnz1568/getInfo.php?workbook=12_05.xlsx&amp;sheet=U0&amp;row=1763&amp;col=7&amp;number=0.000158&amp;sourceID=14","0.000158")</f>
        <v>0.000158</v>
      </c>
    </row>
    <row r="1764" spans="1:7">
      <c r="A1764" s="3">
        <v>12</v>
      </c>
      <c r="B1764" s="3">
        <v>5</v>
      </c>
      <c r="C1764" s="3">
        <v>1</v>
      </c>
      <c r="D1764" s="3">
        <v>46</v>
      </c>
      <c r="E1764" s="3">
        <v>1</v>
      </c>
      <c r="F1764" s="4" t="str">
        <f>HYPERLINK("http://141.218.60.56/~jnz1568/getInfo.php?workbook=12_05.xlsx&amp;sheet=U0&amp;row=1764&amp;col=6&amp;number=3&amp;sourceID=14","3")</f>
        <v>3</v>
      </c>
      <c r="G1764" s="4" t="str">
        <f>HYPERLINK("http://141.218.60.56/~jnz1568/getInfo.php?workbook=12_05.xlsx&amp;sheet=U0&amp;row=1764&amp;col=7&amp;number=0.00392&amp;sourceID=14","0.00392")</f>
        <v>0.00392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HYPERLINK("http://141.218.60.56/~jnz1568/getInfo.php?workbook=12_05.xlsx&amp;sheet=U0&amp;row=1765&amp;col=6&amp;number=3.1&amp;sourceID=14","3.1")</f>
        <v>3.1</v>
      </c>
      <c r="G1765" s="4" t="str">
        <f>HYPERLINK("http://141.218.60.56/~jnz1568/getInfo.php?workbook=12_05.xlsx&amp;sheet=U0&amp;row=1765&amp;col=7&amp;number=0.00392&amp;sourceID=14","0.00392")</f>
        <v>0.00392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HYPERLINK("http://141.218.60.56/~jnz1568/getInfo.php?workbook=12_05.xlsx&amp;sheet=U0&amp;row=1766&amp;col=6&amp;number=3.2&amp;sourceID=14","3.2")</f>
        <v>3.2</v>
      </c>
      <c r="G1766" s="4" t="str">
        <f>HYPERLINK("http://141.218.60.56/~jnz1568/getInfo.php?workbook=12_05.xlsx&amp;sheet=U0&amp;row=1766&amp;col=7&amp;number=0.00392&amp;sourceID=14","0.00392")</f>
        <v>0.00392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HYPERLINK("http://141.218.60.56/~jnz1568/getInfo.php?workbook=12_05.xlsx&amp;sheet=U0&amp;row=1767&amp;col=6&amp;number=3.3&amp;sourceID=14","3.3")</f>
        <v>3.3</v>
      </c>
      <c r="G1767" s="4" t="str">
        <f>HYPERLINK("http://141.218.60.56/~jnz1568/getInfo.php?workbook=12_05.xlsx&amp;sheet=U0&amp;row=1767&amp;col=7&amp;number=0.00392&amp;sourceID=14","0.00392")</f>
        <v>0.00392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HYPERLINK("http://141.218.60.56/~jnz1568/getInfo.php?workbook=12_05.xlsx&amp;sheet=U0&amp;row=1768&amp;col=6&amp;number=3.4&amp;sourceID=14","3.4")</f>
        <v>3.4</v>
      </c>
      <c r="G1768" s="4" t="str">
        <f>HYPERLINK("http://141.218.60.56/~jnz1568/getInfo.php?workbook=12_05.xlsx&amp;sheet=U0&amp;row=1768&amp;col=7&amp;number=0.00392&amp;sourceID=14","0.00392")</f>
        <v>0.00392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HYPERLINK("http://141.218.60.56/~jnz1568/getInfo.php?workbook=12_05.xlsx&amp;sheet=U0&amp;row=1769&amp;col=6&amp;number=3.5&amp;sourceID=14","3.5")</f>
        <v>3.5</v>
      </c>
      <c r="G1769" s="4" t="str">
        <f>HYPERLINK("http://141.218.60.56/~jnz1568/getInfo.php?workbook=12_05.xlsx&amp;sheet=U0&amp;row=1769&amp;col=7&amp;number=0.00393&amp;sourceID=14","0.00393")</f>
        <v>0.00393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HYPERLINK("http://141.218.60.56/~jnz1568/getInfo.php?workbook=12_05.xlsx&amp;sheet=U0&amp;row=1770&amp;col=6&amp;number=3.6&amp;sourceID=14","3.6")</f>
        <v>3.6</v>
      </c>
      <c r="G1770" s="4" t="str">
        <f>HYPERLINK("http://141.218.60.56/~jnz1568/getInfo.php?workbook=12_05.xlsx&amp;sheet=U0&amp;row=1770&amp;col=7&amp;number=0.00393&amp;sourceID=14","0.00393")</f>
        <v>0.00393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HYPERLINK("http://141.218.60.56/~jnz1568/getInfo.php?workbook=12_05.xlsx&amp;sheet=U0&amp;row=1771&amp;col=6&amp;number=3.7&amp;sourceID=14","3.7")</f>
        <v>3.7</v>
      </c>
      <c r="G1771" s="4" t="str">
        <f>HYPERLINK("http://141.218.60.56/~jnz1568/getInfo.php?workbook=12_05.xlsx&amp;sheet=U0&amp;row=1771&amp;col=7&amp;number=0.00393&amp;sourceID=14","0.00393")</f>
        <v>0.00393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HYPERLINK("http://141.218.60.56/~jnz1568/getInfo.php?workbook=12_05.xlsx&amp;sheet=U0&amp;row=1772&amp;col=6&amp;number=3.8&amp;sourceID=14","3.8")</f>
        <v>3.8</v>
      </c>
      <c r="G1772" s="4" t="str">
        <f>HYPERLINK("http://141.218.60.56/~jnz1568/getInfo.php?workbook=12_05.xlsx&amp;sheet=U0&amp;row=1772&amp;col=7&amp;number=0.00394&amp;sourceID=14","0.00394")</f>
        <v>0.00394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HYPERLINK("http://141.218.60.56/~jnz1568/getInfo.php?workbook=12_05.xlsx&amp;sheet=U0&amp;row=1773&amp;col=6&amp;number=3.9&amp;sourceID=14","3.9")</f>
        <v>3.9</v>
      </c>
      <c r="G1773" s="4" t="str">
        <f>HYPERLINK("http://141.218.60.56/~jnz1568/getInfo.php?workbook=12_05.xlsx&amp;sheet=U0&amp;row=1773&amp;col=7&amp;number=0.00394&amp;sourceID=14","0.00394")</f>
        <v>0.00394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HYPERLINK("http://141.218.60.56/~jnz1568/getInfo.php?workbook=12_05.xlsx&amp;sheet=U0&amp;row=1774&amp;col=6&amp;number=4&amp;sourceID=14","4")</f>
        <v>4</v>
      </c>
      <c r="G1774" s="4" t="str">
        <f>HYPERLINK("http://141.218.60.56/~jnz1568/getInfo.php?workbook=12_05.xlsx&amp;sheet=U0&amp;row=1774&amp;col=7&amp;number=0.00395&amp;sourceID=14","0.00395")</f>
        <v>0.00395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HYPERLINK("http://141.218.60.56/~jnz1568/getInfo.php?workbook=12_05.xlsx&amp;sheet=U0&amp;row=1775&amp;col=6&amp;number=4.1&amp;sourceID=14","4.1")</f>
        <v>4.1</v>
      </c>
      <c r="G1775" s="4" t="str">
        <f>HYPERLINK("http://141.218.60.56/~jnz1568/getInfo.php?workbook=12_05.xlsx&amp;sheet=U0&amp;row=1775&amp;col=7&amp;number=0.00395&amp;sourceID=14","0.00395")</f>
        <v>0.00395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HYPERLINK("http://141.218.60.56/~jnz1568/getInfo.php?workbook=12_05.xlsx&amp;sheet=U0&amp;row=1776&amp;col=6&amp;number=4.2&amp;sourceID=14","4.2")</f>
        <v>4.2</v>
      </c>
      <c r="G1776" s="4" t="str">
        <f>HYPERLINK("http://141.218.60.56/~jnz1568/getInfo.php?workbook=12_05.xlsx&amp;sheet=U0&amp;row=1776&amp;col=7&amp;number=0.00396&amp;sourceID=14","0.00396")</f>
        <v>0.00396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HYPERLINK("http://141.218.60.56/~jnz1568/getInfo.php?workbook=12_05.xlsx&amp;sheet=U0&amp;row=1777&amp;col=6&amp;number=4.3&amp;sourceID=14","4.3")</f>
        <v>4.3</v>
      </c>
      <c r="G1777" s="4" t="str">
        <f>HYPERLINK("http://141.218.60.56/~jnz1568/getInfo.php?workbook=12_05.xlsx&amp;sheet=U0&amp;row=1777&amp;col=7&amp;number=0.00398&amp;sourceID=14","0.00398")</f>
        <v>0.00398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HYPERLINK("http://141.218.60.56/~jnz1568/getInfo.php?workbook=12_05.xlsx&amp;sheet=U0&amp;row=1778&amp;col=6&amp;number=4.4&amp;sourceID=14","4.4")</f>
        <v>4.4</v>
      </c>
      <c r="G1778" s="4" t="str">
        <f>HYPERLINK("http://141.218.60.56/~jnz1568/getInfo.php?workbook=12_05.xlsx&amp;sheet=U0&amp;row=1778&amp;col=7&amp;number=0.00399&amp;sourceID=14","0.00399")</f>
        <v>0.00399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HYPERLINK("http://141.218.60.56/~jnz1568/getInfo.php?workbook=12_05.xlsx&amp;sheet=U0&amp;row=1779&amp;col=6&amp;number=4.5&amp;sourceID=14","4.5")</f>
        <v>4.5</v>
      </c>
      <c r="G1779" s="4" t="str">
        <f>HYPERLINK("http://141.218.60.56/~jnz1568/getInfo.php?workbook=12_05.xlsx&amp;sheet=U0&amp;row=1779&amp;col=7&amp;number=0.00401&amp;sourceID=14","0.00401")</f>
        <v>0.00401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HYPERLINK("http://141.218.60.56/~jnz1568/getInfo.php?workbook=12_05.xlsx&amp;sheet=U0&amp;row=1780&amp;col=6&amp;number=4.6&amp;sourceID=14","4.6")</f>
        <v>4.6</v>
      </c>
      <c r="G1780" s="4" t="str">
        <f>HYPERLINK("http://141.218.60.56/~jnz1568/getInfo.php?workbook=12_05.xlsx&amp;sheet=U0&amp;row=1780&amp;col=7&amp;number=0.00403&amp;sourceID=14","0.00403")</f>
        <v>0.00403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HYPERLINK("http://141.218.60.56/~jnz1568/getInfo.php?workbook=12_05.xlsx&amp;sheet=U0&amp;row=1781&amp;col=6&amp;number=4.7&amp;sourceID=14","4.7")</f>
        <v>4.7</v>
      </c>
      <c r="G1781" s="4" t="str">
        <f>HYPERLINK("http://141.218.60.56/~jnz1568/getInfo.php?workbook=12_05.xlsx&amp;sheet=U0&amp;row=1781&amp;col=7&amp;number=0.00406&amp;sourceID=14","0.00406")</f>
        <v>0.00406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HYPERLINK("http://141.218.60.56/~jnz1568/getInfo.php?workbook=12_05.xlsx&amp;sheet=U0&amp;row=1782&amp;col=6&amp;number=4.8&amp;sourceID=14","4.8")</f>
        <v>4.8</v>
      </c>
      <c r="G1782" s="4" t="str">
        <f>HYPERLINK("http://141.218.60.56/~jnz1568/getInfo.php?workbook=12_05.xlsx&amp;sheet=U0&amp;row=1782&amp;col=7&amp;number=0.0041&amp;sourceID=14","0.0041")</f>
        <v>0.0041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HYPERLINK("http://141.218.60.56/~jnz1568/getInfo.php?workbook=12_05.xlsx&amp;sheet=U0&amp;row=1783&amp;col=6&amp;number=4.9&amp;sourceID=14","4.9")</f>
        <v>4.9</v>
      </c>
      <c r="G1783" s="4" t="str">
        <f>HYPERLINK("http://141.218.60.56/~jnz1568/getInfo.php?workbook=12_05.xlsx&amp;sheet=U0&amp;row=1783&amp;col=7&amp;number=0.00415&amp;sourceID=14","0.00415")</f>
        <v>0.00415</v>
      </c>
    </row>
    <row r="1784" spans="1:7">
      <c r="A1784" s="3">
        <v>12</v>
      </c>
      <c r="B1784" s="3">
        <v>5</v>
      </c>
      <c r="C1784" s="3">
        <v>1</v>
      </c>
      <c r="D1784" s="3">
        <v>47</v>
      </c>
      <c r="E1784" s="3">
        <v>1</v>
      </c>
      <c r="F1784" s="4" t="str">
        <f>HYPERLINK("http://141.218.60.56/~jnz1568/getInfo.php?workbook=12_05.xlsx&amp;sheet=U0&amp;row=1784&amp;col=6&amp;number=3&amp;sourceID=14","3")</f>
        <v>3</v>
      </c>
      <c r="G1784" s="4" t="str">
        <f>HYPERLINK("http://141.218.60.56/~jnz1568/getInfo.php?workbook=12_05.xlsx&amp;sheet=U0&amp;row=1784&amp;col=7&amp;number=0.00214&amp;sourceID=14","0.00214")</f>
        <v>0.00214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HYPERLINK("http://141.218.60.56/~jnz1568/getInfo.php?workbook=12_05.xlsx&amp;sheet=U0&amp;row=1785&amp;col=6&amp;number=3.1&amp;sourceID=14","3.1")</f>
        <v>3.1</v>
      </c>
      <c r="G1785" s="4" t="str">
        <f>HYPERLINK("http://141.218.60.56/~jnz1568/getInfo.php?workbook=12_05.xlsx&amp;sheet=U0&amp;row=1785&amp;col=7&amp;number=0.00214&amp;sourceID=14","0.00214")</f>
        <v>0.00214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HYPERLINK("http://141.218.60.56/~jnz1568/getInfo.php?workbook=12_05.xlsx&amp;sheet=U0&amp;row=1786&amp;col=6&amp;number=3.2&amp;sourceID=14","3.2")</f>
        <v>3.2</v>
      </c>
      <c r="G1786" s="4" t="str">
        <f>HYPERLINK("http://141.218.60.56/~jnz1568/getInfo.php?workbook=12_05.xlsx&amp;sheet=U0&amp;row=1786&amp;col=7&amp;number=0.00214&amp;sourceID=14","0.00214")</f>
        <v>0.00214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HYPERLINK("http://141.218.60.56/~jnz1568/getInfo.php?workbook=12_05.xlsx&amp;sheet=U0&amp;row=1787&amp;col=6&amp;number=3.3&amp;sourceID=14","3.3")</f>
        <v>3.3</v>
      </c>
      <c r="G1787" s="4" t="str">
        <f>HYPERLINK("http://141.218.60.56/~jnz1568/getInfo.php?workbook=12_05.xlsx&amp;sheet=U0&amp;row=1787&amp;col=7&amp;number=0.00215&amp;sourceID=14","0.00215")</f>
        <v>0.00215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HYPERLINK("http://141.218.60.56/~jnz1568/getInfo.php?workbook=12_05.xlsx&amp;sheet=U0&amp;row=1788&amp;col=6&amp;number=3.4&amp;sourceID=14","3.4")</f>
        <v>3.4</v>
      </c>
      <c r="G1788" s="4" t="str">
        <f>HYPERLINK("http://141.218.60.56/~jnz1568/getInfo.php?workbook=12_05.xlsx&amp;sheet=U0&amp;row=1788&amp;col=7&amp;number=0.00215&amp;sourceID=14","0.00215")</f>
        <v>0.00215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HYPERLINK("http://141.218.60.56/~jnz1568/getInfo.php?workbook=12_05.xlsx&amp;sheet=U0&amp;row=1789&amp;col=6&amp;number=3.5&amp;sourceID=14","3.5")</f>
        <v>3.5</v>
      </c>
      <c r="G1789" s="4" t="str">
        <f>HYPERLINK("http://141.218.60.56/~jnz1568/getInfo.php?workbook=12_05.xlsx&amp;sheet=U0&amp;row=1789&amp;col=7&amp;number=0.00215&amp;sourceID=14","0.00215")</f>
        <v>0.00215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HYPERLINK("http://141.218.60.56/~jnz1568/getInfo.php?workbook=12_05.xlsx&amp;sheet=U0&amp;row=1790&amp;col=6&amp;number=3.6&amp;sourceID=14","3.6")</f>
        <v>3.6</v>
      </c>
      <c r="G1790" s="4" t="str">
        <f>HYPERLINK("http://141.218.60.56/~jnz1568/getInfo.php?workbook=12_05.xlsx&amp;sheet=U0&amp;row=1790&amp;col=7&amp;number=0.00215&amp;sourceID=14","0.00215")</f>
        <v>0.00215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HYPERLINK("http://141.218.60.56/~jnz1568/getInfo.php?workbook=12_05.xlsx&amp;sheet=U0&amp;row=1791&amp;col=6&amp;number=3.7&amp;sourceID=14","3.7")</f>
        <v>3.7</v>
      </c>
      <c r="G1791" s="4" t="str">
        <f>HYPERLINK("http://141.218.60.56/~jnz1568/getInfo.php?workbook=12_05.xlsx&amp;sheet=U0&amp;row=1791&amp;col=7&amp;number=0.00215&amp;sourceID=14","0.00215")</f>
        <v>0.00215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HYPERLINK("http://141.218.60.56/~jnz1568/getInfo.php?workbook=12_05.xlsx&amp;sheet=U0&amp;row=1792&amp;col=6&amp;number=3.8&amp;sourceID=14","3.8")</f>
        <v>3.8</v>
      </c>
      <c r="G1792" s="4" t="str">
        <f>HYPERLINK("http://141.218.60.56/~jnz1568/getInfo.php?workbook=12_05.xlsx&amp;sheet=U0&amp;row=1792&amp;col=7&amp;number=0.00215&amp;sourceID=14","0.00215")</f>
        <v>0.00215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HYPERLINK("http://141.218.60.56/~jnz1568/getInfo.php?workbook=12_05.xlsx&amp;sheet=U0&amp;row=1793&amp;col=6&amp;number=3.9&amp;sourceID=14","3.9")</f>
        <v>3.9</v>
      </c>
      <c r="G1793" s="4" t="str">
        <f>HYPERLINK("http://141.218.60.56/~jnz1568/getInfo.php?workbook=12_05.xlsx&amp;sheet=U0&amp;row=1793&amp;col=7&amp;number=0.00215&amp;sourceID=14","0.00215")</f>
        <v>0.00215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HYPERLINK("http://141.218.60.56/~jnz1568/getInfo.php?workbook=12_05.xlsx&amp;sheet=U0&amp;row=1794&amp;col=6&amp;number=4&amp;sourceID=14","4")</f>
        <v>4</v>
      </c>
      <c r="G1794" s="4" t="str">
        <f>HYPERLINK("http://141.218.60.56/~jnz1568/getInfo.php?workbook=12_05.xlsx&amp;sheet=U0&amp;row=1794&amp;col=7&amp;number=0.00216&amp;sourceID=14","0.00216")</f>
        <v>0.00216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HYPERLINK("http://141.218.60.56/~jnz1568/getInfo.php?workbook=12_05.xlsx&amp;sheet=U0&amp;row=1795&amp;col=6&amp;number=4.1&amp;sourceID=14","4.1")</f>
        <v>4.1</v>
      </c>
      <c r="G1795" s="4" t="str">
        <f>HYPERLINK("http://141.218.60.56/~jnz1568/getInfo.php?workbook=12_05.xlsx&amp;sheet=U0&amp;row=1795&amp;col=7&amp;number=0.00216&amp;sourceID=14","0.00216")</f>
        <v>0.00216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HYPERLINK("http://141.218.60.56/~jnz1568/getInfo.php?workbook=12_05.xlsx&amp;sheet=U0&amp;row=1796&amp;col=6&amp;number=4.2&amp;sourceID=14","4.2")</f>
        <v>4.2</v>
      </c>
      <c r="G1796" s="4" t="str">
        <f>HYPERLINK("http://141.218.60.56/~jnz1568/getInfo.php?workbook=12_05.xlsx&amp;sheet=U0&amp;row=1796&amp;col=7&amp;number=0.00216&amp;sourceID=14","0.00216")</f>
        <v>0.00216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HYPERLINK("http://141.218.60.56/~jnz1568/getInfo.php?workbook=12_05.xlsx&amp;sheet=U0&amp;row=1797&amp;col=6&amp;number=4.3&amp;sourceID=14","4.3")</f>
        <v>4.3</v>
      </c>
      <c r="G1797" s="4" t="str">
        <f>HYPERLINK("http://141.218.60.56/~jnz1568/getInfo.php?workbook=12_05.xlsx&amp;sheet=U0&amp;row=1797&amp;col=7&amp;number=0.00217&amp;sourceID=14","0.00217")</f>
        <v>0.00217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HYPERLINK("http://141.218.60.56/~jnz1568/getInfo.php?workbook=12_05.xlsx&amp;sheet=U0&amp;row=1798&amp;col=6&amp;number=4.4&amp;sourceID=14","4.4")</f>
        <v>4.4</v>
      </c>
      <c r="G1798" s="4" t="str">
        <f>HYPERLINK("http://141.218.60.56/~jnz1568/getInfo.php?workbook=12_05.xlsx&amp;sheet=U0&amp;row=1798&amp;col=7&amp;number=0.00218&amp;sourceID=14","0.00218")</f>
        <v>0.00218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HYPERLINK("http://141.218.60.56/~jnz1568/getInfo.php?workbook=12_05.xlsx&amp;sheet=U0&amp;row=1799&amp;col=6&amp;number=4.5&amp;sourceID=14","4.5")</f>
        <v>4.5</v>
      </c>
      <c r="G1799" s="4" t="str">
        <f>HYPERLINK("http://141.218.60.56/~jnz1568/getInfo.php?workbook=12_05.xlsx&amp;sheet=U0&amp;row=1799&amp;col=7&amp;number=0.00219&amp;sourceID=14","0.00219")</f>
        <v>0.00219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HYPERLINK("http://141.218.60.56/~jnz1568/getInfo.php?workbook=12_05.xlsx&amp;sheet=U0&amp;row=1800&amp;col=6&amp;number=4.6&amp;sourceID=14","4.6")</f>
        <v>4.6</v>
      </c>
      <c r="G1800" s="4" t="str">
        <f>HYPERLINK("http://141.218.60.56/~jnz1568/getInfo.php?workbook=12_05.xlsx&amp;sheet=U0&amp;row=1800&amp;col=7&amp;number=0.0022&amp;sourceID=14","0.0022")</f>
        <v>0.0022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HYPERLINK("http://141.218.60.56/~jnz1568/getInfo.php?workbook=12_05.xlsx&amp;sheet=U0&amp;row=1801&amp;col=6&amp;number=4.7&amp;sourceID=14","4.7")</f>
        <v>4.7</v>
      </c>
      <c r="G1801" s="4" t="str">
        <f>HYPERLINK("http://141.218.60.56/~jnz1568/getInfo.php?workbook=12_05.xlsx&amp;sheet=U0&amp;row=1801&amp;col=7&amp;number=0.00221&amp;sourceID=14","0.00221")</f>
        <v>0.00221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HYPERLINK("http://141.218.60.56/~jnz1568/getInfo.php?workbook=12_05.xlsx&amp;sheet=U0&amp;row=1802&amp;col=6&amp;number=4.8&amp;sourceID=14","4.8")</f>
        <v>4.8</v>
      </c>
      <c r="G1802" s="4" t="str">
        <f>HYPERLINK("http://141.218.60.56/~jnz1568/getInfo.php?workbook=12_05.xlsx&amp;sheet=U0&amp;row=1802&amp;col=7&amp;number=0.00223&amp;sourceID=14","0.00223")</f>
        <v>0.00223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HYPERLINK("http://141.218.60.56/~jnz1568/getInfo.php?workbook=12_05.xlsx&amp;sheet=U0&amp;row=1803&amp;col=6&amp;number=4.9&amp;sourceID=14","4.9")</f>
        <v>4.9</v>
      </c>
      <c r="G1803" s="4" t="str">
        <f>HYPERLINK("http://141.218.60.56/~jnz1568/getInfo.php?workbook=12_05.xlsx&amp;sheet=U0&amp;row=1803&amp;col=7&amp;number=0.00225&amp;sourceID=14","0.00225")</f>
        <v>0.00225</v>
      </c>
    </row>
    <row r="1804" spans="1:7">
      <c r="A1804" s="3">
        <v>12</v>
      </c>
      <c r="B1804" s="3">
        <v>5</v>
      </c>
      <c r="C1804" s="3">
        <v>1</v>
      </c>
      <c r="D1804" s="3">
        <v>48</v>
      </c>
      <c r="E1804" s="3">
        <v>1</v>
      </c>
      <c r="F1804" s="4" t="str">
        <f>HYPERLINK("http://141.218.60.56/~jnz1568/getInfo.php?workbook=12_05.xlsx&amp;sheet=U0&amp;row=1804&amp;col=6&amp;number=3&amp;sourceID=14","3")</f>
        <v>3</v>
      </c>
      <c r="G1804" s="4" t="str">
        <f>HYPERLINK("http://141.218.60.56/~jnz1568/getInfo.php?workbook=12_05.xlsx&amp;sheet=U0&amp;row=1804&amp;col=7&amp;number=0.000721&amp;sourceID=14","0.000721")</f>
        <v>0.000721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HYPERLINK("http://141.218.60.56/~jnz1568/getInfo.php?workbook=12_05.xlsx&amp;sheet=U0&amp;row=1805&amp;col=6&amp;number=3.1&amp;sourceID=14","3.1")</f>
        <v>3.1</v>
      </c>
      <c r="G1805" s="4" t="str">
        <f>HYPERLINK("http://141.218.60.56/~jnz1568/getInfo.php?workbook=12_05.xlsx&amp;sheet=U0&amp;row=1805&amp;col=7&amp;number=0.000721&amp;sourceID=14","0.000721")</f>
        <v>0.000721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HYPERLINK("http://141.218.60.56/~jnz1568/getInfo.php?workbook=12_05.xlsx&amp;sheet=U0&amp;row=1806&amp;col=6&amp;number=3.2&amp;sourceID=14","3.2")</f>
        <v>3.2</v>
      </c>
      <c r="G1806" s="4" t="str">
        <f>HYPERLINK("http://141.218.60.56/~jnz1568/getInfo.php?workbook=12_05.xlsx&amp;sheet=U0&amp;row=1806&amp;col=7&amp;number=0.000721&amp;sourceID=14","0.000721")</f>
        <v>0.000721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HYPERLINK("http://141.218.60.56/~jnz1568/getInfo.php?workbook=12_05.xlsx&amp;sheet=U0&amp;row=1807&amp;col=6&amp;number=3.3&amp;sourceID=14","3.3")</f>
        <v>3.3</v>
      </c>
      <c r="G1807" s="4" t="str">
        <f>HYPERLINK("http://141.218.60.56/~jnz1568/getInfo.php?workbook=12_05.xlsx&amp;sheet=U0&amp;row=1807&amp;col=7&amp;number=0.000721&amp;sourceID=14","0.000721")</f>
        <v>0.000721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HYPERLINK("http://141.218.60.56/~jnz1568/getInfo.php?workbook=12_05.xlsx&amp;sheet=U0&amp;row=1808&amp;col=6&amp;number=3.4&amp;sourceID=14","3.4")</f>
        <v>3.4</v>
      </c>
      <c r="G1808" s="4" t="str">
        <f>HYPERLINK("http://141.218.60.56/~jnz1568/getInfo.php?workbook=12_05.xlsx&amp;sheet=U0&amp;row=1808&amp;col=7&amp;number=0.000721&amp;sourceID=14","0.000721")</f>
        <v>0.000721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HYPERLINK("http://141.218.60.56/~jnz1568/getInfo.php?workbook=12_05.xlsx&amp;sheet=U0&amp;row=1809&amp;col=6&amp;number=3.5&amp;sourceID=14","3.5")</f>
        <v>3.5</v>
      </c>
      <c r="G1809" s="4" t="str">
        <f>HYPERLINK("http://141.218.60.56/~jnz1568/getInfo.php?workbook=12_05.xlsx&amp;sheet=U0&amp;row=1809&amp;col=7&amp;number=0.000722&amp;sourceID=14","0.000722")</f>
        <v>0.000722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HYPERLINK("http://141.218.60.56/~jnz1568/getInfo.php?workbook=12_05.xlsx&amp;sheet=U0&amp;row=1810&amp;col=6&amp;number=3.6&amp;sourceID=14","3.6")</f>
        <v>3.6</v>
      </c>
      <c r="G1810" s="4" t="str">
        <f>HYPERLINK("http://141.218.60.56/~jnz1568/getInfo.php?workbook=12_05.xlsx&amp;sheet=U0&amp;row=1810&amp;col=7&amp;number=0.000722&amp;sourceID=14","0.000722")</f>
        <v>0.000722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HYPERLINK("http://141.218.60.56/~jnz1568/getInfo.php?workbook=12_05.xlsx&amp;sheet=U0&amp;row=1811&amp;col=6&amp;number=3.7&amp;sourceID=14","3.7")</f>
        <v>3.7</v>
      </c>
      <c r="G1811" s="4" t="str">
        <f>HYPERLINK("http://141.218.60.56/~jnz1568/getInfo.php?workbook=12_05.xlsx&amp;sheet=U0&amp;row=1811&amp;col=7&amp;number=0.000722&amp;sourceID=14","0.000722")</f>
        <v>0.000722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HYPERLINK("http://141.218.60.56/~jnz1568/getInfo.php?workbook=12_05.xlsx&amp;sheet=U0&amp;row=1812&amp;col=6&amp;number=3.8&amp;sourceID=14","3.8")</f>
        <v>3.8</v>
      </c>
      <c r="G1812" s="4" t="str">
        <f>HYPERLINK("http://141.218.60.56/~jnz1568/getInfo.php?workbook=12_05.xlsx&amp;sheet=U0&amp;row=1812&amp;col=7&amp;number=0.000722&amp;sourceID=14","0.000722")</f>
        <v>0.000722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HYPERLINK("http://141.218.60.56/~jnz1568/getInfo.php?workbook=12_05.xlsx&amp;sheet=U0&amp;row=1813&amp;col=6&amp;number=3.9&amp;sourceID=14","3.9")</f>
        <v>3.9</v>
      </c>
      <c r="G1813" s="4" t="str">
        <f>HYPERLINK("http://141.218.60.56/~jnz1568/getInfo.php?workbook=12_05.xlsx&amp;sheet=U0&amp;row=1813&amp;col=7&amp;number=0.000722&amp;sourceID=14","0.000722")</f>
        <v>0.000722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HYPERLINK("http://141.218.60.56/~jnz1568/getInfo.php?workbook=12_05.xlsx&amp;sheet=U0&amp;row=1814&amp;col=6&amp;number=4&amp;sourceID=14","4")</f>
        <v>4</v>
      </c>
      <c r="G1814" s="4" t="str">
        <f>HYPERLINK("http://141.218.60.56/~jnz1568/getInfo.php?workbook=12_05.xlsx&amp;sheet=U0&amp;row=1814&amp;col=7&amp;number=0.000723&amp;sourceID=14","0.000723")</f>
        <v>0.000723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HYPERLINK("http://141.218.60.56/~jnz1568/getInfo.php?workbook=12_05.xlsx&amp;sheet=U0&amp;row=1815&amp;col=6&amp;number=4.1&amp;sourceID=14","4.1")</f>
        <v>4.1</v>
      </c>
      <c r="G1815" s="4" t="str">
        <f>HYPERLINK("http://141.218.60.56/~jnz1568/getInfo.php?workbook=12_05.xlsx&amp;sheet=U0&amp;row=1815&amp;col=7&amp;number=0.000723&amp;sourceID=14","0.000723")</f>
        <v>0.000723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HYPERLINK("http://141.218.60.56/~jnz1568/getInfo.php?workbook=12_05.xlsx&amp;sheet=U0&amp;row=1816&amp;col=6&amp;number=4.2&amp;sourceID=14","4.2")</f>
        <v>4.2</v>
      </c>
      <c r="G1816" s="4" t="str">
        <f>HYPERLINK("http://141.218.60.56/~jnz1568/getInfo.php?workbook=12_05.xlsx&amp;sheet=U0&amp;row=1816&amp;col=7&amp;number=0.000724&amp;sourceID=14","0.000724")</f>
        <v>0.000724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HYPERLINK("http://141.218.60.56/~jnz1568/getInfo.php?workbook=12_05.xlsx&amp;sheet=U0&amp;row=1817&amp;col=6&amp;number=4.3&amp;sourceID=14","4.3")</f>
        <v>4.3</v>
      </c>
      <c r="G1817" s="4" t="str">
        <f>HYPERLINK("http://141.218.60.56/~jnz1568/getInfo.php?workbook=12_05.xlsx&amp;sheet=U0&amp;row=1817&amp;col=7&amp;number=0.000725&amp;sourceID=14","0.000725")</f>
        <v>0.000725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HYPERLINK("http://141.218.60.56/~jnz1568/getInfo.php?workbook=12_05.xlsx&amp;sheet=U0&amp;row=1818&amp;col=6&amp;number=4.4&amp;sourceID=14","4.4")</f>
        <v>4.4</v>
      </c>
      <c r="G1818" s="4" t="str">
        <f>HYPERLINK("http://141.218.60.56/~jnz1568/getInfo.php?workbook=12_05.xlsx&amp;sheet=U0&amp;row=1818&amp;col=7&amp;number=0.000726&amp;sourceID=14","0.000726")</f>
        <v>0.000726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HYPERLINK("http://141.218.60.56/~jnz1568/getInfo.php?workbook=12_05.xlsx&amp;sheet=U0&amp;row=1819&amp;col=6&amp;number=4.5&amp;sourceID=14","4.5")</f>
        <v>4.5</v>
      </c>
      <c r="G1819" s="4" t="str">
        <f>HYPERLINK("http://141.218.60.56/~jnz1568/getInfo.php?workbook=12_05.xlsx&amp;sheet=U0&amp;row=1819&amp;col=7&amp;number=0.000727&amp;sourceID=14","0.000727")</f>
        <v>0.000727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HYPERLINK("http://141.218.60.56/~jnz1568/getInfo.php?workbook=12_05.xlsx&amp;sheet=U0&amp;row=1820&amp;col=6&amp;number=4.6&amp;sourceID=14","4.6")</f>
        <v>4.6</v>
      </c>
      <c r="G1820" s="4" t="str">
        <f>HYPERLINK("http://141.218.60.56/~jnz1568/getInfo.php?workbook=12_05.xlsx&amp;sheet=U0&amp;row=1820&amp;col=7&amp;number=0.000729&amp;sourceID=14","0.000729")</f>
        <v>0.000729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HYPERLINK("http://141.218.60.56/~jnz1568/getInfo.php?workbook=12_05.xlsx&amp;sheet=U0&amp;row=1821&amp;col=6&amp;number=4.7&amp;sourceID=14","4.7")</f>
        <v>4.7</v>
      </c>
      <c r="G1821" s="4" t="str">
        <f>HYPERLINK("http://141.218.60.56/~jnz1568/getInfo.php?workbook=12_05.xlsx&amp;sheet=U0&amp;row=1821&amp;col=7&amp;number=0.000731&amp;sourceID=14","0.000731")</f>
        <v>0.000731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HYPERLINK("http://141.218.60.56/~jnz1568/getInfo.php?workbook=12_05.xlsx&amp;sheet=U0&amp;row=1822&amp;col=6&amp;number=4.8&amp;sourceID=14","4.8")</f>
        <v>4.8</v>
      </c>
      <c r="G1822" s="4" t="str">
        <f>HYPERLINK("http://141.218.60.56/~jnz1568/getInfo.php?workbook=12_05.xlsx&amp;sheet=U0&amp;row=1822&amp;col=7&amp;number=0.000733&amp;sourceID=14","0.000733")</f>
        <v>0.000733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HYPERLINK("http://141.218.60.56/~jnz1568/getInfo.php?workbook=12_05.xlsx&amp;sheet=U0&amp;row=1823&amp;col=6&amp;number=4.9&amp;sourceID=14","4.9")</f>
        <v>4.9</v>
      </c>
      <c r="G1823" s="4" t="str">
        <f>HYPERLINK("http://141.218.60.56/~jnz1568/getInfo.php?workbook=12_05.xlsx&amp;sheet=U0&amp;row=1823&amp;col=7&amp;number=0.000736&amp;sourceID=14","0.000736")</f>
        <v>0.000736</v>
      </c>
    </row>
    <row r="1824" spans="1:7">
      <c r="A1824" s="3">
        <v>12</v>
      </c>
      <c r="B1824" s="3">
        <v>5</v>
      </c>
      <c r="C1824" s="3">
        <v>1</v>
      </c>
      <c r="D1824" s="3">
        <v>49</v>
      </c>
      <c r="E1824" s="3">
        <v>1</v>
      </c>
      <c r="F1824" s="4" t="str">
        <f>HYPERLINK("http://141.218.60.56/~jnz1568/getInfo.php?workbook=12_05.xlsx&amp;sheet=U0&amp;row=1824&amp;col=6&amp;number=3&amp;sourceID=14","3")</f>
        <v>3</v>
      </c>
      <c r="G1824" s="4" t="str">
        <f>HYPERLINK("http://141.218.60.56/~jnz1568/getInfo.php?workbook=12_05.xlsx&amp;sheet=U0&amp;row=1824&amp;col=7&amp;number=0.000702&amp;sourceID=14","0.000702")</f>
        <v>0.000702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HYPERLINK("http://141.218.60.56/~jnz1568/getInfo.php?workbook=12_05.xlsx&amp;sheet=U0&amp;row=1825&amp;col=6&amp;number=3.1&amp;sourceID=14","3.1")</f>
        <v>3.1</v>
      </c>
      <c r="G1825" s="4" t="str">
        <f>HYPERLINK("http://141.218.60.56/~jnz1568/getInfo.php?workbook=12_05.xlsx&amp;sheet=U0&amp;row=1825&amp;col=7&amp;number=0.000702&amp;sourceID=14","0.000702")</f>
        <v>0.000702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HYPERLINK("http://141.218.60.56/~jnz1568/getInfo.php?workbook=12_05.xlsx&amp;sheet=U0&amp;row=1826&amp;col=6&amp;number=3.2&amp;sourceID=14","3.2")</f>
        <v>3.2</v>
      </c>
      <c r="G1826" s="4" t="str">
        <f>HYPERLINK("http://141.218.60.56/~jnz1568/getInfo.php?workbook=12_05.xlsx&amp;sheet=U0&amp;row=1826&amp;col=7&amp;number=0.000702&amp;sourceID=14","0.000702")</f>
        <v>0.000702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HYPERLINK("http://141.218.60.56/~jnz1568/getInfo.php?workbook=12_05.xlsx&amp;sheet=U0&amp;row=1827&amp;col=6&amp;number=3.3&amp;sourceID=14","3.3")</f>
        <v>3.3</v>
      </c>
      <c r="G1827" s="4" t="str">
        <f>HYPERLINK("http://141.218.60.56/~jnz1568/getInfo.php?workbook=12_05.xlsx&amp;sheet=U0&amp;row=1827&amp;col=7&amp;number=0.000702&amp;sourceID=14","0.000702")</f>
        <v>0.000702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HYPERLINK("http://141.218.60.56/~jnz1568/getInfo.php?workbook=12_05.xlsx&amp;sheet=U0&amp;row=1828&amp;col=6&amp;number=3.4&amp;sourceID=14","3.4")</f>
        <v>3.4</v>
      </c>
      <c r="G1828" s="4" t="str">
        <f>HYPERLINK("http://141.218.60.56/~jnz1568/getInfo.php?workbook=12_05.xlsx&amp;sheet=U0&amp;row=1828&amp;col=7&amp;number=0.000702&amp;sourceID=14","0.000702")</f>
        <v>0.000702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HYPERLINK("http://141.218.60.56/~jnz1568/getInfo.php?workbook=12_05.xlsx&amp;sheet=U0&amp;row=1829&amp;col=6&amp;number=3.5&amp;sourceID=14","3.5")</f>
        <v>3.5</v>
      </c>
      <c r="G1829" s="4" t="str">
        <f>HYPERLINK("http://141.218.60.56/~jnz1568/getInfo.php?workbook=12_05.xlsx&amp;sheet=U0&amp;row=1829&amp;col=7&amp;number=0.000702&amp;sourceID=14","0.000702")</f>
        <v>0.000702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HYPERLINK("http://141.218.60.56/~jnz1568/getInfo.php?workbook=12_05.xlsx&amp;sheet=U0&amp;row=1830&amp;col=6&amp;number=3.6&amp;sourceID=14","3.6")</f>
        <v>3.6</v>
      </c>
      <c r="G1830" s="4" t="str">
        <f>HYPERLINK("http://141.218.60.56/~jnz1568/getInfo.php?workbook=12_05.xlsx&amp;sheet=U0&amp;row=1830&amp;col=7&amp;number=0.000702&amp;sourceID=14","0.000702")</f>
        <v>0.000702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HYPERLINK("http://141.218.60.56/~jnz1568/getInfo.php?workbook=12_05.xlsx&amp;sheet=U0&amp;row=1831&amp;col=6&amp;number=3.7&amp;sourceID=14","3.7")</f>
        <v>3.7</v>
      </c>
      <c r="G1831" s="4" t="str">
        <f>HYPERLINK("http://141.218.60.56/~jnz1568/getInfo.php?workbook=12_05.xlsx&amp;sheet=U0&amp;row=1831&amp;col=7&amp;number=0.000703&amp;sourceID=14","0.000703")</f>
        <v>0.000703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HYPERLINK("http://141.218.60.56/~jnz1568/getInfo.php?workbook=12_05.xlsx&amp;sheet=U0&amp;row=1832&amp;col=6&amp;number=3.8&amp;sourceID=14","3.8")</f>
        <v>3.8</v>
      </c>
      <c r="G1832" s="4" t="str">
        <f>HYPERLINK("http://141.218.60.56/~jnz1568/getInfo.php?workbook=12_05.xlsx&amp;sheet=U0&amp;row=1832&amp;col=7&amp;number=0.000703&amp;sourceID=14","0.000703")</f>
        <v>0.000703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HYPERLINK("http://141.218.60.56/~jnz1568/getInfo.php?workbook=12_05.xlsx&amp;sheet=U0&amp;row=1833&amp;col=6&amp;number=3.9&amp;sourceID=14","3.9")</f>
        <v>3.9</v>
      </c>
      <c r="G1833" s="4" t="str">
        <f>HYPERLINK("http://141.218.60.56/~jnz1568/getInfo.php?workbook=12_05.xlsx&amp;sheet=U0&amp;row=1833&amp;col=7&amp;number=0.000703&amp;sourceID=14","0.000703")</f>
        <v>0.000703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HYPERLINK("http://141.218.60.56/~jnz1568/getInfo.php?workbook=12_05.xlsx&amp;sheet=U0&amp;row=1834&amp;col=6&amp;number=4&amp;sourceID=14","4")</f>
        <v>4</v>
      </c>
      <c r="G1834" s="4" t="str">
        <f>HYPERLINK("http://141.218.60.56/~jnz1568/getInfo.php?workbook=12_05.xlsx&amp;sheet=U0&amp;row=1834&amp;col=7&amp;number=0.000704&amp;sourceID=14","0.000704")</f>
        <v>0.000704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HYPERLINK("http://141.218.60.56/~jnz1568/getInfo.php?workbook=12_05.xlsx&amp;sheet=U0&amp;row=1835&amp;col=6&amp;number=4.1&amp;sourceID=14","4.1")</f>
        <v>4.1</v>
      </c>
      <c r="G1835" s="4" t="str">
        <f>HYPERLINK("http://141.218.60.56/~jnz1568/getInfo.php?workbook=12_05.xlsx&amp;sheet=U0&amp;row=1835&amp;col=7&amp;number=0.000704&amp;sourceID=14","0.000704")</f>
        <v>0.000704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HYPERLINK("http://141.218.60.56/~jnz1568/getInfo.php?workbook=12_05.xlsx&amp;sheet=U0&amp;row=1836&amp;col=6&amp;number=4.2&amp;sourceID=14","4.2")</f>
        <v>4.2</v>
      </c>
      <c r="G1836" s="4" t="str">
        <f>HYPERLINK("http://141.218.60.56/~jnz1568/getInfo.php?workbook=12_05.xlsx&amp;sheet=U0&amp;row=1836&amp;col=7&amp;number=0.000705&amp;sourceID=14","0.000705")</f>
        <v>0.000705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HYPERLINK("http://141.218.60.56/~jnz1568/getInfo.php?workbook=12_05.xlsx&amp;sheet=U0&amp;row=1837&amp;col=6&amp;number=4.3&amp;sourceID=14","4.3")</f>
        <v>4.3</v>
      </c>
      <c r="G1837" s="4" t="str">
        <f>HYPERLINK("http://141.218.60.56/~jnz1568/getInfo.php?workbook=12_05.xlsx&amp;sheet=U0&amp;row=1837&amp;col=7&amp;number=0.000706&amp;sourceID=14","0.000706")</f>
        <v>0.000706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HYPERLINK("http://141.218.60.56/~jnz1568/getInfo.php?workbook=12_05.xlsx&amp;sheet=U0&amp;row=1838&amp;col=6&amp;number=4.4&amp;sourceID=14","4.4")</f>
        <v>4.4</v>
      </c>
      <c r="G1838" s="4" t="str">
        <f>HYPERLINK("http://141.218.60.56/~jnz1568/getInfo.php?workbook=12_05.xlsx&amp;sheet=U0&amp;row=1838&amp;col=7&amp;number=0.000707&amp;sourceID=14","0.000707")</f>
        <v>0.000707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HYPERLINK("http://141.218.60.56/~jnz1568/getInfo.php?workbook=12_05.xlsx&amp;sheet=U0&amp;row=1839&amp;col=6&amp;number=4.5&amp;sourceID=14","4.5")</f>
        <v>4.5</v>
      </c>
      <c r="G1839" s="4" t="str">
        <f>HYPERLINK("http://141.218.60.56/~jnz1568/getInfo.php?workbook=12_05.xlsx&amp;sheet=U0&amp;row=1839&amp;col=7&amp;number=0.000708&amp;sourceID=14","0.000708")</f>
        <v>0.000708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HYPERLINK("http://141.218.60.56/~jnz1568/getInfo.php?workbook=12_05.xlsx&amp;sheet=U0&amp;row=1840&amp;col=6&amp;number=4.6&amp;sourceID=14","4.6")</f>
        <v>4.6</v>
      </c>
      <c r="G1840" s="4" t="str">
        <f>HYPERLINK("http://141.218.60.56/~jnz1568/getInfo.php?workbook=12_05.xlsx&amp;sheet=U0&amp;row=1840&amp;col=7&amp;number=0.00071&amp;sourceID=14","0.00071")</f>
        <v>0.00071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HYPERLINK("http://141.218.60.56/~jnz1568/getInfo.php?workbook=12_05.xlsx&amp;sheet=U0&amp;row=1841&amp;col=6&amp;number=4.7&amp;sourceID=14","4.7")</f>
        <v>4.7</v>
      </c>
      <c r="G1841" s="4" t="str">
        <f>HYPERLINK("http://141.218.60.56/~jnz1568/getInfo.php?workbook=12_05.xlsx&amp;sheet=U0&amp;row=1841&amp;col=7&amp;number=0.000712&amp;sourceID=14","0.000712")</f>
        <v>0.000712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HYPERLINK("http://141.218.60.56/~jnz1568/getInfo.php?workbook=12_05.xlsx&amp;sheet=U0&amp;row=1842&amp;col=6&amp;number=4.8&amp;sourceID=14","4.8")</f>
        <v>4.8</v>
      </c>
      <c r="G1842" s="4" t="str">
        <f>HYPERLINK("http://141.218.60.56/~jnz1568/getInfo.php?workbook=12_05.xlsx&amp;sheet=U0&amp;row=1842&amp;col=7&amp;number=0.000715&amp;sourceID=14","0.000715")</f>
        <v>0.000715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HYPERLINK("http://141.218.60.56/~jnz1568/getInfo.php?workbook=12_05.xlsx&amp;sheet=U0&amp;row=1843&amp;col=6&amp;number=4.9&amp;sourceID=14","4.9")</f>
        <v>4.9</v>
      </c>
      <c r="G1843" s="4" t="str">
        <f>HYPERLINK("http://141.218.60.56/~jnz1568/getInfo.php?workbook=12_05.xlsx&amp;sheet=U0&amp;row=1843&amp;col=7&amp;number=0.000718&amp;sourceID=14","0.000718")</f>
        <v>0.000718</v>
      </c>
    </row>
    <row r="1844" spans="1:7">
      <c r="A1844" s="3">
        <v>12</v>
      </c>
      <c r="B1844" s="3">
        <v>5</v>
      </c>
      <c r="C1844" s="3">
        <v>1</v>
      </c>
      <c r="D1844" s="3">
        <v>50</v>
      </c>
      <c r="E1844" s="3">
        <v>1</v>
      </c>
      <c r="F1844" s="4" t="str">
        <f>HYPERLINK("http://141.218.60.56/~jnz1568/getInfo.php?workbook=12_05.xlsx&amp;sheet=U0&amp;row=1844&amp;col=6&amp;number=3&amp;sourceID=14","3")</f>
        <v>3</v>
      </c>
      <c r="G1844" s="4" t="str">
        <f>HYPERLINK("http://141.218.60.56/~jnz1568/getInfo.php?workbook=12_05.xlsx&amp;sheet=U0&amp;row=1844&amp;col=7&amp;number=0.0618&amp;sourceID=14","0.0618")</f>
        <v>0.0618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HYPERLINK("http://141.218.60.56/~jnz1568/getInfo.php?workbook=12_05.xlsx&amp;sheet=U0&amp;row=1845&amp;col=6&amp;number=3.1&amp;sourceID=14","3.1")</f>
        <v>3.1</v>
      </c>
      <c r="G1845" s="4" t="str">
        <f>HYPERLINK("http://141.218.60.56/~jnz1568/getInfo.php?workbook=12_05.xlsx&amp;sheet=U0&amp;row=1845&amp;col=7&amp;number=0.0618&amp;sourceID=14","0.0618")</f>
        <v>0.0618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HYPERLINK("http://141.218.60.56/~jnz1568/getInfo.php?workbook=12_05.xlsx&amp;sheet=U0&amp;row=1846&amp;col=6&amp;number=3.2&amp;sourceID=14","3.2")</f>
        <v>3.2</v>
      </c>
      <c r="G1846" s="4" t="str">
        <f>HYPERLINK("http://141.218.60.56/~jnz1568/getInfo.php?workbook=12_05.xlsx&amp;sheet=U0&amp;row=1846&amp;col=7&amp;number=0.0618&amp;sourceID=14","0.0618")</f>
        <v>0.0618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HYPERLINK("http://141.218.60.56/~jnz1568/getInfo.php?workbook=12_05.xlsx&amp;sheet=U0&amp;row=1847&amp;col=6&amp;number=3.3&amp;sourceID=14","3.3")</f>
        <v>3.3</v>
      </c>
      <c r="G1847" s="4" t="str">
        <f>HYPERLINK("http://141.218.60.56/~jnz1568/getInfo.php?workbook=12_05.xlsx&amp;sheet=U0&amp;row=1847&amp;col=7&amp;number=0.0618&amp;sourceID=14","0.0618")</f>
        <v>0.0618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HYPERLINK("http://141.218.60.56/~jnz1568/getInfo.php?workbook=12_05.xlsx&amp;sheet=U0&amp;row=1848&amp;col=6&amp;number=3.4&amp;sourceID=14","3.4")</f>
        <v>3.4</v>
      </c>
      <c r="G1848" s="4" t="str">
        <f>HYPERLINK("http://141.218.60.56/~jnz1568/getInfo.php?workbook=12_05.xlsx&amp;sheet=U0&amp;row=1848&amp;col=7&amp;number=0.0617&amp;sourceID=14","0.0617")</f>
        <v>0.0617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HYPERLINK("http://141.218.60.56/~jnz1568/getInfo.php?workbook=12_05.xlsx&amp;sheet=U0&amp;row=1849&amp;col=6&amp;number=3.5&amp;sourceID=14","3.5")</f>
        <v>3.5</v>
      </c>
      <c r="G1849" s="4" t="str">
        <f>HYPERLINK("http://141.218.60.56/~jnz1568/getInfo.php?workbook=12_05.xlsx&amp;sheet=U0&amp;row=1849&amp;col=7&amp;number=0.0617&amp;sourceID=14","0.0617")</f>
        <v>0.0617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HYPERLINK("http://141.218.60.56/~jnz1568/getInfo.php?workbook=12_05.xlsx&amp;sheet=U0&amp;row=1850&amp;col=6&amp;number=3.6&amp;sourceID=14","3.6")</f>
        <v>3.6</v>
      </c>
      <c r="G1850" s="4" t="str">
        <f>HYPERLINK("http://141.218.60.56/~jnz1568/getInfo.php?workbook=12_05.xlsx&amp;sheet=U0&amp;row=1850&amp;col=7&amp;number=0.0616&amp;sourceID=14","0.0616")</f>
        <v>0.0616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HYPERLINK("http://141.218.60.56/~jnz1568/getInfo.php?workbook=12_05.xlsx&amp;sheet=U0&amp;row=1851&amp;col=6&amp;number=3.7&amp;sourceID=14","3.7")</f>
        <v>3.7</v>
      </c>
      <c r="G1851" s="4" t="str">
        <f>HYPERLINK("http://141.218.60.56/~jnz1568/getInfo.php?workbook=12_05.xlsx&amp;sheet=U0&amp;row=1851&amp;col=7&amp;number=0.0616&amp;sourceID=14","0.0616")</f>
        <v>0.0616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HYPERLINK("http://141.218.60.56/~jnz1568/getInfo.php?workbook=12_05.xlsx&amp;sheet=U0&amp;row=1852&amp;col=6&amp;number=3.8&amp;sourceID=14","3.8")</f>
        <v>3.8</v>
      </c>
      <c r="G1852" s="4" t="str">
        <f>HYPERLINK("http://141.218.60.56/~jnz1568/getInfo.php?workbook=12_05.xlsx&amp;sheet=U0&amp;row=1852&amp;col=7&amp;number=0.0615&amp;sourceID=14","0.0615")</f>
        <v>0.0615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HYPERLINK("http://141.218.60.56/~jnz1568/getInfo.php?workbook=12_05.xlsx&amp;sheet=U0&amp;row=1853&amp;col=6&amp;number=3.9&amp;sourceID=14","3.9")</f>
        <v>3.9</v>
      </c>
      <c r="G1853" s="4" t="str">
        <f>HYPERLINK("http://141.218.60.56/~jnz1568/getInfo.php?workbook=12_05.xlsx&amp;sheet=U0&amp;row=1853&amp;col=7&amp;number=0.0614&amp;sourceID=14","0.0614")</f>
        <v>0.0614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HYPERLINK("http://141.218.60.56/~jnz1568/getInfo.php?workbook=12_05.xlsx&amp;sheet=U0&amp;row=1854&amp;col=6&amp;number=4&amp;sourceID=14","4")</f>
        <v>4</v>
      </c>
      <c r="G1854" s="4" t="str">
        <f>HYPERLINK("http://141.218.60.56/~jnz1568/getInfo.php?workbook=12_05.xlsx&amp;sheet=U0&amp;row=1854&amp;col=7&amp;number=0.0612&amp;sourceID=14","0.0612")</f>
        <v>0.0612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HYPERLINK("http://141.218.60.56/~jnz1568/getInfo.php?workbook=12_05.xlsx&amp;sheet=U0&amp;row=1855&amp;col=6&amp;number=4.1&amp;sourceID=14","4.1")</f>
        <v>4.1</v>
      </c>
      <c r="G1855" s="4" t="str">
        <f>HYPERLINK("http://141.218.60.56/~jnz1568/getInfo.php?workbook=12_05.xlsx&amp;sheet=U0&amp;row=1855&amp;col=7&amp;number=0.0611&amp;sourceID=14","0.0611")</f>
        <v>0.0611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HYPERLINK("http://141.218.60.56/~jnz1568/getInfo.php?workbook=12_05.xlsx&amp;sheet=U0&amp;row=1856&amp;col=6&amp;number=4.2&amp;sourceID=14","4.2")</f>
        <v>4.2</v>
      </c>
      <c r="G1856" s="4" t="str">
        <f>HYPERLINK("http://141.218.60.56/~jnz1568/getInfo.php?workbook=12_05.xlsx&amp;sheet=U0&amp;row=1856&amp;col=7&amp;number=0.0608&amp;sourceID=14","0.0608")</f>
        <v>0.0608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HYPERLINK("http://141.218.60.56/~jnz1568/getInfo.php?workbook=12_05.xlsx&amp;sheet=U0&amp;row=1857&amp;col=6&amp;number=4.3&amp;sourceID=14","4.3")</f>
        <v>4.3</v>
      </c>
      <c r="G1857" s="4" t="str">
        <f>HYPERLINK("http://141.218.60.56/~jnz1568/getInfo.php?workbook=12_05.xlsx&amp;sheet=U0&amp;row=1857&amp;col=7&amp;number=0.0606&amp;sourceID=14","0.0606")</f>
        <v>0.0606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HYPERLINK("http://141.218.60.56/~jnz1568/getInfo.php?workbook=12_05.xlsx&amp;sheet=U0&amp;row=1858&amp;col=6&amp;number=4.4&amp;sourceID=14","4.4")</f>
        <v>4.4</v>
      </c>
      <c r="G1858" s="4" t="str">
        <f>HYPERLINK("http://141.218.60.56/~jnz1568/getInfo.php?workbook=12_05.xlsx&amp;sheet=U0&amp;row=1858&amp;col=7&amp;number=0.0602&amp;sourceID=14","0.0602")</f>
        <v>0.0602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HYPERLINK("http://141.218.60.56/~jnz1568/getInfo.php?workbook=12_05.xlsx&amp;sheet=U0&amp;row=1859&amp;col=6&amp;number=4.5&amp;sourceID=14","4.5")</f>
        <v>4.5</v>
      </c>
      <c r="G1859" s="4" t="str">
        <f>HYPERLINK("http://141.218.60.56/~jnz1568/getInfo.php?workbook=12_05.xlsx&amp;sheet=U0&amp;row=1859&amp;col=7&amp;number=0.0598&amp;sourceID=14","0.0598")</f>
        <v>0.0598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HYPERLINK("http://141.218.60.56/~jnz1568/getInfo.php?workbook=12_05.xlsx&amp;sheet=U0&amp;row=1860&amp;col=6&amp;number=4.6&amp;sourceID=14","4.6")</f>
        <v>4.6</v>
      </c>
      <c r="G1860" s="4" t="str">
        <f>HYPERLINK("http://141.218.60.56/~jnz1568/getInfo.php?workbook=12_05.xlsx&amp;sheet=U0&amp;row=1860&amp;col=7&amp;number=0.0593&amp;sourceID=14","0.0593")</f>
        <v>0.0593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HYPERLINK("http://141.218.60.56/~jnz1568/getInfo.php?workbook=12_05.xlsx&amp;sheet=U0&amp;row=1861&amp;col=6&amp;number=4.7&amp;sourceID=14","4.7")</f>
        <v>4.7</v>
      </c>
      <c r="G1861" s="4" t="str">
        <f>HYPERLINK("http://141.218.60.56/~jnz1568/getInfo.php?workbook=12_05.xlsx&amp;sheet=U0&amp;row=1861&amp;col=7&amp;number=0.0587&amp;sourceID=14","0.0587")</f>
        <v>0.0587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HYPERLINK("http://141.218.60.56/~jnz1568/getInfo.php?workbook=12_05.xlsx&amp;sheet=U0&amp;row=1862&amp;col=6&amp;number=4.8&amp;sourceID=14","4.8")</f>
        <v>4.8</v>
      </c>
      <c r="G1862" s="4" t="str">
        <f>HYPERLINK("http://141.218.60.56/~jnz1568/getInfo.php?workbook=12_05.xlsx&amp;sheet=U0&amp;row=1862&amp;col=7&amp;number=0.0579&amp;sourceID=14","0.0579")</f>
        <v>0.0579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HYPERLINK("http://141.218.60.56/~jnz1568/getInfo.php?workbook=12_05.xlsx&amp;sheet=U0&amp;row=1863&amp;col=6&amp;number=4.9&amp;sourceID=14","4.9")</f>
        <v>4.9</v>
      </c>
      <c r="G1863" s="4" t="str">
        <f>HYPERLINK("http://141.218.60.56/~jnz1568/getInfo.php?workbook=12_05.xlsx&amp;sheet=U0&amp;row=1863&amp;col=7&amp;number=0.057&amp;sourceID=14","0.057")</f>
        <v>0.057</v>
      </c>
    </row>
    <row r="1864" spans="1:7">
      <c r="A1864" s="3">
        <v>12</v>
      </c>
      <c r="B1864" s="3">
        <v>5</v>
      </c>
      <c r="C1864" s="3">
        <v>1</v>
      </c>
      <c r="D1864" s="3">
        <v>51</v>
      </c>
      <c r="E1864" s="3">
        <v>1</v>
      </c>
      <c r="F1864" s="4" t="str">
        <f>HYPERLINK("http://141.218.60.56/~jnz1568/getInfo.php?workbook=12_05.xlsx&amp;sheet=U0&amp;row=1864&amp;col=6&amp;number=3&amp;sourceID=14","3")</f>
        <v>3</v>
      </c>
      <c r="G1864" s="4" t="str">
        <f>HYPERLINK("http://141.218.60.56/~jnz1568/getInfo.php?workbook=12_05.xlsx&amp;sheet=U0&amp;row=1864&amp;col=7&amp;number=0.00423&amp;sourceID=14","0.00423")</f>
        <v>0.00423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HYPERLINK("http://141.218.60.56/~jnz1568/getInfo.php?workbook=12_05.xlsx&amp;sheet=U0&amp;row=1865&amp;col=6&amp;number=3.1&amp;sourceID=14","3.1")</f>
        <v>3.1</v>
      </c>
      <c r="G1865" s="4" t="str">
        <f>HYPERLINK("http://141.218.60.56/~jnz1568/getInfo.php?workbook=12_05.xlsx&amp;sheet=U0&amp;row=1865&amp;col=7&amp;number=0.00423&amp;sourceID=14","0.00423")</f>
        <v>0.00423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HYPERLINK("http://141.218.60.56/~jnz1568/getInfo.php?workbook=12_05.xlsx&amp;sheet=U0&amp;row=1866&amp;col=6&amp;number=3.2&amp;sourceID=14","3.2")</f>
        <v>3.2</v>
      </c>
      <c r="G1866" s="4" t="str">
        <f>HYPERLINK("http://141.218.60.56/~jnz1568/getInfo.php?workbook=12_05.xlsx&amp;sheet=U0&amp;row=1866&amp;col=7&amp;number=0.00423&amp;sourceID=14","0.00423")</f>
        <v>0.00423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HYPERLINK("http://141.218.60.56/~jnz1568/getInfo.php?workbook=12_05.xlsx&amp;sheet=U0&amp;row=1867&amp;col=6&amp;number=3.3&amp;sourceID=14","3.3")</f>
        <v>3.3</v>
      </c>
      <c r="G1867" s="4" t="str">
        <f>HYPERLINK("http://141.218.60.56/~jnz1568/getInfo.php?workbook=12_05.xlsx&amp;sheet=U0&amp;row=1867&amp;col=7&amp;number=0.00422&amp;sourceID=14","0.00422")</f>
        <v>0.00422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HYPERLINK("http://141.218.60.56/~jnz1568/getInfo.php?workbook=12_05.xlsx&amp;sheet=U0&amp;row=1868&amp;col=6&amp;number=3.4&amp;sourceID=14","3.4")</f>
        <v>3.4</v>
      </c>
      <c r="G1868" s="4" t="str">
        <f>HYPERLINK("http://141.218.60.56/~jnz1568/getInfo.php?workbook=12_05.xlsx&amp;sheet=U0&amp;row=1868&amp;col=7&amp;number=0.00422&amp;sourceID=14","0.00422")</f>
        <v>0.00422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HYPERLINK("http://141.218.60.56/~jnz1568/getInfo.php?workbook=12_05.xlsx&amp;sheet=U0&amp;row=1869&amp;col=6&amp;number=3.5&amp;sourceID=14","3.5")</f>
        <v>3.5</v>
      </c>
      <c r="G1869" s="4" t="str">
        <f>HYPERLINK("http://141.218.60.56/~jnz1568/getInfo.php?workbook=12_05.xlsx&amp;sheet=U0&amp;row=1869&amp;col=7&amp;number=0.00422&amp;sourceID=14","0.00422")</f>
        <v>0.00422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HYPERLINK("http://141.218.60.56/~jnz1568/getInfo.php?workbook=12_05.xlsx&amp;sheet=U0&amp;row=1870&amp;col=6&amp;number=3.6&amp;sourceID=14","3.6")</f>
        <v>3.6</v>
      </c>
      <c r="G1870" s="4" t="str">
        <f>HYPERLINK("http://141.218.60.56/~jnz1568/getInfo.php?workbook=12_05.xlsx&amp;sheet=U0&amp;row=1870&amp;col=7&amp;number=0.00422&amp;sourceID=14","0.00422")</f>
        <v>0.00422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HYPERLINK("http://141.218.60.56/~jnz1568/getInfo.php?workbook=12_05.xlsx&amp;sheet=U0&amp;row=1871&amp;col=6&amp;number=3.7&amp;sourceID=14","3.7")</f>
        <v>3.7</v>
      </c>
      <c r="G1871" s="4" t="str">
        <f>HYPERLINK("http://141.218.60.56/~jnz1568/getInfo.php?workbook=12_05.xlsx&amp;sheet=U0&amp;row=1871&amp;col=7&amp;number=0.00421&amp;sourceID=14","0.00421")</f>
        <v>0.00421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HYPERLINK("http://141.218.60.56/~jnz1568/getInfo.php?workbook=12_05.xlsx&amp;sheet=U0&amp;row=1872&amp;col=6&amp;number=3.8&amp;sourceID=14","3.8")</f>
        <v>3.8</v>
      </c>
      <c r="G1872" s="4" t="str">
        <f>HYPERLINK("http://141.218.60.56/~jnz1568/getInfo.php?workbook=12_05.xlsx&amp;sheet=U0&amp;row=1872&amp;col=7&amp;number=0.00421&amp;sourceID=14","0.00421")</f>
        <v>0.00421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HYPERLINK("http://141.218.60.56/~jnz1568/getInfo.php?workbook=12_05.xlsx&amp;sheet=U0&amp;row=1873&amp;col=6&amp;number=3.9&amp;sourceID=14","3.9")</f>
        <v>3.9</v>
      </c>
      <c r="G1873" s="4" t="str">
        <f>HYPERLINK("http://141.218.60.56/~jnz1568/getInfo.php?workbook=12_05.xlsx&amp;sheet=U0&amp;row=1873&amp;col=7&amp;number=0.0042&amp;sourceID=14","0.0042")</f>
        <v>0.0042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HYPERLINK("http://141.218.60.56/~jnz1568/getInfo.php?workbook=12_05.xlsx&amp;sheet=U0&amp;row=1874&amp;col=6&amp;number=4&amp;sourceID=14","4")</f>
        <v>4</v>
      </c>
      <c r="G1874" s="4" t="str">
        <f>HYPERLINK("http://141.218.60.56/~jnz1568/getInfo.php?workbook=12_05.xlsx&amp;sheet=U0&amp;row=1874&amp;col=7&amp;number=0.00419&amp;sourceID=14","0.00419")</f>
        <v>0.00419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HYPERLINK("http://141.218.60.56/~jnz1568/getInfo.php?workbook=12_05.xlsx&amp;sheet=U0&amp;row=1875&amp;col=6&amp;number=4.1&amp;sourceID=14","4.1")</f>
        <v>4.1</v>
      </c>
      <c r="G1875" s="4" t="str">
        <f>HYPERLINK("http://141.218.60.56/~jnz1568/getInfo.php?workbook=12_05.xlsx&amp;sheet=U0&amp;row=1875&amp;col=7&amp;number=0.00418&amp;sourceID=14","0.00418")</f>
        <v>0.00418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HYPERLINK("http://141.218.60.56/~jnz1568/getInfo.php?workbook=12_05.xlsx&amp;sheet=U0&amp;row=1876&amp;col=6&amp;number=4.2&amp;sourceID=14","4.2")</f>
        <v>4.2</v>
      </c>
      <c r="G1876" s="4" t="str">
        <f>HYPERLINK("http://141.218.60.56/~jnz1568/getInfo.php?workbook=12_05.xlsx&amp;sheet=U0&amp;row=1876&amp;col=7&amp;number=0.00417&amp;sourceID=14","0.00417")</f>
        <v>0.00417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HYPERLINK("http://141.218.60.56/~jnz1568/getInfo.php?workbook=12_05.xlsx&amp;sheet=U0&amp;row=1877&amp;col=6&amp;number=4.3&amp;sourceID=14","4.3")</f>
        <v>4.3</v>
      </c>
      <c r="G1877" s="4" t="str">
        <f>HYPERLINK("http://141.218.60.56/~jnz1568/getInfo.php?workbook=12_05.xlsx&amp;sheet=U0&amp;row=1877&amp;col=7&amp;number=0.00415&amp;sourceID=14","0.00415")</f>
        <v>0.00415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HYPERLINK("http://141.218.60.56/~jnz1568/getInfo.php?workbook=12_05.xlsx&amp;sheet=U0&amp;row=1878&amp;col=6&amp;number=4.4&amp;sourceID=14","4.4")</f>
        <v>4.4</v>
      </c>
      <c r="G1878" s="4" t="str">
        <f>HYPERLINK("http://141.218.60.56/~jnz1568/getInfo.php?workbook=12_05.xlsx&amp;sheet=U0&amp;row=1878&amp;col=7&amp;number=0.00413&amp;sourceID=14","0.00413")</f>
        <v>0.00413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HYPERLINK("http://141.218.60.56/~jnz1568/getInfo.php?workbook=12_05.xlsx&amp;sheet=U0&amp;row=1879&amp;col=6&amp;number=4.5&amp;sourceID=14","4.5")</f>
        <v>4.5</v>
      </c>
      <c r="G1879" s="4" t="str">
        <f>HYPERLINK("http://141.218.60.56/~jnz1568/getInfo.php?workbook=12_05.xlsx&amp;sheet=U0&amp;row=1879&amp;col=7&amp;number=0.00411&amp;sourceID=14","0.00411")</f>
        <v>0.00411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HYPERLINK("http://141.218.60.56/~jnz1568/getInfo.php?workbook=12_05.xlsx&amp;sheet=U0&amp;row=1880&amp;col=6&amp;number=4.6&amp;sourceID=14","4.6")</f>
        <v>4.6</v>
      </c>
      <c r="G1880" s="4" t="str">
        <f>HYPERLINK("http://141.218.60.56/~jnz1568/getInfo.php?workbook=12_05.xlsx&amp;sheet=U0&amp;row=1880&amp;col=7&amp;number=0.00408&amp;sourceID=14","0.00408")</f>
        <v>0.00408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HYPERLINK("http://141.218.60.56/~jnz1568/getInfo.php?workbook=12_05.xlsx&amp;sheet=U0&amp;row=1881&amp;col=6&amp;number=4.7&amp;sourceID=14","4.7")</f>
        <v>4.7</v>
      </c>
      <c r="G1881" s="4" t="str">
        <f>HYPERLINK("http://141.218.60.56/~jnz1568/getInfo.php?workbook=12_05.xlsx&amp;sheet=U0&amp;row=1881&amp;col=7&amp;number=0.00404&amp;sourceID=14","0.00404")</f>
        <v>0.00404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HYPERLINK("http://141.218.60.56/~jnz1568/getInfo.php?workbook=12_05.xlsx&amp;sheet=U0&amp;row=1882&amp;col=6&amp;number=4.8&amp;sourceID=14","4.8")</f>
        <v>4.8</v>
      </c>
      <c r="G1882" s="4" t="str">
        <f>HYPERLINK("http://141.218.60.56/~jnz1568/getInfo.php?workbook=12_05.xlsx&amp;sheet=U0&amp;row=1882&amp;col=7&amp;number=0.00399&amp;sourceID=14","0.00399")</f>
        <v>0.00399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HYPERLINK("http://141.218.60.56/~jnz1568/getInfo.php?workbook=12_05.xlsx&amp;sheet=U0&amp;row=1883&amp;col=6&amp;number=4.9&amp;sourceID=14","4.9")</f>
        <v>4.9</v>
      </c>
      <c r="G1883" s="4" t="str">
        <f>HYPERLINK("http://141.218.60.56/~jnz1568/getInfo.php?workbook=12_05.xlsx&amp;sheet=U0&amp;row=1883&amp;col=7&amp;number=0.00394&amp;sourceID=14","0.00394")</f>
        <v>0.00394</v>
      </c>
    </row>
    <row r="1884" spans="1:7">
      <c r="A1884" s="3">
        <v>12</v>
      </c>
      <c r="B1884" s="3">
        <v>5</v>
      </c>
      <c r="C1884" s="3">
        <v>1</v>
      </c>
      <c r="D1884" s="3">
        <v>52</v>
      </c>
      <c r="E1884" s="3">
        <v>1</v>
      </c>
      <c r="F1884" s="4" t="str">
        <f>HYPERLINK("http://141.218.60.56/~jnz1568/getInfo.php?workbook=12_05.xlsx&amp;sheet=U0&amp;row=1884&amp;col=6&amp;number=3&amp;sourceID=14","3")</f>
        <v>3</v>
      </c>
      <c r="G1884" s="4" t="str">
        <f>HYPERLINK("http://141.218.60.56/~jnz1568/getInfo.php?workbook=12_05.xlsx&amp;sheet=U0&amp;row=1884&amp;col=7&amp;number=0.00164&amp;sourceID=14","0.00164")</f>
        <v>0.00164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HYPERLINK("http://141.218.60.56/~jnz1568/getInfo.php?workbook=12_05.xlsx&amp;sheet=U0&amp;row=1885&amp;col=6&amp;number=3.1&amp;sourceID=14","3.1")</f>
        <v>3.1</v>
      </c>
      <c r="G1885" s="4" t="str">
        <f>HYPERLINK("http://141.218.60.56/~jnz1568/getInfo.php?workbook=12_05.xlsx&amp;sheet=U0&amp;row=1885&amp;col=7&amp;number=0.00164&amp;sourceID=14","0.00164")</f>
        <v>0.00164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HYPERLINK("http://141.218.60.56/~jnz1568/getInfo.php?workbook=12_05.xlsx&amp;sheet=U0&amp;row=1886&amp;col=6&amp;number=3.2&amp;sourceID=14","3.2")</f>
        <v>3.2</v>
      </c>
      <c r="G1886" s="4" t="str">
        <f>HYPERLINK("http://141.218.60.56/~jnz1568/getInfo.php?workbook=12_05.xlsx&amp;sheet=U0&amp;row=1886&amp;col=7&amp;number=0.00164&amp;sourceID=14","0.00164")</f>
        <v>0.00164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HYPERLINK("http://141.218.60.56/~jnz1568/getInfo.php?workbook=12_05.xlsx&amp;sheet=U0&amp;row=1887&amp;col=6&amp;number=3.3&amp;sourceID=14","3.3")</f>
        <v>3.3</v>
      </c>
      <c r="G1887" s="4" t="str">
        <f>HYPERLINK("http://141.218.60.56/~jnz1568/getInfo.php?workbook=12_05.xlsx&amp;sheet=U0&amp;row=1887&amp;col=7&amp;number=0.00164&amp;sourceID=14","0.00164")</f>
        <v>0.00164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HYPERLINK("http://141.218.60.56/~jnz1568/getInfo.php?workbook=12_05.xlsx&amp;sheet=U0&amp;row=1888&amp;col=6&amp;number=3.4&amp;sourceID=14","3.4")</f>
        <v>3.4</v>
      </c>
      <c r="G1888" s="4" t="str">
        <f>HYPERLINK("http://141.218.60.56/~jnz1568/getInfo.php?workbook=12_05.xlsx&amp;sheet=U0&amp;row=1888&amp;col=7&amp;number=0.00164&amp;sourceID=14","0.00164")</f>
        <v>0.00164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HYPERLINK("http://141.218.60.56/~jnz1568/getInfo.php?workbook=12_05.xlsx&amp;sheet=U0&amp;row=1889&amp;col=6&amp;number=3.5&amp;sourceID=14","3.5")</f>
        <v>3.5</v>
      </c>
      <c r="G1889" s="4" t="str">
        <f>HYPERLINK("http://141.218.60.56/~jnz1568/getInfo.php?workbook=12_05.xlsx&amp;sheet=U0&amp;row=1889&amp;col=7&amp;number=0.00164&amp;sourceID=14","0.00164")</f>
        <v>0.00164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HYPERLINK("http://141.218.60.56/~jnz1568/getInfo.php?workbook=12_05.xlsx&amp;sheet=U0&amp;row=1890&amp;col=6&amp;number=3.6&amp;sourceID=14","3.6")</f>
        <v>3.6</v>
      </c>
      <c r="G1890" s="4" t="str">
        <f>HYPERLINK("http://141.218.60.56/~jnz1568/getInfo.php?workbook=12_05.xlsx&amp;sheet=U0&amp;row=1890&amp;col=7&amp;number=0.00163&amp;sourceID=14","0.00163")</f>
        <v>0.00163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HYPERLINK("http://141.218.60.56/~jnz1568/getInfo.php?workbook=12_05.xlsx&amp;sheet=U0&amp;row=1891&amp;col=6&amp;number=3.7&amp;sourceID=14","3.7")</f>
        <v>3.7</v>
      </c>
      <c r="G1891" s="4" t="str">
        <f>HYPERLINK("http://141.218.60.56/~jnz1568/getInfo.php?workbook=12_05.xlsx&amp;sheet=U0&amp;row=1891&amp;col=7&amp;number=0.00163&amp;sourceID=14","0.00163")</f>
        <v>0.00163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HYPERLINK("http://141.218.60.56/~jnz1568/getInfo.php?workbook=12_05.xlsx&amp;sheet=U0&amp;row=1892&amp;col=6&amp;number=3.8&amp;sourceID=14","3.8")</f>
        <v>3.8</v>
      </c>
      <c r="G1892" s="4" t="str">
        <f>HYPERLINK("http://141.218.60.56/~jnz1568/getInfo.php?workbook=12_05.xlsx&amp;sheet=U0&amp;row=1892&amp;col=7&amp;number=0.00163&amp;sourceID=14","0.00163")</f>
        <v>0.00163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HYPERLINK("http://141.218.60.56/~jnz1568/getInfo.php?workbook=12_05.xlsx&amp;sheet=U0&amp;row=1893&amp;col=6&amp;number=3.9&amp;sourceID=14","3.9")</f>
        <v>3.9</v>
      </c>
      <c r="G1893" s="4" t="str">
        <f>HYPERLINK("http://141.218.60.56/~jnz1568/getInfo.php?workbook=12_05.xlsx&amp;sheet=U0&amp;row=1893&amp;col=7&amp;number=0.00163&amp;sourceID=14","0.00163")</f>
        <v>0.00163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HYPERLINK("http://141.218.60.56/~jnz1568/getInfo.php?workbook=12_05.xlsx&amp;sheet=U0&amp;row=1894&amp;col=6&amp;number=4&amp;sourceID=14","4")</f>
        <v>4</v>
      </c>
      <c r="G1894" s="4" t="str">
        <f>HYPERLINK("http://141.218.60.56/~jnz1568/getInfo.php?workbook=12_05.xlsx&amp;sheet=U0&amp;row=1894&amp;col=7&amp;number=0.00163&amp;sourceID=14","0.00163")</f>
        <v>0.00163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HYPERLINK("http://141.218.60.56/~jnz1568/getInfo.php?workbook=12_05.xlsx&amp;sheet=U0&amp;row=1895&amp;col=6&amp;number=4.1&amp;sourceID=14","4.1")</f>
        <v>4.1</v>
      </c>
      <c r="G1895" s="4" t="str">
        <f>HYPERLINK("http://141.218.60.56/~jnz1568/getInfo.php?workbook=12_05.xlsx&amp;sheet=U0&amp;row=1895&amp;col=7&amp;number=0.00162&amp;sourceID=14","0.00162")</f>
        <v>0.00162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HYPERLINK("http://141.218.60.56/~jnz1568/getInfo.php?workbook=12_05.xlsx&amp;sheet=U0&amp;row=1896&amp;col=6&amp;number=4.2&amp;sourceID=14","4.2")</f>
        <v>4.2</v>
      </c>
      <c r="G1896" s="4" t="str">
        <f>HYPERLINK("http://141.218.60.56/~jnz1568/getInfo.php?workbook=12_05.xlsx&amp;sheet=U0&amp;row=1896&amp;col=7&amp;number=0.00162&amp;sourceID=14","0.00162")</f>
        <v>0.00162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HYPERLINK("http://141.218.60.56/~jnz1568/getInfo.php?workbook=12_05.xlsx&amp;sheet=U0&amp;row=1897&amp;col=6&amp;number=4.3&amp;sourceID=14","4.3")</f>
        <v>4.3</v>
      </c>
      <c r="G1897" s="4" t="str">
        <f>HYPERLINK("http://141.218.60.56/~jnz1568/getInfo.php?workbook=12_05.xlsx&amp;sheet=U0&amp;row=1897&amp;col=7&amp;number=0.00161&amp;sourceID=14","0.00161")</f>
        <v>0.00161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HYPERLINK("http://141.218.60.56/~jnz1568/getInfo.php?workbook=12_05.xlsx&amp;sheet=U0&amp;row=1898&amp;col=6&amp;number=4.4&amp;sourceID=14","4.4")</f>
        <v>4.4</v>
      </c>
      <c r="G1898" s="4" t="str">
        <f>HYPERLINK("http://141.218.60.56/~jnz1568/getInfo.php?workbook=12_05.xlsx&amp;sheet=U0&amp;row=1898&amp;col=7&amp;number=0.0016&amp;sourceID=14","0.0016")</f>
        <v>0.0016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HYPERLINK("http://141.218.60.56/~jnz1568/getInfo.php?workbook=12_05.xlsx&amp;sheet=U0&amp;row=1899&amp;col=6&amp;number=4.5&amp;sourceID=14","4.5")</f>
        <v>4.5</v>
      </c>
      <c r="G1899" s="4" t="str">
        <f>HYPERLINK("http://141.218.60.56/~jnz1568/getInfo.php?workbook=12_05.xlsx&amp;sheet=U0&amp;row=1899&amp;col=7&amp;number=0.00159&amp;sourceID=14","0.00159")</f>
        <v>0.00159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HYPERLINK("http://141.218.60.56/~jnz1568/getInfo.php?workbook=12_05.xlsx&amp;sheet=U0&amp;row=1900&amp;col=6&amp;number=4.6&amp;sourceID=14","4.6")</f>
        <v>4.6</v>
      </c>
      <c r="G1900" s="4" t="str">
        <f>HYPERLINK("http://141.218.60.56/~jnz1568/getInfo.php?workbook=12_05.xlsx&amp;sheet=U0&amp;row=1900&amp;col=7&amp;number=0.00158&amp;sourceID=14","0.00158")</f>
        <v>0.00158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HYPERLINK("http://141.218.60.56/~jnz1568/getInfo.php?workbook=12_05.xlsx&amp;sheet=U0&amp;row=1901&amp;col=6&amp;number=4.7&amp;sourceID=14","4.7")</f>
        <v>4.7</v>
      </c>
      <c r="G1901" s="4" t="str">
        <f>HYPERLINK("http://141.218.60.56/~jnz1568/getInfo.php?workbook=12_05.xlsx&amp;sheet=U0&amp;row=1901&amp;col=7&amp;number=0.00157&amp;sourceID=14","0.00157")</f>
        <v>0.00157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HYPERLINK("http://141.218.60.56/~jnz1568/getInfo.php?workbook=12_05.xlsx&amp;sheet=U0&amp;row=1902&amp;col=6&amp;number=4.8&amp;sourceID=14","4.8")</f>
        <v>4.8</v>
      </c>
      <c r="G1902" s="4" t="str">
        <f>HYPERLINK("http://141.218.60.56/~jnz1568/getInfo.php?workbook=12_05.xlsx&amp;sheet=U0&amp;row=1902&amp;col=7&amp;number=0.00155&amp;sourceID=14","0.00155")</f>
        <v>0.00155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HYPERLINK("http://141.218.60.56/~jnz1568/getInfo.php?workbook=12_05.xlsx&amp;sheet=U0&amp;row=1903&amp;col=6&amp;number=4.9&amp;sourceID=14","4.9")</f>
        <v>4.9</v>
      </c>
      <c r="G1903" s="4" t="str">
        <f>HYPERLINK("http://141.218.60.56/~jnz1568/getInfo.php?workbook=12_05.xlsx&amp;sheet=U0&amp;row=1903&amp;col=7&amp;number=0.00153&amp;sourceID=14","0.00153")</f>
        <v>0.00153</v>
      </c>
    </row>
    <row r="1904" spans="1:7">
      <c r="A1904" s="3">
        <v>12</v>
      </c>
      <c r="B1904" s="3">
        <v>5</v>
      </c>
      <c r="C1904" s="3">
        <v>1</v>
      </c>
      <c r="D1904" s="3">
        <v>53</v>
      </c>
      <c r="E1904" s="3">
        <v>1</v>
      </c>
      <c r="F1904" s="4" t="str">
        <f>HYPERLINK("http://141.218.60.56/~jnz1568/getInfo.php?workbook=12_05.xlsx&amp;sheet=U0&amp;row=1904&amp;col=6&amp;number=3&amp;sourceID=14","3")</f>
        <v>3</v>
      </c>
      <c r="G1904" s="4" t="str">
        <f>HYPERLINK("http://141.218.60.56/~jnz1568/getInfo.php?workbook=12_05.xlsx&amp;sheet=U0&amp;row=1904&amp;col=7&amp;number=0.000617&amp;sourceID=14","0.000617")</f>
        <v>0.000617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HYPERLINK("http://141.218.60.56/~jnz1568/getInfo.php?workbook=12_05.xlsx&amp;sheet=U0&amp;row=1905&amp;col=6&amp;number=3.1&amp;sourceID=14","3.1")</f>
        <v>3.1</v>
      </c>
      <c r="G1905" s="4" t="str">
        <f>HYPERLINK("http://141.218.60.56/~jnz1568/getInfo.php?workbook=12_05.xlsx&amp;sheet=U0&amp;row=1905&amp;col=7&amp;number=0.000617&amp;sourceID=14","0.000617")</f>
        <v>0.000617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HYPERLINK("http://141.218.60.56/~jnz1568/getInfo.php?workbook=12_05.xlsx&amp;sheet=U0&amp;row=1906&amp;col=6&amp;number=3.2&amp;sourceID=14","3.2")</f>
        <v>3.2</v>
      </c>
      <c r="G1906" s="4" t="str">
        <f>HYPERLINK("http://141.218.60.56/~jnz1568/getInfo.php?workbook=12_05.xlsx&amp;sheet=U0&amp;row=1906&amp;col=7&amp;number=0.000616&amp;sourceID=14","0.000616")</f>
        <v>0.000616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HYPERLINK("http://141.218.60.56/~jnz1568/getInfo.php?workbook=12_05.xlsx&amp;sheet=U0&amp;row=1907&amp;col=6&amp;number=3.3&amp;sourceID=14","3.3")</f>
        <v>3.3</v>
      </c>
      <c r="G1907" s="4" t="str">
        <f>HYPERLINK("http://141.218.60.56/~jnz1568/getInfo.php?workbook=12_05.xlsx&amp;sheet=U0&amp;row=1907&amp;col=7&amp;number=0.000616&amp;sourceID=14","0.000616")</f>
        <v>0.000616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HYPERLINK("http://141.218.60.56/~jnz1568/getInfo.php?workbook=12_05.xlsx&amp;sheet=U0&amp;row=1908&amp;col=6&amp;number=3.4&amp;sourceID=14","3.4")</f>
        <v>3.4</v>
      </c>
      <c r="G1908" s="4" t="str">
        <f>HYPERLINK("http://141.218.60.56/~jnz1568/getInfo.php?workbook=12_05.xlsx&amp;sheet=U0&amp;row=1908&amp;col=7&amp;number=0.000616&amp;sourceID=14","0.000616")</f>
        <v>0.000616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HYPERLINK("http://141.218.60.56/~jnz1568/getInfo.php?workbook=12_05.xlsx&amp;sheet=U0&amp;row=1909&amp;col=6&amp;number=3.5&amp;sourceID=14","3.5")</f>
        <v>3.5</v>
      </c>
      <c r="G1909" s="4" t="str">
        <f>HYPERLINK("http://141.218.60.56/~jnz1568/getInfo.php?workbook=12_05.xlsx&amp;sheet=U0&amp;row=1909&amp;col=7&amp;number=0.000615&amp;sourceID=14","0.000615")</f>
        <v>0.000615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HYPERLINK("http://141.218.60.56/~jnz1568/getInfo.php?workbook=12_05.xlsx&amp;sheet=U0&amp;row=1910&amp;col=6&amp;number=3.6&amp;sourceID=14","3.6")</f>
        <v>3.6</v>
      </c>
      <c r="G1910" s="4" t="str">
        <f>HYPERLINK("http://141.218.60.56/~jnz1568/getInfo.php?workbook=12_05.xlsx&amp;sheet=U0&amp;row=1910&amp;col=7&amp;number=0.000615&amp;sourceID=14","0.000615")</f>
        <v>0.000615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HYPERLINK("http://141.218.60.56/~jnz1568/getInfo.php?workbook=12_05.xlsx&amp;sheet=U0&amp;row=1911&amp;col=6&amp;number=3.7&amp;sourceID=14","3.7")</f>
        <v>3.7</v>
      </c>
      <c r="G1911" s="4" t="str">
        <f>HYPERLINK("http://141.218.60.56/~jnz1568/getInfo.php?workbook=12_05.xlsx&amp;sheet=U0&amp;row=1911&amp;col=7&amp;number=0.000614&amp;sourceID=14","0.000614")</f>
        <v>0.000614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HYPERLINK("http://141.218.60.56/~jnz1568/getInfo.php?workbook=12_05.xlsx&amp;sheet=U0&amp;row=1912&amp;col=6&amp;number=3.8&amp;sourceID=14","3.8")</f>
        <v>3.8</v>
      </c>
      <c r="G1912" s="4" t="str">
        <f>HYPERLINK("http://141.218.60.56/~jnz1568/getInfo.php?workbook=12_05.xlsx&amp;sheet=U0&amp;row=1912&amp;col=7&amp;number=0.000614&amp;sourceID=14","0.000614")</f>
        <v>0.000614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HYPERLINK("http://141.218.60.56/~jnz1568/getInfo.php?workbook=12_05.xlsx&amp;sheet=U0&amp;row=1913&amp;col=6&amp;number=3.9&amp;sourceID=14","3.9")</f>
        <v>3.9</v>
      </c>
      <c r="G1913" s="4" t="str">
        <f>HYPERLINK("http://141.218.60.56/~jnz1568/getInfo.php?workbook=12_05.xlsx&amp;sheet=U0&amp;row=1913&amp;col=7&amp;number=0.000613&amp;sourceID=14","0.000613")</f>
        <v>0.000613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HYPERLINK("http://141.218.60.56/~jnz1568/getInfo.php?workbook=12_05.xlsx&amp;sheet=U0&amp;row=1914&amp;col=6&amp;number=4&amp;sourceID=14","4")</f>
        <v>4</v>
      </c>
      <c r="G1914" s="4" t="str">
        <f>HYPERLINK("http://141.218.60.56/~jnz1568/getInfo.php?workbook=12_05.xlsx&amp;sheet=U0&amp;row=1914&amp;col=7&amp;number=0.000611&amp;sourceID=14","0.000611")</f>
        <v>0.000611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HYPERLINK("http://141.218.60.56/~jnz1568/getInfo.php?workbook=12_05.xlsx&amp;sheet=U0&amp;row=1915&amp;col=6&amp;number=4.1&amp;sourceID=14","4.1")</f>
        <v>4.1</v>
      </c>
      <c r="G1915" s="4" t="str">
        <f>HYPERLINK("http://141.218.60.56/~jnz1568/getInfo.php?workbook=12_05.xlsx&amp;sheet=U0&amp;row=1915&amp;col=7&amp;number=0.00061&amp;sourceID=14","0.00061")</f>
        <v>0.00061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HYPERLINK("http://141.218.60.56/~jnz1568/getInfo.php?workbook=12_05.xlsx&amp;sheet=U0&amp;row=1916&amp;col=6&amp;number=4.2&amp;sourceID=14","4.2")</f>
        <v>4.2</v>
      </c>
      <c r="G1916" s="4" t="str">
        <f>HYPERLINK("http://141.218.60.56/~jnz1568/getInfo.php?workbook=12_05.xlsx&amp;sheet=U0&amp;row=1916&amp;col=7&amp;number=0.000608&amp;sourceID=14","0.000608")</f>
        <v>0.000608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HYPERLINK("http://141.218.60.56/~jnz1568/getInfo.php?workbook=12_05.xlsx&amp;sheet=U0&amp;row=1917&amp;col=6&amp;number=4.3&amp;sourceID=14","4.3")</f>
        <v>4.3</v>
      </c>
      <c r="G1917" s="4" t="str">
        <f>HYPERLINK("http://141.218.60.56/~jnz1568/getInfo.php?workbook=12_05.xlsx&amp;sheet=U0&amp;row=1917&amp;col=7&amp;number=0.000606&amp;sourceID=14","0.000606")</f>
        <v>0.000606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HYPERLINK("http://141.218.60.56/~jnz1568/getInfo.php?workbook=12_05.xlsx&amp;sheet=U0&amp;row=1918&amp;col=6&amp;number=4.4&amp;sourceID=14","4.4")</f>
        <v>4.4</v>
      </c>
      <c r="G1918" s="4" t="str">
        <f>HYPERLINK("http://141.218.60.56/~jnz1568/getInfo.php?workbook=12_05.xlsx&amp;sheet=U0&amp;row=1918&amp;col=7&amp;number=0.000603&amp;sourceID=14","0.000603")</f>
        <v>0.000603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HYPERLINK("http://141.218.60.56/~jnz1568/getInfo.php?workbook=12_05.xlsx&amp;sheet=U0&amp;row=1919&amp;col=6&amp;number=4.5&amp;sourceID=14","4.5")</f>
        <v>4.5</v>
      </c>
      <c r="G1919" s="4" t="str">
        <f>HYPERLINK("http://141.218.60.56/~jnz1568/getInfo.php?workbook=12_05.xlsx&amp;sheet=U0&amp;row=1919&amp;col=7&amp;number=0.000599&amp;sourceID=14","0.000599")</f>
        <v>0.000599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HYPERLINK("http://141.218.60.56/~jnz1568/getInfo.php?workbook=12_05.xlsx&amp;sheet=U0&amp;row=1920&amp;col=6&amp;number=4.6&amp;sourceID=14","4.6")</f>
        <v>4.6</v>
      </c>
      <c r="G1920" s="4" t="str">
        <f>HYPERLINK("http://141.218.60.56/~jnz1568/getInfo.php?workbook=12_05.xlsx&amp;sheet=U0&amp;row=1920&amp;col=7&amp;number=0.000594&amp;sourceID=14","0.000594")</f>
        <v>0.000594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HYPERLINK("http://141.218.60.56/~jnz1568/getInfo.php?workbook=12_05.xlsx&amp;sheet=U0&amp;row=1921&amp;col=6&amp;number=4.7&amp;sourceID=14","4.7")</f>
        <v>4.7</v>
      </c>
      <c r="G1921" s="4" t="str">
        <f>HYPERLINK("http://141.218.60.56/~jnz1568/getInfo.php?workbook=12_05.xlsx&amp;sheet=U0&amp;row=1921&amp;col=7&amp;number=0.000589&amp;sourceID=14","0.000589")</f>
        <v>0.000589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HYPERLINK("http://141.218.60.56/~jnz1568/getInfo.php?workbook=12_05.xlsx&amp;sheet=U0&amp;row=1922&amp;col=6&amp;number=4.8&amp;sourceID=14","4.8")</f>
        <v>4.8</v>
      </c>
      <c r="G1922" s="4" t="str">
        <f>HYPERLINK("http://141.218.60.56/~jnz1568/getInfo.php?workbook=12_05.xlsx&amp;sheet=U0&amp;row=1922&amp;col=7&amp;number=0.000582&amp;sourceID=14","0.000582")</f>
        <v>0.000582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HYPERLINK("http://141.218.60.56/~jnz1568/getInfo.php?workbook=12_05.xlsx&amp;sheet=U0&amp;row=1923&amp;col=6&amp;number=4.9&amp;sourceID=14","4.9")</f>
        <v>4.9</v>
      </c>
      <c r="G1923" s="4" t="str">
        <f>HYPERLINK("http://141.218.60.56/~jnz1568/getInfo.php?workbook=12_05.xlsx&amp;sheet=U0&amp;row=1923&amp;col=7&amp;number=0.000573&amp;sourceID=14","0.000573")</f>
        <v>0.000573</v>
      </c>
    </row>
    <row r="1924" spans="1:7">
      <c r="A1924" s="3">
        <v>12</v>
      </c>
      <c r="B1924" s="3">
        <v>5</v>
      </c>
      <c r="C1924" s="3">
        <v>1</v>
      </c>
      <c r="D1924" s="3">
        <v>54</v>
      </c>
      <c r="E1924" s="3">
        <v>1</v>
      </c>
      <c r="F1924" s="4" t="str">
        <f>HYPERLINK("http://141.218.60.56/~jnz1568/getInfo.php?workbook=12_05.xlsx&amp;sheet=U0&amp;row=1924&amp;col=6&amp;number=3&amp;sourceID=14","3")</f>
        <v>3</v>
      </c>
      <c r="G1924" s="4" t="str">
        <f>HYPERLINK("http://141.218.60.56/~jnz1568/getInfo.php?workbook=12_05.xlsx&amp;sheet=U0&amp;row=1924&amp;col=7&amp;number=0.00294&amp;sourceID=14","0.00294")</f>
        <v>0.00294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HYPERLINK("http://141.218.60.56/~jnz1568/getInfo.php?workbook=12_05.xlsx&amp;sheet=U0&amp;row=1925&amp;col=6&amp;number=3.1&amp;sourceID=14","3.1")</f>
        <v>3.1</v>
      </c>
      <c r="G1925" s="4" t="str">
        <f>HYPERLINK("http://141.218.60.56/~jnz1568/getInfo.php?workbook=12_05.xlsx&amp;sheet=U0&amp;row=1925&amp;col=7&amp;number=0.00294&amp;sourceID=14","0.00294")</f>
        <v>0.00294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HYPERLINK("http://141.218.60.56/~jnz1568/getInfo.php?workbook=12_05.xlsx&amp;sheet=U0&amp;row=1926&amp;col=6&amp;number=3.2&amp;sourceID=14","3.2")</f>
        <v>3.2</v>
      </c>
      <c r="G1926" s="4" t="str">
        <f>HYPERLINK("http://141.218.60.56/~jnz1568/getInfo.php?workbook=12_05.xlsx&amp;sheet=U0&amp;row=1926&amp;col=7&amp;number=0.00294&amp;sourceID=14","0.00294")</f>
        <v>0.00294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HYPERLINK("http://141.218.60.56/~jnz1568/getInfo.php?workbook=12_05.xlsx&amp;sheet=U0&amp;row=1927&amp;col=6&amp;number=3.3&amp;sourceID=14","3.3")</f>
        <v>3.3</v>
      </c>
      <c r="G1927" s="4" t="str">
        <f>HYPERLINK("http://141.218.60.56/~jnz1568/getInfo.php?workbook=12_05.xlsx&amp;sheet=U0&amp;row=1927&amp;col=7&amp;number=0.00293&amp;sourceID=14","0.00293")</f>
        <v>0.00293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HYPERLINK("http://141.218.60.56/~jnz1568/getInfo.php?workbook=12_05.xlsx&amp;sheet=U0&amp;row=1928&amp;col=6&amp;number=3.4&amp;sourceID=14","3.4")</f>
        <v>3.4</v>
      </c>
      <c r="G1928" s="4" t="str">
        <f>HYPERLINK("http://141.218.60.56/~jnz1568/getInfo.php?workbook=12_05.xlsx&amp;sheet=U0&amp;row=1928&amp;col=7&amp;number=0.00293&amp;sourceID=14","0.00293")</f>
        <v>0.00293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HYPERLINK("http://141.218.60.56/~jnz1568/getInfo.php?workbook=12_05.xlsx&amp;sheet=U0&amp;row=1929&amp;col=6&amp;number=3.5&amp;sourceID=14","3.5")</f>
        <v>3.5</v>
      </c>
      <c r="G1929" s="4" t="str">
        <f>HYPERLINK("http://141.218.60.56/~jnz1568/getInfo.php?workbook=12_05.xlsx&amp;sheet=U0&amp;row=1929&amp;col=7&amp;number=0.00293&amp;sourceID=14","0.00293")</f>
        <v>0.00293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HYPERLINK("http://141.218.60.56/~jnz1568/getInfo.php?workbook=12_05.xlsx&amp;sheet=U0&amp;row=1930&amp;col=6&amp;number=3.6&amp;sourceID=14","3.6")</f>
        <v>3.6</v>
      </c>
      <c r="G1930" s="4" t="str">
        <f>HYPERLINK("http://141.218.60.56/~jnz1568/getInfo.php?workbook=12_05.xlsx&amp;sheet=U0&amp;row=1930&amp;col=7&amp;number=0.00293&amp;sourceID=14","0.00293")</f>
        <v>0.00293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HYPERLINK("http://141.218.60.56/~jnz1568/getInfo.php?workbook=12_05.xlsx&amp;sheet=U0&amp;row=1931&amp;col=6&amp;number=3.7&amp;sourceID=14","3.7")</f>
        <v>3.7</v>
      </c>
      <c r="G1931" s="4" t="str">
        <f>HYPERLINK("http://141.218.60.56/~jnz1568/getInfo.php?workbook=12_05.xlsx&amp;sheet=U0&amp;row=1931&amp;col=7&amp;number=0.00293&amp;sourceID=14","0.00293")</f>
        <v>0.00293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HYPERLINK("http://141.218.60.56/~jnz1568/getInfo.php?workbook=12_05.xlsx&amp;sheet=U0&amp;row=1932&amp;col=6&amp;number=3.8&amp;sourceID=14","3.8")</f>
        <v>3.8</v>
      </c>
      <c r="G1932" s="4" t="str">
        <f>HYPERLINK("http://141.218.60.56/~jnz1568/getInfo.php?workbook=12_05.xlsx&amp;sheet=U0&amp;row=1932&amp;col=7&amp;number=0.00293&amp;sourceID=14","0.00293")</f>
        <v>0.00293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HYPERLINK("http://141.218.60.56/~jnz1568/getInfo.php?workbook=12_05.xlsx&amp;sheet=U0&amp;row=1933&amp;col=6&amp;number=3.9&amp;sourceID=14","3.9")</f>
        <v>3.9</v>
      </c>
      <c r="G1933" s="4" t="str">
        <f>HYPERLINK("http://141.218.60.56/~jnz1568/getInfo.php?workbook=12_05.xlsx&amp;sheet=U0&amp;row=1933&amp;col=7&amp;number=0.00292&amp;sourceID=14","0.00292")</f>
        <v>0.00292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HYPERLINK("http://141.218.60.56/~jnz1568/getInfo.php?workbook=12_05.xlsx&amp;sheet=U0&amp;row=1934&amp;col=6&amp;number=4&amp;sourceID=14","4")</f>
        <v>4</v>
      </c>
      <c r="G1934" s="4" t="str">
        <f>HYPERLINK("http://141.218.60.56/~jnz1568/getInfo.php?workbook=12_05.xlsx&amp;sheet=U0&amp;row=1934&amp;col=7&amp;number=0.00292&amp;sourceID=14","0.00292")</f>
        <v>0.00292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HYPERLINK("http://141.218.60.56/~jnz1568/getInfo.php?workbook=12_05.xlsx&amp;sheet=U0&amp;row=1935&amp;col=6&amp;number=4.1&amp;sourceID=14","4.1")</f>
        <v>4.1</v>
      </c>
      <c r="G1935" s="4" t="str">
        <f>HYPERLINK("http://141.218.60.56/~jnz1568/getInfo.php?workbook=12_05.xlsx&amp;sheet=U0&amp;row=1935&amp;col=7&amp;number=0.00291&amp;sourceID=14","0.00291")</f>
        <v>0.00291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HYPERLINK("http://141.218.60.56/~jnz1568/getInfo.php?workbook=12_05.xlsx&amp;sheet=U0&amp;row=1936&amp;col=6&amp;number=4.2&amp;sourceID=14","4.2")</f>
        <v>4.2</v>
      </c>
      <c r="G1936" s="4" t="str">
        <f>HYPERLINK("http://141.218.60.56/~jnz1568/getInfo.php?workbook=12_05.xlsx&amp;sheet=U0&amp;row=1936&amp;col=7&amp;number=0.0029&amp;sourceID=14","0.0029")</f>
        <v>0.0029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HYPERLINK("http://141.218.60.56/~jnz1568/getInfo.php?workbook=12_05.xlsx&amp;sheet=U0&amp;row=1937&amp;col=6&amp;number=4.3&amp;sourceID=14","4.3")</f>
        <v>4.3</v>
      </c>
      <c r="G1937" s="4" t="str">
        <f>HYPERLINK("http://141.218.60.56/~jnz1568/getInfo.php?workbook=12_05.xlsx&amp;sheet=U0&amp;row=1937&amp;col=7&amp;number=0.0029&amp;sourceID=14","0.0029")</f>
        <v>0.0029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HYPERLINK("http://141.218.60.56/~jnz1568/getInfo.php?workbook=12_05.xlsx&amp;sheet=U0&amp;row=1938&amp;col=6&amp;number=4.4&amp;sourceID=14","4.4")</f>
        <v>4.4</v>
      </c>
      <c r="G1938" s="4" t="str">
        <f>HYPERLINK("http://141.218.60.56/~jnz1568/getInfo.php?workbook=12_05.xlsx&amp;sheet=U0&amp;row=1938&amp;col=7&amp;number=0.00288&amp;sourceID=14","0.00288")</f>
        <v>0.00288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HYPERLINK("http://141.218.60.56/~jnz1568/getInfo.php?workbook=12_05.xlsx&amp;sheet=U0&amp;row=1939&amp;col=6&amp;number=4.5&amp;sourceID=14","4.5")</f>
        <v>4.5</v>
      </c>
      <c r="G1939" s="4" t="str">
        <f>HYPERLINK("http://141.218.60.56/~jnz1568/getInfo.php?workbook=12_05.xlsx&amp;sheet=U0&amp;row=1939&amp;col=7&amp;number=0.00287&amp;sourceID=14","0.00287")</f>
        <v>0.00287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HYPERLINK("http://141.218.60.56/~jnz1568/getInfo.php?workbook=12_05.xlsx&amp;sheet=U0&amp;row=1940&amp;col=6&amp;number=4.6&amp;sourceID=14","4.6")</f>
        <v>4.6</v>
      </c>
      <c r="G1940" s="4" t="str">
        <f>HYPERLINK("http://141.218.60.56/~jnz1568/getInfo.php?workbook=12_05.xlsx&amp;sheet=U0&amp;row=1940&amp;col=7&amp;number=0.00285&amp;sourceID=14","0.00285")</f>
        <v>0.00285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HYPERLINK("http://141.218.60.56/~jnz1568/getInfo.php?workbook=12_05.xlsx&amp;sheet=U0&amp;row=1941&amp;col=6&amp;number=4.7&amp;sourceID=14","4.7")</f>
        <v>4.7</v>
      </c>
      <c r="G1941" s="4" t="str">
        <f>HYPERLINK("http://141.218.60.56/~jnz1568/getInfo.php?workbook=12_05.xlsx&amp;sheet=U0&amp;row=1941&amp;col=7&amp;number=0.00283&amp;sourceID=14","0.00283")</f>
        <v>0.00283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HYPERLINK("http://141.218.60.56/~jnz1568/getInfo.php?workbook=12_05.xlsx&amp;sheet=U0&amp;row=1942&amp;col=6&amp;number=4.8&amp;sourceID=14","4.8")</f>
        <v>4.8</v>
      </c>
      <c r="G1942" s="4" t="str">
        <f>HYPERLINK("http://141.218.60.56/~jnz1568/getInfo.php?workbook=12_05.xlsx&amp;sheet=U0&amp;row=1942&amp;col=7&amp;number=0.0028&amp;sourceID=14","0.0028")</f>
        <v>0.0028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HYPERLINK("http://141.218.60.56/~jnz1568/getInfo.php?workbook=12_05.xlsx&amp;sheet=U0&amp;row=1943&amp;col=6&amp;number=4.9&amp;sourceID=14","4.9")</f>
        <v>4.9</v>
      </c>
      <c r="G1943" s="4" t="str">
        <f>HYPERLINK("http://141.218.60.56/~jnz1568/getInfo.php?workbook=12_05.xlsx&amp;sheet=U0&amp;row=1943&amp;col=7&amp;number=0.00277&amp;sourceID=14","0.00277")</f>
        <v>0.00277</v>
      </c>
    </row>
    <row r="1944" spans="1:7">
      <c r="A1944" s="3">
        <v>12</v>
      </c>
      <c r="B1944" s="3">
        <v>5</v>
      </c>
      <c r="C1944" s="3">
        <v>1</v>
      </c>
      <c r="D1944" s="3">
        <v>56</v>
      </c>
      <c r="E1944" s="3">
        <v>1</v>
      </c>
      <c r="F1944" s="4" t="str">
        <f>HYPERLINK("http://141.218.60.56/~jnz1568/getInfo.php?workbook=12_05.xlsx&amp;sheet=U0&amp;row=1944&amp;col=6&amp;number=3&amp;sourceID=14","3")</f>
        <v>3</v>
      </c>
      <c r="G1944" s="4" t="str">
        <f>HYPERLINK("http://141.218.60.56/~jnz1568/getInfo.php?workbook=12_05.xlsx&amp;sheet=U0&amp;row=1944&amp;col=7&amp;number=9.4e-05&amp;sourceID=14","9.4e-05")</f>
        <v>9.4e-05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HYPERLINK("http://141.218.60.56/~jnz1568/getInfo.php?workbook=12_05.xlsx&amp;sheet=U0&amp;row=1945&amp;col=6&amp;number=3.1&amp;sourceID=14","3.1")</f>
        <v>3.1</v>
      </c>
      <c r="G1945" s="4" t="str">
        <f>HYPERLINK("http://141.218.60.56/~jnz1568/getInfo.php?workbook=12_05.xlsx&amp;sheet=U0&amp;row=1945&amp;col=7&amp;number=9.4e-05&amp;sourceID=14","9.4e-05")</f>
        <v>9.4e-05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HYPERLINK("http://141.218.60.56/~jnz1568/getInfo.php?workbook=12_05.xlsx&amp;sheet=U0&amp;row=1946&amp;col=6&amp;number=3.2&amp;sourceID=14","3.2")</f>
        <v>3.2</v>
      </c>
      <c r="G1946" s="4" t="str">
        <f>HYPERLINK("http://141.218.60.56/~jnz1568/getInfo.php?workbook=12_05.xlsx&amp;sheet=U0&amp;row=1946&amp;col=7&amp;number=9.4e-05&amp;sourceID=14","9.4e-05")</f>
        <v>9.4e-05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HYPERLINK("http://141.218.60.56/~jnz1568/getInfo.php?workbook=12_05.xlsx&amp;sheet=U0&amp;row=1947&amp;col=6&amp;number=3.3&amp;sourceID=14","3.3")</f>
        <v>3.3</v>
      </c>
      <c r="G1947" s="4" t="str">
        <f>HYPERLINK("http://141.218.60.56/~jnz1568/getInfo.php?workbook=12_05.xlsx&amp;sheet=U0&amp;row=1947&amp;col=7&amp;number=9.4e-05&amp;sourceID=14","9.4e-05")</f>
        <v>9.4e-05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HYPERLINK("http://141.218.60.56/~jnz1568/getInfo.php?workbook=12_05.xlsx&amp;sheet=U0&amp;row=1948&amp;col=6&amp;number=3.4&amp;sourceID=14","3.4")</f>
        <v>3.4</v>
      </c>
      <c r="G1948" s="4" t="str">
        <f>HYPERLINK("http://141.218.60.56/~jnz1568/getInfo.php?workbook=12_05.xlsx&amp;sheet=U0&amp;row=1948&amp;col=7&amp;number=9.39e-05&amp;sourceID=14","9.39e-05")</f>
        <v>9.39e-05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HYPERLINK("http://141.218.60.56/~jnz1568/getInfo.php?workbook=12_05.xlsx&amp;sheet=U0&amp;row=1949&amp;col=6&amp;number=3.5&amp;sourceID=14","3.5")</f>
        <v>3.5</v>
      </c>
      <c r="G1949" s="4" t="str">
        <f>HYPERLINK("http://141.218.60.56/~jnz1568/getInfo.php?workbook=12_05.xlsx&amp;sheet=U0&amp;row=1949&amp;col=7&amp;number=9.39e-05&amp;sourceID=14","9.39e-05")</f>
        <v>9.39e-05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HYPERLINK("http://141.218.60.56/~jnz1568/getInfo.php?workbook=12_05.xlsx&amp;sheet=U0&amp;row=1950&amp;col=6&amp;number=3.6&amp;sourceID=14","3.6")</f>
        <v>3.6</v>
      </c>
      <c r="G1950" s="4" t="str">
        <f>HYPERLINK("http://141.218.60.56/~jnz1568/getInfo.php?workbook=12_05.xlsx&amp;sheet=U0&amp;row=1950&amp;col=7&amp;number=9.38e-05&amp;sourceID=14","9.38e-05")</f>
        <v>9.38e-05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HYPERLINK("http://141.218.60.56/~jnz1568/getInfo.php?workbook=12_05.xlsx&amp;sheet=U0&amp;row=1951&amp;col=6&amp;number=3.7&amp;sourceID=14","3.7")</f>
        <v>3.7</v>
      </c>
      <c r="G1951" s="4" t="str">
        <f>HYPERLINK("http://141.218.60.56/~jnz1568/getInfo.php?workbook=12_05.xlsx&amp;sheet=U0&amp;row=1951&amp;col=7&amp;number=9.37e-05&amp;sourceID=14","9.37e-05")</f>
        <v>9.37e-05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HYPERLINK("http://141.218.60.56/~jnz1568/getInfo.php?workbook=12_05.xlsx&amp;sheet=U0&amp;row=1952&amp;col=6&amp;number=3.8&amp;sourceID=14","3.8")</f>
        <v>3.8</v>
      </c>
      <c r="G1952" s="4" t="str">
        <f>HYPERLINK("http://141.218.60.56/~jnz1568/getInfo.php?workbook=12_05.xlsx&amp;sheet=U0&amp;row=1952&amp;col=7&amp;number=9.36e-05&amp;sourceID=14","9.36e-05")</f>
        <v>9.36e-05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HYPERLINK("http://141.218.60.56/~jnz1568/getInfo.php?workbook=12_05.xlsx&amp;sheet=U0&amp;row=1953&amp;col=6&amp;number=3.9&amp;sourceID=14","3.9")</f>
        <v>3.9</v>
      </c>
      <c r="G1953" s="4" t="str">
        <f>HYPERLINK("http://141.218.60.56/~jnz1568/getInfo.php?workbook=12_05.xlsx&amp;sheet=U0&amp;row=1953&amp;col=7&amp;number=9.35e-05&amp;sourceID=14","9.35e-05")</f>
        <v>9.35e-05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HYPERLINK("http://141.218.60.56/~jnz1568/getInfo.php?workbook=12_05.xlsx&amp;sheet=U0&amp;row=1954&amp;col=6&amp;number=4&amp;sourceID=14","4")</f>
        <v>4</v>
      </c>
      <c r="G1954" s="4" t="str">
        <f>HYPERLINK("http://141.218.60.56/~jnz1568/getInfo.php?workbook=12_05.xlsx&amp;sheet=U0&amp;row=1954&amp;col=7&amp;number=9.33e-05&amp;sourceID=14","9.33e-05")</f>
        <v>9.33e-05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HYPERLINK("http://141.218.60.56/~jnz1568/getInfo.php?workbook=12_05.xlsx&amp;sheet=U0&amp;row=1955&amp;col=6&amp;number=4.1&amp;sourceID=14","4.1")</f>
        <v>4.1</v>
      </c>
      <c r="G1955" s="4" t="str">
        <f>HYPERLINK("http://141.218.60.56/~jnz1568/getInfo.php?workbook=12_05.xlsx&amp;sheet=U0&amp;row=1955&amp;col=7&amp;number=9.31e-05&amp;sourceID=14","9.31e-05")</f>
        <v>9.31e-05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HYPERLINK("http://141.218.60.56/~jnz1568/getInfo.php?workbook=12_05.xlsx&amp;sheet=U0&amp;row=1956&amp;col=6&amp;number=4.2&amp;sourceID=14","4.2")</f>
        <v>4.2</v>
      </c>
      <c r="G1956" s="4" t="str">
        <f>HYPERLINK("http://141.218.60.56/~jnz1568/getInfo.php?workbook=12_05.xlsx&amp;sheet=U0&amp;row=1956&amp;col=7&amp;number=9.29e-05&amp;sourceID=14","9.29e-05")</f>
        <v>9.29e-05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HYPERLINK("http://141.218.60.56/~jnz1568/getInfo.php?workbook=12_05.xlsx&amp;sheet=U0&amp;row=1957&amp;col=6&amp;number=4.3&amp;sourceID=14","4.3")</f>
        <v>4.3</v>
      </c>
      <c r="G1957" s="4" t="str">
        <f>HYPERLINK("http://141.218.60.56/~jnz1568/getInfo.php?workbook=12_05.xlsx&amp;sheet=U0&amp;row=1957&amp;col=7&amp;number=9.25e-05&amp;sourceID=14","9.25e-05")</f>
        <v>9.25e-05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HYPERLINK("http://141.218.60.56/~jnz1568/getInfo.php?workbook=12_05.xlsx&amp;sheet=U0&amp;row=1958&amp;col=6&amp;number=4.4&amp;sourceID=14","4.4")</f>
        <v>4.4</v>
      </c>
      <c r="G1958" s="4" t="str">
        <f>HYPERLINK("http://141.218.60.56/~jnz1568/getInfo.php?workbook=12_05.xlsx&amp;sheet=U0&amp;row=1958&amp;col=7&amp;number=9.21e-05&amp;sourceID=14","9.21e-05")</f>
        <v>9.21e-05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HYPERLINK("http://141.218.60.56/~jnz1568/getInfo.php?workbook=12_05.xlsx&amp;sheet=U0&amp;row=1959&amp;col=6&amp;number=4.5&amp;sourceID=14","4.5")</f>
        <v>4.5</v>
      </c>
      <c r="G1959" s="4" t="str">
        <f>HYPERLINK("http://141.218.60.56/~jnz1568/getInfo.php?workbook=12_05.xlsx&amp;sheet=U0&amp;row=1959&amp;col=7&amp;number=9.16e-05&amp;sourceID=14","9.16e-05")</f>
        <v>9.16e-05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HYPERLINK("http://141.218.60.56/~jnz1568/getInfo.php?workbook=12_05.xlsx&amp;sheet=U0&amp;row=1960&amp;col=6&amp;number=4.6&amp;sourceID=14","4.6")</f>
        <v>4.6</v>
      </c>
      <c r="G1960" s="4" t="str">
        <f>HYPERLINK("http://141.218.60.56/~jnz1568/getInfo.php?workbook=12_05.xlsx&amp;sheet=U0&amp;row=1960&amp;col=7&amp;number=9.1e-05&amp;sourceID=14","9.1e-05")</f>
        <v>9.1e-05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HYPERLINK("http://141.218.60.56/~jnz1568/getInfo.php?workbook=12_05.xlsx&amp;sheet=U0&amp;row=1961&amp;col=6&amp;number=4.7&amp;sourceID=14","4.7")</f>
        <v>4.7</v>
      </c>
      <c r="G1961" s="4" t="str">
        <f>HYPERLINK("http://141.218.60.56/~jnz1568/getInfo.php?workbook=12_05.xlsx&amp;sheet=U0&amp;row=1961&amp;col=7&amp;number=9.02e-05&amp;sourceID=14","9.02e-05")</f>
        <v>9.02e-05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HYPERLINK("http://141.218.60.56/~jnz1568/getInfo.php?workbook=12_05.xlsx&amp;sheet=U0&amp;row=1962&amp;col=6&amp;number=4.8&amp;sourceID=14","4.8")</f>
        <v>4.8</v>
      </c>
      <c r="G1962" s="4" t="str">
        <f>HYPERLINK("http://141.218.60.56/~jnz1568/getInfo.php?workbook=12_05.xlsx&amp;sheet=U0&amp;row=1962&amp;col=7&amp;number=8.92e-05&amp;sourceID=14","8.92e-05")</f>
        <v>8.92e-05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HYPERLINK("http://141.218.60.56/~jnz1568/getInfo.php?workbook=12_05.xlsx&amp;sheet=U0&amp;row=1963&amp;col=6&amp;number=4.9&amp;sourceID=14","4.9")</f>
        <v>4.9</v>
      </c>
      <c r="G1963" s="4" t="str">
        <f>HYPERLINK("http://141.218.60.56/~jnz1568/getInfo.php?workbook=12_05.xlsx&amp;sheet=U0&amp;row=1963&amp;col=7&amp;number=8.8e-05&amp;sourceID=14","8.8e-05")</f>
        <v>8.8e-05</v>
      </c>
    </row>
    <row r="1964" spans="1:7">
      <c r="A1964" s="3">
        <v>12</v>
      </c>
      <c r="B1964" s="3">
        <v>5</v>
      </c>
      <c r="C1964" s="3">
        <v>1</v>
      </c>
      <c r="D1964" s="3">
        <v>57</v>
      </c>
      <c r="E1964" s="3">
        <v>1</v>
      </c>
      <c r="F1964" s="4" t="str">
        <f>HYPERLINK("http://141.218.60.56/~jnz1568/getInfo.php?workbook=12_05.xlsx&amp;sheet=U0&amp;row=1964&amp;col=6&amp;number=3&amp;sourceID=14","3")</f>
        <v>3</v>
      </c>
      <c r="G1964" s="4" t="str">
        <f>HYPERLINK("http://141.218.60.56/~jnz1568/getInfo.php?workbook=12_05.xlsx&amp;sheet=U0&amp;row=1964&amp;col=7&amp;number=0.000347&amp;sourceID=14","0.000347")</f>
        <v>0.000347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HYPERLINK("http://141.218.60.56/~jnz1568/getInfo.php?workbook=12_05.xlsx&amp;sheet=U0&amp;row=1965&amp;col=6&amp;number=3.1&amp;sourceID=14","3.1")</f>
        <v>3.1</v>
      </c>
      <c r="G1965" s="4" t="str">
        <f>HYPERLINK("http://141.218.60.56/~jnz1568/getInfo.php?workbook=12_05.xlsx&amp;sheet=U0&amp;row=1965&amp;col=7&amp;number=0.000347&amp;sourceID=14","0.000347")</f>
        <v>0.000347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HYPERLINK("http://141.218.60.56/~jnz1568/getInfo.php?workbook=12_05.xlsx&amp;sheet=U0&amp;row=1966&amp;col=6&amp;number=3.2&amp;sourceID=14","3.2")</f>
        <v>3.2</v>
      </c>
      <c r="G1966" s="4" t="str">
        <f>HYPERLINK("http://141.218.60.56/~jnz1568/getInfo.php?workbook=12_05.xlsx&amp;sheet=U0&amp;row=1966&amp;col=7&amp;number=0.000347&amp;sourceID=14","0.000347")</f>
        <v>0.000347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HYPERLINK("http://141.218.60.56/~jnz1568/getInfo.php?workbook=12_05.xlsx&amp;sheet=U0&amp;row=1967&amp;col=6&amp;number=3.3&amp;sourceID=14","3.3")</f>
        <v>3.3</v>
      </c>
      <c r="G1967" s="4" t="str">
        <f>HYPERLINK("http://141.218.60.56/~jnz1568/getInfo.php?workbook=12_05.xlsx&amp;sheet=U0&amp;row=1967&amp;col=7&amp;number=0.000347&amp;sourceID=14","0.000347")</f>
        <v>0.000347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HYPERLINK("http://141.218.60.56/~jnz1568/getInfo.php?workbook=12_05.xlsx&amp;sheet=U0&amp;row=1968&amp;col=6&amp;number=3.4&amp;sourceID=14","3.4")</f>
        <v>3.4</v>
      </c>
      <c r="G1968" s="4" t="str">
        <f>HYPERLINK("http://141.218.60.56/~jnz1568/getInfo.php?workbook=12_05.xlsx&amp;sheet=U0&amp;row=1968&amp;col=7&amp;number=0.000347&amp;sourceID=14","0.000347")</f>
        <v>0.000347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HYPERLINK("http://141.218.60.56/~jnz1568/getInfo.php?workbook=12_05.xlsx&amp;sheet=U0&amp;row=1969&amp;col=6&amp;number=3.5&amp;sourceID=14","3.5")</f>
        <v>3.5</v>
      </c>
      <c r="G1969" s="4" t="str">
        <f>HYPERLINK("http://141.218.60.56/~jnz1568/getInfo.php?workbook=12_05.xlsx&amp;sheet=U0&amp;row=1969&amp;col=7&amp;number=0.000346&amp;sourceID=14","0.000346")</f>
        <v>0.000346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HYPERLINK("http://141.218.60.56/~jnz1568/getInfo.php?workbook=12_05.xlsx&amp;sheet=U0&amp;row=1970&amp;col=6&amp;number=3.6&amp;sourceID=14","3.6")</f>
        <v>3.6</v>
      </c>
      <c r="G1970" s="4" t="str">
        <f>HYPERLINK("http://141.218.60.56/~jnz1568/getInfo.php?workbook=12_05.xlsx&amp;sheet=U0&amp;row=1970&amp;col=7&amp;number=0.000346&amp;sourceID=14","0.000346")</f>
        <v>0.000346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HYPERLINK("http://141.218.60.56/~jnz1568/getInfo.php?workbook=12_05.xlsx&amp;sheet=U0&amp;row=1971&amp;col=6&amp;number=3.7&amp;sourceID=14","3.7")</f>
        <v>3.7</v>
      </c>
      <c r="G1971" s="4" t="str">
        <f>HYPERLINK("http://141.218.60.56/~jnz1568/getInfo.php?workbook=12_05.xlsx&amp;sheet=U0&amp;row=1971&amp;col=7&amp;number=0.000346&amp;sourceID=14","0.000346")</f>
        <v>0.000346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HYPERLINK("http://141.218.60.56/~jnz1568/getInfo.php?workbook=12_05.xlsx&amp;sheet=U0&amp;row=1972&amp;col=6&amp;number=3.8&amp;sourceID=14","3.8")</f>
        <v>3.8</v>
      </c>
      <c r="G1972" s="4" t="str">
        <f>HYPERLINK("http://141.218.60.56/~jnz1568/getInfo.php?workbook=12_05.xlsx&amp;sheet=U0&amp;row=1972&amp;col=7&amp;number=0.000345&amp;sourceID=14","0.000345")</f>
        <v>0.000345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HYPERLINK("http://141.218.60.56/~jnz1568/getInfo.php?workbook=12_05.xlsx&amp;sheet=U0&amp;row=1973&amp;col=6&amp;number=3.9&amp;sourceID=14","3.9")</f>
        <v>3.9</v>
      </c>
      <c r="G1973" s="4" t="str">
        <f>HYPERLINK("http://141.218.60.56/~jnz1568/getInfo.php?workbook=12_05.xlsx&amp;sheet=U0&amp;row=1973&amp;col=7&amp;number=0.000344&amp;sourceID=14","0.000344")</f>
        <v>0.000344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HYPERLINK("http://141.218.60.56/~jnz1568/getInfo.php?workbook=12_05.xlsx&amp;sheet=U0&amp;row=1974&amp;col=6&amp;number=4&amp;sourceID=14","4")</f>
        <v>4</v>
      </c>
      <c r="G1974" s="4" t="str">
        <f>HYPERLINK("http://141.218.60.56/~jnz1568/getInfo.php?workbook=12_05.xlsx&amp;sheet=U0&amp;row=1974&amp;col=7&amp;number=0.000344&amp;sourceID=14","0.000344")</f>
        <v>0.000344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HYPERLINK("http://141.218.60.56/~jnz1568/getInfo.php?workbook=12_05.xlsx&amp;sheet=U0&amp;row=1975&amp;col=6&amp;number=4.1&amp;sourceID=14","4.1")</f>
        <v>4.1</v>
      </c>
      <c r="G1975" s="4" t="str">
        <f>HYPERLINK("http://141.218.60.56/~jnz1568/getInfo.php?workbook=12_05.xlsx&amp;sheet=U0&amp;row=1975&amp;col=7&amp;number=0.000343&amp;sourceID=14","0.000343")</f>
        <v>0.000343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HYPERLINK("http://141.218.60.56/~jnz1568/getInfo.php?workbook=12_05.xlsx&amp;sheet=U0&amp;row=1976&amp;col=6&amp;number=4.2&amp;sourceID=14","4.2")</f>
        <v>4.2</v>
      </c>
      <c r="G1976" s="4" t="str">
        <f>HYPERLINK("http://141.218.60.56/~jnz1568/getInfo.php?workbook=12_05.xlsx&amp;sheet=U0&amp;row=1976&amp;col=7&amp;number=0.000342&amp;sourceID=14","0.000342")</f>
        <v>0.000342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HYPERLINK("http://141.218.60.56/~jnz1568/getInfo.php?workbook=12_05.xlsx&amp;sheet=U0&amp;row=1977&amp;col=6&amp;number=4.3&amp;sourceID=14","4.3")</f>
        <v>4.3</v>
      </c>
      <c r="G1977" s="4" t="str">
        <f>HYPERLINK("http://141.218.60.56/~jnz1568/getInfo.php?workbook=12_05.xlsx&amp;sheet=U0&amp;row=1977&amp;col=7&amp;number=0.00034&amp;sourceID=14","0.00034")</f>
        <v>0.00034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HYPERLINK("http://141.218.60.56/~jnz1568/getInfo.php?workbook=12_05.xlsx&amp;sheet=U0&amp;row=1978&amp;col=6&amp;number=4.4&amp;sourceID=14","4.4")</f>
        <v>4.4</v>
      </c>
      <c r="G1978" s="4" t="str">
        <f>HYPERLINK("http://141.218.60.56/~jnz1568/getInfo.php?workbook=12_05.xlsx&amp;sheet=U0&amp;row=1978&amp;col=7&amp;number=0.000338&amp;sourceID=14","0.000338")</f>
        <v>0.000338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HYPERLINK("http://141.218.60.56/~jnz1568/getInfo.php?workbook=12_05.xlsx&amp;sheet=U0&amp;row=1979&amp;col=6&amp;number=4.5&amp;sourceID=14","4.5")</f>
        <v>4.5</v>
      </c>
      <c r="G1979" s="4" t="str">
        <f>HYPERLINK("http://141.218.60.56/~jnz1568/getInfo.php?workbook=12_05.xlsx&amp;sheet=U0&amp;row=1979&amp;col=7&amp;number=0.000336&amp;sourceID=14","0.000336")</f>
        <v>0.000336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HYPERLINK("http://141.218.60.56/~jnz1568/getInfo.php?workbook=12_05.xlsx&amp;sheet=U0&amp;row=1980&amp;col=6&amp;number=4.6&amp;sourceID=14","4.6")</f>
        <v>4.6</v>
      </c>
      <c r="G1980" s="4" t="str">
        <f>HYPERLINK("http://141.218.60.56/~jnz1568/getInfo.php?workbook=12_05.xlsx&amp;sheet=U0&amp;row=1980&amp;col=7&amp;number=0.000333&amp;sourceID=14","0.000333")</f>
        <v>0.000333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HYPERLINK("http://141.218.60.56/~jnz1568/getInfo.php?workbook=12_05.xlsx&amp;sheet=U0&amp;row=1981&amp;col=6&amp;number=4.7&amp;sourceID=14","4.7")</f>
        <v>4.7</v>
      </c>
      <c r="G1981" s="4" t="str">
        <f>HYPERLINK("http://141.218.60.56/~jnz1568/getInfo.php?workbook=12_05.xlsx&amp;sheet=U0&amp;row=1981&amp;col=7&amp;number=0.000329&amp;sourceID=14","0.000329")</f>
        <v>0.000329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HYPERLINK("http://141.218.60.56/~jnz1568/getInfo.php?workbook=12_05.xlsx&amp;sheet=U0&amp;row=1982&amp;col=6&amp;number=4.8&amp;sourceID=14","4.8")</f>
        <v>4.8</v>
      </c>
      <c r="G1982" s="4" t="str">
        <f>HYPERLINK("http://141.218.60.56/~jnz1568/getInfo.php?workbook=12_05.xlsx&amp;sheet=U0&amp;row=1982&amp;col=7&amp;number=0.000325&amp;sourceID=14","0.000325")</f>
        <v>0.000325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HYPERLINK("http://141.218.60.56/~jnz1568/getInfo.php?workbook=12_05.xlsx&amp;sheet=U0&amp;row=1983&amp;col=6&amp;number=4.9&amp;sourceID=14","4.9")</f>
        <v>4.9</v>
      </c>
      <c r="G1983" s="4" t="str">
        <f>HYPERLINK("http://141.218.60.56/~jnz1568/getInfo.php?workbook=12_05.xlsx&amp;sheet=U0&amp;row=1983&amp;col=7&amp;number=0.000319&amp;sourceID=14","0.000319")</f>
        <v>0.000319</v>
      </c>
    </row>
    <row r="1984" spans="1:7">
      <c r="A1984" s="3">
        <v>12</v>
      </c>
      <c r="B1984" s="3">
        <v>5</v>
      </c>
      <c r="C1984" s="3">
        <v>1</v>
      </c>
      <c r="D1984" s="3">
        <v>58</v>
      </c>
      <c r="E1984" s="3">
        <v>1</v>
      </c>
      <c r="F1984" s="4" t="str">
        <f>HYPERLINK("http://141.218.60.56/~jnz1568/getInfo.php?workbook=12_05.xlsx&amp;sheet=U0&amp;row=1984&amp;col=6&amp;number=3&amp;sourceID=14","3")</f>
        <v>3</v>
      </c>
      <c r="G1984" s="4" t="str">
        <f>HYPERLINK("http://141.218.60.56/~jnz1568/getInfo.php?workbook=12_05.xlsx&amp;sheet=U0&amp;row=1984&amp;col=7&amp;number=0.000346&amp;sourceID=14","0.000346")</f>
        <v>0.000346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HYPERLINK("http://141.218.60.56/~jnz1568/getInfo.php?workbook=12_05.xlsx&amp;sheet=U0&amp;row=1985&amp;col=6&amp;number=3.1&amp;sourceID=14","3.1")</f>
        <v>3.1</v>
      </c>
      <c r="G1985" s="4" t="str">
        <f>HYPERLINK("http://141.218.60.56/~jnz1568/getInfo.php?workbook=12_05.xlsx&amp;sheet=U0&amp;row=1985&amp;col=7&amp;number=0.000346&amp;sourceID=14","0.000346")</f>
        <v>0.000346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HYPERLINK("http://141.218.60.56/~jnz1568/getInfo.php?workbook=12_05.xlsx&amp;sheet=U0&amp;row=1986&amp;col=6&amp;number=3.2&amp;sourceID=14","3.2")</f>
        <v>3.2</v>
      </c>
      <c r="G1986" s="4" t="str">
        <f>HYPERLINK("http://141.218.60.56/~jnz1568/getInfo.php?workbook=12_05.xlsx&amp;sheet=U0&amp;row=1986&amp;col=7&amp;number=0.000346&amp;sourceID=14","0.000346")</f>
        <v>0.000346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HYPERLINK("http://141.218.60.56/~jnz1568/getInfo.php?workbook=12_05.xlsx&amp;sheet=U0&amp;row=1987&amp;col=6&amp;number=3.3&amp;sourceID=14","3.3")</f>
        <v>3.3</v>
      </c>
      <c r="G1987" s="4" t="str">
        <f>HYPERLINK("http://141.218.60.56/~jnz1568/getInfo.php?workbook=12_05.xlsx&amp;sheet=U0&amp;row=1987&amp;col=7&amp;number=0.000346&amp;sourceID=14","0.000346")</f>
        <v>0.000346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HYPERLINK("http://141.218.60.56/~jnz1568/getInfo.php?workbook=12_05.xlsx&amp;sheet=U0&amp;row=1988&amp;col=6&amp;number=3.4&amp;sourceID=14","3.4")</f>
        <v>3.4</v>
      </c>
      <c r="G1988" s="4" t="str">
        <f>HYPERLINK("http://141.218.60.56/~jnz1568/getInfo.php?workbook=12_05.xlsx&amp;sheet=U0&amp;row=1988&amp;col=7&amp;number=0.000345&amp;sourceID=14","0.000345")</f>
        <v>0.000345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HYPERLINK("http://141.218.60.56/~jnz1568/getInfo.php?workbook=12_05.xlsx&amp;sheet=U0&amp;row=1989&amp;col=6&amp;number=3.5&amp;sourceID=14","3.5")</f>
        <v>3.5</v>
      </c>
      <c r="G1989" s="4" t="str">
        <f>HYPERLINK("http://141.218.60.56/~jnz1568/getInfo.php?workbook=12_05.xlsx&amp;sheet=U0&amp;row=1989&amp;col=7&amp;number=0.000345&amp;sourceID=14","0.000345")</f>
        <v>0.000345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HYPERLINK("http://141.218.60.56/~jnz1568/getInfo.php?workbook=12_05.xlsx&amp;sheet=U0&amp;row=1990&amp;col=6&amp;number=3.6&amp;sourceID=14","3.6")</f>
        <v>3.6</v>
      </c>
      <c r="G1990" s="4" t="str">
        <f>HYPERLINK("http://141.218.60.56/~jnz1568/getInfo.php?workbook=12_05.xlsx&amp;sheet=U0&amp;row=1990&amp;col=7&amp;number=0.000345&amp;sourceID=14","0.000345")</f>
        <v>0.000345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HYPERLINK("http://141.218.60.56/~jnz1568/getInfo.php?workbook=12_05.xlsx&amp;sheet=U0&amp;row=1991&amp;col=6&amp;number=3.7&amp;sourceID=14","3.7")</f>
        <v>3.7</v>
      </c>
      <c r="G1991" s="4" t="str">
        <f>HYPERLINK("http://141.218.60.56/~jnz1568/getInfo.php?workbook=12_05.xlsx&amp;sheet=U0&amp;row=1991&amp;col=7&amp;number=0.000345&amp;sourceID=14","0.000345")</f>
        <v>0.000345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HYPERLINK("http://141.218.60.56/~jnz1568/getInfo.php?workbook=12_05.xlsx&amp;sheet=U0&amp;row=1992&amp;col=6&amp;number=3.8&amp;sourceID=14","3.8")</f>
        <v>3.8</v>
      </c>
      <c r="G1992" s="4" t="str">
        <f>HYPERLINK("http://141.218.60.56/~jnz1568/getInfo.php?workbook=12_05.xlsx&amp;sheet=U0&amp;row=1992&amp;col=7&amp;number=0.000344&amp;sourceID=14","0.000344")</f>
        <v>0.000344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HYPERLINK("http://141.218.60.56/~jnz1568/getInfo.php?workbook=12_05.xlsx&amp;sheet=U0&amp;row=1993&amp;col=6&amp;number=3.9&amp;sourceID=14","3.9")</f>
        <v>3.9</v>
      </c>
      <c r="G1993" s="4" t="str">
        <f>HYPERLINK("http://141.218.60.56/~jnz1568/getInfo.php?workbook=12_05.xlsx&amp;sheet=U0&amp;row=1993&amp;col=7&amp;number=0.000343&amp;sourceID=14","0.000343")</f>
        <v>0.000343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HYPERLINK("http://141.218.60.56/~jnz1568/getInfo.php?workbook=12_05.xlsx&amp;sheet=U0&amp;row=1994&amp;col=6&amp;number=4&amp;sourceID=14","4")</f>
        <v>4</v>
      </c>
      <c r="G1994" s="4" t="str">
        <f>HYPERLINK("http://141.218.60.56/~jnz1568/getInfo.php?workbook=12_05.xlsx&amp;sheet=U0&amp;row=1994&amp;col=7&amp;number=0.000343&amp;sourceID=14","0.000343")</f>
        <v>0.000343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HYPERLINK("http://141.218.60.56/~jnz1568/getInfo.php?workbook=12_05.xlsx&amp;sheet=U0&amp;row=1995&amp;col=6&amp;number=4.1&amp;sourceID=14","4.1")</f>
        <v>4.1</v>
      </c>
      <c r="G1995" s="4" t="str">
        <f>HYPERLINK("http://141.218.60.56/~jnz1568/getInfo.php?workbook=12_05.xlsx&amp;sheet=U0&amp;row=1995&amp;col=7&amp;number=0.000342&amp;sourceID=14","0.000342")</f>
        <v>0.000342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HYPERLINK("http://141.218.60.56/~jnz1568/getInfo.php?workbook=12_05.xlsx&amp;sheet=U0&amp;row=1996&amp;col=6&amp;number=4.2&amp;sourceID=14","4.2")</f>
        <v>4.2</v>
      </c>
      <c r="G1996" s="4" t="str">
        <f>HYPERLINK("http://141.218.60.56/~jnz1568/getInfo.php?workbook=12_05.xlsx&amp;sheet=U0&amp;row=1996&amp;col=7&amp;number=0.000341&amp;sourceID=14","0.000341")</f>
        <v>0.000341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HYPERLINK("http://141.218.60.56/~jnz1568/getInfo.php?workbook=12_05.xlsx&amp;sheet=U0&amp;row=1997&amp;col=6&amp;number=4.3&amp;sourceID=14","4.3")</f>
        <v>4.3</v>
      </c>
      <c r="G1997" s="4" t="str">
        <f>HYPERLINK("http://141.218.60.56/~jnz1568/getInfo.php?workbook=12_05.xlsx&amp;sheet=U0&amp;row=1997&amp;col=7&amp;number=0.000339&amp;sourceID=14","0.000339")</f>
        <v>0.000339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HYPERLINK("http://141.218.60.56/~jnz1568/getInfo.php?workbook=12_05.xlsx&amp;sheet=U0&amp;row=1998&amp;col=6&amp;number=4.4&amp;sourceID=14","4.4")</f>
        <v>4.4</v>
      </c>
      <c r="G1998" s="4" t="str">
        <f>HYPERLINK("http://141.218.60.56/~jnz1568/getInfo.php?workbook=12_05.xlsx&amp;sheet=U0&amp;row=1998&amp;col=7&amp;number=0.000337&amp;sourceID=14","0.000337")</f>
        <v>0.000337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HYPERLINK("http://141.218.60.56/~jnz1568/getInfo.php?workbook=12_05.xlsx&amp;sheet=U0&amp;row=1999&amp;col=6&amp;number=4.5&amp;sourceID=14","4.5")</f>
        <v>4.5</v>
      </c>
      <c r="G1999" s="4" t="str">
        <f>HYPERLINK("http://141.218.60.56/~jnz1568/getInfo.php?workbook=12_05.xlsx&amp;sheet=U0&amp;row=1999&amp;col=7&amp;number=0.000335&amp;sourceID=14","0.000335")</f>
        <v>0.000335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HYPERLINK("http://141.218.60.56/~jnz1568/getInfo.php?workbook=12_05.xlsx&amp;sheet=U0&amp;row=2000&amp;col=6&amp;number=4.6&amp;sourceID=14","4.6")</f>
        <v>4.6</v>
      </c>
      <c r="G2000" s="4" t="str">
        <f>HYPERLINK("http://141.218.60.56/~jnz1568/getInfo.php?workbook=12_05.xlsx&amp;sheet=U0&amp;row=2000&amp;col=7&amp;number=0.000332&amp;sourceID=14","0.000332")</f>
        <v>0.000332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HYPERLINK("http://141.218.60.56/~jnz1568/getInfo.php?workbook=12_05.xlsx&amp;sheet=U0&amp;row=2001&amp;col=6&amp;number=4.7&amp;sourceID=14","4.7")</f>
        <v>4.7</v>
      </c>
      <c r="G2001" s="4" t="str">
        <f>HYPERLINK("http://141.218.60.56/~jnz1568/getInfo.php?workbook=12_05.xlsx&amp;sheet=U0&amp;row=2001&amp;col=7&amp;number=0.000329&amp;sourceID=14","0.000329")</f>
        <v>0.000329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HYPERLINK("http://141.218.60.56/~jnz1568/getInfo.php?workbook=12_05.xlsx&amp;sheet=U0&amp;row=2002&amp;col=6&amp;number=4.8&amp;sourceID=14","4.8")</f>
        <v>4.8</v>
      </c>
      <c r="G2002" s="4" t="str">
        <f>HYPERLINK("http://141.218.60.56/~jnz1568/getInfo.php?workbook=12_05.xlsx&amp;sheet=U0&amp;row=2002&amp;col=7&amp;number=0.000324&amp;sourceID=14","0.000324")</f>
        <v>0.000324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HYPERLINK("http://141.218.60.56/~jnz1568/getInfo.php?workbook=12_05.xlsx&amp;sheet=U0&amp;row=2003&amp;col=6&amp;number=4.9&amp;sourceID=14","4.9")</f>
        <v>4.9</v>
      </c>
      <c r="G2003" s="4" t="str">
        <f>HYPERLINK("http://141.218.60.56/~jnz1568/getInfo.php?workbook=12_05.xlsx&amp;sheet=U0&amp;row=2003&amp;col=7&amp;number=0.000319&amp;sourceID=14","0.000319")</f>
        <v>0.000319</v>
      </c>
    </row>
    <row r="2004" spans="1:7">
      <c r="A2004" s="3">
        <v>12</v>
      </c>
      <c r="B2004" s="3">
        <v>5</v>
      </c>
      <c r="C2004" s="3">
        <v>1</v>
      </c>
      <c r="D2004" s="3">
        <v>59</v>
      </c>
      <c r="E2004" s="3">
        <v>1</v>
      </c>
      <c r="F2004" s="4" t="str">
        <f>HYPERLINK("http://141.218.60.56/~jnz1568/getInfo.php?workbook=12_05.xlsx&amp;sheet=U0&amp;row=2004&amp;col=6&amp;number=3&amp;sourceID=14","3")</f>
        <v>3</v>
      </c>
      <c r="G2004" s="4" t="str">
        <f>HYPERLINK("http://141.218.60.56/~jnz1568/getInfo.php?workbook=12_05.xlsx&amp;sheet=U0&amp;row=2004&amp;col=7&amp;number=0.000276&amp;sourceID=14","0.000276")</f>
        <v>0.000276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HYPERLINK("http://141.218.60.56/~jnz1568/getInfo.php?workbook=12_05.xlsx&amp;sheet=U0&amp;row=2005&amp;col=6&amp;number=3.1&amp;sourceID=14","3.1")</f>
        <v>3.1</v>
      </c>
      <c r="G2005" s="4" t="str">
        <f>HYPERLINK("http://141.218.60.56/~jnz1568/getInfo.php?workbook=12_05.xlsx&amp;sheet=U0&amp;row=2005&amp;col=7&amp;number=0.000276&amp;sourceID=14","0.000276")</f>
        <v>0.000276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HYPERLINK("http://141.218.60.56/~jnz1568/getInfo.php?workbook=12_05.xlsx&amp;sheet=U0&amp;row=2006&amp;col=6&amp;number=3.2&amp;sourceID=14","3.2")</f>
        <v>3.2</v>
      </c>
      <c r="G2006" s="4" t="str">
        <f>HYPERLINK("http://141.218.60.56/~jnz1568/getInfo.php?workbook=12_05.xlsx&amp;sheet=U0&amp;row=2006&amp;col=7&amp;number=0.000276&amp;sourceID=14","0.000276")</f>
        <v>0.000276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HYPERLINK("http://141.218.60.56/~jnz1568/getInfo.php?workbook=12_05.xlsx&amp;sheet=U0&amp;row=2007&amp;col=6&amp;number=3.3&amp;sourceID=14","3.3")</f>
        <v>3.3</v>
      </c>
      <c r="G2007" s="4" t="str">
        <f>HYPERLINK("http://141.218.60.56/~jnz1568/getInfo.php?workbook=12_05.xlsx&amp;sheet=U0&amp;row=2007&amp;col=7&amp;number=0.000276&amp;sourceID=14","0.000276")</f>
        <v>0.000276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HYPERLINK("http://141.218.60.56/~jnz1568/getInfo.php?workbook=12_05.xlsx&amp;sheet=U0&amp;row=2008&amp;col=6&amp;number=3.4&amp;sourceID=14","3.4")</f>
        <v>3.4</v>
      </c>
      <c r="G2008" s="4" t="str">
        <f>HYPERLINK("http://141.218.60.56/~jnz1568/getInfo.php?workbook=12_05.xlsx&amp;sheet=U0&amp;row=2008&amp;col=7&amp;number=0.000276&amp;sourceID=14","0.000276")</f>
        <v>0.000276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HYPERLINK("http://141.218.60.56/~jnz1568/getInfo.php?workbook=12_05.xlsx&amp;sheet=U0&amp;row=2009&amp;col=6&amp;number=3.5&amp;sourceID=14","3.5")</f>
        <v>3.5</v>
      </c>
      <c r="G2009" s="4" t="str">
        <f>HYPERLINK("http://141.218.60.56/~jnz1568/getInfo.php?workbook=12_05.xlsx&amp;sheet=U0&amp;row=2009&amp;col=7&amp;number=0.000276&amp;sourceID=14","0.000276")</f>
        <v>0.000276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HYPERLINK("http://141.218.60.56/~jnz1568/getInfo.php?workbook=12_05.xlsx&amp;sheet=U0&amp;row=2010&amp;col=6&amp;number=3.6&amp;sourceID=14","3.6")</f>
        <v>3.6</v>
      </c>
      <c r="G2010" s="4" t="str">
        <f>HYPERLINK("http://141.218.60.56/~jnz1568/getInfo.php?workbook=12_05.xlsx&amp;sheet=U0&amp;row=2010&amp;col=7&amp;number=0.000276&amp;sourceID=14","0.000276")</f>
        <v>0.000276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HYPERLINK("http://141.218.60.56/~jnz1568/getInfo.php?workbook=12_05.xlsx&amp;sheet=U0&amp;row=2011&amp;col=6&amp;number=3.7&amp;sourceID=14","3.7")</f>
        <v>3.7</v>
      </c>
      <c r="G2011" s="4" t="str">
        <f>HYPERLINK("http://141.218.60.56/~jnz1568/getInfo.php?workbook=12_05.xlsx&amp;sheet=U0&amp;row=2011&amp;col=7&amp;number=0.000275&amp;sourceID=14","0.000275")</f>
        <v>0.000275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HYPERLINK("http://141.218.60.56/~jnz1568/getInfo.php?workbook=12_05.xlsx&amp;sheet=U0&amp;row=2012&amp;col=6&amp;number=3.8&amp;sourceID=14","3.8")</f>
        <v>3.8</v>
      </c>
      <c r="G2012" s="4" t="str">
        <f>HYPERLINK("http://141.218.60.56/~jnz1568/getInfo.php?workbook=12_05.xlsx&amp;sheet=U0&amp;row=2012&amp;col=7&amp;number=0.000275&amp;sourceID=14","0.000275")</f>
        <v>0.000275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HYPERLINK("http://141.218.60.56/~jnz1568/getInfo.php?workbook=12_05.xlsx&amp;sheet=U0&amp;row=2013&amp;col=6&amp;number=3.9&amp;sourceID=14","3.9")</f>
        <v>3.9</v>
      </c>
      <c r="G2013" s="4" t="str">
        <f>HYPERLINK("http://141.218.60.56/~jnz1568/getInfo.php?workbook=12_05.xlsx&amp;sheet=U0&amp;row=2013&amp;col=7&amp;number=0.000275&amp;sourceID=14","0.000275")</f>
        <v>0.000275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HYPERLINK("http://141.218.60.56/~jnz1568/getInfo.php?workbook=12_05.xlsx&amp;sheet=U0&amp;row=2014&amp;col=6&amp;number=4&amp;sourceID=14","4")</f>
        <v>4</v>
      </c>
      <c r="G2014" s="4" t="str">
        <f>HYPERLINK("http://141.218.60.56/~jnz1568/getInfo.php?workbook=12_05.xlsx&amp;sheet=U0&amp;row=2014&amp;col=7&amp;number=0.000274&amp;sourceID=14","0.000274")</f>
        <v>0.000274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HYPERLINK("http://141.218.60.56/~jnz1568/getInfo.php?workbook=12_05.xlsx&amp;sheet=U0&amp;row=2015&amp;col=6&amp;number=4.1&amp;sourceID=14","4.1")</f>
        <v>4.1</v>
      </c>
      <c r="G2015" s="4" t="str">
        <f>HYPERLINK("http://141.218.60.56/~jnz1568/getInfo.php?workbook=12_05.xlsx&amp;sheet=U0&amp;row=2015&amp;col=7&amp;number=0.000274&amp;sourceID=14","0.000274")</f>
        <v>0.000274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HYPERLINK("http://141.218.60.56/~jnz1568/getInfo.php?workbook=12_05.xlsx&amp;sheet=U0&amp;row=2016&amp;col=6&amp;number=4.2&amp;sourceID=14","4.2")</f>
        <v>4.2</v>
      </c>
      <c r="G2016" s="4" t="str">
        <f>HYPERLINK("http://141.218.60.56/~jnz1568/getInfo.php?workbook=12_05.xlsx&amp;sheet=U0&amp;row=2016&amp;col=7&amp;number=0.000273&amp;sourceID=14","0.000273")</f>
        <v>0.000273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HYPERLINK("http://141.218.60.56/~jnz1568/getInfo.php?workbook=12_05.xlsx&amp;sheet=U0&amp;row=2017&amp;col=6&amp;number=4.3&amp;sourceID=14","4.3")</f>
        <v>4.3</v>
      </c>
      <c r="G2017" s="4" t="str">
        <f>HYPERLINK("http://141.218.60.56/~jnz1568/getInfo.php?workbook=12_05.xlsx&amp;sheet=U0&amp;row=2017&amp;col=7&amp;number=0.000272&amp;sourceID=14","0.000272")</f>
        <v>0.000272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HYPERLINK("http://141.218.60.56/~jnz1568/getInfo.php?workbook=12_05.xlsx&amp;sheet=U0&amp;row=2018&amp;col=6&amp;number=4.4&amp;sourceID=14","4.4")</f>
        <v>4.4</v>
      </c>
      <c r="G2018" s="4" t="str">
        <f>HYPERLINK("http://141.218.60.56/~jnz1568/getInfo.php?workbook=12_05.xlsx&amp;sheet=U0&amp;row=2018&amp;col=7&amp;number=0.000271&amp;sourceID=14","0.000271")</f>
        <v>0.000271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HYPERLINK("http://141.218.60.56/~jnz1568/getInfo.php?workbook=12_05.xlsx&amp;sheet=U0&amp;row=2019&amp;col=6&amp;number=4.5&amp;sourceID=14","4.5")</f>
        <v>4.5</v>
      </c>
      <c r="G2019" s="4" t="str">
        <f>HYPERLINK("http://141.218.60.56/~jnz1568/getInfo.php?workbook=12_05.xlsx&amp;sheet=U0&amp;row=2019&amp;col=7&amp;number=0.000269&amp;sourceID=14","0.000269")</f>
        <v>0.000269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HYPERLINK("http://141.218.60.56/~jnz1568/getInfo.php?workbook=12_05.xlsx&amp;sheet=U0&amp;row=2020&amp;col=6&amp;number=4.6&amp;sourceID=14","4.6")</f>
        <v>4.6</v>
      </c>
      <c r="G2020" s="4" t="str">
        <f>HYPERLINK("http://141.218.60.56/~jnz1568/getInfo.php?workbook=12_05.xlsx&amp;sheet=U0&amp;row=2020&amp;col=7&amp;number=0.000268&amp;sourceID=14","0.000268")</f>
        <v>0.000268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HYPERLINK("http://141.218.60.56/~jnz1568/getInfo.php?workbook=12_05.xlsx&amp;sheet=U0&amp;row=2021&amp;col=6&amp;number=4.7&amp;sourceID=14","4.7")</f>
        <v>4.7</v>
      </c>
      <c r="G2021" s="4" t="str">
        <f>HYPERLINK("http://141.218.60.56/~jnz1568/getInfo.php?workbook=12_05.xlsx&amp;sheet=U0&amp;row=2021&amp;col=7&amp;number=0.000265&amp;sourceID=14","0.000265")</f>
        <v>0.000265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HYPERLINK("http://141.218.60.56/~jnz1568/getInfo.php?workbook=12_05.xlsx&amp;sheet=U0&amp;row=2022&amp;col=6&amp;number=4.8&amp;sourceID=14","4.8")</f>
        <v>4.8</v>
      </c>
      <c r="G2022" s="4" t="str">
        <f>HYPERLINK("http://141.218.60.56/~jnz1568/getInfo.php?workbook=12_05.xlsx&amp;sheet=U0&amp;row=2022&amp;col=7&amp;number=0.000262&amp;sourceID=14","0.000262")</f>
        <v>0.000262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HYPERLINK("http://141.218.60.56/~jnz1568/getInfo.php?workbook=12_05.xlsx&amp;sheet=U0&amp;row=2023&amp;col=6&amp;number=4.9&amp;sourceID=14","4.9")</f>
        <v>4.9</v>
      </c>
      <c r="G2023" s="4" t="str">
        <f>HYPERLINK("http://141.218.60.56/~jnz1568/getInfo.php?workbook=12_05.xlsx&amp;sheet=U0&amp;row=2023&amp;col=7&amp;number=0.000259&amp;sourceID=14","0.000259")</f>
        <v>0.000259</v>
      </c>
    </row>
    <row r="2024" spans="1:7">
      <c r="A2024" s="3">
        <v>12</v>
      </c>
      <c r="B2024" s="3">
        <v>5</v>
      </c>
      <c r="C2024" s="3">
        <v>1</v>
      </c>
      <c r="D2024" s="3">
        <v>60</v>
      </c>
      <c r="E2024" s="3">
        <v>1</v>
      </c>
      <c r="F2024" s="4" t="str">
        <f>HYPERLINK("http://141.218.60.56/~jnz1568/getInfo.php?workbook=12_05.xlsx&amp;sheet=U0&amp;row=2024&amp;col=6&amp;number=3&amp;sourceID=14","3")</f>
        <v>3</v>
      </c>
      <c r="G2024" s="4" t="str">
        <f>HYPERLINK("http://141.218.60.56/~jnz1568/getInfo.php?workbook=12_05.xlsx&amp;sheet=U0&amp;row=2024&amp;col=7&amp;number=0.000212&amp;sourceID=14","0.000212")</f>
        <v>0.000212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HYPERLINK("http://141.218.60.56/~jnz1568/getInfo.php?workbook=12_05.xlsx&amp;sheet=U0&amp;row=2025&amp;col=6&amp;number=3.1&amp;sourceID=14","3.1")</f>
        <v>3.1</v>
      </c>
      <c r="G2025" s="4" t="str">
        <f>HYPERLINK("http://141.218.60.56/~jnz1568/getInfo.php?workbook=12_05.xlsx&amp;sheet=U0&amp;row=2025&amp;col=7&amp;number=0.000212&amp;sourceID=14","0.000212")</f>
        <v>0.000212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HYPERLINK("http://141.218.60.56/~jnz1568/getInfo.php?workbook=12_05.xlsx&amp;sheet=U0&amp;row=2026&amp;col=6&amp;number=3.2&amp;sourceID=14","3.2")</f>
        <v>3.2</v>
      </c>
      <c r="G2026" s="4" t="str">
        <f>HYPERLINK("http://141.218.60.56/~jnz1568/getInfo.php?workbook=12_05.xlsx&amp;sheet=U0&amp;row=2026&amp;col=7&amp;number=0.000212&amp;sourceID=14","0.000212")</f>
        <v>0.000212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HYPERLINK("http://141.218.60.56/~jnz1568/getInfo.php?workbook=12_05.xlsx&amp;sheet=U0&amp;row=2027&amp;col=6&amp;number=3.3&amp;sourceID=14","3.3")</f>
        <v>3.3</v>
      </c>
      <c r="G2027" s="4" t="str">
        <f>HYPERLINK("http://141.218.60.56/~jnz1568/getInfo.php?workbook=12_05.xlsx&amp;sheet=U0&amp;row=2027&amp;col=7&amp;number=0.000212&amp;sourceID=14","0.000212")</f>
        <v>0.000212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HYPERLINK("http://141.218.60.56/~jnz1568/getInfo.php?workbook=12_05.xlsx&amp;sheet=U0&amp;row=2028&amp;col=6&amp;number=3.4&amp;sourceID=14","3.4")</f>
        <v>3.4</v>
      </c>
      <c r="G2028" s="4" t="str">
        <f>HYPERLINK("http://141.218.60.56/~jnz1568/getInfo.php?workbook=12_05.xlsx&amp;sheet=U0&amp;row=2028&amp;col=7&amp;number=0.000212&amp;sourceID=14","0.000212")</f>
        <v>0.000212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HYPERLINK("http://141.218.60.56/~jnz1568/getInfo.php?workbook=12_05.xlsx&amp;sheet=U0&amp;row=2029&amp;col=6&amp;number=3.5&amp;sourceID=14","3.5")</f>
        <v>3.5</v>
      </c>
      <c r="G2029" s="4" t="str">
        <f>HYPERLINK("http://141.218.60.56/~jnz1568/getInfo.php?workbook=12_05.xlsx&amp;sheet=U0&amp;row=2029&amp;col=7&amp;number=0.000212&amp;sourceID=14","0.000212")</f>
        <v>0.000212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HYPERLINK("http://141.218.60.56/~jnz1568/getInfo.php?workbook=12_05.xlsx&amp;sheet=U0&amp;row=2030&amp;col=6&amp;number=3.6&amp;sourceID=14","3.6")</f>
        <v>3.6</v>
      </c>
      <c r="G2030" s="4" t="str">
        <f>HYPERLINK("http://141.218.60.56/~jnz1568/getInfo.php?workbook=12_05.xlsx&amp;sheet=U0&amp;row=2030&amp;col=7&amp;number=0.000211&amp;sourceID=14","0.000211")</f>
        <v>0.000211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HYPERLINK("http://141.218.60.56/~jnz1568/getInfo.php?workbook=12_05.xlsx&amp;sheet=U0&amp;row=2031&amp;col=6&amp;number=3.7&amp;sourceID=14","3.7")</f>
        <v>3.7</v>
      </c>
      <c r="G2031" s="4" t="str">
        <f>HYPERLINK("http://141.218.60.56/~jnz1568/getInfo.php?workbook=12_05.xlsx&amp;sheet=U0&amp;row=2031&amp;col=7&amp;number=0.000211&amp;sourceID=14","0.000211")</f>
        <v>0.000211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HYPERLINK("http://141.218.60.56/~jnz1568/getInfo.php?workbook=12_05.xlsx&amp;sheet=U0&amp;row=2032&amp;col=6&amp;number=3.8&amp;sourceID=14","3.8")</f>
        <v>3.8</v>
      </c>
      <c r="G2032" s="4" t="str">
        <f>HYPERLINK("http://141.218.60.56/~jnz1568/getInfo.php?workbook=12_05.xlsx&amp;sheet=U0&amp;row=2032&amp;col=7&amp;number=0.000211&amp;sourceID=14","0.000211")</f>
        <v>0.000211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HYPERLINK("http://141.218.60.56/~jnz1568/getInfo.php?workbook=12_05.xlsx&amp;sheet=U0&amp;row=2033&amp;col=6&amp;number=3.9&amp;sourceID=14","3.9")</f>
        <v>3.9</v>
      </c>
      <c r="G2033" s="4" t="str">
        <f>HYPERLINK("http://141.218.60.56/~jnz1568/getInfo.php?workbook=12_05.xlsx&amp;sheet=U0&amp;row=2033&amp;col=7&amp;number=0.00021&amp;sourceID=14","0.00021")</f>
        <v>0.00021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HYPERLINK("http://141.218.60.56/~jnz1568/getInfo.php?workbook=12_05.xlsx&amp;sheet=U0&amp;row=2034&amp;col=6&amp;number=4&amp;sourceID=14","4")</f>
        <v>4</v>
      </c>
      <c r="G2034" s="4" t="str">
        <f>HYPERLINK("http://141.218.60.56/~jnz1568/getInfo.php?workbook=12_05.xlsx&amp;sheet=U0&amp;row=2034&amp;col=7&amp;number=0.00021&amp;sourceID=14","0.00021")</f>
        <v>0.00021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HYPERLINK("http://141.218.60.56/~jnz1568/getInfo.php?workbook=12_05.xlsx&amp;sheet=U0&amp;row=2035&amp;col=6&amp;number=4.1&amp;sourceID=14","4.1")</f>
        <v>4.1</v>
      </c>
      <c r="G2035" s="4" t="str">
        <f>HYPERLINK("http://141.218.60.56/~jnz1568/getInfo.php?workbook=12_05.xlsx&amp;sheet=U0&amp;row=2035&amp;col=7&amp;number=0.000209&amp;sourceID=14","0.000209")</f>
        <v>0.000209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HYPERLINK("http://141.218.60.56/~jnz1568/getInfo.php?workbook=12_05.xlsx&amp;sheet=U0&amp;row=2036&amp;col=6&amp;number=4.2&amp;sourceID=14","4.2")</f>
        <v>4.2</v>
      </c>
      <c r="G2036" s="4" t="str">
        <f>HYPERLINK("http://141.218.60.56/~jnz1568/getInfo.php?workbook=12_05.xlsx&amp;sheet=U0&amp;row=2036&amp;col=7&amp;number=0.000209&amp;sourceID=14","0.000209")</f>
        <v>0.000209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HYPERLINK("http://141.218.60.56/~jnz1568/getInfo.php?workbook=12_05.xlsx&amp;sheet=U0&amp;row=2037&amp;col=6&amp;number=4.3&amp;sourceID=14","4.3")</f>
        <v>4.3</v>
      </c>
      <c r="G2037" s="4" t="str">
        <f>HYPERLINK("http://141.218.60.56/~jnz1568/getInfo.php?workbook=12_05.xlsx&amp;sheet=U0&amp;row=2037&amp;col=7&amp;number=0.000208&amp;sourceID=14","0.000208")</f>
        <v>0.000208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HYPERLINK("http://141.218.60.56/~jnz1568/getInfo.php?workbook=12_05.xlsx&amp;sheet=U0&amp;row=2038&amp;col=6&amp;number=4.4&amp;sourceID=14","4.4")</f>
        <v>4.4</v>
      </c>
      <c r="G2038" s="4" t="str">
        <f>HYPERLINK("http://141.218.60.56/~jnz1568/getInfo.php?workbook=12_05.xlsx&amp;sheet=U0&amp;row=2038&amp;col=7&amp;number=0.000206&amp;sourceID=14","0.000206")</f>
        <v>0.000206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HYPERLINK("http://141.218.60.56/~jnz1568/getInfo.php?workbook=12_05.xlsx&amp;sheet=U0&amp;row=2039&amp;col=6&amp;number=4.5&amp;sourceID=14","4.5")</f>
        <v>4.5</v>
      </c>
      <c r="G2039" s="4" t="str">
        <f>HYPERLINK("http://141.218.60.56/~jnz1568/getInfo.php?workbook=12_05.xlsx&amp;sheet=U0&amp;row=2039&amp;col=7&amp;number=0.000205&amp;sourceID=14","0.000205")</f>
        <v>0.000205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HYPERLINK("http://141.218.60.56/~jnz1568/getInfo.php?workbook=12_05.xlsx&amp;sheet=U0&amp;row=2040&amp;col=6&amp;number=4.6&amp;sourceID=14","4.6")</f>
        <v>4.6</v>
      </c>
      <c r="G2040" s="4" t="str">
        <f>HYPERLINK("http://141.218.60.56/~jnz1568/getInfo.php?workbook=12_05.xlsx&amp;sheet=U0&amp;row=2040&amp;col=7&amp;number=0.000203&amp;sourceID=14","0.000203")</f>
        <v>0.000203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HYPERLINK("http://141.218.60.56/~jnz1568/getInfo.php?workbook=12_05.xlsx&amp;sheet=U0&amp;row=2041&amp;col=6&amp;number=4.7&amp;sourceID=14","4.7")</f>
        <v>4.7</v>
      </c>
      <c r="G2041" s="4" t="str">
        <f>HYPERLINK("http://141.218.60.56/~jnz1568/getInfo.php?workbook=12_05.xlsx&amp;sheet=U0&amp;row=2041&amp;col=7&amp;number=0.000201&amp;sourceID=14","0.000201")</f>
        <v>0.000201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HYPERLINK("http://141.218.60.56/~jnz1568/getInfo.php?workbook=12_05.xlsx&amp;sheet=U0&amp;row=2042&amp;col=6&amp;number=4.8&amp;sourceID=14","4.8")</f>
        <v>4.8</v>
      </c>
      <c r="G2042" s="4" t="str">
        <f>HYPERLINK("http://141.218.60.56/~jnz1568/getInfo.php?workbook=12_05.xlsx&amp;sheet=U0&amp;row=2042&amp;col=7&amp;number=0.000198&amp;sourceID=14","0.000198")</f>
        <v>0.000198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HYPERLINK("http://141.218.60.56/~jnz1568/getInfo.php?workbook=12_05.xlsx&amp;sheet=U0&amp;row=2043&amp;col=6&amp;number=4.9&amp;sourceID=14","4.9")</f>
        <v>4.9</v>
      </c>
      <c r="G2043" s="4" t="str">
        <f>HYPERLINK("http://141.218.60.56/~jnz1568/getInfo.php?workbook=12_05.xlsx&amp;sheet=U0&amp;row=2043&amp;col=7&amp;number=0.000194&amp;sourceID=14","0.000194")</f>
        <v>0.000194</v>
      </c>
    </row>
    <row r="2044" spans="1:7">
      <c r="A2044" s="3">
        <v>12</v>
      </c>
      <c r="B2044" s="3">
        <v>5</v>
      </c>
      <c r="C2044" s="3">
        <v>1</v>
      </c>
      <c r="D2044" s="3">
        <v>61</v>
      </c>
      <c r="E2044" s="3">
        <v>1</v>
      </c>
      <c r="F2044" s="4" t="str">
        <f>HYPERLINK("http://141.218.60.56/~jnz1568/getInfo.php?workbook=12_05.xlsx&amp;sheet=U0&amp;row=2044&amp;col=6&amp;number=3&amp;sourceID=14","3")</f>
        <v>3</v>
      </c>
      <c r="G2044" s="4" t="str">
        <f>HYPERLINK("http://141.218.60.56/~jnz1568/getInfo.php?workbook=12_05.xlsx&amp;sheet=U0&amp;row=2044&amp;col=7&amp;number=0.000237&amp;sourceID=14","0.000237")</f>
        <v>0.000237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HYPERLINK("http://141.218.60.56/~jnz1568/getInfo.php?workbook=12_05.xlsx&amp;sheet=U0&amp;row=2045&amp;col=6&amp;number=3.1&amp;sourceID=14","3.1")</f>
        <v>3.1</v>
      </c>
      <c r="G2045" s="4" t="str">
        <f>HYPERLINK("http://141.218.60.56/~jnz1568/getInfo.php?workbook=12_05.xlsx&amp;sheet=U0&amp;row=2045&amp;col=7&amp;number=0.000237&amp;sourceID=14","0.000237")</f>
        <v>0.000237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HYPERLINK("http://141.218.60.56/~jnz1568/getInfo.php?workbook=12_05.xlsx&amp;sheet=U0&amp;row=2046&amp;col=6&amp;number=3.2&amp;sourceID=14","3.2")</f>
        <v>3.2</v>
      </c>
      <c r="G2046" s="4" t="str">
        <f>HYPERLINK("http://141.218.60.56/~jnz1568/getInfo.php?workbook=12_05.xlsx&amp;sheet=U0&amp;row=2046&amp;col=7&amp;number=0.000237&amp;sourceID=14","0.000237")</f>
        <v>0.000237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HYPERLINK("http://141.218.60.56/~jnz1568/getInfo.php?workbook=12_05.xlsx&amp;sheet=U0&amp;row=2047&amp;col=6&amp;number=3.3&amp;sourceID=14","3.3")</f>
        <v>3.3</v>
      </c>
      <c r="G2047" s="4" t="str">
        <f>HYPERLINK("http://141.218.60.56/~jnz1568/getInfo.php?workbook=12_05.xlsx&amp;sheet=U0&amp;row=2047&amp;col=7&amp;number=0.000237&amp;sourceID=14","0.000237")</f>
        <v>0.000237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HYPERLINK("http://141.218.60.56/~jnz1568/getInfo.php?workbook=12_05.xlsx&amp;sheet=U0&amp;row=2048&amp;col=6&amp;number=3.4&amp;sourceID=14","3.4")</f>
        <v>3.4</v>
      </c>
      <c r="G2048" s="4" t="str">
        <f>HYPERLINK("http://141.218.60.56/~jnz1568/getInfo.php?workbook=12_05.xlsx&amp;sheet=U0&amp;row=2048&amp;col=7&amp;number=0.000237&amp;sourceID=14","0.000237")</f>
        <v>0.000237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HYPERLINK("http://141.218.60.56/~jnz1568/getInfo.php?workbook=12_05.xlsx&amp;sheet=U0&amp;row=2049&amp;col=6&amp;number=3.5&amp;sourceID=14","3.5")</f>
        <v>3.5</v>
      </c>
      <c r="G2049" s="4" t="str">
        <f>HYPERLINK("http://141.218.60.56/~jnz1568/getInfo.php?workbook=12_05.xlsx&amp;sheet=U0&amp;row=2049&amp;col=7&amp;number=0.000237&amp;sourceID=14","0.000237")</f>
        <v>0.000237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HYPERLINK("http://141.218.60.56/~jnz1568/getInfo.php?workbook=12_05.xlsx&amp;sheet=U0&amp;row=2050&amp;col=6&amp;number=3.6&amp;sourceID=14","3.6")</f>
        <v>3.6</v>
      </c>
      <c r="G2050" s="4" t="str">
        <f>HYPERLINK("http://141.218.60.56/~jnz1568/getInfo.php?workbook=12_05.xlsx&amp;sheet=U0&amp;row=2050&amp;col=7&amp;number=0.000236&amp;sourceID=14","0.000236")</f>
        <v>0.000236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HYPERLINK("http://141.218.60.56/~jnz1568/getInfo.php?workbook=12_05.xlsx&amp;sheet=U0&amp;row=2051&amp;col=6&amp;number=3.7&amp;sourceID=14","3.7")</f>
        <v>3.7</v>
      </c>
      <c r="G2051" s="4" t="str">
        <f>HYPERLINK("http://141.218.60.56/~jnz1568/getInfo.php?workbook=12_05.xlsx&amp;sheet=U0&amp;row=2051&amp;col=7&amp;number=0.000236&amp;sourceID=14","0.000236")</f>
        <v>0.000236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HYPERLINK("http://141.218.60.56/~jnz1568/getInfo.php?workbook=12_05.xlsx&amp;sheet=U0&amp;row=2052&amp;col=6&amp;number=3.8&amp;sourceID=14","3.8")</f>
        <v>3.8</v>
      </c>
      <c r="G2052" s="4" t="str">
        <f>HYPERLINK("http://141.218.60.56/~jnz1568/getInfo.php?workbook=12_05.xlsx&amp;sheet=U0&amp;row=2052&amp;col=7&amp;number=0.000236&amp;sourceID=14","0.000236")</f>
        <v>0.000236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HYPERLINK("http://141.218.60.56/~jnz1568/getInfo.php?workbook=12_05.xlsx&amp;sheet=U0&amp;row=2053&amp;col=6&amp;number=3.9&amp;sourceID=14","3.9")</f>
        <v>3.9</v>
      </c>
      <c r="G2053" s="4" t="str">
        <f>HYPERLINK("http://141.218.60.56/~jnz1568/getInfo.php?workbook=12_05.xlsx&amp;sheet=U0&amp;row=2053&amp;col=7&amp;number=0.000236&amp;sourceID=14","0.000236")</f>
        <v>0.000236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HYPERLINK("http://141.218.60.56/~jnz1568/getInfo.php?workbook=12_05.xlsx&amp;sheet=U0&amp;row=2054&amp;col=6&amp;number=4&amp;sourceID=14","4")</f>
        <v>4</v>
      </c>
      <c r="G2054" s="4" t="str">
        <f>HYPERLINK("http://141.218.60.56/~jnz1568/getInfo.php?workbook=12_05.xlsx&amp;sheet=U0&amp;row=2054&amp;col=7&amp;number=0.000236&amp;sourceID=14","0.000236")</f>
        <v>0.000236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HYPERLINK("http://141.218.60.56/~jnz1568/getInfo.php?workbook=12_05.xlsx&amp;sheet=U0&amp;row=2055&amp;col=6&amp;number=4.1&amp;sourceID=14","4.1")</f>
        <v>4.1</v>
      </c>
      <c r="G2055" s="4" t="str">
        <f>HYPERLINK("http://141.218.60.56/~jnz1568/getInfo.php?workbook=12_05.xlsx&amp;sheet=U0&amp;row=2055&amp;col=7&amp;number=0.000236&amp;sourceID=14","0.000236")</f>
        <v>0.000236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HYPERLINK("http://141.218.60.56/~jnz1568/getInfo.php?workbook=12_05.xlsx&amp;sheet=U0&amp;row=2056&amp;col=6&amp;number=4.2&amp;sourceID=14","4.2")</f>
        <v>4.2</v>
      </c>
      <c r="G2056" s="4" t="str">
        <f>HYPERLINK("http://141.218.60.56/~jnz1568/getInfo.php?workbook=12_05.xlsx&amp;sheet=U0&amp;row=2056&amp;col=7&amp;number=0.000235&amp;sourceID=14","0.000235")</f>
        <v>0.000235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HYPERLINK("http://141.218.60.56/~jnz1568/getInfo.php?workbook=12_05.xlsx&amp;sheet=U0&amp;row=2057&amp;col=6&amp;number=4.3&amp;sourceID=14","4.3")</f>
        <v>4.3</v>
      </c>
      <c r="G2057" s="4" t="str">
        <f>HYPERLINK("http://141.218.60.56/~jnz1568/getInfo.php?workbook=12_05.xlsx&amp;sheet=U0&amp;row=2057&amp;col=7&amp;number=0.000235&amp;sourceID=14","0.000235")</f>
        <v>0.000235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HYPERLINK("http://141.218.60.56/~jnz1568/getInfo.php?workbook=12_05.xlsx&amp;sheet=U0&amp;row=2058&amp;col=6&amp;number=4.4&amp;sourceID=14","4.4")</f>
        <v>4.4</v>
      </c>
      <c r="G2058" s="4" t="str">
        <f>HYPERLINK("http://141.218.60.56/~jnz1568/getInfo.php?workbook=12_05.xlsx&amp;sheet=U0&amp;row=2058&amp;col=7&amp;number=0.000235&amp;sourceID=14","0.000235")</f>
        <v>0.000235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HYPERLINK("http://141.218.60.56/~jnz1568/getInfo.php?workbook=12_05.xlsx&amp;sheet=U0&amp;row=2059&amp;col=6&amp;number=4.5&amp;sourceID=14","4.5")</f>
        <v>4.5</v>
      </c>
      <c r="G2059" s="4" t="str">
        <f>HYPERLINK("http://141.218.60.56/~jnz1568/getInfo.php?workbook=12_05.xlsx&amp;sheet=U0&amp;row=2059&amp;col=7&amp;number=0.000234&amp;sourceID=14","0.000234")</f>
        <v>0.000234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HYPERLINK("http://141.218.60.56/~jnz1568/getInfo.php?workbook=12_05.xlsx&amp;sheet=U0&amp;row=2060&amp;col=6&amp;number=4.6&amp;sourceID=14","4.6")</f>
        <v>4.6</v>
      </c>
      <c r="G2060" s="4" t="str">
        <f>HYPERLINK("http://141.218.60.56/~jnz1568/getInfo.php?workbook=12_05.xlsx&amp;sheet=U0&amp;row=2060&amp;col=7&amp;number=0.000234&amp;sourceID=14","0.000234")</f>
        <v>0.000234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HYPERLINK("http://141.218.60.56/~jnz1568/getInfo.php?workbook=12_05.xlsx&amp;sheet=U0&amp;row=2061&amp;col=6&amp;number=4.7&amp;sourceID=14","4.7")</f>
        <v>4.7</v>
      </c>
      <c r="G2061" s="4" t="str">
        <f>HYPERLINK("http://141.218.60.56/~jnz1568/getInfo.php?workbook=12_05.xlsx&amp;sheet=U0&amp;row=2061&amp;col=7&amp;number=0.000233&amp;sourceID=14","0.000233")</f>
        <v>0.000233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HYPERLINK("http://141.218.60.56/~jnz1568/getInfo.php?workbook=12_05.xlsx&amp;sheet=U0&amp;row=2062&amp;col=6&amp;number=4.8&amp;sourceID=14","4.8")</f>
        <v>4.8</v>
      </c>
      <c r="G2062" s="4" t="str">
        <f>HYPERLINK("http://141.218.60.56/~jnz1568/getInfo.php?workbook=12_05.xlsx&amp;sheet=U0&amp;row=2062&amp;col=7&amp;number=0.000232&amp;sourceID=14","0.000232")</f>
        <v>0.000232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HYPERLINK("http://141.218.60.56/~jnz1568/getInfo.php?workbook=12_05.xlsx&amp;sheet=U0&amp;row=2063&amp;col=6&amp;number=4.9&amp;sourceID=14","4.9")</f>
        <v>4.9</v>
      </c>
      <c r="G2063" s="4" t="str">
        <f>HYPERLINK("http://141.218.60.56/~jnz1568/getInfo.php?workbook=12_05.xlsx&amp;sheet=U0&amp;row=2063&amp;col=7&amp;number=0.000231&amp;sourceID=14","0.000231")</f>
        <v>0.000231</v>
      </c>
    </row>
    <row r="2064" spans="1:7">
      <c r="A2064" s="3">
        <v>12</v>
      </c>
      <c r="B2064" s="3">
        <v>5</v>
      </c>
      <c r="C2064" s="3">
        <v>1</v>
      </c>
      <c r="D2064" s="3">
        <v>62</v>
      </c>
      <c r="E2064" s="3">
        <v>1</v>
      </c>
      <c r="F2064" s="4" t="str">
        <f>HYPERLINK("http://141.218.60.56/~jnz1568/getInfo.php?workbook=12_05.xlsx&amp;sheet=U0&amp;row=2064&amp;col=6&amp;number=3&amp;sourceID=14","3")</f>
        <v>3</v>
      </c>
      <c r="G2064" s="4" t="str">
        <f>HYPERLINK("http://141.218.60.56/~jnz1568/getInfo.php?workbook=12_05.xlsx&amp;sheet=U0&amp;row=2064&amp;col=7&amp;number=0.00021&amp;sourceID=14","0.00021")</f>
        <v>0.00021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HYPERLINK("http://141.218.60.56/~jnz1568/getInfo.php?workbook=12_05.xlsx&amp;sheet=U0&amp;row=2065&amp;col=6&amp;number=3.1&amp;sourceID=14","3.1")</f>
        <v>3.1</v>
      </c>
      <c r="G2065" s="4" t="str">
        <f>HYPERLINK("http://141.218.60.56/~jnz1568/getInfo.php?workbook=12_05.xlsx&amp;sheet=U0&amp;row=2065&amp;col=7&amp;number=0.00021&amp;sourceID=14","0.00021")</f>
        <v>0.00021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HYPERLINK("http://141.218.60.56/~jnz1568/getInfo.php?workbook=12_05.xlsx&amp;sheet=U0&amp;row=2066&amp;col=6&amp;number=3.2&amp;sourceID=14","3.2")</f>
        <v>3.2</v>
      </c>
      <c r="G2066" s="4" t="str">
        <f>HYPERLINK("http://141.218.60.56/~jnz1568/getInfo.php?workbook=12_05.xlsx&amp;sheet=U0&amp;row=2066&amp;col=7&amp;number=0.00021&amp;sourceID=14","0.00021")</f>
        <v>0.00021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HYPERLINK("http://141.218.60.56/~jnz1568/getInfo.php?workbook=12_05.xlsx&amp;sheet=U0&amp;row=2067&amp;col=6&amp;number=3.3&amp;sourceID=14","3.3")</f>
        <v>3.3</v>
      </c>
      <c r="G2067" s="4" t="str">
        <f>HYPERLINK("http://141.218.60.56/~jnz1568/getInfo.php?workbook=12_05.xlsx&amp;sheet=U0&amp;row=2067&amp;col=7&amp;number=0.00021&amp;sourceID=14","0.00021")</f>
        <v>0.00021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HYPERLINK("http://141.218.60.56/~jnz1568/getInfo.php?workbook=12_05.xlsx&amp;sheet=U0&amp;row=2068&amp;col=6&amp;number=3.4&amp;sourceID=14","3.4")</f>
        <v>3.4</v>
      </c>
      <c r="G2068" s="4" t="str">
        <f>HYPERLINK("http://141.218.60.56/~jnz1568/getInfo.php?workbook=12_05.xlsx&amp;sheet=U0&amp;row=2068&amp;col=7&amp;number=0.00021&amp;sourceID=14","0.00021")</f>
        <v>0.00021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HYPERLINK("http://141.218.60.56/~jnz1568/getInfo.php?workbook=12_05.xlsx&amp;sheet=U0&amp;row=2069&amp;col=6&amp;number=3.5&amp;sourceID=14","3.5")</f>
        <v>3.5</v>
      </c>
      <c r="G2069" s="4" t="str">
        <f>HYPERLINK("http://141.218.60.56/~jnz1568/getInfo.php?workbook=12_05.xlsx&amp;sheet=U0&amp;row=2069&amp;col=7&amp;number=0.00021&amp;sourceID=14","0.00021")</f>
        <v>0.00021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HYPERLINK("http://141.218.60.56/~jnz1568/getInfo.php?workbook=12_05.xlsx&amp;sheet=U0&amp;row=2070&amp;col=6&amp;number=3.6&amp;sourceID=14","3.6")</f>
        <v>3.6</v>
      </c>
      <c r="G2070" s="4" t="str">
        <f>HYPERLINK("http://141.218.60.56/~jnz1568/getInfo.php?workbook=12_05.xlsx&amp;sheet=U0&amp;row=2070&amp;col=7&amp;number=0.00021&amp;sourceID=14","0.00021")</f>
        <v>0.00021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HYPERLINK("http://141.218.60.56/~jnz1568/getInfo.php?workbook=12_05.xlsx&amp;sheet=U0&amp;row=2071&amp;col=6&amp;number=3.7&amp;sourceID=14","3.7")</f>
        <v>3.7</v>
      </c>
      <c r="G2071" s="4" t="str">
        <f>HYPERLINK("http://141.218.60.56/~jnz1568/getInfo.php?workbook=12_05.xlsx&amp;sheet=U0&amp;row=2071&amp;col=7&amp;number=0.000209&amp;sourceID=14","0.000209")</f>
        <v>0.000209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HYPERLINK("http://141.218.60.56/~jnz1568/getInfo.php?workbook=12_05.xlsx&amp;sheet=U0&amp;row=2072&amp;col=6&amp;number=3.8&amp;sourceID=14","3.8")</f>
        <v>3.8</v>
      </c>
      <c r="G2072" s="4" t="str">
        <f>HYPERLINK("http://141.218.60.56/~jnz1568/getInfo.php?workbook=12_05.xlsx&amp;sheet=U0&amp;row=2072&amp;col=7&amp;number=0.000209&amp;sourceID=14","0.000209")</f>
        <v>0.000209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HYPERLINK("http://141.218.60.56/~jnz1568/getInfo.php?workbook=12_05.xlsx&amp;sheet=U0&amp;row=2073&amp;col=6&amp;number=3.9&amp;sourceID=14","3.9")</f>
        <v>3.9</v>
      </c>
      <c r="G2073" s="4" t="str">
        <f>HYPERLINK("http://141.218.60.56/~jnz1568/getInfo.php?workbook=12_05.xlsx&amp;sheet=U0&amp;row=2073&amp;col=7&amp;number=0.000209&amp;sourceID=14","0.000209")</f>
        <v>0.000209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HYPERLINK("http://141.218.60.56/~jnz1568/getInfo.php?workbook=12_05.xlsx&amp;sheet=U0&amp;row=2074&amp;col=6&amp;number=4&amp;sourceID=14","4")</f>
        <v>4</v>
      </c>
      <c r="G2074" s="4" t="str">
        <f>HYPERLINK("http://141.218.60.56/~jnz1568/getInfo.php?workbook=12_05.xlsx&amp;sheet=U0&amp;row=2074&amp;col=7&amp;number=0.000208&amp;sourceID=14","0.000208")</f>
        <v>0.000208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HYPERLINK("http://141.218.60.56/~jnz1568/getInfo.php?workbook=12_05.xlsx&amp;sheet=U0&amp;row=2075&amp;col=6&amp;number=4.1&amp;sourceID=14","4.1")</f>
        <v>4.1</v>
      </c>
      <c r="G2075" s="4" t="str">
        <f>HYPERLINK("http://141.218.60.56/~jnz1568/getInfo.php?workbook=12_05.xlsx&amp;sheet=U0&amp;row=2075&amp;col=7&amp;number=0.000208&amp;sourceID=14","0.000208")</f>
        <v>0.000208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HYPERLINK("http://141.218.60.56/~jnz1568/getInfo.php?workbook=12_05.xlsx&amp;sheet=U0&amp;row=2076&amp;col=6&amp;number=4.2&amp;sourceID=14","4.2")</f>
        <v>4.2</v>
      </c>
      <c r="G2076" s="4" t="str">
        <f>HYPERLINK("http://141.218.60.56/~jnz1568/getInfo.php?workbook=12_05.xlsx&amp;sheet=U0&amp;row=2076&amp;col=7&amp;number=0.000207&amp;sourceID=14","0.000207")</f>
        <v>0.000207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HYPERLINK("http://141.218.60.56/~jnz1568/getInfo.php?workbook=12_05.xlsx&amp;sheet=U0&amp;row=2077&amp;col=6&amp;number=4.3&amp;sourceID=14","4.3")</f>
        <v>4.3</v>
      </c>
      <c r="G2077" s="4" t="str">
        <f>HYPERLINK("http://141.218.60.56/~jnz1568/getInfo.php?workbook=12_05.xlsx&amp;sheet=U0&amp;row=2077&amp;col=7&amp;number=0.000207&amp;sourceID=14","0.000207")</f>
        <v>0.000207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HYPERLINK("http://141.218.60.56/~jnz1568/getInfo.php?workbook=12_05.xlsx&amp;sheet=U0&amp;row=2078&amp;col=6&amp;number=4.4&amp;sourceID=14","4.4")</f>
        <v>4.4</v>
      </c>
      <c r="G2078" s="4" t="str">
        <f>HYPERLINK("http://141.218.60.56/~jnz1568/getInfo.php?workbook=12_05.xlsx&amp;sheet=U0&amp;row=2078&amp;col=7&amp;number=0.000206&amp;sourceID=14","0.000206")</f>
        <v>0.000206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HYPERLINK("http://141.218.60.56/~jnz1568/getInfo.php?workbook=12_05.xlsx&amp;sheet=U0&amp;row=2079&amp;col=6&amp;number=4.5&amp;sourceID=14","4.5")</f>
        <v>4.5</v>
      </c>
      <c r="G2079" s="4" t="str">
        <f>HYPERLINK("http://141.218.60.56/~jnz1568/getInfo.php?workbook=12_05.xlsx&amp;sheet=U0&amp;row=2079&amp;col=7&amp;number=0.000204&amp;sourceID=14","0.000204")</f>
        <v>0.000204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HYPERLINK("http://141.218.60.56/~jnz1568/getInfo.php?workbook=12_05.xlsx&amp;sheet=U0&amp;row=2080&amp;col=6&amp;number=4.6&amp;sourceID=14","4.6")</f>
        <v>4.6</v>
      </c>
      <c r="G2080" s="4" t="str">
        <f>HYPERLINK("http://141.218.60.56/~jnz1568/getInfo.php?workbook=12_05.xlsx&amp;sheet=U0&amp;row=2080&amp;col=7&amp;number=0.000203&amp;sourceID=14","0.000203")</f>
        <v>0.000203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HYPERLINK("http://141.218.60.56/~jnz1568/getInfo.php?workbook=12_05.xlsx&amp;sheet=U0&amp;row=2081&amp;col=6&amp;number=4.7&amp;sourceID=14","4.7")</f>
        <v>4.7</v>
      </c>
      <c r="G2081" s="4" t="str">
        <f>HYPERLINK("http://141.218.60.56/~jnz1568/getInfo.php?workbook=12_05.xlsx&amp;sheet=U0&amp;row=2081&amp;col=7&amp;number=0.000201&amp;sourceID=14","0.000201")</f>
        <v>0.000201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HYPERLINK("http://141.218.60.56/~jnz1568/getInfo.php?workbook=12_05.xlsx&amp;sheet=U0&amp;row=2082&amp;col=6&amp;number=4.8&amp;sourceID=14","4.8")</f>
        <v>4.8</v>
      </c>
      <c r="G2082" s="4" t="str">
        <f>HYPERLINK("http://141.218.60.56/~jnz1568/getInfo.php?workbook=12_05.xlsx&amp;sheet=U0&amp;row=2082&amp;col=7&amp;number=0.000199&amp;sourceID=14","0.000199")</f>
        <v>0.000199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HYPERLINK("http://141.218.60.56/~jnz1568/getInfo.php?workbook=12_05.xlsx&amp;sheet=U0&amp;row=2083&amp;col=6&amp;number=4.9&amp;sourceID=14","4.9")</f>
        <v>4.9</v>
      </c>
      <c r="G2083" s="4" t="str">
        <f>HYPERLINK("http://141.218.60.56/~jnz1568/getInfo.php?workbook=12_05.xlsx&amp;sheet=U0&amp;row=2083&amp;col=7&amp;number=0.000196&amp;sourceID=14","0.000196")</f>
        <v>0.000196</v>
      </c>
    </row>
    <row r="2084" spans="1:7">
      <c r="A2084" s="3">
        <v>12</v>
      </c>
      <c r="B2084" s="3">
        <v>5</v>
      </c>
      <c r="C2084" s="3">
        <v>1</v>
      </c>
      <c r="D2084" s="3">
        <v>63</v>
      </c>
      <c r="E2084" s="3">
        <v>1</v>
      </c>
      <c r="F2084" s="4" t="str">
        <f>HYPERLINK("http://141.218.60.56/~jnz1568/getInfo.php?workbook=12_05.xlsx&amp;sheet=U0&amp;row=2084&amp;col=6&amp;number=3&amp;sourceID=14","3")</f>
        <v>3</v>
      </c>
      <c r="G2084" s="4" t="str">
        <f>HYPERLINK("http://141.218.60.56/~jnz1568/getInfo.php?workbook=12_05.xlsx&amp;sheet=U0&amp;row=2084&amp;col=7&amp;number=0.00011&amp;sourceID=14","0.00011")</f>
        <v>0.00011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HYPERLINK("http://141.218.60.56/~jnz1568/getInfo.php?workbook=12_05.xlsx&amp;sheet=U0&amp;row=2085&amp;col=6&amp;number=3.1&amp;sourceID=14","3.1")</f>
        <v>3.1</v>
      </c>
      <c r="G2085" s="4" t="str">
        <f>HYPERLINK("http://141.218.60.56/~jnz1568/getInfo.php?workbook=12_05.xlsx&amp;sheet=U0&amp;row=2085&amp;col=7&amp;number=0.00011&amp;sourceID=14","0.00011")</f>
        <v>0.00011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HYPERLINK("http://141.218.60.56/~jnz1568/getInfo.php?workbook=12_05.xlsx&amp;sheet=U0&amp;row=2086&amp;col=6&amp;number=3.2&amp;sourceID=14","3.2")</f>
        <v>3.2</v>
      </c>
      <c r="G2086" s="4" t="str">
        <f>HYPERLINK("http://141.218.60.56/~jnz1568/getInfo.php?workbook=12_05.xlsx&amp;sheet=U0&amp;row=2086&amp;col=7&amp;number=0.00011&amp;sourceID=14","0.00011")</f>
        <v>0.00011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HYPERLINK("http://141.218.60.56/~jnz1568/getInfo.php?workbook=12_05.xlsx&amp;sheet=U0&amp;row=2087&amp;col=6&amp;number=3.3&amp;sourceID=14","3.3")</f>
        <v>3.3</v>
      </c>
      <c r="G2087" s="4" t="str">
        <f>HYPERLINK("http://141.218.60.56/~jnz1568/getInfo.php?workbook=12_05.xlsx&amp;sheet=U0&amp;row=2087&amp;col=7&amp;number=0.00011&amp;sourceID=14","0.00011")</f>
        <v>0.00011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HYPERLINK("http://141.218.60.56/~jnz1568/getInfo.php?workbook=12_05.xlsx&amp;sheet=U0&amp;row=2088&amp;col=6&amp;number=3.4&amp;sourceID=14","3.4")</f>
        <v>3.4</v>
      </c>
      <c r="G2088" s="4" t="str">
        <f>HYPERLINK("http://141.218.60.56/~jnz1568/getInfo.php?workbook=12_05.xlsx&amp;sheet=U0&amp;row=2088&amp;col=7&amp;number=0.00011&amp;sourceID=14","0.00011")</f>
        <v>0.00011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HYPERLINK("http://141.218.60.56/~jnz1568/getInfo.php?workbook=12_05.xlsx&amp;sheet=U0&amp;row=2089&amp;col=6&amp;number=3.5&amp;sourceID=14","3.5")</f>
        <v>3.5</v>
      </c>
      <c r="G2089" s="4" t="str">
        <f>HYPERLINK("http://141.218.60.56/~jnz1568/getInfo.php?workbook=12_05.xlsx&amp;sheet=U0&amp;row=2089&amp;col=7&amp;number=0.00011&amp;sourceID=14","0.00011")</f>
        <v>0.00011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HYPERLINK("http://141.218.60.56/~jnz1568/getInfo.php?workbook=12_05.xlsx&amp;sheet=U0&amp;row=2090&amp;col=6&amp;number=3.6&amp;sourceID=14","3.6")</f>
        <v>3.6</v>
      </c>
      <c r="G2090" s="4" t="str">
        <f>HYPERLINK("http://141.218.60.56/~jnz1568/getInfo.php?workbook=12_05.xlsx&amp;sheet=U0&amp;row=2090&amp;col=7&amp;number=0.00011&amp;sourceID=14","0.00011")</f>
        <v>0.00011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HYPERLINK("http://141.218.60.56/~jnz1568/getInfo.php?workbook=12_05.xlsx&amp;sheet=U0&amp;row=2091&amp;col=6&amp;number=3.7&amp;sourceID=14","3.7")</f>
        <v>3.7</v>
      </c>
      <c r="G2091" s="4" t="str">
        <f>HYPERLINK("http://141.218.60.56/~jnz1568/getInfo.php?workbook=12_05.xlsx&amp;sheet=U0&amp;row=2091&amp;col=7&amp;number=0.00011&amp;sourceID=14","0.00011")</f>
        <v>0.00011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HYPERLINK("http://141.218.60.56/~jnz1568/getInfo.php?workbook=12_05.xlsx&amp;sheet=U0&amp;row=2092&amp;col=6&amp;number=3.8&amp;sourceID=14","3.8")</f>
        <v>3.8</v>
      </c>
      <c r="G2092" s="4" t="str">
        <f>HYPERLINK("http://141.218.60.56/~jnz1568/getInfo.php?workbook=12_05.xlsx&amp;sheet=U0&amp;row=2092&amp;col=7&amp;number=0.00011&amp;sourceID=14","0.00011")</f>
        <v>0.00011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HYPERLINK("http://141.218.60.56/~jnz1568/getInfo.php?workbook=12_05.xlsx&amp;sheet=U0&amp;row=2093&amp;col=6&amp;number=3.9&amp;sourceID=14","3.9")</f>
        <v>3.9</v>
      </c>
      <c r="G2093" s="4" t="str">
        <f>HYPERLINK("http://141.218.60.56/~jnz1568/getInfo.php?workbook=12_05.xlsx&amp;sheet=U0&amp;row=2093&amp;col=7&amp;number=0.00011&amp;sourceID=14","0.00011")</f>
        <v>0.00011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HYPERLINK("http://141.218.60.56/~jnz1568/getInfo.php?workbook=12_05.xlsx&amp;sheet=U0&amp;row=2094&amp;col=6&amp;number=4&amp;sourceID=14","4")</f>
        <v>4</v>
      </c>
      <c r="G2094" s="4" t="str">
        <f>HYPERLINK("http://141.218.60.56/~jnz1568/getInfo.php?workbook=12_05.xlsx&amp;sheet=U0&amp;row=2094&amp;col=7&amp;number=0.00011&amp;sourceID=14","0.00011")</f>
        <v>0.00011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HYPERLINK("http://141.218.60.56/~jnz1568/getInfo.php?workbook=12_05.xlsx&amp;sheet=U0&amp;row=2095&amp;col=6&amp;number=4.1&amp;sourceID=14","4.1")</f>
        <v>4.1</v>
      </c>
      <c r="G2095" s="4" t="str">
        <f>HYPERLINK("http://141.218.60.56/~jnz1568/getInfo.php?workbook=12_05.xlsx&amp;sheet=U0&amp;row=2095&amp;col=7&amp;number=0.00011&amp;sourceID=14","0.00011")</f>
        <v>0.00011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HYPERLINK("http://141.218.60.56/~jnz1568/getInfo.php?workbook=12_05.xlsx&amp;sheet=U0&amp;row=2096&amp;col=6&amp;number=4.2&amp;sourceID=14","4.2")</f>
        <v>4.2</v>
      </c>
      <c r="G2096" s="4" t="str">
        <f>HYPERLINK("http://141.218.60.56/~jnz1568/getInfo.php?workbook=12_05.xlsx&amp;sheet=U0&amp;row=2096&amp;col=7&amp;number=0.00011&amp;sourceID=14","0.00011")</f>
        <v>0.00011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HYPERLINK("http://141.218.60.56/~jnz1568/getInfo.php?workbook=12_05.xlsx&amp;sheet=U0&amp;row=2097&amp;col=6&amp;number=4.3&amp;sourceID=14","4.3")</f>
        <v>4.3</v>
      </c>
      <c r="G2097" s="4" t="str">
        <f>HYPERLINK("http://141.218.60.56/~jnz1568/getInfo.php?workbook=12_05.xlsx&amp;sheet=U0&amp;row=2097&amp;col=7&amp;number=0.00011&amp;sourceID=14","0.00011")</f>
        <v>0.00011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HYPERLINK("http://141.218.60.56/~jnz1568/getInfo.php?workbook=12_05.xlsx&amp;sheet=U0&amp;row=2098&amp;col=6&amp;number=4.4&amp;sourceID=14","4.4")</f>
        <v>4.4</v>
      </c>
      <c r="G2098" s="4" t="str">
        <f>HYPERLINK("http://141.218.60.56/~jnz1568/getInfo.php?workbook=12_05.xlsx&amp;sheet=U0&amp;row=2098&amp;col=7&amp;number=0.00011&amp;sourceID=14","0.00011")</f>
        <v>0.00011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HYPERLINK("http://141.218.60.56/~jnz1568/getInfo.php?workbook=12_05.xlsx&amp;sheet=U0&amp;row=2099&amp;col=6&amp;number=4.5&amp;sourceID=14","4.5")</f>
        <v>4.5</v>
      </c>
      <c r="G2099" s="4" t="str">
        <f>HYPERLINK("http://141.218.60.56/~jnz1568/getInfo.php?workbook=12_05.xlsx&amp;sheet=U0&amp;row=2099&amp;col=7&amp;number=0.00011&amp;sourceID=14","0.00011")</f>
        <v>0.00011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HYPERLINK("http://141.218.60.56/~jnz1568/getInfo.php?workbook=12_05.xlsx&amp;sheet=U0&amp;row=2100&amp;col=6&amp;number=4.6&amp;sourceID=14","4.6")</f>
        <v>4.6</v>
      </c>
      <c r="G2100" s="4" t="str">
        <f>HYPERLINK("http://141.218.60.56/~jnz1568/getInfo.php?workbook=12_05.xlsx&amp;sheet=U0&amp;row=2100&amp;col=7&amp;number=0.000111&amp;sourceID=14","0.000111")</f>
        <v>0.000111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HYPERLINK("http://141.218.60.56/~jnz1568/getInfo.php?workbook=12_05.xlsx&amp;sheet=U0&amp;row=2101&amp;col=6&amp;number=4.7&amp;sourceID=14","4.7")</f>
        <v>4.7</v>
      </c>
      <c r="G2101" s="4" t="str">
        <f>HYPERLINK("http://141.218.60.56/~jnz1568/getInfo.php?workbook=12_05.xlsx&amp;sheet=U0&amp;row=2101&amp;col=7&amp;number=0.000111&amp;sourceID=14","0.000111")</f>
        <v>0.000111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HYPERLINK("http://141.218.60.56/~jnz1568/getInfo.php?workbook=12_05.xlsx&amp;sheet=U0&amp;row=2102&amp;col=6&amp;number=4.8&amp;sourceID=14","4.8")</f>
        <v>4.8</v>
      </c>
      <c r="G2102" s="4" t="str">
        <f>HYPERLINK("http://141.218.60.56/~jnz1568/getInfo.php?workbook=12_05.xlsx&amp;sheet=U0&amp;row=2102&amp;col=7&amp;number=0.000111&amp;sourceID=14","0.000111")</f>
        <v>0.000111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HYPERLINK("http://141.218.60.56/~jnz1568/getInfo.php?workbook=12_05.xlsx&amp;sheet=U0&amp;row=2103&amp;col=6&amp;number=4.9&amp;sourceID=14","4.9")</f>
        <v>4.9</v>
      </c>
      <c r="G2103" s="4" t="str">
        <f>HYPERLINK("http://141.218.60.56/~jnz1568/getInfo.php?workbook=12_05.xlsx&amp;sheet=U0&amp;row=2103&amp;col=7&amp;number=0.000111&amp;sourceID=14","0.000111")</f>
        <v>0.000111</v>
      </c>
    </row>
    <row r="2104" spans="1:7">
      <c r="A2104" s="3">
        <v>12</v>
      </c>
      <c r="B2104" s="3">
        <v>5</v>
      </c>
      <c r="C2104" s="3">
        <v>1</v>
      </c>
      <c r="D2104" s="3">
        <v>64</v>
      </c>
      <c r="E2104" s="3">
        <v>1</v>
      </c>
      <c r="F2104" s="4" t="str">
        <f>HYPERLINK("http://141.218.60.56/~jnz1568/getInfo.php?workbook=12_05.xlsx&amp;sheet=U0&amp;row=2104&amp;col=6&amp;number=3&amp;sourceID=14","3")</f>
        <v>3</v>
      </c>
      <c r="G2104" s="4" t="str">
        <f>HYPERLINK("http://141.218.60.56/~jnz1568/getInfo.php?workbook=12_05.xlsx&amp;sheet=U0&amp;row=2104&amp;col=7&amp;number=0.000417&amp;sourceID=14","0.000417")</f>
        <v>0.000417</v>
      </c>
    </row>
    <row r="2105" spans="1:7">
      <c r="A2105" s="3"/>
      <c r="B2105" s="3"/>
      <c r="C2105" s="3"/>
      <c r="D2105" s="3"/>
      <c r="E2105" s="3">
        <v>2</v>
      </c>
      <c r="F2105" s="4" t="str">
        <f>HYPERLINK("http://141.218.60.56/~jnz1568/getInfo.php?workbook=12_05.xlsx&amp;sheet=U0&amp;row=2105&amp;col=6&amp;number=3.1&amp;sourceID=14","3.1")</f>
        <v>3.1</v>
      </c>
      <c r="G2105" s="4" t="str">
        <f>HYPERLINK("http://141.218.60.56/~jnz1568/getInfo.php?workbook=12_05.xlsx&amp;sheet=U0&amp;row=2105&amp;col=7&amp;number=0.000417&amp;sourceID=14","0.000417")</f>
        <v>0.000417</v>
      </c>
    </row>
    <row r="2106" spans="1:7">
      <c r="A2106" s="3"/>
      <c r="B2106" s="3"/>
      <c r="C2106" s="3"/>
      <c r="D2106" s="3"/>
      <c r="E2106" s="3">
        <v>3</v>
      </c>
      <c r="F2106" s="4" t="str">
        <f>HYPERLINK("http://141.218.60.56/~jnz1568/getInfo.php?workbook=12_05.xlsx&amp;sheet=U0&amp;row=2106&amp;col=6&amp;number=3.2&amp;sourceID=14","3.2")</f>
        <v>3.2</v>
      </c>
      <c r="G2106" s="4" t="str">
        <f>HYPERLINK("http://141.218.60.56/~jnz1568/getInfo.php?workbook=12_05.xlsx&amp;sheet=U0&amp;row=2106&amp;col=7&amp;number=0.000417&amp;sourceID=14","0.000417")</f>
        <v>0.000417</v>
      </c>
    </row>
    <row r="2107" spans="1:7">
      <c r="A2107" s="3"/>
      <c r="B2107" s="3"/>
      <c r="C2107" s="3"/>
      <c r="D2107" s="3"/>
      <c r="E2107" s="3">
        <v>4</v>
      </c>
      <c r="F2107" s="4" t="str">
        <f>HYPERLINK("http://141.218.60.56/~jnz1568/getInfo.php?workbook=12_05.xlsx&amp;sheet=U0&amp;row=2107&amp;col=6&amp;number=3.3&amp;sourceID=14","3.3")</f>
        <v>3.3</v>
      </c>
      <c r="G2107" s="4" t="str">
        <f>HYPERLINK("http://141.218.60.56/~jnz1568/getInfo.php?workbook=12_05.xlsx&amp;sheet=U0&amp;row=2107&amp;col=7&amp;number=0.000417&amp;sourceID=14","0.000417")</f>
        <v>0.000417</v>
      </c>
    </row>
    <row r="2108" spans="1:7">
      <c r="A2108" s="3"/>
      <c r="B2108" s="3"/>
      <c r="C2108" s="3"/>
      <c r="D2108" s="3"/>
      <c r="E2108" s="3">
        <v>5</v>
      </c>
      <c r="F2108" s="4" t="str">
        <f>HYPERLINK("http://141.218.60.56/~jnz1568/getInfo.php?workbook=12_05.xlsx&amp;sheet=U0&amp;row=2108&amp;col=6&amp;number=3.4&amp;sourceID=14","3.4")</f>
        <v>3.4</v>
      </c>
      <c r="G2108" s="4" t="str">
        <f>HYPERLINK("http://141.218.60.56/~jnz1568/getInfo.php?workbook=12_05.xlsx&amp;sheet=U0&amp;row=2108&amp;col=7&amp;number=0.000417&amp;sourceID=14","0.000417")</f>
        <v>0.000417</v>
      </c>
    </row>
    <row r="2109" spans="1:7">
      <c r="A2109" s="3"/>
      <c r="B2109" s="3"/>
      <c r="C2109" s="3"/>
      <c r="D2109" s="3"/>
      <c r="E2109" s="3">
        <v>6</v>
      </c>
      <c r="F2109" s="4" t="str">
        <f>HYPERLINK("http://141.218.60.56/~jnz1568/getInfo.php?workbook=12_05.xlsx&amp;sheet=U0&amp;row=2109&amp;col=6&amp;number=3.5&amp;sourceID=14","3.5")</f>
        <v>3.5</v>
      </c>
      <c r="G2109" s="4" t="str">
        <f>HYPERLINK("http://141.218.60.56/~jnz1568/getInfo.php?workbook=12_05.xlsx&amp;sheet=U0&amp;row=2109&amp;col=7&amp;number=0.000417&amp;sourceID=14","0.000417")</f>
        <v>0.000417</v>
      </c>
    </row>
    <row r="2110" spans="1:7">
      <c r="A2110" s="3"/>
      <c r="B2110" s="3"/>
      <c r="C2110" s="3"/>
      <c r="D2110" s="3"/>
      <c r="E2110" s="3">
        <v>7</v>
      </c>
      <c r="F2110" s="4" t="str">
        <f>HYPERLINK("http://141.218.60.56/~jnz1568/getInfo.php?workbook=12_05.xlsx&amp;sheet=U0&amp;row=2110&amp;col=6&amp;number=3.6&amp;sourceID=14","3.6")</f>
        <v>3.6</v>
      </c>
      <c r="G2110" s="4" t="str">
        <f>HYPERLINK("http://141.218.60.56/~jnz1568/getInfo.php?workbook=12_05.xlsx&amp;sheet=U0&amp;row=2110&amp;col=7&amp;number=0.000417&amp;sourceID=14","0.000417")</f>
        <v>0.000417</v>
      </c>
    </row>
    <row r="2111" spans="1:7">
      <c r="A2111" s="3"/>
      <c r="B2111" s="3"/>
      <c r="C2111" s="3"/>
      <c r="D2111" s="3"/>
      <c r="E2111" s="3">
        <v>8</v>
      </c>
      <c r="F2111" s="4" t="str">
        <f>HYPERLINK("http://141.218.60.56/~jnz1568/getInfo.php?workbook=12_05.xlsx&amp;sheet=U0&amp;row=2111&amp;col=6&amp;number=3.7&amp;sourceID=14","3.7")</f>
        <v>3.7</v>
      </c>
      <c r="G2111" s="4" t="str">
        <f>HYPERLINK("http://141.218.60.56/~jnz1568/getInfo.php?workbook=12_05.xlsx&amp;sheet=U0&amp;row=2111&amp;col=7&amp;number=0.000416&amp;sourceID=14","0.000416")</f>
        <v>0.000416</v>
      </c>
    </row>
    <row r="2112" spans="1:7">
      <c r="A2112" s="3"/>
      <c r="B2112" s="3"/>
      <c r="C2112" s="3"/>
      <c r="D2112" s="3"/>
      <c r="E2112" s="3">
        <v>9</v>
      </c>
      <c r="F2112" s="4" t="str">
        <f>HYPERLINK("http://141.218.60.56/~jnz1568/getInfo.php?workbook=12_05.xlsx&amp;sheet=U0&amp;row=2112&amp;col=6&amp;number=3.8&amp;sourceID=14","3.8")</f>
        <v>3.8</v>
      </c>
      <c r="G2112" s="4" t="str">
        <f>HYPERLINK("http://141.218.60.56/~jnz1568/getInfo.php?workbook=12_05.xlsx&amp;sheet=U0&amp;row=2112&amp;col=7&amp;number=0.000416&amp;sourceID=14","0.000416")</f>
        <v>0.000416</v>
      </c>
    </row>
    <row r="2113" spans="1:7">
      <c r="A2113" s="3"/>
      <c r="B2113" s="3"/>
      <c r="C2113" s="3"/>
      <c r="D2113" s="3"/>
      <c r="E2113" s="3">
        <v>10</v>
      </c>
      <c r="F2113" s="4" t="str">
        <f>HYPERLINK("http://141.218.60.56/~jnz1568/getInfo.php?workbook=12_05.xlsx&amp;sheet=U0&amp;row=2113&amp;col=6&amp;number=3.9&amp;sourceID=14","3.9")</f>
        <v>3.9</v>
      </c>
      <c r="G2113" s="4" t="str">
        <f>HYPERLINK("http://141.218.60.56/~jnz1568/getInfo.php?workbook=12_05.xlsx&amp;sheet=U0&amp;row=2113&amp;col=7&amp;number=0.000416&amp;sourceID=14","0.000416")</f>
        <v>0.000416</v>
      </c>
    </row>
    <row r="2114" spans="1:7">
      <c r="A2114" s="3"/>
      <c r="B2114" s="3"/>
      <c r="C2114" s="3"/>
      <c r="D2114" s="3"/>
      <c r="E2114" s="3">
        <v>11</v>
      </c>
      <c r="F2114" s="4" t="str">
        <f>HYPERLINK("http://141.218.60.56/~jnz1568/getInfo.php?workbook=12_05.xlsx&amp;sheet=U0&amp;row=2114&amp;col=6&amp;number=4&amp;sourceID=14","4")</f>
        <v>4</v>
      </c>
      <c r="G2114" s="4" t="str">
        <f>HYPERLINK("http://141.218.60.56/~jnz1568/getInfo.php?workbook=12_05.xlsx&amp;sheet=U0&amp;row=2114&amp;col=7&amp;number=0.000415&amp;sourceID=14","0.000415")</f>
        <v>0.000415</v>
      </c>
    </row>
    <row r="2115" spans="1:7">
      <c r="A2115" s="3"/>
      <c r="B2115" s="3"/>
      <c r="C2115" s="3"/>
      <c r="D2115" s="3"/>
      <c r="E2115" s="3">
        <v>12</v>
      </c>
      <c r="F2115" s="4" t="str">
        <f>HYPERLINK("http://141.218.60.56/~jnz1568/getInfo.php?workbook=12_05.xlsx&amp;sheet=U0&amp;row=2115&amp;col=6&amp;number=4.1&amp;sourceID=14","4.1")</f>
        <v>4.1</v>
      </c>
      <c r="G2115" s="4" t="str">
        <f>HYPERLINK("http://141.218.60.56/~jnz1568/getInfo.php?workbook=12_05.xlsx&amp;sheet=U0&amp;row=2115&amp;col=7&amp;number=0.000414&amp;sourceID=14","0.000414")</f>
        <v>0.000414</v>
      </c>
    </row>
    <row r="2116" spans="1:7">
      <c r="A2116" s="3"/>
      <c r="B2116" s="3"/>
      <c r="C2116" s="3"/>
      <c r="D2116" s="3"/>
      <c r="E2116" s="3">
        <v>13</v>
      </c>
      <c r="F2116" s="4" t="str">
        <f>HYPERLINK("http://141.218.60.56/~jnz1568/getInfo.php?workbook=12_05.xlsx&amp;sheet=U0&amp;row=2116&amp;col=6&amp;number=4.2&amp;sourceID=14","4.2")</f>
        <v>4.2</v>
      </c>
      <c r="G2116" s="4" t="str">
        <f>HYPERLINK("http://141.218.60.56/~jnz1568/getInfo.php?workbook=12_05.xlsx&amp;sheet=U0&amp;row=2116&amp;col=7&amp;number=0.000413&amp;sourceID=14","0.000413")</f>
        <v>0.000413</v>
      </c>
    </row>
    <row r="2117" spans="1:7">
      <c r="A2117" s="3"/>
      <c r="B2117" s="3"/>
      <c r="C2117" s="3"/>
      <c r="D2117" s="3"/>
      <c r="E2117" s="3">
        <v>14</v>
      </c>
      <c r="F2117" s="4" t="str">
        <f>HYPERLINK("http://141.218.60.56/~jnz1568/getInfo.php?workbook=12_05.xlsx&amp;sheet=U0&amp;row=2117&amp;col=6&amp;number=4.3&amp;sourceID=14","4.3")</f>
        <v>4.3</v>
      </c>
      <c r="G2117" s="4" t="str">
        <f>HYPERLINK("http://141.218.60.56/~jnz1568/getInfo.php?workbook=12_05.xlsx&amp;sheet=U0&amp;row=2117&amp;col=7&amp;number=0.000412&amp;sourceID=14","0.000412")</f>
        <v>0.000412</v>
      </c>
    </row>
    <row r="2118" spans="1:7">
      <c r="A2118" s="3"/>
      <c r="B2118" s="3"/>
      <c r="C2118" s="3"/>
      <c r="D2118" s="3"/>
      <c r="E2118" s="3">
        <v>15</v>
      </c>
      <c r="F2118" s="4" t="str">
        <f>HYPERLINK("http://141.218.60.56/~jnz1568/getInfo.php?workbook=12_05.xlsx&amp;sheet=U0&amp;row=2118&amp;col=6&amp;number=4.4&amp;sourceID=14","4.4")</f>
        <v>4.4</v>
      </c>
      <c r="G2118" s="4" t="str">
        <f>HYPERLINK("http://141.218.60.56/~jnz1568/getInfo.php?workbook=12_05.xlsx&amp;sheet=U0&amp;row=2118&amp;col=7&amp;number=0.000411&amp;sourceID=14","0.000411")</f>
        <v>0.000411</v>
      </c>
    </row>
    <row r="2119" spans="1:7">
      <c r="A2119" s="3"/>
      <c r="B2119" s="3"/>
      <c r="C2119" s="3"/>
      <c r="D2119" s="3"/>
      <c r="E2119" s="3">
        <v>16</v>
      </c>
      <c r="F2119" s="4" t="str">
        <f>HYPERLINK("http://141.218.60.56/~jnz1568/getInfo.php?workbook=12_05.xlsx&amp;sheet=U0&amp;row=2119&amp;col=6&amp;number=4.5&amp;sourceID=14","4.5")</f>
        <v>4.5</v>
      </c>
      <c r="G2119" s="4" t="str">
        <f>HYPERLINK("http://141.218.60.56/~jnz1568/getInfo.php?workbook=12_05.xlsx&amp;sheet=U0&amp;row=2119&amp;col=7&amp;number=0.000409&amp;sourceID=14","0.000409")</f>
        <v>0.000409</v>
      </c>
    </row>
    <row r="2120" spans="1:7">
      <c r="A2120" s="3"/>
      <c r="B2120" s="3"/>
      <c r="C2120" s="3"/>
      <c r="D2120" s="3"/>
      <c r="E2120" s="3">
        <v>17</v>
      </c>
      <c r="F2120" s="4" t="str">
        <f>HYPERLINK("http://141.218.60.56/~jnz1568/getInfo.php?workbook=12_05.xlsx&amp;sheet=U0&amp;row=2120&amp;col=6&amp;number=4.6&amp;sourceID=14","4.6")</f>
        <v>4.6</v>
      </c>
      <c r="G2120" s="4" t="str">
        <f>HYPERLINK("http://141.218.60.56/~jnz1568/getInfo.php?workbook=12_05.xlsx&amp;sheet=U0&amp;row=2120&amp;col=7&amp;number=0.000407&amp;sourceID=14","0.000407")</f>
        <v>0.000407</v>
      </c>
    </row>
    <row r="2121" spans="1:7">
      <c r="A2121" s="3"/>
      <c r="B2121" s="3"/>
      <c r="C2121" s="3"/>
      <c r="D2121" s="3"/>
      <c r="E2121" s="3">
        <v>18</v>
      </c>
      <c r="F2121" s="4" t="str">
        <f>HYPERLINK("http://141.218.60.56/~jnz1568/getInfo.php?workbook=12_05.xlsx&amp;sheet=U0&amp;row=2121&amp;col=6&amp;number=4.7&amp;sourceID=14","4.7")</f>
        <v>4.7</v>
      </c>
      <c r="G2121" s="4" t="str">
        <f>HYPERLINK("http://141.218.60.56/~jnz1568/getInfo.php?workbook=12_05.xlsx&amp;sheet=U0&amp;row=2121&amp;col=7&amp;number=0.000405&amp;sourceID=14","0.000405")</f>
        <v>0.000405</v>
      </c>
    </row>
    <row r="2122" spans="1:7">
      <c r="A2122" s="3"/>
      <c r="B2122" s="3"/>
      <c r="C2122" s="3"/>
      <c r="D2122" s="3"/>
      <c r="E2122" s="3">
        <v>19</v>
      </c>
      <c r="F2122" s="4" t="str">
        <f>HYPERLINK("http://141.218.60.56/~jnz1568/getInfo.php?workbook=12_05.xlsx&amp;sheet=U0&amp;row=2122&amp;col=6&amp;number=4.8&amp;sourceID=14","4.8")</f>
        <v>4.8</v>
      </c>
      <c r="G2122" s="4" t="str">
        <f>HYPERLINK("http://141.218.60.56/~jnz1568/getInfo.php?workbook=12_05.xlsx&amp;sheet=U0&amp;row=2122&amp;col=7&amp;number=0.000401&amp;sourceID=14","0.000401")</f>
        <v>0.000401</v>
      </c>
    </row>
    <row r="2123" spans="1:7">
      <c r="A2123" s="3"/>
      <c r="B2123" s="3"/>
      <c r="C2123" s="3"/>
      <c r="D2123" s="3"/>
      <c r="E2123" s="3">
        <v>20</v>
      </c>
      <c r="F2123" s="4" t="str">
        <f>HYPERLINK("http://141.218.60.56/~jnz1568/getInfo.php?workbook=12_05.xlsx&amp;sheet=U0&amp;row=2123&amp;col=6&amp;number=4.9&amp;sourceID=14","4.9")</f>
        <v>4.9</v>
      </c>
      <c r="G2123" s="4" t="str">
        <f>HYPERLINK("http://141.218.60.56/~jnz1568/getInfo.php?workbook=12_05.xlsx&amp;sheet=U0&amp;row=2123&amp;col=7&amp;number=0.000397&amp;sourceID=14","0.000397")</f>
        <v>0.000397</v>
      </c>
    </row>
    <row r="2124" spans="1:7">
      <c r="A2124" s="3">
        <v>12</v>
      </c>
      <c r="B2124" s="3">
        <v>5</v>
      </c>
      <c r="C2124" s="3">
        <v>1</v>
      </c>
      <c r="D2124" s="3">
        <v>66</v>
      </c>
      <c r="E2124" s="3">
        <v>1</v>
      </c>
      <c r="F2124" s="4" t="str">
        <f>HYPERLINK("http://141.218.60.56/~jnz1568/getInfo.php?workbook=12_05.xlsx&amp;sheet=U0&amp;row=2124&amp;col=6&amp;number=3&amp;sourceID=14","3")</f>
        <v>3</v>
      </c>
      <c r="G2124" s="4" t="str">
        <f>HYPERLINK("http://141.218.60.56/~jnz1568/getInfo.php?workbook=12_05.xlsx&amp;sheet=U0&amp;row=2124&amp;col=7&amp;number=0.000348&amp;sourceID=14","0.000348")</f>
        <v>0.000348</v>
      </c>
    </row>
    <row r="2125" spans="1:7">
      <c r="A2125" s="3"/>
      <c r="B2125" s="3"/>
      <c r="C2125" s="3"/>
      <c r="D2125" s="3"/>
      <c r="E2125" s="3">
        <v>2</v>
      </c>
      <c r="F2125" s="4" t="str">
        <f>HYPERLINK("http://141.218.60.56/~jnz1568/getInfo.php?workbook=12_05.xlsx&amp;sheet=U0&amp;row=2125&amp;col=6&amp;number=3.1&amp;sourceID=14","3.1")</f>
        <v>3.1</v>
      </c>
      <c r="G2125" s="4" t="str">
        <f>HYPERLINK("http://141.218.60.56/~jnz1568/getInfo.php?workbook=12_05.xlsx&amp;sheet=U0&amp;row=2125&amp;col=7&amp;number=0.000348&amp;sourceID=14","0.000348")</f>
        <v>0.000348</v>
      </c>
    </row>
    <row r="2126" spans="1:7">
      <c r="A2126" s="3"/>
      <c r="B2126" s="3"/>
      <c r="C2126" s="3"/>
      <c r="D2126" s="3"/>
      <c r="E2126" s="3">
        <v>3</v>
      </c>
      <c r="F2126" s="4" t="str">
        <f>HYPERLINK("http://141.218.60.56/~jnz1568/getInfo.php?workbook=12_05.xlsx&amp;sheet=U0&amp;row=2126&amp;col=6&amp;number=3.2&amp;sourceID=14","3.2")</f>
        <v>3.2</v>
      </c>
      <c r="G2126" s="4" t="str">
        <f>HYPERLINK("http://141.218.60.56/~jnz1568/getInfo.php?workbook=12_05.xlsx&amp;sheet=U0&amp;row=2126&amp;col=7&amp;number=0.000348&amp;sourceID=14","0.000348")</f>
        <v>0.000348</v>
      </c>
    </row>
    <row r="2127" spans="1:7">
      <c r="A2127" s="3"/>
      <c r="B2127" s="3"/>
      <c r="C2127" s="3"/>
      <c r="D2127" s="3"/>
      <c r="E2127" s="3">
        <v>4</v>
      </c>
      <c r="F2127" s="4" t="str">
        <f>HYPERLINK("http://141.218.60.56/~jnz1568/getInfo.php?workbook=12_05.xlsx&amp;sheet=U0&amp;row=2127&amp;col=6&amp;number=3.3&amp;sourceID=14","3.3")</f>
        <v>3.3</v>
      </c>
      <c r="G2127" s="4" t="str">
        <f>HYPERLINK("http://141.218.60.56/~jnz1568/getInfo.php?workbook=12_05.xlsx&amp;sheet=U0&amp;row=2127&amp;col=7&amp;number=0.000348&amp;sourceID=14","0.000348")</f>
        <v>0.000348</v>
      </c>
    </row>
    <row r="2128" spans="1:7">
      <c r="A2128" s="3"/>
      <c r="B2128" s="3"/>
      <c r="C2128" s="3"/>
      <c r="D2128" s="3"/>
      <c r="E2128" s="3">
        <v>5</v>
      </c>
      <c r="F2128" s="4" t="str">
        <f>HYPERLINK("http://141.218.60.56/~jnz1568/getInfo.php?workbook=12_05.xlsx&amp;sheet=U0&amp;row=2128&amp;col=6&amp;number=3.4&amp;sourceID=14","3.4")</f>
        <v>3.4</v>
      </c>
      <c r="G2128" s="4" t="str">
        <f>HYPERLINK("http://141.218.60.56/~jnz1568/getInfo.php?workbook=12_05.xlsx&amp;sheet=U0&amp;row=2128&amp;col=7&amp;number=0.000348&amp;sourceID=14","0.000348")</f>
        <v>0.000348</v>
      </c>
    </row>
    <row r="2129" spans="1:7">
      <c r="A2129" s="3"/>
      <c r="B2129" s="3"/>
      <c r="C2129" s="3"/>
      <c r="D2129" s="3"/>
      <c r="E2129" s="3">
        <v>6</v>
      </c>
      <c r="F2129" s="4" t="str">
        <f>HYPERLINK("http://141.218.60.56/~jnz1568/getInfo.php?workbook=12_05.xlsx&amp;sheet=U0&amp;row=2129&amp;col=6&amp;number=3.5&amp;sourceID=14","3.5")</f>
        <v>3.5</v>
      </c>
      <c r="G2129" s="4" t="str">
        <f>HYPERLINK("http://141.218.60.56/~jnz1568/getInfo.php?workbook=12_05.xlsx&amp;sheet=U0&amp;row=2129&amp;col=7&amp;number=0.000347&amp;sourceID=14","0.000347")</f>
        <v>0.000347</v>
      </c>
    </row>
    <row r="2130" spans="1:7">
      <c r="A2130" s="3"/>
      <c r="B2130" s="3"/>
      <c r="C2130" s="3"/>
      <c r="D2130" s="3"/>
      <c r="E2130" s="3">
        <v>7</v>
      </c>
      <c r="F2130" s="4" t="str">
        <f>HYPERLINK("http://141.218.60.56/~jnz1568/getInfo.php?workbook=12_05.xlsx&amp;sheet=U0&amp;row=2130&amp;col=6&amp;number=3.6&amp;sourceID=14","3.6")</f>
        <v>3.6</v>
      </c>
      <c r="G2130" s="4" t="str">
        <f>HYPERLINK("http://141.218.60.56/~jnz1568/getInfo.php?workbook=12_05.xlsx&amp;sheet=U0&amp;row=2130&amp;col=7&amp;number=0.000347&amp;sourceID=14","0.000347")</f>
        <v>0.000347</v>
      </c>
    </row>
    <row r="2131" spans="1:7">
      <c r="A2131" s="3"/>
      <c r="B2131" s="3"/>
      <c r="C2131" s="3"/>
      <c r="D2131" s="3"/>
      <c r="E2131" s="3">
        <v>8</v>
      </c>
      <c r="F2131" s="4" t="str">
        <f>HYPERLINK("http://141.218.60.56/~jnz1568/getInfo.php?workbook=12_05.xlsx&amp;sheet=U0&amp;row=2131&amp;col=6&amp;number=3.7&amp;sourceID=14","3.7")</f>
        <v>3.7</v>
      </c>
      <c r="G2131" s="4" t="str">
        <f>HYPERLINK("http://141.218.60.56/~jnz1568/getInfo.php?workbook=12_05.xlsx&amp;sheet=U0&amp;row=2131&amp;col=7&amp;number=0.000347&amp;sourceID=14","0.000347")</f>
        <v>0.000347</v>
      </c>
    </row>
    <row r="2132" spans="1:7">
      <c r="A2132" s="3"/>
      <c r="B2132" s="3"/>
      <c r="C2132" s="3"/>
      <c r="D2132" s="3"/>
      <c r="E2132" s="3">
        <v>9</v>
      </c>
      <c r="F2132" s="4" t="str">
        <f>HYPERLINK("http://141.218.60.56/~jnz1568/getInfo.php?workbook=12_05.xlsx&amp;sheet=U0&amp;row=2132&amp;col=6&amp;number=3.8&amp;sourceID=14","3.8")</f>
        <v>3.8</v>
      </c>
      <c r="G2132" s="4" t="str">
        <f>HYPERLINK("http://141.218.60.56/~jnz1568/getInfo.php?workbook=12_05.xlsx&amp;sheet=U0&amp;row=2132&amp;col=7&amp;number=0.000346&amp;sourceID=14","0.000346")</f>
        <v>0.000346</v>
      </c>
    </row>
    <row r="2133" spans="1:7">
      <c r="A2133" s="3"/>
      <c r="B2133" s="3"/>
      <c r="C2133" s="3"/>
      <c r="D2133" s="3"/>
      <c r="E2133" s="3">
        <v>10</v>
      </c>
      <c r="F2133" s="4" t="str">
        <f>HYPERLINK("http://141.218.60.56/~jnz1568/getInfo.php?workbook=12_05.xlsx&amp;sheet=U0&amp;row=2133&amp;col=6&amp;number=3.9&amp;sourceID=14","3.9")</f>
        <v>3.9</v>
      </c>
      <c r="G2133" s="4" t="str">
        <f>HYPERLINK("http://141.218.60.56/~jnz1568/getInfo.php?workbook=12_05.xlsx&amp;sheet=U0&amp;row=2133&amp;col=7&amp;number=0.000346&amp;sourceID=14","0.000346")</f>
        <v>0.000346</v>
      </c>
    </row>
    <row r="2134" spans="1:7">
      <c r="A2134" s="3"/>
      <c r="B2134" s="3"/>
      <c r="C2134" s="3"/>
      <c r="D2134" s="3"/>
      <c r="E2134" s="3">
        <v>11</v>
      </c>
      <c r="F2134" s="4" t="str">
        <f>HYPERLINK("http://141.218.60.56/~jnz1568/getInfo.php?workbook=12_05.xlsx&amp;sheet=U0&amp;row=2134&amp;col=6&amp;number=4&amp;sourceID=14","4")</f>
        <v>4</v>
      </c>
      <c r="G2134" s="4" t="str">
        <f>HYPERLINK("http://141.218.60.56/~jnz1568/getInfo.php?workbook=12_05.xlsx&amp;sheet=U0&amp;row=2134&amp;col=7&amp;number=0.000345&amp;sourceID=14","0.000345")</f>
        <v>0.000345</v>
      </c>
    </row>
    <row r="2135" spans="1:7">
      <c r="A2135" s="3"/>
      <c r="B2135" s="3"/>
      <c r="C2135" s="3"/>
      <c r="D2135" s="3"/>
      <c r="E2135" s="3">
        <v>12</v>
      </c>
      <c r="F2135" s="4" t="str">
        <f>HYPERLINK("http://141.218.60.56/~jnz1568/getInfo.php?workbook=12_05.xlsx&amp;sheet=U0&amp;row=2135&amp;col=6&amp;number=4.1&amp;sourceID=14","4.1")</f>
        <v>4.1</v>
      </c>
      <c r="G2135" s="4" t="str">
        <f>HYPERLINK("http://141.218.60.56/~jnz1568/getInfo.php?workbook=12_05.xlsx&amp;sheet=U0&amp;row=2135&amp;col=7&amp;number=0.000344&amp;sourceID=14","0.000344")</f>
        <v>0.000344</v>
      </c>
    </row>
    <row r="2136" spans="1:7">
      <c r="A2136" s="3"/>
      <c r="B2136" s="3"/>
      <c r="C2136" s="3"/>
      <c r="D2136" s="3"/>
      <c r="E2136" s="3">
        <v>13</v>
      </c>
      <c r="F2136" s="4" t="str">
        <f>HYPERLINK("http://141.218.60.56/~jnz1568/getInfo.php?workbook=12_05.xlsx&amp;sheet=U0&amp;row=2136&amp;col=6&amp;number=4.2&amp;sourceID=14","4.2")</f>
        <v>4.2</v>
      </c>
      <c r="G2136" s="4" t="str">
        <f>HYPERLINK("http://141.218.60.56/~jnz1568/getInfo.php?workbook=12_05.xlsx&amp;sheet=U0&amp;row=2136&amp;col=7&amp;number=0.000343&amp;sourceID=14","0.000343")</f>
        <v>0.000343</v>
      </c>
    </row>
    <row r="2137" spans="1:7">
      <c r="A2137" s="3"/>
      <c r="B2137" s="3"/>
      <c r="C2137" s="3"/>
      <c r="D2137" s="3"/>
      <c r="E2137" s="3">
        <v>14</v>
      </c>
      <c r="F2137" s="4" t="str">
        <f>HYPERLINK("http://141.218.60.56/~jnz1568/getInfo.php?workbook=12_05.xlsx&amp;sheet=U0&amp;row=2137&amp;col=6&amp;number=4.3&amp;sourceID=14","4.3")</f>
        <v>4.3</v>
      </c>
      <c r="G2137" s="4" t="str">
        <f>HYPERLINK("http://141.218.60.56/~jnz1568/getInfo.php?workbook=12_05.xlsx&amp;sheet=U0&amp;row=2137&amp;col=7&amp;number=0.000341&amp;sourceID=14","0.000341")</f>
        <v>0.000341</v>
      </c>
    </row>
    <row r="2138" spans="1:7">
      <c r="A2138" s="3"/>
      <c r="B2138" s="3"/>
      <c r="C2138" s="3"/>
      <c r="D2138" s="3"/>
      <c r="E2138" s="3">
        <v>15</v>
      </c>
      <c r="F2138" s="4" t="str">
        <f>HYPERLINK("http://141.218.60.56/~jnz1568/getInfo.php?workbook=12_05.xlsx&amp;sheet=U0&amp;row=2138&amp;col=6&amp;number=4.4&amp;sourceID=14","4.4")</f>
        <v>4.4</v>
      </c>
      <c r="G2138" s="4" t="str">
        <f>HYPERLINK("http://141.218.60.56/~jnz1568/getInfo.php?workbook=12_05.xlsx&amp;sheet=U0&amp;row=2138&amp;col=7&amp;number=0.000339&amp;sourceID=14","0.000339")</f>
        <v>0.000339</v>
      </c>
    </row>
    <row r="2139" spans="1:7">
      <c r="A2139" s="3"/>
      <c r="B2139" s="3"/>
      <c r="C2139" s="3"/>
      <c r="D2139" s="3"/>
      <c r="E2139" s="3">
        <v>16</v>
      </c>
      <c r="F2139" s="4" t="str">
        <f>HYPERLINK("http://141.218.60.56/~jnz1568/getInfo.php?workbook=12_05.xlsx&amp;sheet=U0&amp;row=2139&amp;col=6&amp;number=4.5&amp;sourceID=14","4.5")</f>
        <v>4.5</v>
      </c>
      <c r="G2139" s="4" t="str">
        <f>HYPERLINK("http://141.218.60.56/~jnz1568/getInfo.php?workbook=12_05.xlsx&amp;sheet=U0&amp;row=2139&amp;col=7&amp;number=0.000337&amp;sourceID=14","0.000337")</f>
        <v>0.000337</v>
      </c>
    </row>
    <row r="2140" spans="1:7">
      <c r="A2140" s="3"/>
      <c r="B2140" s="3"/>
      <c r="C2140" s="3"/>
      <c r="D2140" s="3"/>
      <c r="E2140" s="3">
        <v>17</v>
      </c>
      <c r="F2140" s="4" t="str">
        <f>HYPERLINK("http://141.218.60.56/~jnz1568/getInfo.php?workbook=12_05.xlsx&amp;sheet=U0&amp;row=2140&amp;col=6&amp;number=4.6&amp;sourceID=14","4.6")</f>
        <v>4.6</v>
      </c>
      <c r="G2140" s="4" t="str">
        <f>HYPERLINK("http://141.218.60.56/~jnz1568/getInfo.php?workbook=12_05.xlsx&amp;sheet=U0&amp;row=2140&amp;col=7&amp;number=0.000334&amp;sourceID=14","0.000334")</f>
        <v>0.000334</v>
      </c>
    </row>
    <row r="2141" spans="1:7">
      <c r="A2141" s="3"/>
      <c r="B2141" s="3"/>
      <c r="C2141" s="3"/>
      <c r="D2141" s="3"/>
      <c r="E2141" s="3">
        <v>18</v>
      </c>
      <c r="F2141" s="4" t="str">
        <f>HYPERLINK("http://141.218.60.56/~jnz1568/getInfo.php?workbook=12_05.xlsx&amp;sheet=U0&amp;row=2141&amp;col=6&amp;number=4.7&amp;sourceID=14","4.7")</f>
        <v>4.7</v>
      </c>
      <c r="G2141" s="4" t="str">
        <f>HYPERLINK("http://141.218.60.56/~jnz1568/getInfo.php?workbook=12_05.xlsx&amp;sheet=U0&amp;row=2141&amp;col=7&amp;number=0.00033&amp;sourceID=14","0.00033")</f>
        <v>0.00033</v>
      </c>
    </row>
    <row r="2142" spans="1:7">
      <c r="A2142" s="3"/>
      <c r="B2142" s="3"/>
      <c r="C2142" s="3"/>
      <c r="D2142" s="3"/>
      <c r="E2142" s="3">
        <v>19</v>
      </c>
      <c r="F2142" s="4" t="str">
        <f>HYPERLINK("http://141.218.60.56/~jnz1568/getInfo.php?workbook=12_05.xlsx&amp;sheet=U0&amp;row=2142&amp;col=6&amp;number=4.8&amp;sourceID=14","4.8")</f>
        <v>4.8</v>
      </c>
      <c r="G2142" s="4" t="str">
        <f>HYPERLINK("http://141.218.60.56/~jnz1568/getInfo.php?workbook=12_05.xlsx&amp;sheet=U0&amp;row=2142&amp;col=7&amp;number=0.000326&amp;sourceID=14","0.000326")</f>
        <v>0.000326</v>
      </c>
    </row>
    <row r="2143" spans="1:7">
      <c r="A2143" s="3"/>
      <c r="B2143" s="3"/>
      <c r="C2143" s="3"/>
      <c r="D2143" s="3"/>
      <c r="E2143" s="3">
        <v>20</v>
      </c>
      <c r="F2143" s="4" t="str">
        <f>HYPERLINK("http://141.218.60.56/~jnz1568/getInfo.php?workbook=12_05.xlsx&amp;sheet=U0&amp;row=2143&amp;col=6&amp;number=4.9&amp;sourceID=14","4.9")</f>
        <v>4.9</v>
      </c>
      <c r="G2143" s="4" t="str">
        <f>HYPERLINK("http://141.218.60.56/~jnz1568/getInfo.php?workbook=12_05.xlsx&amp;sheet=U0&amp;row=2143&amp;col=7&amp;number=0.00032&amp;sourceID=14","0.00032")</f>
        <v>0.00032</v>
      </c>
    </row>
    <row r="2144" spans="1:7">
      <c r="A2144" s="3">
        <v>12</v>
      </c>
      <c r="B2144" s="3">
        <v>5</v>
      </c>
      <c r="C2144" s="3">
        <v>1</v>
      </c>
      <c r="D2144" s="3">
        <v>67</v>
      </c>
      <c r="E2144" s="3">
        <v>1</v>
      </c>
      <c r="F2144" s="4" t="str">
        <f>HYPERLINK("http://141.218.60.56/~jnz1568/getInfo.php?workbook=12_05.xlsx&amp;sheet=U0&amp;row=2144&amp;col=6&amp;number=3&amp;sourceID=14","3")</f>
        <v>3</v>
      </c>
      <c r="G2144" s="4" t="str">
        <f>HYPERLINK("http://141.218.60.56/~jnz1568/getInfo.php?workbook=12_05.xlsx&amp;sheet=U0&amp;row=2144&amp;col=7&amp;number=0.000324&amp;sourceID=14","0.000324")</f>
        <v>0.000324</v>
      </c>
    </row>
    <row r="2145" spans="1:7">
      <c r="A2145" s="3"/>
      <c r="B2145" s="3"/>
      <c r="C2145" s="3"/>
      <c r="D2145" s="3"/>
      <c r="E2145" s="3">
        <v>2</v>
      </c>
      <c r="F2145" s="4" t="str">
        <f>HYPERLINK("http://141.218.60.56/~jnz1568/getInfo.php?workbook=12_05.xlsx&amp;sheet=U0&amp;row=2145&amp;col=6&amp;number=3.1&amp;sourceID=14","3.1")</f>
        <v>3.1</v>
      </c>
      <c r="G2145" s="4" t="str">
        <f>HYPERLINK("http://141.218.60.56/~jnz1568/getInfo.php?workbook=12_05.xlsx&amp;sheet=U0&amp;row=2145&amp;col=7&amp;number=0.000324&amp;sourceID=14","0.000324")</f>
        <v>0.000324</v>
      </c>
    </row>
    <row r="2146" spans="1:7">
      <c r="A2146" s="3"/>
      <c r="B2146" s="3"/>
      <c r="C2146" s="3"/>
      <c r="D2146" s="3"/>
      <c r="E2146" s="3">
        <v>3</v>
      </c>
      <c r="F2146" s="4" t="str">
        <f>HYPERLINK("http://141.218.60.56/~jnz1568/getInfo.php?workbook=12_05.xlsx&amp;sheet=U0&amp;row=2146&amp;col=6&amp;number=3.2&amp;sourceID=14","3.2")</f>
        <v>3.2</v>
      </c>
      <c r="G2146" s="4" t="str">
        <f>HYPERLINK("http://141.218.60.56/~jnz1568/getInfo.php?workbook=12_05.xlsx&amp;sheet=U0&amp;row=2146&amp;col=7&amp;number=0.000324&amp;sourceID=14","0.000324")</f>
        <v>0.000324</v>
      </c>
    </row>
    <row r="2147" spans="1:7">
      <c r="A2147" s="3"/>
      <c r="B2147" s="3"/>
      <c r="C2147" s="3"/>
      <c r="D2147" s="3"/>
      <c r="E2147" s="3">
        <v>4</v>
      </c>
      <c r="F2147" s="4" t="str">
        <f>HYPERLINK("http://141.218.60.56/~jnz1568/getInfo.php?workbook=12_05.xlsx&amp;sheet=U0&amp;row=2147&amp;col=6&amp;number=3.3&amp;sourceID=14","3.3")</f>
        <v>3.3</v>
      </c>
      <c r="G2147" s="4" t="str">
        <f>HYPERLINK("http://141.218.60.56/~jnz1568/getInfo.php?workbook=12_05.xlsx&amp;sheet=U0&amp;row=2147&amp;col=7&amp;number=0.000324&amp;sourceID=14","0.000324")</f>
        <v>0.000324</v>
      </c>
    </row>
    <row r="2148" spans="1:7">
      <c r="A2148" s="3"/>
      <c r="B2148" s="3"/>
      <c r="C2148" s="3"/>
      <c r="D2148" s="3"/>
      <c r="E2148" s="3">
        <v>5</v>
      </c>
      <c r="F2148" s="4" t="str">
        <f>HYPERLINK("http://141.218.60.56/~jnz1568/getInfo.php?workbook=12_05.xlsx&amp;sheet=U0&amp;row=2148&amp;col=6&amp;number=3.4&amp;sourceID=14","3.4")</f>
        <v>3.4</v>
      </c>
      <c r="G2148" s="4" t="str">
        <f>HYPERLINK("http://141.218.60.56/~jnz1568/getInfo.php?workbook=12_05.xlsx&amp;sheet=U0&amp;row=2148&amp;col=7&amp;number=0.000324&amp;sourceID=14","0.000324")</f>
        <v>0.000324</v>
      </c>
    </row>
    <row r="2149" spans="1:7">
      <c r="A2149" s="3"/>
      <c r="B2149" s="3"/>
      <c r="C2149" s="3"/>
      <c r="D2149" s="3"/>
      <c r="E2149" s="3">
        <v>6</v>
      </c>
      <c r="F2149" s="4" t="str">
        <f>HYPERLINK("http://141.218.60.56/~jnz1568/getInfo.php?workbook=12_05.xlsx&amp;sheet=U0&amp;row=2149&amp;col=6&amp;number=3.5&amp;sourceID=14","3.5")</f>
        <v>3.5</v>
      </c>
      <c r="G2149" s="4" t="str">
        <f>HYPERLINK("http://141.218.60.56/~jnz1568/getInfo.php?workbook=12_05.xlsx&amp;sheet=U0&amp;row=2149&amp;col=7&amp;number=0.000324&amp;sourceID=14","0.000324")</f>
        <v>0.000324</v>
      </c>
    </row>
    <row r="2150" spans="1:7">
      <c r="A2150" s="3"/>
      <c r="B2150" s="3"/>
      <c r="C2150" s="3"/>
      <c r="D2150" s="3"/>
      <c r="E2150" s="3">
        <v>7</v>
      </c>
      <c r="F2150" s="4" t="str">
        <f>HYPERLINK("http://141.218.60.56/~jnz1568/getInfo.php?workbook=12_05.xlsx&amp;sheet=U0&amp;row=2150&amp;col=6&amp;number=3.6&amp;sourceID=14","3.6")</f>
        <v>3.6</v>
      </c>
      <c r="G2150" s="4" t="str">
        <f>HYPERLINK("http://141.218.60.56/~jnz1568/getInfo.php?workbook=12_05.xlsx&amp;sheet=U0&amp;row=2150&amp;col=7&amp;number=0.000323&amp;sourceID=14","0.000323")</f>
        <v>0.000323</v>
      </c>
    </row>
    <row r="2151" spans="1:7">
      <c r="A2151" s="3"/>
      <c r="B2151" s="3"/>
      <c r="C2151" s="3"/>
      <c r="D2151" s="3"/>
      <c r="E2151" s="3">
        <v>8</v>
      </c>
      <c r="F2151" s="4" t="str">
        <f>HYPERLINK("http://141.218.60.56/~jnz1568/getInfo.php?workbook=12_05.xlsx&amp;sheet=U0&amp;row=2151&amp;col=6&amp;number=3.7&amp;sourceID=14","3.7")</f>
        <v>3.7</v>
      </c>
      <c r="G2151" s="4" t="str">
        <f>HYPERLINK("http://141.218.60.56/~jnz1568/getInfo.php?workbook=12_05.xlsx&amp;sheet=U0&amp;row=2151&amp;col=7&amp;number=0.000323&amp;sourceID=14","0.000323")</f>
        <v>0.000323</v>
      </c>
    </row>
    <row r="2152" spans="1:7">
      <c r="A2152" s="3"/>
      <c r="B2152" s="3"/>
      <c r="C2152" s="3"/>
      <c r="D2152" s="3"/>
      <c r="E2152" s="3">
        <v>9</v>
      </c>
      <c r="F2152" s="4" t="str">
        <f>HYPERLINK("http://141.218.60.56/~jnz1568/getInfo.php?workbook=12_05.xlsx&amp;sheet=U0&amp;row=2152&amp;col=6&amp;number=3.8&amp;sourceID=14","3.8")</f>
        <v>3.8</v>
      </c>
      <c r="G2152" s="4" t="str">
        <f>HYPERLINK("http://141.218.60.56/~jnz1568/getInfo.php?workbook=12_05.xlsx&amp;sheet=U0&amp;row=2152&amp;col=7&amp;number=0.000323&amp;sourceID=14","0.000323")</f>
        <v>0.000323</v>
      </c>
    </row>
    <row r="2153" spans="1:7">
      <c r="A2153" s="3"/>
      <c r="B2153" s="3"/>
      <c r="C2153" s="3"/>
      <c r="D2153" s="3"/>
      <c r="E2153" s="3">
        <v>10</v>
      </c>
      <c r="F2153" s="4" t="str">
        <f>HYPERLINK("http://141.218.60.56/~jnz1568/getInfo.php?workbook=12_05.xlsx&amp;sheet=U0&amp;row=2153&amp;col=6&amp;number=3.9&amp;sourceID=14","3.9")</f>
        <v>3.9</v>
      </c>
      <c r="G2153" s="4" t="str">
        <f>HYPERLINK("http://141.218.60.56/~jnz1568/getInfo.php?workbook=12_05.xlsx&amp;sheet=U0&amp;row=2153&amp;col=7&amp;number=0.000322&amp;sourceID=14","0.000322")</f>
        <v>0.000322</v>
      </c>
    </row>
    <row r="2154" spans="1:7">
      <c r="A2154" s="3"/>
      <c r="B2154" s="3"/>
      <c r="C2154" s="3"/>
      <c r="D2154" s="3"/>
      <c r="E2154" s="3">
        <v>11</v>
      </c>
      <c r="F2154" s="4" t="str">
        <f>HYPERLINK("http://141.218.60.56/~jnz1568/getInfo.php?workbook=12_05.xlsx&amp;sheet=U0&amp;row=2154&amp;col=6&amp;number=4&amp;sourceID=14","4")</f>
        <v>4</v>
      </c>
      <c r="G2154" s="4" t="str">
        <f>HYPERLINK("http://141.218.60.56/~jnz1568/getInfo.php?workbook=12_05.xlsx&amp;sheet=U0&amp;row=2154&amp;col=7&amp;number=0.000321&amp;sourceID=14","0.000321")</f>
        <v>0.000321</v>
      </c>
    </row>
    <row r="2155" spans="1:7">
      <c r="A2155" s="3"/>
      <c r="B2155" s="3"/>
      <c r="C2155" s="3"/>
      <c r="D2155" s="3"/>
      <c r="E2155" s="3">
        <v>12</v>
      </c>
      <c r="F2155" s="4" t="str">
        <f>HYPERLINK("http://141.218.60.56/~jnz1568/getInfo.php?workbook=12_05.xlsx&amp;sheet=U0&amp;row=2155&amp;col=6&amp;number=4.1&amp;sourceID=14","4.1")</f>
        <v>4.1</v>
      </c>
      <c r="G2155" s="4" t="str">
        <f>HYPERLINK("http://141.218.60.56/~jnz1568/getInfo.php?workbook=12_05.xlsx&amp;sheet=U0&amp;row=2155&amp;col=7&amp;number=0.00032&amp;sourceID=14","0.00032")</f>
        <v>0.00032</v>
      </c>
    </row>
    <row r="2156" spans="1:7">
      <c r="A2156" s="3"/>
      <c r="B2156" s="3"/>
      <c r="C2156" s="3"/>
      <c r="D2156" s="3"/>
      <c r="E2156" s="3">
        <v>13</v>
      </c>
      <c r="F2156" s="4" t="str">
        <f>HYPERLINK("http://141.218.60.56/~jnz1568/getInfo.php?workbook=12_05.xlsx&amp;sheet=U0&amp;row=2156&amp;col=6&amp;number=4.2&amp;sourceID=14","4.2")</f>
        <v>4.2</v>
      </c>
      <c r="G2156" s="4" t="str">
        <f>HYPERLINK("http://141.218.60.56/~jnz1568/getInfo.php?workbook=12_05.xlsx&amp;sheet=U0&amp;row=2156&amp;col=7&amp;number=0.000319&amp;sourceID=14","0.000319")</f>
        <v>0.000319</v>
      </c>
    </row>
    <row r="2157" spans="1:7">
      <c r="A2157" s="3"/>
      <c r="B2157" s="3"/>
      <c r="C2157" s="3"/>
      <c r="D2157" s="3"/>
      <c r="E2157" s="3">
        <v>14</v>
      </c>
      <c r="F2157" s="4" t="str">
        <f>HYPERLINK("http://141.218.60.56/~jnz1568/getInfo.php?workbook=12_05.xlsx&amp;sheet=U0&amp;row=2157&amp;col=6&amp;number=4.3&amp;sourceID=14","4.3")</f>
        <v>4.3</v>
      </c>
      <c r="G2157" s="4" t="str">
        <f>HYPERLINK("http://141.218.60.56/~jnz1568/getInfo.php?workbook=12_05.xlsx&amp;sheet=U0&amp;row=2157&amp;col=7&amp;number=0.000318&amp;sourceID=14","0.000318")</f>
        <v>0.000318</v>
      </c>
    </row>
    <row r="2158" spans="1:7">
      <c r="A2158" s="3"/>
      <c r="B2158" s="3"/>
      <c r="C2158" s="3"/>
      <c r="D2158" s="3"/>
      <c r="E2158" s="3">
        <v>15</v>
      </c>
      <c r="F2158" s="4" t="str">
        <f>HYPERLINK("http://141.218.60.56/~jnz1568/getInfo.php?workbook=12_05.xlsx&amp;sheet=U0&amp;row=2158&amp;col=6&amp;number=4.4&amp;sourceID=14","4.4")</f>
        <v>4.4</v>
      </c>
      <c r="G2158" s="4" t="str">
        <f>HYPERLINK("http://141.218.60.56/~jnz1568/getInfo.php?workbook=12_05.xlsx&amp;sheet=U0&amp;row=2158&amp;col=7&amp;number=0.000316&amp;sourceID=14","0.000316")</f>
        <v>0.000316</v>
      </c>
    </row>
    <row r="2159" spans="1:7">
      <c r="A2159" s="3"/>
      <c r="B2159" s="3"/>
      <c r="C2159" s="3"/>
      <c r="D2159" s="3"/>
      <c r="E2159" s="3">
        <v>16</v>
      </c>
      <c r="F2159" s="4" t="str">
        <f>HYPERLINK("http://141.218.60.56/~jnz1568/getInfo.php?workbook=12_05.xlsx&amp;sheet=U0&amp;row=2159&amp;col=6&amp;number=4.5&amp;sourceID=14","4.5")</f>
        <v>4.5</v>
      </c>
      <c r="G2159" s="4" t="str">
        <f>HYPERLINK("http://141.218.60.56/~jnz1568/getInfo.php?workbook=12_05.xlsx&amp;sheet=U0&amp;row=2159&amp;col=7&amp;number=0.000314&amp;sourceID=14","0.000314")</f>
        <v>0.000314</v>
      </c>
    </row>
    <row r="2160" spans="1:7">
      <c r="A2160" s="3"/>
      <c r="B2160" s="3"/>
      <c r="C2160" s="3"/>
      <c r="D2160" s="3"/>
      <c r="E2160" s="3">
        <v>17</v>
      </c>
      <c r="F2160" s="4" t="str">
        <f>HYPERLINK("http://141.218.60.56/~jnz1568/getInfo.php?workbook=12_05.xlsx&amp;sheet=U0&amp;row=2160&amp;col=6&amp;number=4.6&amp;sourceID=14","4.6")</f>
        <v>4.6</v>
      </c>
      <c r="G2160" s="4" t="str">
        <f>HYPERLINK("http://141.218.60.56/~jnz1568/getInfo.php?workbook=12_05.xlsx&amp;sheet=U0&amp;row=2160&amp;col=7&amp;number=0.000311&amp;sourceID=14","0.000311")</f>
        <v>0.000311</v>
      </c>
    </row>
    <row r="2161" spans="1:7">
      <c r="A2161" s="3"/>
      <c r="B2161" s="3"/>
      <c r="C2161" s="3"/>
      <c r="D2161" s="3"/>
      <c r="E2161" s="3">
        <v>18</v>
      </c>
      <c r="F2161" s="4" t="str">
        <f>HYPERLINK("http://141.218.60.56/~jnz1568/getInfo.php?workbook=12_05.xlsx&amp;sheet=U0&amp;row=2161&amp;col=6&amp;number=4.7&amp;sourceID=14","4.7")</f>
        <v>4.7</v>
      </c>
      <c r="G2161" s="4" t="str">
        <f>HYPERLINK("http://141.218.60.56/~jnz1568/getInfo.php?workbook=12_05.xlsx&amp;sheet=U0&amp;row=2161&amp;col=7&amp;number=0.000308&amp;sourceID=14","0.000308")</f>
        <v>0.000308</v>
      </c>
    </row>
    <row r="2162" spans="1:7">
      <c r="A2162" s="3"/>
      <c r="B2162" s="3"/>
      <c r="C2162" s="3"/>
      <c r="D2162" s="3"/>
      <c r="E2162" s="3">
        <v>19</v>
      </c>
      <c r="F2162" s="4" t="str">
        <f>HYPERLINK("http://141.218.60.56/~jnz1568/getInfo.php?workbook=12_05.xlsx&amp;sheet=U0&amp;row=2162&amp;col=6&amp;number=4.8&amp;sourceID=14","4.8")</f>
        <v>4.8</v>
      </c>
      <c r="G2162" s="4" t="str">
        <f>HYPERLINK("http://141.218.60.56/~jnz1568/getInfo.php?workbook=12_05.xlsx&amp;sheet=U0&amp;row=2162&amp;col=7&amp;number=0.000304&amp;sourceID=14","0.000304")</f>
        <v>0.000304</v>
      </c>
    </row>
    <row r="2163" spans="1:7">
      <c r="A2163" s="3"/>
      <c r="B2163" s="3"/>
      <c r="C2163" s="3"/>
      <c r="D2163" s="3"/>
      <c r="E2163" s="3">
        <v>20</v>
      </c>
      <c r="F2163" s="4" t="str">
        <f>HYPERLINK("http://141.218.60.56/~jnz1568/getInfo.php?workbook=12_05.xlsx&amp;sheet=U0&amp;row=2163&amp;col=6&amp;number=4.9&amp;sourceID=14","4.9")</f>
        <v>4.9</v>
      </c>
      <c r="G2163" s="4" t="str">
        <f>HYPERLINK("http://141.218.60.56/~jnz1568/getInfo.php?workbook=12_05.xlsx&amp;sheet=U0&amp;row=2163&amp;col=7&amp;number=0.000299&amp;sourceID=14","0.000299")</f>
        <v>0.000299</v>
      </c>
    </row>
    <row r="2164" spans="1:7">
      <c r="A2164" s="3">
        <v>12</v>
      </c>
      <c r="B2164" s="3">
        <v>5</v>
      </c>
      <c r="C2164" s="3">
        <v>1</v>
      </c>
      <c r="D2164" s="3">
        <v>68</v>
      </c>
      <c r="E2164" s="3">
        <v>1</v>
      </c>
      <c r="F2164" s="4" t="str">
        <f>HYPERLINK("http://141.218.60.56/~jnz1568/getInfo.php?workbook=12_05.xlsx&amp;sheet=U0&amp;row=2164&amp;col=6&amp;number=3&amp;sourceID=14","3")</f>
        <v>3</v>
      </c>
      <c r="G2164" s="4" t="str">
        <f>HYPERLINK("http://141.218.60.56/~jnz1568/getInfo.php?workbook=12_05.xlsx&amp;sheet=U0&amp;row=2164&amp;col=7&amp;number=0.000151&amp;sourceID=14","0.000151")</f>
        <v>0.000151</v>
      </c>
    </row>
    <row r="2165" spans="1:7">
      <c r="A2165" s="3"/>
      <c r="B2165" s="3"/>
      <c r="C2165" s="3"/>
      <c r="D2165" s="3"/>
      <c r="E2165" s="3">
        <v>2</v>
      </c>
      <c r="F2165" s="4" t="str">
        <f>HYPERLINK("http://141.218.60.56/~jnz1568/getInfo.php?workbook=12_05.xlsx&amp;sheet=U0&amp;row=2165&amp;col=6&amp;number=3.1&amp;sourceID=14","3.1")</f>
        <v>3.1</v>
      </c>
      <c r="G2165" s="4" t="str">
        <f>HYPERLINK("http://141.218.60.56/~jnz1568/getInfo.php?workbook=12_05.xlsx&amp;sheet=U0&amp;row=2165&amp;col=7&amp;number=0.000151&amp;sourceID=14","0.000151")</f>
        <v>0.000151</v>
      </c>
    </row>
    <row r="2166" spans="1:7">
      <c r="A2166" s="3"/>
      <c r="B2166" s="3"/>
      <c r="C2166" s="3"/>
      <c r="D2166" s="3"/>
      <c r="E2166" s="3">
        <v>3</v>
      </c>
      <c r="F2166" s="4" t="str">
        <f>HYPERLINK("http://141.218.60.56/~jnz1568/getInfo.php?workbook=12_05.xlsx&amp;sheet=U0&amp;row=2166&amp;col=6&amp;number=3.2&amp;sourceID=14","3.2")</f>
        <v>3.2</v>
      </c>
      <c r="G2166" s="4" t="str">
        <f>HYPERLINK("http://141.218.60.56/~jnz1568/getInfo.php?workbook=12_05.xlsx&amp;sheet=U0&amp;row=2166&amp;col=7&amp;number=0.000151&amp;sourceID=14","0.000151")</f>
        <v>0.000151</v>
      </c>
    </row>
    <row r="2167" spans="1:7">
      <c r="A2167" s="3"/>
      <c r="B2167" s="3"/>
      <c r="C2167" s="3"/>
      <c r="D2167" s="3"/>
      <c r="E2167" s="3">
        <v>4</v>
      </c>
      <c r="F2167" s="4" t="str">
        <f>HYPERLINK("http://141.218.60.56/~jnz1568/getInfo.php?workbook=12_05.xlsx&amp;sheet=U0&amp;row=2167&amp;col=6&amp;number=3.3&amp;sourceID=14","3.3")</f>
        <v>3.3</v>
      </c>
      <c r="G2167" s="4" t="str">
        <f>HYPERLINK("http://141.218.60.56/~jnz1568/getInfo.php?workbook=12_05.xlsx&amp;sheet=U0&amp;row=2167&amp;col=7&amp;number=0.000151&amp;sourceID=14","0.000151")</f>
        <v>0.000151</v>
      </c>
    </row>
    <row r="2168" spans="1:7">
      <c r="A2168" s="3"/>
      <c r="B2168" s="3"/>
      <c r="C2168" s="3"/>
      <c r="D2168" s="3"/>
      <c r="E2168" s="3">
        <v>5</v>
      </c>
      <c r="F2168" s="4" t="str">
        <f>HYPERLINK("http://141.218.60.56/~jnz1568/getInfo.php?workbook=12_05.xlsx&amp;sheet=U0&amp;row=2168&amp;col=6&amp;number=3.4&amp;sourceID=14","3.4")</f>
        <v>3.4</v>
      </c>
      <c r="G2168" s="4" t="str">
        <f>HYPERLINK("http://141.218.60.56/~jnz1568/getInfo.php?workbook=12_05.xlsx&amp;sheet=U0&amp;row=2168&amp;col=7&amp;number=0.000151&amp;sourceID=14","0.000151")</f>
        <v>0.000151</v>
      </c>
    </row>
    <row r="2169" spans="1:7">
      <c r="A2169" s="3"/>
      <c r="B2169" s="3"/>
      <c r="C2169" s="3"/>
      <c r="D2169" s="3"/>
      <c r="E2169" s="3">
        <v>6</v>
      </c>
      <c r="F2169" s="4" t="str">
        <f>HYPERLINK("http://141.218.60.56/~jnz1568/getInfo.php?workbook=12_05.xlsx&amp;sheet=U0&amp;row=2169&amp;col=6&amp;number=3.5&amp;sourceID=14","3.5")</f>
        <v>3.5</v>
      </c>
      <c r="G2169" s="4" t="str">
        <f>HYPERLINK("http://141.218.60.56/~jnz1568/getInfo.php?workbook=12_05.xlsx&amp;sheet=U0&amp;row=2169&amp;col=7&amp;number=0.000151&amp;sourceID=14","0.000151")</f>
        <v>0.000151</v>
      </c>
    </row>
    <row r="2170" spans="1:7">
      <c r="A2170" s="3"/>
      <c r="B2170" s="3"/>
      <c r="C2170" s="3"/>
      <c r="D2170" s="3"/>
      <c r="E2170" s="3">
        <v>7</v>
      </c>
      <c r="F2170" s="4" t="str">
        <f>HYPERLINK("http://141.218.60.56/~jnz1568/getInfo.php?workbook=12_05.xlsx&amp;sheet=U0&amp;row=2170&amp;col=6&amp;number=3.6&amp;sourceID=14","3.6")</f>
        <v>3.6</v>
      </c>
      <c r="G2170" s="4" t="str">
        <f>HYPERLINK("http://141.218.60.56/~jnz1568/getInfo.php?workbook=12_05.xlsx&amp;sheet=U0&amp;row=2170&amp;col=7&amp;number=0.000151&amp;sourceID=14","0.000151")</f>
        <v>0.000151</v>
      </c>
    </row>
    <row r="2171" spans="1:7">
      <c r="A2171" s="3"/>
      <c r="B2171" s="3"/>
      <c r="C2171" s="3"/>
      <c r="D2171" s="3"/>
      <c r="E2171" s="3">
        <v>8</v>
      </c>
      <c r="F2171" s="4" t="str">
        <f>HYPERLINK("http://141.218.60.56/~jnz1568/getInfo.php?workbook=12_05.xlsx&amp;sheet=U0&amp;row=2171&amp;col=6&amp;number=3.7&amp;sourceID=14","3.7")</f>
        <v>3.7</v>
      </c>
      <c r="G2171" s="4" t="str">
        <f>HYPERLINK("http://141.218.60.56/~jnz1568/getInfo.php?workbook=12_05.xlsx&amp;sheet=U0&amp;row=2171&amp;col=7&amp;number=0.000151&amp;sourceID=14","0.000151")</f>
        <v>0.000151</v>
      </c>
    </row>
    <row r="2172" spans="1:7">
      <c r="A2172" s="3"/>
      <c r="B2172" s="3"/>
      <c r="C2172" s="3"/>
      <c r="D2172" s="3"/>
      <c r="E2172" s="3">
        <v>9</v>
      </c>
      <c r="F2172" s="4" t="str">
        <f>HYPERLINK("http://141.218.60.56/~jnz1568/getInfo.php?workbook=12_05.xlsx&amp;sheet=U0&amp;row=2172&amp;col=6&amp;number=3.8&amp;sourceID=14","3.8")</f>
        <v>3.8</v>
      </c>
      <c r="G2172" s="4" t="str">
        <f>HYPERLINK("http://141.218.60.56/~jnz1568/getInfo.php?workbook=12_05.xlsx&amp;sheet=U0&amp;row=2172&amp;col=7&amp;number=0.000151&amp;sourceID=14","0.000151")</f>
        <v>0.000151</v>
      </c>
    </row>
    <row r="2173" spans="1:7">
      <c r="A2173" s="3"/>
      <c r="B2173" s="3"/>
      <c r="C2173" s="3"/>
      <c r="D2173" s="3"/>
      <c r="E2173" s="3">
        <v>10</v>
      </c>
      <c r="F2173" s="4" t="str">
        <f>HYPERLINK("http://141.218.60.56/~jnz1568/getInfo.php?workbook=12_05.xlsx&amp;sheet=U0&amp;row=2173&amp;col=6&amp;number=3.9&amp;sourceID=14","3.9")</f>
        <v>3.9</v>
      </c>
      <c r="G2173" s="4" t="str">
        <f>HYPERLINK("http://141.218.60.56/~jnz1568/getInfo.php?workbook=12_05.xlsx&amp;sheet=U0&amp;row=2173&amp;col=7&amp;number=0.00015&amp;sourceID=14","0.00015")</f>
        <v>0.00015</v>
      </c>
    </row>
    <row r="2174" spans="1:7">
      <c r="A2174" s="3"/>
      <c r="B2174" s="3"/>
      <c r="C2174" s="3"/>
      <c r="D2174" s="3"/>
      <c r="E2174" s="3">
        <v>11</v>
      </c>
      <c r="F2174" s="4" t="str">
        <f>HYPERLINK("http://141.218.60.56/~jnz1568/getInfo.php?workbook=12_05.xlsx&amp;sheet=U0&amp;row=2174&amp;col=6&amp;number=4&amp;sourceID=14","4")</f>
        <v>4</v>
      </c>
      <c r="G2174" s="4" t="str">
        <f>HYPERLINK("http://141.218.60.56/~jnz1568/getInfo.php?workbook=12_05.xlsx&amp;sheet=U0&amp;row=2174&amp;col=7&amp;number=0.00015&amp;sourceID=14","0.00015")</f>
        <v>0.00015</v>
      </c>
    </row>
    <row r="2175" spans="1:7">
      <c r="A2175" s="3"/>
      <c r="B2175" s="3"/>
      <c r="C2175" s="3"/>
      <c r="D2175" s="3"/>
      <c r="E2175" s="3">
        <v>12</v>
      </c>
      <c r="F2175" s="4" t="str">
        <f>HYPERLINK("http://141.218.60.56/~jnz1568/getInfo.php?workbook=12_05.xlsx&amp;sheet=U0&amp;row=2175&amp;col=6&amp;number=4.1&amp;sourceID=14","4.1")</f>
        <v>4.1</v>
      </c>
      <c r="G2175" s="4" t="str">
        <f>HYPERLINK("http://141.218.60.56/~jnz1568/getInfo.php?workbook=12_05.xlsx&amp;sheet=U0&amp;row=2175&amp;col=7&amp;number=0.00015&amp;sourceID=14","0.00015")</f>
        <v>0.00015</v>
      </c>
    </row>
    <row r="2176" spans="1:7">
      <c r="A2176" s="3"/>
      <c r="B2176" s="3"/>
      <c r="C2176" s="3"/>
      <c r="D2176" s="3"/>
      <c r="E2176" s="3">
        <v>13</v>
      </c>
      <c r="F2176" s="4" t="str">
        <f>HYPERLINK("http://141.218.60.56/~jnz1568/getInfo.php?workbook=12_05.xlsx&amp;sheet=U0&amp;row=2176&amp;col=6&amp;number=4.2&amp;sourceID=14","4.2")</f>
        <v>4.2</v>
      </c>
      <c r="G2176" s="4" t="str">
        <f>HYPERLINK("http://141.218.60.56/~jnz1568/getInfo.php?workbook=12_05.xlsx&amp;sheet=U0&amp;row=2176&amp;col=7&amp;number=0.00015&amp;sourceID=14","0.00015")</f>
        <v>0.00015</v>
      </c>
    </row>
    <row r="2177" spans="1:7">
      <c r="A2177" s="3"/>
      <c r="B2177" s="3"/>
      <c r="C2177" s="3"/>
      <c r="D2177" s="3"/>
      <c r="E2177" s="3">
        <v>14</v>
      </c>
      <c r="F2177" s="4" t="str">
        <f>HYPERLINK("http://141.218.60.56/~jnz1568/getInfo.php?workbook=12_05.xlsx&amp;sheet=U0&amp;row=2177&amp;col=6&amp;number=4.3&amp;sourceID=14","4.3")</f>
        <v>4.3</v>
      </c>
      <c r="G2177" s="4" t="str">
        <f>HYPERLINK("http://141.218.60.56/~jnz1568/getInfo.php?workbook=12_05.xlsx&amp;sheet=U0&amp;row=2177&amp;col=7&amp;number=0.000149&amp;sourceID=14","0.000149")</f>
        <v>0.000149</v>
      </c>
    </row>
    <row r="2178" spans="1:7">
      <c r="A2178" s="3"/>
      <c r="B2178" s="3"/>
      <c r="C2178" s="3"/>
      <c r="D2178" s="3"/>
      <c r="E2178" s="3">
        <v>15</v>
      </c>
      <c r="F2178" s="4" t="str">
        <f>HYPERLINK("http://141.218.60.56/~jnz1568/getInfo.php?workbook=12_05.xlsx&amp;sheet=U0&amp;row=2178&amp;col=6&amp;number=4.4&amp;sourceID=14","4.4")</f>
        <v>4.4</v>
      </c>
      <c r="G2178" s="4" t="str">
        <f>HYPERLINK("http://141.218.60.56/~jnz1568/getInfo.php?workbook=12_05.xlsx&amp;sheet=U0&amp;row=2178&amp;col=7&amp;number=0.000149&amp;sourceID=14","0.000149")</f>
        <v>0.000149</v>
      </c>
    </row>
    <row r="2179" spans="1:7">
      <c r="A2179" s="3"/>
      <c r="B2179" s="3"/>
      <c r="C2179" s="3"/>
      <c r="D2179" s="3"/>
      <c r="E2179" s="3">
        <v>16</v>
      </c>
      <c r="F2179" s="4" t="str">
        <f>HYPERLINK("http://141.218.60.56/~jnz1568/getInfo.php?workbook=12_05.xlsx&amp;sheet=U0&amp;row=2179&amp;col=6&amp;number=4.5&amp;sourceID=14","4.5")</f>
        <v>4.5</v>
      </c>
      <c r="G2179" s="4" t="str">
        <f>HYPERLINK("http://141.218.60.56/~jnz1568/getInfo.php?workbook=12_05.xlsx&amp;sheet=U0&amp;row=2179&amp;col=7&amp;number=0.000149&amp;sourceID=14","0.000149")</f>
        <v>0.000149</v>
      </c>
    </row>
    <row r="2180" spans="1:7">
      <c r="A2180" s="3"/>
      <c r="B2180" s="3"/>
      <c r="C2180" s="3"/>
      <c r="D2180" s="3"/>
      <c r="E2180" s="3">
        <v>17</v>
      </c>
      <c r="F2180" s="4" t="str">
        <f>HYPERLINK("http://141.218.60.56/~jnz1568/getInfo.php?workbook=12_05.xlsx&amp;sheet=U0&amp;row=2180&amp;col=6&amp;number=4.6&amp;sourceID=14","4.6")</f>
        <v>4.6</v>
      </c>
      <c r="G2180" s="4" t="str">
        <f>HYPERLINK("http://141.218.60.56/~jnz1568/getInfo.php?workbook=12_05.xlsx&amp;sheet=U0&amp;row=2180&amp;col=7&amp;number=0.000148&amp;sourceID=14","0.000148")</f>
        <v>0.000148</v>
      </c>
    </row>
    <row r="2181" spans="1:7">
      <c r="A2181" s="3"/>
      <c r="B2181" s="3"/>
      <c r="C2181" s="3"/>
      <c r="D2181" s="3"/>
      <c r="E2181" s="3">
        <v>18</v>
      </c>
      <c r="F2181" s="4" t="str">
        <f>HYPERLINK("http://141.218.60.56/~jnz1568/getInfo.php?workbook=12_05.xlsx&amp;sheet=U0&amp;row=2181&amp;col=6&amp;number=4.7&amp;sourceID=14","4.7")</f>
        <v>4.7</v>
      </c>
      <c r="G2181" s="4" t="str">
        <f>HYPERLINK("http://141.218.60.56/~jnz1568/getInfo.php?workbook=12_05.xlsx&amp;sheet=U0&amp;row=2181&amp;col=7&amp;number=0.000147&amp;sourceID=14","0.000147")</f>
        <v>0.000147</v>
      </c>
    </row>
    <row r="2182" spans="1:7">
      <c r="A2182" s="3"/>
      <c r="B2182" s="3"/>
      <c r="C2182" s="3"/>
      <c r="D2182" s="3"/>
      <c r="E2182" s="3">
        <v>19</v>
      </c>
      <c r="F2182" s="4" t="str">
        <f>HYPERLINK("http://141.218.60.56/~jnz1568/getInfo.php?workbook=12_05.xlsx&amp;sheet=U0&amp;row=2182&amp;col=6&amp;number=4.8&amp;sourceID=14","4.8")</f>
        <v>4.8</v>
      </c>
      <c r="G2182" s="4" t="str">
        <f>HYPERLINK("http://141.218.60.56/~jnz1568/getInfo.php?workbook=12_05.xlsx&amp;sheet=U0&amp;row=2182&amp;col=7&amp;number=0.000146&amp;sourceID=14","0.000146")</f>
        <v>0.000146</v>
      </c>
    </row>
    <row r="2183" spans="1:7">
      <c r="A2183" s="3"/>
      <c r="B2183" s="3"/>
      <c r="C2183" s="3"/>
      <c r="D2183" s="3"/>
      <c r="E2183" s="3">
        <v>20</v>
      </c>
      <c r="F2183" s="4" t="str">
        <f>HYPERLINK("http://141.218.60.56/~jnz1568/getInfo.php?workbook=12_05.xlsx&amp;sheet=U0&amp;row=2183&amp;col=6&amp;number=4.9&amp;sourceID=14","4.9")</f>
        <v>4.9</v>
      </c>
      <c r="G2183" s="4" t="str">
        <f>HYPERLINK("http://141.218.60.56/~jnz1568/getInfo.php?workbook=12_05.xlsx&amp;sheet=U0&amp;row=2183&amp;col=7&amp;number=0.000145&amp;sourceID=14","0.000145")</f>
        <v>0.000145</v>
      </c>
    </row>
    <row r="2184" spans="1:7">
      <c r="A2184" s="3">
        <v>12</v>
      </c>
      <c r="B2184" s="3">
        <v>5</v>
      </c>
      <c r="C2184" s="3">
        <v>1</v>
      </c>
      <c r="D2184" s="3">
        <v>69</v>
      </c>
      <c r="E2184" s="3">
        <v>1</v>
      </c>
      <c r="F2184" s="4" t="str">
        <f>HYPERLINK("http://141.218.60.56/~jnz1568/getInfo.php?workbook=12_05.xlsx&amp;sheet=U0&amp;row=2184&amp;col=6&amp;number=3&amp;sourceID=14","3")</f>
        <v>3</v>
      </c>
      <c r="G2184" s="4" t="str">
        <f>HYPERLINK("http://141.218.60.56/~jnz1568/getInfo.php?workbook=12_05.xlsx&amp;sheet=U0&amp;row=2184&amp;col=7&amp;number=0.000272&amp;sourceID=14","0.000272")</f>
        <v>0.000272</v>
      </c>
    </row>
    <row r="2185" spans="1:7">
      <c r="A2185" s="3"/>
      <c r="B2185" s="3"/>
      <c r="C2185" s="3"/>
      <c r="D2185" s="3"/>
      <c r="E2185" s="3">
        <v>2</v>
      </c>
      <c r="F2185" s="4" t="str">
        <f>HYPERLINK("http://141.218.60.56/~jnz1568/getInfo.php?workbook=12_05.xlsx&amp;sheet=U0&amp;row=2185&amp;col=6&amp;number=3.1&amp;sourceID=14","3.1")</f>
        <v>3.1</v>
      </c>
      <c r="G2185" s="4" t="str">
        <f>HYPERLINK("http://141.218.60.56/~jnz1568/getInfo.php?workbook=12_05.xlsx&amp;sheet=U0&amp;row=2185&amp;col=7&amp;number=0.000272&amp;sourceID=14","0.000272")</f>
        <v>0.000272</v>
      </c>
    </row>
    <row r="2186" spans="1:7">
      <c r="A2186" s="3"/>
      <c r="B2186" s="3"/>
      <c r="C2186" s="3"/>
      <c r="D2186" s="3"/>
      <c r="E2186" s="3">
        <v>3</v>
      </c>
      <c r="F2186" s="4" t="str">
        <f>HYPERLINK("http://141.218.60.56/~jnz1568/getInfo.php?workbook=12_05.xlsx&amp;sheet=U0&amp;row=2186&amp;col=6&amp;number=3.2&amp;sourceID=14","3.2")</f>
        <v>3.2</v>
      </c>
      <c r="G2186" s="4" t="str">
        <f>HYPERLINK("http://141.218.60.56/~jnz1568/getInfo.php?workbook=12_05.xlsx&amp;sheet=U0&amp;row=2186&amp;col=7&amp;number=0.000272&amp;sourceID=14","0.000272")</f>
        <v>0.000272</v>
      </c>
    </row>
    <row r="2187" spans="1:7">
      <c r="A2187" s="3"/>
      <c r="B2187" s="3"/>
      <c r="C2187" s="3"/>
      <c r="D2187" s="3"/>
      <c r="E2187" s="3">
        <v>4</v>
      </c>
      <c r="F2187" s="4" t="str">
        <f>HYPERLINK("http://141.218.60.56/~jnz1568/getInfo.php?workbook=12_05.xlsx&amp;sheet=U0&amp;row=2187&amp;col=6&amp;number=3.3&amp;sourceID=14","3.3")</f>
        <v>3.3</v>
      </c>
      <c r="G2187" s="4" t="str">
        <f>HYPERLINK("http://141.218.60.56/~jnz1568/getInfo.php?workbook=12_05.xlsx&amp;sheet=U0&amp;row=2187&amp;col=7&amp;number=0.000272&amp;sourceID=14","0.000272")</f>
        <v>0.000272</v>
      </c>
    </row>
    <row r="2188" spans="1:7">
      <c r="A2188" s="3"/>
      <c r="B2188" s="3"/>
      <c r="C2188" s="3"/>
      <c r="D2188" s="3"/>
      <c r="E2188" s="3">
        <v>5</v>
      </c>
      <c r="F2188" s="4" t="str">
        <f>HYPERLINK("http://141.218.60.56/~jnz1568/getInfo.php?workbook=12_05.xlsx&amp;sheet=U0&amp;row=2188&amp;col=6&amp;number=3.4&amp;sourceID=14","3.4")</f>
        <v>3.4</v>
      </c>
      <c r="G2188" s="4" t="str">
        <f>HYPERLINK("http://141.218.60.56/~jnz1568/getInfo.php?workbook=12_05.xlsx&amp;sheet=U0&amp;row=2188&amp;col=7&amp;number=0.000272&amp;sourceID=14","0.000272")</f>
        <v>0.000272</v>
      </c>
    </row>
    <row r="2189" spans="1:7">
      <c r="A2189" s="3"/>
      <c r="B2189" s="3"/>
      <c r="C2189" s="3"/>
      <c r="D2189" s="3"/>
      <c r="E2189" s="3">
        <v>6</v>
      </c>
      <c r="F2189" s="4" t="str">
        <f>HYPERLINK("http://141.218.60.56/~jnz1568/getInfo.php?workbook=12_05.xlsx&amp;sheet=U0&amp;row=2189&amp;col=6&amp;number=3.5&amp;sourceID=14","3.5")</f>
        <v>3.5</v>
      </c>
      <c r="G2189" s="4" t="str">
        <f>HYPERLINK("http://141.218.60.56/~jnz1568/getInfo.php?workbook=12_05.xlsx&amp;sheet=U0&amp;row=2189&amp;col=7&amp;number=0.000272&amp;sourceID=14","0.000272")</f>
        <v>0.000272</v>
      </c>
    </row>
    <row r="2190" spans="1:7">
      <c r="A2190" s="3"/>
      <c r="B2190" s="3"/>
      <c r="C2190" s="3"/>
      <c r="D2190" s="3"/>
      <c r="E2190" s="3">
        <v>7</v>
      </c>
      <c r="F2190" s="4" t="str">
        <f>HYPERLINK("http://141.218.60.56/~jnz1568/getInfo.php?workbook=12_05.xlsx&amp;sheet=U0&amp;row=2190&amp;col=6&amp;number=3.6&amp;sourceID=14","3.6")</f>
        <v>3.6</v>
      </c>
      <c r="G2190" s="4" t="str">
        <f>HYPERLINK("http://141.218.60.56/~jnz1568/getInfo.php?workbook=12_05.xlsx&amp;sheet=U0&amp;row=2190&amp;col=7&amp;number=0.000272&amp;sourceID=14","0.000272")</f>
        <v>0.000272</v>
      </c>
    </row>
    <row r="2191" spans="1:7">
      <c r="A2191" s="3"/>
      <c r="B2191" s="3"/>
      <c r="C2191" s="3"/>
      <c r="D2191" s="3"/>
      <c r="E2191" s="3">
        <v>8</v>
      </c>
      <c r="F2191" s="4" t="str">
        <f>HYPERLINK("http://141.218.60.56/~jnz1568/getInfo.php?workbook=12_05.xlsx&amp;sheet=U0&amp;row=2191&amp;col=6&amp;number=3.7&amp;sourceID=14","3.7")</f>
        <v>3.7</v>
      </c>
      <c r="G2191" s="4" t="str">
        <f>HYPERLINK("http://141.218.60.56/~jnz1568/getInfo.php?workbook=12_05.xlsx&amp;sheet=U0&amp;row=2191&amp;col=7&amp;number=0.000272&amp;sourceID=14","0.000272")</f>
        <v>0.000272</v>
      </c>
    </row>
    <row r="2192" spans="1:7">
      <c r="A2192" s="3"/>
      <c r="B2192" s="3"/>
      <c r="C2192" s="3"/>
      <c r="D2192" s="3"/>
      <c r="E2192" s="3">
        <v>9</v>
      </c>
      <c r="F2192" s="4" t="str">
        <f>HYPERLINK("http://141.218.60.56/~jnz1568/getInfo.php?workbook=12_05.xlsx&amp;sheet=U0&amp;row=2192&amp;col=6&amp;number=3.8&amp;sourceID=14","3.8")</f>
        <v>3.8</v>
      </c>
      <c r="G2192" s="4" t="str">
        <f>HYPERLINK("http://141.218.60.56/~jnz1568/getInfo.php?workbook=12_05.xlsx&amp;sheet=U0&amp;row=2192&amp;col=7&amp;number=0.000272&amp;sourceID=14","0.000272")</f>
        <v>0.000272</v>
      </c>
    </row>
    <row r="2193" spans="1:7">
      <c r="A2193" s="3"/>
      <c r="B2193" s="3"/>
      <c r="C2193" s="3"/>
      <c r="D2193" s="3"/>
      <c r="E2193" s="3">
        <v>10</v>
      </c>
      <c r="F2193" s="4" t="str">
        <f>HYPERLINK("http://141.218.60.56/~jnz1568/getInfo.php?workbook=12_05.xlsx&amp;sheet=U0&amp;row=2193&amp;col=6&amp;number=3.9&amp;sourceID=14","3.9")</f>
        <v>3.9</v>
      </c>
      <c r="G2193" s="4" t="str">
        <f>HYPERLINK("http://141.218.60.56/~jnz1568/getInfo.php?workbook=12_05.xlsx&amp;sheet=U0&amp;row=2193&amp;col=7&amp;number=0.000272&amp;sourceID=14","0.000272")</f>
        <v>0.000272</v>
      </c>
    </row>
    <row r="2194" spans="1:7">
      <c r="A2194" s="3"/>
      <c r="B2194" s="3"/>
      <c r="C2194" s="3"/>
      <c r="D2194" s="3"/>
      <c r="E2194" s="3">
        <v>11</v>
      </c>
      <c r="F2194" s="4" t="str">
        <f>HYPERLINK("http://141.218.60.56/~jnz1568/getInfo.php?workbook=12_05.xlsx&amp;sheet=U0&amp;row=2194&amp;col=6&amp;number=4&amp;sourceID=14","4")</f>
        <v>4</v>
      </c>
      <c r="G2194" s="4" t="str">
        <f>HYPERLINK("http://141.218.60.56/~jnz1568/getInfo.php?workbook=12_05.xlsx&amp;sheet=U0&amp;row=2194&amp;col=7&amp;number=0.000272&amp;sourceID=14","0.000272")</f>
        <v>0.000272</v>
      </c>
    </row>
    <row r="2195" spans="1:7">
      <c r="A2195" s="3"/>
      <c r="B2195" s="3"/>
      <c r="C2195" s="3"/>
      <c r="D2195" s="3"/>
      <c r="E2195" s="3">
        <v>12</v>
      </c>
      <c r="F2195" s="4" t="str">
        <f>HYPERLINK("http://141.218.60.56/~jnz1568/getInfo.php?workbook=12_05.xlsx&amp;sheet=U0&amp;row=2195&amp;col=6&amp;number=4.1&amp;sourceID=14","4.1")</f>
        <v>4.1</v>
      </c>
      <c r="G2195" s="4" t="str">
        <f>HYPERLINK("http://141.218.60.56/~jnz1568/getInfo.php?workbook=12_05.xlsx&amp;sheet=U0&amp;row=2195&amp;col=7&amp;number=0.000272&amp;sourceID=14","0.000272")</f>
        <v>0.000272</v>
      </c>
    </row>
    <row r="2196" spans="1:7">
      <c r="A2196" s="3"/>
      <c r="B2196" s="3"/>
      <c r="C2196" s="3"/>
      <c r="D2196" s="3"/>
      <c r="E2196" s="3">
        <v>13</v>
      </c>
      <c r="F2196" s="4" t="str">
        <f>HYPERLINK("http://141.218.60.56/~jnz1568/getInfo.php?workbook=12_05.xlsx&amp;sheet=U0&amp;row=2196&amp;col=6&amp;number=4.2&amp;sourceID=14","4.2")</f>
        <v>4.2</v>
      </c>
      <c r="G2196" s="4" t="str">
        <f>HYPERLINK("http://141.218.60.56/~jnz1568/getInfo.php?workbook=12_05.xlsx&amp;sheet=U0&amp;row=2196&amp;col=7&amp;number=0.000272&amp;sourceID=14","0.000272")</f>
        <v>0.000272</v>
      </c>
    </row>
    <row r="2197" spans="1:7">
      <c r="A2197" s="3"/>
      <c r="B2197" s="3"/>
      <c r="C2197" s="3"/>
      <c r="D2197" s="3"/>
      <c r="E2197" s="3">
        <v>14</v>
      </c>
      <c r="F2197" s="4" t="str">
        <f>HYPERLINK("http://141.218.60.56/~jnz1568/getInfo.php?workbook=12_05.xlsx&amp;sheet=U0&amp;row=2197&amp;col=6&amp;number=4.3&amp;sourceID=14","4.3")</f>
        <v>4.3</v>
      </c>
      <c r="G2197" s="4" t="str">
        <f>HYPERLINK("http://141.218.60.56/~jnz1568/getInfo.php?workbook=12_05.xlsx&amp;sheet=U0&amp;row=2197&amp;col=7&amp;number=0.000272&amp;sourceID=14","0.000272")</f>
        <v>0.000272</v>
      </c>
    </row>
    <row r="2198" spans="1:7">
      <c r="A2198" s="3"/>
      <c r="B2198" s="3"/>
      <c r="C2198" s="3"/>
      <c r="D2198" s="3"/>
      <c r="E2198" s="3">
        <v>15</v>
      </c>
      <c r="F2198" s="4" t="str">
        <f>HYPERLINK("http://141.218.60.56/~jnz1568/getInfo.php?workbook=12_05.xlsx&amp;sheet=U0&amp;row=2198&amp;col=6&amp;number=4.4&amp;sourceID=14","4.4")</f>
        <v>4.4</v>
      </c>
      <c r="G2198" s="4" t="str">
        <f>HYPERLINK("http://141.218.60.56/~jnz1568/getInfo.php?workbook=12_05.xlsx&amp;sheet=U0&amp;row=2198&amp;col=7&amp;number=0.000272&amp;sourceID=14","0.000272")</f>
        <v>0.000272</v>
      </c>
    </row>
    <row r="2199" spans="1:7">
      <c r="A2199" s="3"/>
      <c r="B2199" s="3"/>
      <c r="C2199" s="3"/>
      <c r="D2199" s="3"/>
      <c r="E2199" s="3">
        <v>16</v>
      </c>
      <c r="F2199" s="4" t="str">
        <f>HYPERLINK("http://141.218.60.56/~jnz1568/getInfo.php?workbook=12_05.xlsx&amp;sheet=U0&amp;row=2199&amp;col=6&amp;number=4.5&amp;sourceID=14","4.5")</f>
        <v>4.5</v>
      </c>
      <c r="G2199" s="4" t="str">
        <f>HYPERLINK("http://141.218.60.56/~jnz1568/getInfo.php?workbook=12_05.xlsx&amp;sheet=U0&amp;row=2199&amp;col=7&amp;number=0.000271&amp;sourceID=14","0.000271")</f>
        <v>0.000271</v>
      </c>
    </row>
    <row r="2200" spans="1:7">
      <c r="A2200" s="3"/>
      <c r="B2200" s="3"/>
      <c r="C2200" s="3"/>
      <c r="D2200" s="3"/>
      <c r="E2200" s="3">
        <v>17</v>
      </c>
      <c r="F2200" s="4" t="str">
        <f>HYPERLINK("http://141.218.60.56/~jnz1568/getInfo.php?workbook=12_05.xlsx&amp;sheet=U0&amp;row=2200&amp;col=6&amp;number=4.6&amp;sourceID=14","4.6")</f>
        <v>4.6</v>
      </c>
      <c r="G2200" s="4" t="str">
        <f>HYPERLINK("http://141.218.60.56/~jnz1568/getInfo.php?workbook=12_05.xlsx&amp;sheet=U0&amp;row=2200&amp;col=7&amp;number=0.000271&amp;sourceID=14","0.000271")</f>
        <v>0.000271</v>
      </c>
    </row>
    <row r="2201" spans="1:7">
      <c r="A2201" s="3"/>
      <c r="B2201" s="3"/>
      <c r="C2201" s="3"/>
      <c r="D2201" s="3"/>
      <c r="E2201" s="3">
        <v>18</v>
      </c>
      <c r="F2201" s="4" t="str">
        <f>HYPERLINK("http://141.218.60.56/~jnz1568/getInfo.php?workbook=12_05.xlsx&amp;sheet=U0&amp;row=2201&amp;col=6&amp;number=4.7&amp;sourceID=14","4.7")</f>
        <v>4.7</v>
      </c>
      <c r="G2201" s="4" t="str">
        <f>HYPERLINK("http://141.218.60.56/~jnz1568/getInfo.php?workbook=12_05.xlsx&amp;sheet=U0&amp;row=2201&amp;col=7&amp;number=0.000271&amp;sourceID=14","0.000271")</f>
        <v>0.000271</v>
      </c>
    </row>
    <row r="2202" spans="1:7">
      <c r="A2202" s="3"/>
      <c r="B2202" s="3"/>
      <c r="C2202" s="3"/>
      <c r="D2202" s="3"/>
      <c r="E2202" s="3">
        <v>19</v>
      </c>
      <c r="F2202" s="4" t="str">
        <f>HYPERLINK("http://141.218.60.56/~jnz1568/getInfo.php?workbook=12_05.xlsx&amp;sheet=U0&amp;row=2202&amp;col=6&amp;number=4.8&amp;sourceID=14","4.8")</f>
        <v>4.8</v>
      </c>
      <c r="G2202" s="4" t="str">
        <f>HYPERLINK("http://141.218.60.56/~jnz1568/getInfo.php?workbook=12_05.xlsx&amp;sheet=U0&amp;row=2202&amp;col=7&amp;number=0.00027&amp;sourceID=14","0.00027")</f>
        <v>0.00027</v>
      </c>
    </row>
    <row r="2203" spans="1:7">
      <c r="A2203" s="3"/>
      <c r="B2203" s="3"/>
      <c r="C2203" s="3"/>
      <c r="D2203" s="3"/>
      <c r="E2203" s="3">
        <v>20</v>
      </c>
      <c r="F2203" s="4" t="str">
        <f>HYPERLINK("http://141.218.60.56/~jnz1568/getInfo.php?workbook=12_05.xlsx&amp;sheet=U0&amp;row=2203&amp;col=6&amp;number=4.9&amp;sourceID=14","4.9")</f>
        <v>4.9</v>
      </c>
      <c r="G2203" s="4" t="str">
        <f>HYPERLINK("http://141.218.60.56/~jnz1568/getInfo.php?workbook=12_05.xlsx&amp;sheet=U0&amp;row=2203&amp;col=7&amp;number=0.00027&amp;sourceID=14","0.00027")</f>
        <v>0.00027</v>
      </c>
    </row>
    <row r="2204" spans="1:7">
      <c r="A2204" s="3">
        <v>12</v>
      </c>
      <c r="B2204" s="3">
        <v>5</v>
      </c>
      <c r="C2204" s="3">
        <v>1</v>
      </c>
      <c r="D2204" s="3">
        <v>70</v>
      </c>
      <c r="E2204" s="3">
        <v>1</v>
      </c>
      <c r="F2204" s="4" t="str">
        <f>HYPERLINK("http://141.218.60.56/~jnz1568/getInfo.php?workbook=12_05.xlsx&amp;sheet=U0&amp;row=2204&amp;col=6&amp;number=3&amp;sourceID=14","3")</f>
        <v>3</v>
      </c>
      <c r="G2204" s="4" t="str">
        <f>HYPERLINK("http://141.218.60.56/~jnz1568/getInfo.php?workbook=12_05.xlsx&amp;sheet=U0&amp;row=2204&amp;col=7&amp;number=0.000209&amp;sourceID=14","0.000209")</f>
        <v>0.000209</v>
      </c>
    </row>
    <row r="2205" spans="1:7">
      <c r="A2205" s="3"/>
      <c r="B2205" s="3"/>
      <c r="C2205" s="3"/>
      <c r="D2205" s="3"/>
      <c r="E2205" s="3">
        <v>2</v>
      </c>
      <c r="F2205" s="4" t="str">
        <f>HYPERLINK("http://141.218.60.56/~jnz1568/getInfo.php?workbook=12_05.xlsx&amp;sheet=U0&amp;row=2205&amp;col=6&amp;number=3.1&amp;sourceID=14","3.1")</f>
        <v>3.1</v>
      </c>
      <c r="G2205" s="4" t="str">
        <f>HYPERLINK("http://141.218.60.56/~jnz1568/getInfo.php?workbook=12_05.xlsx&amp;sheet=U0&amp;row=2205&amp;col=7&amp;number=0.000209&amp;sourceID=14","0.000209")</f>
        <v>0.000209</v>
      </c>
    </row>
    <row r="2206" spans="1:7">
      <c r="A2206" s="3"/>
      <c r="B2206" s="3"/>
      <c r="C2206" s="3"/>
      <c r="D2206" s="3"/>
      <c r="E2206" s="3">
        <v>3</v>
      </c>
      <c r="F2206" s="4" t="str">
        <f>HYPERLINK("http://141.218.60.56/~jnz1568/getInfo.php?workbook=12_05.xlsx&amp;sheet=U0&amp;row=2206&amp;col=6&amp;number=3.2&amp;sourceID=14","3.2")</f>
        <v>3.2</v>
      </c>
      <c r="G2206" s="4" t="str">
        <f>HYPERLINK("http://141.218.60.56/~jnz1568/getInfo.php?workbook=12_05.xlsx&amp;sheet=U0&amp;row=2206&amp;col=7&amp;number=0.000209&amp;sourceID=14","0.000209")</f>
        <v>0.000209</v>
      </c>
    </row>
    <row r="2207" spans="1:7">
      <c r="A2207" s="3"/>
      <c r="B2207" s="3"/>
      <c r="C2207" s="3"/>
      <c r="D2207" s="3"/>
      <c r="E2207" s="3">
        <v>4</v>
      </c>
      <c r="F2207" s="4" t="str">
        <f>HYPERLINK("http://141.218.60.56/~jnz1568/getInfo.php?workbook=12_05.xlsx&amp;sheet=U0&amp;row=2207&amp;col=6&amp;number=3.3&amp;sourceID=14","3.3")</f>
        <v>3.3</v>
      </c>
      <c r="G2207" s="4" t="str">
        <f>HYPERLINK("http://141.218.60.56/~jnz1568/getInfo.php?workbook=12_05.xlsx&amp;sheet=U0&amp;row=2207&amp;col=7&amp;number=0.000209&amp;sourceID=14","0.000209")</f>
        <v>0.000209</v>
      </c>
    </row>
    <row r="2208" spans="1:7">
      <c r="A2208" s="3"/>
      <c r="B2208" s="3"/>
      <c r="C2208" s="3"/>
      <c r="D2208" s="3"/>
      <c r="E2208" s="3">
        <v>5</v>
      </c>
      <c r="F2208" s="4" t="str">
        <f>HYPERLINK("http://141.218.60.56/~jnz1568/getInfo.php?workbook=12_05.xlsx&amp;sheet=U0&amp;row=2208&amp;col=6&amp;number=3.4&amp;sourceID=14","3.4")</f>
        <v>3.4</v>
      </c>
      <c r="G2208" s="4" t="str">
        <f>HYPERLINK("http://141.218.60.56/~jnz1568/getInfo.php?workbook=12_05.xlsx&amp;sheet=U0&amp;row=2208&amp;col=7&amp;number=0.000209&amp;sourceID=14","0.000209")</f>
        <v>0.000209</v>
      </c>
    </row>
    <row r="2209" spans="1:7">
      <c r="A2209" s="3"/>
      <c r="B2209" s="3"/>
      <c r="C2209" s="3"/>
      <c r="D2209" s="3"/>
      <c r="E2209" s="3">
        <v>6</v>
      </c>
      <c r="F2209" s="4" t="str">
        <f>HYPERLINK("http://141.218.60.56/~jnz1568/getInfo.php?workbook=12_05.xlsx&amp;sheet=U0&amp;row=2209&amp;col=6&amp;number=3.5&amp;sourceID=14","3.5")</f>
        <v>3.5</v>
      </c>
      <c r="G2209" s="4" t="str">
        <f>HYPERLINK("http://141.218.60.56/~jnz1568/getInfo.php?workbook=12_05.xlsx&amp;sheet=U0&amp;row=2209&amp;col=7&amp;number=0.000209&amp;sourceID=14","0.000209")</f>
        <v>0.000209</v>
      </c>
    </row>
    <row r="2210" spans="1:7">
      <c r="A2210" s="3"/>
      <c r="B2210" s="3"/>
      <c r="C2210" s="3"/>
      <c r="D2210" s="3"/>
      <c r="E2210" s="3">
        <v>7</v>
      </c>
      <c r="F2210" s="4" t="str">
        <f>HYPERLINK("http://141.218.60.56/~jnz1568/getInfo.php?workbook=12_05.xlsx&amp;sheet=U0&amp;row=2210&amp;col=6&amp;number=3.6&amp;sourceID=14","3.6")</f>
        <v>3.6</v>
      </c>
      <c r="G2210" s="4" t="str">
        <f>HYPERLINK("http://141.218.60.56/~jnz1568/getInfo.php?workbook=12_05.xlsx&amp;sheet=U0&amp;row=2210&amp;col=7&amp;number=0.000209&amp;sourceID=14","0.000209")</f>
        <v>0.000209</v>
      </c>
    </row>
    <row r="2211" spans="1:7">
      <c r="A2211" s="3"/>
      <c r="B2211" s="3"/>
      <c r="C2211" s="3"/>
      <c r="D2211" s="3"/>
      <c r="E2211" s="3">
        <v>8</v>
      </c>
      <c r="F2211" s="4" t="str">
        <f>HYPERLINK("http://141.218.60.56/~jnz1568/getInfo.php?workbook=12_05.xlsx&amp;sheet=U0&amp;row=2211&amp;col=6&amp;number=3.7&amp;sourceID=14","3.7")</f>
        <v>3.7</v>
      </c>
      <c r="G2211" s="4" t="str">
        <f>HYPERLINK("http://141.218.60.56/~jnz1568/getInfo.php?workbook=12_05.xlsx&amp;sheet=U0&amp;row=2211&amp;col=7&amp;number=0.000209&amp;sourceID=14","0.000209")</f>
        <v>0.000209</v>
      </c>
    </row>
    <row r="2212" spans="1:7">
      <c r="A2212" s="3"/>
      <c r="B2212" s="3"/>
      <c r="C2212" s="3"/>
      <c r="D2212" s="3"/>
      <c r="E2212" s="3">
        <v>9</v>
      </c>
      <c r="F2212" s="4" t="str">
        <f>HYPERLINK("http://141.218.60.56/~jnz1568/getInfo.php?workbook=12_05.xlsx&amp;sheet=U0&amp;row=2212&amp;col=6&amp;number=3.8&amp;sourceID=14","3.8")</f>
        <v>3.8</v>
      </c>
      <c r="G2212" s="4" t="str">
        <f>HYPERLINK("http://141.218.60.56/~jnz1568/getInfo.php?workbook=12_05.xlsx&amp;sheet=U0&amp;row=2212&amp;col=7&amp;number=0.000209&amp;sourceID=14","0.000209")</f>
        <v>0.000209</v>
      </c>
    </row>
    <row r="2213" spans="1:7">
      <c r="A2213" s="3"/>
      <c r="B2213" s="3"/>
      <c r="C2213" s="3"/>
      <c r="D2213" s="3"/>
      <c r="E2213" s="3">
        <v>10</v>
      </c>
      <c r="F2213" s="4" t="str">
        <f>HYPERLINK("http://141.218.60.56/~jnz1568/getInfo.php?workbook=12_05.xlsx&amp;sheet=U0&amp;row=2213&amp;col=6&amp;number=3.9&amp;sourceID=14","3.9")</f>
        <v>3.9</v>
      </c>
      <c r="G2213" s="4" t="str">
        <f>HYPERLINK("http://141.218.60.56/~jnz1568/getInfo.php?workbook=12_05.xlsx&amp;sheet=U0&amp;row=2213&amp;col=7&amp;number=0.000208&amp;sourceID=14","0.000208")</f>
        <v>0.000208</v>
      </c>
    </row>
    <row r="2214" spans="1:7">
      <c r="A2214" s="3"/>
      <c r="B2214" s="3"/>
      <c r="C2214" s="3"/>
      <c r="D2214" s="3"/>
      <c r="E2214" s="3">
        <v>11</v>
      </c>
      <c r="F2214" s="4" t="str">
        <f>HYPERLINK("http://141.218.60.56/~jnz1568/getInfo.php?workbook=12_05.xlsx&amp;sheet=U0&amp;row=2214&amp;col=6&amp;number=4&amp;sourceID=14","4")</f>
        <v>4</v>
      </c>
      <c r="G2214" s="4" t="str">
        <f>HYPERLINK("http://141.218.60.56/~jnz1568/getInfo.php?workbook=12_05.xlsx&amp;sheet=U0&amp;row=2214&amp;col=7&amp;number=0.000208&amp;sourceID=14","0.000208")</f>
        <v>0.000208</v>
      </c>
    </row>
    <row r="2215" spans="1:7">
      <c r="A2215" s="3"/>
      <c r="B2215" s="3"/>
      <c r="C2215" s="3"/>
      <c r="D2215" s="3"/>
      <c r="E2215" s="3">
        <v>12</v>
      </c>
      <c r="F2215" s="4" t="str">
        <f>HYPERLINK("http://141.218.60.56/~jnz1568/getInfo.php?workbook=12_05.xlsx&amp;sheet=U0&amp;row=2215&amp;col=6&amp;number=4.1&amp;sourceID=14","4.1")</f>
        <v>4.1</v>
      </c>
      <c r="G2215" s="4" t="str">
        <f>HYPERLINK("http://141.218.60.56/~jnz1568/getInfo.php?workbook=12_05.xlsx&amp;sheet=U0&amp;row=2215&amp;col=7&amp;number=0.000208&amp;sourceID=14","0.000208")</f>
        <v>0.000208</v>
      </c>
    </row>
    <row r="2216" spans="1:7">
      <c r="A2216" s="3"/>
      <c r="B2216" s="3"/>
      <c r="C2216" s="3"/>
      <c r="D2216" s="3"/>
      <c r="E2216" s="3">
        <v>13</v>
      </c>
      <c r="F2216" s="4" t="str">
        <f>HYPERLINK("http://141.218.60.56/~jnz1568/getInfo.php?workbook=12_05.xlsx&amp;sheet=U0&amp;row=2216&amp;col=6&amp;number=4.2&amp;sourceID=14","4.2")</f>
        <v>4.2</v>
      </c>
      <c r="G2216" s="4" t="str">
        <f>HYPERLINK("http://141.218.60.56/~jnz1568/getInfo.php?workbook=12_05.xlsx&amp;sheet=U0&amp;row=2216&amp;col=7&amp;number=0.000207&amp;sourceID=14","0.000207")</f>
        <v>0.000207</v>
      </c>
    </row>
    <row r="2217" spans="1:7">
      <c r="A2217" s="3"/>
      <c r="B2217" s="3"/>
      <c r="C2217" s="3"/>
      <c r="D2217" s="3"/>
      <c r="E2217" s="3">
        <v>14</v>
      </c>
      <c r="F2217" s="4" t="str">
        <f>HYPERLINK("http://141.218.60.56/~jnz1568/getInfo.php?workbook=12_05.xlsx&amp;sheet=U0&amp;row=2217&amp;col=6&amp;number=4.3&amp;sourceID=14","4.3")</f>
        <v>4.3</v>
      </c>
      <c r="G2217" s="4" t="str">
        <f>HYPERLINK("http://141.218.60.56/~jnz1568/getInfo.php?workbook=12_05.xlsx&amp;sheet=U0&amp;row=2217&amp;col=7&amp;number=0.000207&amp;sourceID=14","0.000207")</f>
        <v>0.000207</v>
      </c>
    </row>
    <row r="2218" spans="1:7">
      <c r="A2218" s="3"/>
      <c r="B2218" s="3"/>
      <c r="C2218" s="3"/>
      <c r="D2218" s="3"/>
      <c r="E2218" s="3">
        <v>15</v>
      </c>
      <c r="F2218" s="4" t="str">
        <f>HYPERLINK("http://141.218.60.56/~jnz1568/getInfo.php?workbook=12_05.xlsx&amp;sheet=U0&amp;row=2218&amp;col=6&amp;number=4.4&amp;sourceID=14","4.4")</f>
        <v>4.4</v>
      </c>
      <c r="G2218" s="4" t="str">
        <f>HYPERLINK("http://141.218.60.56/~jnz1568/getInfo.php?workbook=12_05.xlsx&amp;sheet=U0&amp;row=2218&amp;col=7&amp;number=0.000206&amp;sourceID=14","0.000206")</f>
        <v>0.000206</v>
      </c>
    </row>
    <row r="2219" spans="1:7">
      <c r="A2219" s="3"/>
      <c r="B2219" s="3"/>
      <c r="C2219" s="3"/>
      <c r="D2219" s="3"/>
      <c r="E2219" s="3">
        <v>16</v>
      </c>
      <c r="F2219" s="4" t="str">
        <f>HYPERLINK("http://141.218.60.56/~jnz1568/getInfo.php?workbook=12_05.xlsx&amp;sheet=U0&amp;row=2219&amp;col=6&amp;number=4.5&amp;sourceID=14","4.5")</f>
        <v>4.5</v>
      </c>
      <c r="G2219" s="4" t="str">
        <f>HYPERLINK("http://141.218.60.56/~jnz1568/getInfo.php?workbook=12_05.xlsx&amp;sheet=U0&amp;row=2219&amp;col=7&amp;number=0.000205&amp;sourceID=14","0.000205")</f>
        <v>0.000205</v>
      </c>
    </row>
    <row r="2220" spans="1:7">
      <c r="A2220" s="3"/>
      <c r="B2220" s="3"/>
      <c r="C2220" s="3"/>
      <c r="D2220" s="3"/>
      <c r="E2220" s="3">
        <v>17</v>
      </c>
      <c r="F2220" s="4" t="str">
        <f>HYPERLINK("http://141.218.60.56/~jnz1568/getInfo.php?workbook=12_05.xlsx&amp;sheet=U0&amp;row=2220&amp;col=6&amp;number=4.6&amp;sourceID=14","4.6")</f>
        <v>4.6</v>
      </c>
      <c r="G2220" s="4" t="str">
        <f>HYPERLINK("http://141.218.60.56/~jnz1568/getInfo.php?workbook=12_05.xlsx&amp;sheet=U0&amp;row=2220&amp;col=7&amp;number=0.000204&amp;sourceID=14","0.000204")</f>
        <v>0.000204</v>
      </c>
    </row>
    <row r="2221" spans="1:7">
      <c r="A2221" s="3"/>
      <c r="B2221" s="3"/>
      <c r="C2221" s="3"/>
      <c r="D2221" s="3"/>
      <c r="E2221" s="3">
        <v>18</v>
      </c>
      <c r="F2221" s="4" t="str">
        <f>HYPERLINK("http://141.218.60.56/~jnz1568/getInfo.php?workbook=12_05.xlsx&amp;sheet=U0&amp;row=2221&amp;col=6&amp;number=4.7&amp;sourceID=14","4.7")</f>
        <v>4.7</v>
      </c>
      <c r="G2221" s="4" t="str">
        <f>HYPERLINK("http://141.218.60.56/~jnz1568/getInfo.php?workbook=12_05.xlsx&amp;sheet=U0&amp;row=2221&amp;col=7&amp;number=0.000203&amp;sourceID=14","0.000203")</f>
        <v>0.000203</v>
      </c>
    </row>
    <row r="2222" spans="1:7">
      <c r="A2222" s="3"/>
      <c r="B2222" s="3"/>
      <c r="C2222" s="3"/>
      <c r="D2222" s="3"/>
      <c r="E2222" s="3">
        <v>19</v>
      </c>
      <c r="F2222" s="4" t="str">
        <f>HYPERLINK("http://141.218.60.56/~jnz1568/getInfo.php?workbook=12_05.xlsx&amp;sheet=U0&amp;row=2222&amp;col=6&amp;number=4.8&amp;sourceID=14","4.8")</f>
        <v>4.8</v>
      </c>
      <c r="G2222" s="4" t="str">
        <f>HYPERLINK("http://141.218.60.56/~jnz1568/getInfo.php?workbook=12_05.xlsx&amp;sheet=U0&amp;row=2222&amp;col=7&amp;number=0.000202&amp;sourceID=14","0.000202")</f>
        <v>0.000202</v>
      </c>
    </row>
    <row r="2223" spans="1:7">
      <c r="A2223" s="3"/>
      <c r="B2223" s="3"/>
      <c r="C2223" s="3"/>
      <c r="D2223" s="3"/>
      <c r="E2223" s="3">
        <v>20</v>
      </c>
      <c r="F2223" s="4" t="str">
        <f>HYPERLINK("http://141.218.60.56/~jnz1568/getInfo.php?workbook=12_05.xlsx&amp;sheet=U0&amp;row=2223&amp;col=6&amp;number=4.9&amp;sourceID=14","4.9")</f>
        <v>4.9</v>
      </c>
      <c r="G2223" s="4" t="str">
        <f>HYPERLINK("http://141.218.60.56/~jnz1568/getInfo.php?workbook=12_05.xlsx&amp;sheet=U0&amp;row=2223&amp;col=7&amp;number=0.0002&amp;sourceID=14","0.0002")</f>
        <v>0.0002</v>
      </c>
    </row>
    <row r="2224" spans="1:7">
      <c r="A2224" s="3">
        <v>12</v>
      </c>
      <c r="B2224" s="3">
        <v>5</v>
      </c>
      <c r="C2224" s="3">
        <v>1</v>
      </c>
      <c r="D2224" s="3">
        <v>71</v>
      </c>
      <c r="E2224" s="3">
        <v>1</v>
      </c>
      <c r="F2224" s="4" t="str">
        <f>HYPERLINK("http://141.218.60.56/~jnz1568/getInfo.php?workbook=12_05.xlsx&amp;sheet=U0&amp;row=2224&amp;col=6&amp;number=3&amp;sourceID=14","3")</f>
        <v>3</v>
      </c>
      <c r="G2224" s="4" t="str">
        <f>HYPERLINK("http://141.218.60.56/~jnz1568/getInfo.php?workbook=12_05.xlsx&amp;sheet=U0&amp;row=2224&amp;col=7&amp;number=0.000253&amp;sourceID=14","0.000253")</f>
        <v>0.000253</v>
      </c>
    </row>
    <row r="2225" spans="1:7">
      <c r="A2225" s="3"/>
      <c r="B2225" s="3"/>
      <c r="C2225" s="3"/>
      <c r="D2225" s="3"/>
      <c r="E2225" s="3">
        <v>2</v>
      </c>
      <c r="F2225" s="4" t="str">
        <f>HYPERLINK("http://141.218.60.56/~jnz1568/getInfo.php?workbook=12_05.xlsx&amp;sheet=U0&amp;row=2225&amp;col=6&amp;number=3.1&amp;sourceID=14","3.1")</f>
        <v>3.1</v>
      </c>
      <c r="G2225" s="4" t="str">
        <f>HYPERLINK("http://141.218.60.56/~jnz1568/getInfo.php?workbook=12_05.xlsx&amp;sheet=U0&amp;row=2225&amp;col=7&amp;number=0.000253&amp;sourceID=14","0.000253")</f>
        <v>0.000253</v>
      </c>
    </row>
    <row r="2226" spans="1:7">
      <c r="A2226" s="3"/>
      <c r="B2226" s="3"/>
      <c r="C2226" s="3"/>
      <c r="D2226" s="3"/>
      <c r="E2226" s="3">
        <v>3</v>
      </c>
      <c r="F2226" s="4" t="str">
        <f>HYPERLINK("http://141.218.60.56/~jnz1568/getInfo.php?workbook=12_05.xlsx&amp;sheet=U0&amp;row=2226&amp;col=6&amp;number=3.2&amp;sourceID=14","3.2")</f>
        <v>3.2</v>
      </c>
      <c r="G2226" s="4" t="str">
        <f>HYPERLINK("http://141.218.60.56/~jnz1568/getInfo.php?workbook=12_05.xlsx&amp;sheet=U0&amp;row=2226&amp;col=7&amp;number=0.000253&amp;sourceID=14","0.000253")</f>
        <v>0.000253</v>
      </c>
    </row>
    <row r="2227" spans="1:7">
      <c r="A2227" s="3"/>
      <c r="B2227" s="3"/>
      <c r="C2227" s="3"/>
      <c r="D2227" s="3"/>
      <c r="E2227" s="3">
        <v>4</v>
      </c>
      <c r="F2227" s="4" t="str">
        <f>HYPERLINK("http://141.218.60.56/~jnz1568/getInfo.php?workbook=12_05.xlsx&amp;sheet=U0&amp;row=2227&amp;col=6&amp;number=3.3&amp;sourceID=14","3.3")</f>
        <v>3.3</v>
      </c>
      <c r="G2227" s="4" t="str">
        <f>HYPERLINK("http://141.218.60.56/~jnz1568/getInfo.php?workbook=12_05.xlsx&amp;sheet=U0&amp;row=2227&amp;col=7&amp;number=0.000253&amp;sourceID=14","0.000253")</f>
        <v>0.000253</v>
      </c>
    </row>
    <row r="2228" spans="1:7">
      <c r="A2228" s="3"/>
      <c r="B2228" s="3"/>
      <c r="C2228" s="3"/>
      <c r="D2228" s="3"/>
      <c r="E2228" s="3">
        <v>5</v>
      </c>
      <c r="F2228" s="4" t="str">
        <f>HYPERLINK("http://141.218.60.56/~jnz1568/getInfo.php?workbook=12_05.xlsx&amp;sheet=U0&amp;row=2228&amp;col=6&amp;number=3.4&amp;sourceID=14","3.4")</f>
        <v>3.4</v>
      </c>
      <c r="G2228" s="4" t="str">
        <f>HYPERLINK("http://141.218.60.56/~jnz1568/getInfo.php?workbook=12_05.xlsx&amp;sheet=U0&amp;row=2228&amp;col=7&amp;number=0.000253&amp;sourceID=14","0.000253")</f>
        <v>0.000253</v>
      </c>
    </row>
    <row r="2229" spans="1:7">
      <c r="A2229" s="3"/>
      <c r="B2229" s="3"/>
      <c r="C2229" s="3"/>
      <c r="D2229" s="3"/>
      <c r="E2229" s="3">
        <v>6</v>
      </c>
      <c r="F2229" s="4" t="str">
        <f>HYPERLINK("http://141.218.60.56/~jnz1568/getInfo.php?workbook=12_05.xlsx&amp;sheet=U0&amp;row=2229&amp;col=6&amp;number=3.5&amp;sourceID=14","3.5")</f>
        <v>3.5</v>
      </c>
      <c r="G2229" s="4" t="str">
        <f>HYPERLINK("http://141.218.60.56/~jnz1568/getInfo.php?workbook=12_05.xlsx&amp;sheet=U0&amp;row=2229&amp;col=7&amp;number=0.000253&amp;sourceID=14","0.000253")</f>
        <v>0.000253</v>
      </c>
    </row>
    <row r="2230" spans="1:7">
      <c r="A2230" s="3"/>
      <c r="B2230" s="3"/>
      <c r="C2230" s="3"/>
      <c r="D2230" s="3"/>
      <c r="E2230" s="3">
        <v>7</v>
      </c>
      <c r="F2230" s="4" t="str">
        <f>HYPERLINK("http://141.218.60.56/~jnz1568/getInfo.php?workbook=12_05.xlsx&amp;sheet=U0&amp;row=2230&amp;col=6&amp;number=3.6&amp;sourceID=14","3.6")</f>
        <v>3.6</v>
      </c>
      <c r="G2230" s="4" t="str">
        <f>HYPERLINK("http://141.218.60.56/~jnz1568/getInfo.php?workbook=12_05.xlsx&amp;sheet=U0&amp;row=2230&amp;col=7&amp;number=0.000252&amp;sourceID=14","0.000252")</f>
        <v>0.000252</v>
      </c>
    </row>
    <row r="2231" spans="1:7">
      <c r="A2231" s="3"/>
      <c r="B2231" s="3"/>
      <c r="C2231" s="3"/>
      <c r="D2231" s="3"/>
      <c r="E2231" s="3">
        <v>8</v>
      </c>
      <c r="F2231" s="4" t="str">
        <f>HYPERLINK("http://141.218.60.56/~jnz1568/getInfo.php?workbook=12_05.xlsx&amp;sheet=U0&amp;row=2231&amp;col=6&amp;number=3.7&amp;sourceID=14","3.7")</f>
        <v>3.7</v>
      </c>
      <c r="G2231" s="4" t="str">
        <f>HYPERLINK("http://141.218.60.56/~jnz1568/getInfo.php?workbook=12_05.xlsx&amp;sheet=U0&amp;row=2231&amp;col=7&amp;number=0.000252&amp;sourceID=14","0.000252")</f>
        <v>0.000252</v>
      </c>
    </row>
    <row r="2232" spans="1:7">
      <c r="A2232" s="3"/>
      <c r="B2232" s="3"/>
      <c r="C2232" s="3"/>
      <c r="D2232" s="3"/>
      <c r="E2232" s="3">
        <v>9</v>
      </c>
      <c r="F2232" s="4" t="str">
        <f>HYPERLINK("http://141.218.60.56/~jnz1568/getInfo.php?workbook=12_05.xlsx&amp;sheet=U0&amp;row=2232&amp;col=6&amp;number=3.8&amp;sourceID=14","3.8")</f>
        <v>3.8</v>
      </c>
      <c r="G2232" s="4" t="str">
        <f>HYPERLINK("http://141.218.60.56/~jnz1568/getInfo.php?workbook=12_05.xlsx&amp;sheet=U0&amp;row=2232&amp;col=7&amp;number=0.000252&amp;sourceID=14","0.000252")</f>
        <v>0.000252</v>
      </c>
    </row>
    <row r="2233" spans="1:7">
      <c r="A2233" s="3"/>
      <c r="B2233" s="3"/>
      <c r="C2233" s="3"/>
      <c r="D2233" s="3"/>
      <c r="E2233" s="3">
        <v>10</v>
      </c>
      <c r="F2233" s="4" t="str">
        <f>HYPERLINK("http://141.218.60.56/~jnz1568/getInfo.php?workbook=12_05.xlsx&amp;sheet=U0&amp;row=2233&amp;col=6&amp;number=3.9&amp;sourceID=14","3.9")</f>
        <v>3.9</v>
      </c>
      <c r="G2233" s="4" t="str">
        <f>HYPERLINK("http://141.218.60.56/~jnz1568/getInfo.php?workbook=12_05.xlsx&amp;sheet=U0&amp;row=2233&amp;col=7&amp;number=0.000251&amp;sourceID=14","0.000251")</f>
        <v>0.000251</v>
      </c>
    </row>
    <row r="2234" spans="1:7">
      <c r="A2234" s="3"/>
      <c r="B2234" s="3"/>
      <c r="C2234" s="3"/>
      <c r="D2234" s="3"/>
      <c r="E2234" s="3">
        <v>11</v>
      </c>
      <c r="F2234" s="4" t="str">
        <f>HYPERLINK("http://141.218.60.56/~jnz1568/getInfo.php?workbook=12_05.xlsx&amp;sheet=U0&amp;row=2234&amp;col=6&amp;number=4&amp;sourceID=14","4")</f>
        <v>4</v>
      </c>
      <c r="G2234" s="4" t="str">
        <f>HYPERLINK("http://141.218.60.56/~jnz1568/getInfo.php?workbook=12_05.xlsx&amp;sheet=U0&amp;row=2234&amp;col=7&amp;number=0.000251&amp;sourceID=14","0.000251")</f>
        <v>0.000251</v>
      </c>
    </row>
    <row r="2235" spans="1:7">
      <c r="A2235" s="3"/>
      <c r="B2235" s="3"/>
      <c r="C2235" s="3"/>
      <c r="D2235" s="3"/>
      <c r="E2235" s="3">
        <v>12</v>
      </c>
      <c r="F2235" s="4" t="str">
        <f>HYPERLINK("http://141.218.60.56/~jnz1568/getInfo.php?workbook=12_05.xlsx&amp;sheet=U0&amp;row=2235&amp;col=6&amp;number=4.1&amp;sourceID=14","4.1")</f>
        <v>4.1</v>
      </c>
      <c r="G2235" s="4" t="str">
        <f>HYPERLINK("http://141.218.60.56/~jnz1568/getInfo.php?workbook=12_05.xlsx&amp;sheet=U0&amp;row=2235&amp;col=7&amp;number=0.00025&amp;sourceID=14","0.00025")</f>
        <v>0.00025</v>
      </c>
    </row>
    <row r="2236" spans="1:7">
      <c r="A2236" s="3"/>
      <c r="B2236" s="3"/>
      <c r="C2236" s="3"/>
      <c r="D2236" s="3"/>
      <c r="E2236" s="3">
        <v>13</v>
      </c>
      <c r="F2236" s="4" t="str">
        <f>HYPERLINK("http://141.218.60.56/~jnz1568/getInfo.php?workbook=12_05.xlsx&amp;sheet=U0&amp;row=2236&amp;col=6&amp;number=4.2&amp;sourceID=14","4.2")</f>
        <v>4.2</v>
      </c>
      <c r="G2236" s="4" t="str">
        <f>HYPERLINK("http://141.218.60.56/~jnz1568/getInfo.php?workbook=12_05.xlsx&amp;sheet=U0&amp;row=2236&amp;col=7&amp;number=0.000249&amp;sourceID=14","0.000249")</f>
        <v>0.000249</v>
      </c>
    </row>
    <row r="2237" spans="1:7">
      <c r="A2237" s="3"/>
      <c r="B2237" s="3"/>
      <c r="C2237" s="3"/>
      <c r="D2237" s="3"/>
      <c r="E2237" s="3">
        <v>14</v>
      </c>
      <c r="F2237" s="4" t="str">
        <f>HYPERLINK("http://141.218.60.56/~jnz1568/getInfo.php?workbook=12_05.xlsx&amp;sheet=U0&amp;row=2237&amp;col=6&amp;number=4.3&amp;sourceID=14","4.3")</f>
        <v>4.3</v>
      </c>
      <c r="G2237" s="4" t="str">
        <f>HYPERLINK("http://141.218.60.56/~jnz1568/getInfo.php?workbook=12_05.xlsx&amp;sheet=U0&amp;row=2237&amp;col=7&amp;number=0.000248&amp;sourceID=14","0.000248")</f>
        <v>0.000248</v>
      </c>
    </row>
    <row r="2238" spans="1:7">
      <c r="A2238" s="3"/>
      <c r="B2238" s="3"/>
      <c r="C2238" s="3"/>
      <c r="D2238" s="3"/>
      <c r="E2238" s="3">
        <v>15</v>
      </c>
      <c r="F2238" s="4" t="str">
        <f>HYPERLINK("http://141.218.60.56/~jnz1568/getInfo.php?workbook=12_05.xlsx&amp;sheet=U0&amp;row=2238&amp;col=6&amp;number=4.4&amp;sourceID=14","4.4")</f>
        <v>4.4</v>
      </c>
      <c r="G2238" s="4" t="str">
        <f>HYPERLINK("http://141.218.60.56/~jnz1568/getInfo.php?workbook=12_05.xlsx&amp;sheet=U0&amp;row=2238&amp;col=7&amp;number=0.000247&amp;sourceID=14","0.000247")</f>
        <v>0.000247</v>
      </c>
    </row>
    <row r="2239" spans="1:7">
      <c r="A2239" s="3"/>
      <c r="B2239" s="3"/>
      <c r="C2239" s="3"/>
      <c r="D2239" s="3"/>
      <c r="E2239" s="3">
        <v>16</v>
      </c>
      <c r="F2239" s="4" t="str">
        <f>HYPERLINK("http://141.218.60.56/~jnz1568/getInfo.php?workbook=12_05.xlsx&amp;sheet=U0&amp;row=2239&amp;col=6&amp;number=4.5&amp;sourceID=14","4.5")</f>
        <v>4.5</v>
      </c>
      <c r="G2239" s="4" t="str">
        <f>HYPERLINK("http://141.218.60.56/~jnz1568/getInfo.php?workbook=12_05.xlsx&amp;sheet=U0&amp;row=2239&amp;col=7&amp;number=0.000245&amp;sourceID=14","0.000245")</f>
        <v>0.000245</v>
      </c>
    </row>
    <row r="2240" spans="1:7">
      <c r="A2240" s="3"/>
      <c r="B2240" s="3"/>
      <c r="C2240" s="3"/>
      <c r="D2240" s="3"/>
      <c r="E2240" s="3">
        <v>17</v>
      </c>
      <c r="F2240" s="4" t="str">
        <f>HYPERLINK("http://141.218.60.56/~jnz1568/getInfo.php?workbook=12_05.xlsx&amp;sheet=U0&amp;row=2240&amp;col=6&amp;number=4.6&amp;sourceID=14","4.6")</f>
        <v>4.6</v>
      </c>
      <c r="G2240" s="4" t="str">
        <f>HYPERLINK("http://141.218.60.56/~jnz1568/getInfo.php?workbook=12_05.xlsx&amp;sheet=U0&amp;row=2240&amp;col=7&amp;number=0.000243&amp;sourceID=14","0.000243")</f>
        <v>0.000243</v>
      </c>
    </row>
    <row r="2241" spans="1:7">
      <c r="A2241" s="3"/>
      <c r="B2241" s="3"/>
      <c r="C2241" s="3"/>
      <c r="D2241" s="3"/>
      <c r="E2241" s="3">
        <v>18</v>
      </c>
      <c r="F2241" s="4" t="str">
        <f>HYPERLINK("http://141.218.60.56/~jnz1568/getInfo.php?workbook=12_05.xlsx&amp;sheet=U0&amp;row=2241&amp;col=6&amp;number=4.7&amp;sourceID=14","4.7")</f>
        <v>4.7</v>
      </c>
      <c r="G2241" s="4" t="str">
        <f>HYPERLINK("http://141.218.60.56/~jnz1568/getInfo.php?workbook=12_05.xlsx&amp;sheet=U0&amp;row=2241&amp;col=7&amp;number=0.000241&amp;sourceID=14","0.000241")</f>
        <v>0.000241</v>
      </c>
    </row>
    <row r="2242" spans="1:7">
      <c r="A2242" s="3"/>
      <c r="B2242" s="3"/>
      <c r="C2242" s="3"/>
      <c r="D2242" s="3"/>
      <c r="E2242" s="3">
        <v>19</v>
      </c>
      <c r="F2242" s="4" t="str">
        <f>HYPERLINK("http://141.218.60.56/~jnz1568/getInfo.php?workbook=12_05.xlsx&amp;sheet=U0&amp;row=2242&amp;col=6&amp;number=4.8&amp;sourceID=14","4.8")</f>
        <v>4.8</v>
      </c>
      <c r="G2242" s="4" t="str">
        <f>HYPERLINK("http://141.218.60.56/~jnz1568/getInfo.php?workbook=12_05.xlsx&amp;sheet=U0&amp;row=2242&amp;col=7&amp;number=0.000237&amp;sourceID=14","0.000237")</f>
        <v>0.000237</v>
      </c>
    </row>
    <row r="2243" spans="1:7">
      <c r="A2243" s="3"/>
      <c r="B2243" s="3"/>
      <c r="C2243" s="3"/>
      <c r="D2243" s="3"/>
      <c r="E2243" s="3">
        <v>20</v>
      </c>
      <c r="F2243" s="4" t="str">
        <f>HYPERLINK("http://141.218.60.56/~jnz1568/getInfo.php?workbook=12_05.xlsx&amp;sheet=U0&amp;row=2243&amp;col=6&amp;number=4.9&amp;sourceID=14","4.9")</f>
        <v>4.9</v>
      </c>
      <c r="G2243" s="4" t="str">
        <f>HYPERLINK("http://141.218.60.56/~jnz1568/getInfo.php?workbook=12_05.xlsx&amp;sheet=U0&amp;row=2243&amp;col=7&amp;number=0.000233&amp;sourceID=14","0.000233")</f>
        <v>0.000233</v>
      </c>
    </row>
    <row r="2244" spans="1:7">
      <c r="A2244" s="3">
        <v>12</v>
      </c>
      <c r="B2244" s="3">
        <v>5</v>
      </c>
      <c r="C2244" s="3">
        <v>1</v>
      </c>
      <c r="D2244" s="3">
        <v>72</v>
      </c>
      <c r="E2244" s="3">
        <v>1</v>
      </c>
      <c r="F2244" s="4" t="str">
        <f>HYPERLINK("http://141.218.60.56/~jnz1568/getInfo.php?workbook=12_05.xlsx&amp;sheet=U0&amp;row=2244&amp;col=6&amp;number=3&amp;sourceID=14","3")</f>
        <v>3</v>
      </c>
      <c r="G2244" s="4" t="str">
        <f>HYPERLINK("http://141.218.60.56/~jnz1568/getInfo.php?workbook=12_05.xlsx&amp;sheet=U0&amp;row=2244&amp;col=7&amp;number=0.000435&amp;sourceID=14","0.000435")</f>
        <v>0.000435</v>
      </c>
    </row>
    <row r="2245" spans="1:7">
      <c r="A2245" s="3"/>
      <c r="B2245" s="3"/>
      <c r="C2245" s="3"/>
      <c r="D2245" s="3"/>
      <c r="E2245" s="3">
        <v>2</v>
      </c>
      <c r="F2245" s="4" t="str">
        <f>HYPERLINK("http://141.218.60.56/~jnz1568/getInfo.php?workbook=12_05.xlsx&amp;sheet=U0&amp;row=2245&amp;col=6&amp;number=3.1&amp;sourceID=14","3.1")</f>
        <v>3.1</v>
      </c>
      <c r="G2245" s="4" t="str">
        <f>HYPERLINK("http://141.218.60.56/~jnz1568/getInfo.php?workbook=12_05.xlsx&amp;sheet=U0&amp;row=2245&amp;col=7&amp;number=0.000434&amp;sourceID=14","0.000434")</f>
        <v>0.000434</v>
      </c>
    </row>
    <row r="2246" spans="1:7">
      <c r="A2246" s="3"/>
      <c r="B2246" s="3"/>
      <c r="C2246" s="3"/>
      <c r="D2246" s="3"/>
      <c r="E2246" s="3">
        <v>3</v>
      </c>
      <c r="F2246" s="4" t="str">
        <f>HYPERLINK("http://141.218.60.56/~jnz1568/getInfo.php?workbook=12_05.xlsx&amp;sheet=U0&amp;row=2246&amp;col=6&amp;number=3.2&amp;sourceID=14","3.2")</f>
        <v>3.2</v>
      </c>
      <c r="G2246" s="4" t="str">
        <f>HYPERLINK("http://141.218.60.56/~jnz1568/getInfo.php?workbook=12_05.xlsx&amp;sheet=U0&amp;row=2246&amp;col=7&amp;number=0.000434&amp;sourceID=14","0.000434")</f>
        <v>0.000434</v>
      </c>
    </row>
    <row r="2247" spans="1:7">
      <c r="A2247" s="3"/>
      <c r="B2247" s="3"/>
      <c r="C2247" s="3"/>
      <c r="D2247" s="3"/>
      <c r="E2247" s="3">
        <v>4</v>
      </c>
      <c r="F2247" s="4" t="str">
        <f>HYPERLINK("http://141.218.60.56/~jnz1568/getInfo.php?workbook=12_05.xlsx&amp;sheet=U0&amp;row=2247&amp;col=6&amp;number=3.3&amp;sourceID=14","3.3")</f>
        <v>3.3</v>
      </c>
      <c r="G2247" s="4" t="str">
        <f>HYPERLINK("http://141.218.60.56/~jnz1568/getInfo.php?workbook=12_05.xlsx&amp;sheet=U0&amp;row=2247&amp;col=7&amp;number=0.000434&amp;sourceID=14","0.000434")</f>
        <v>0.000434</v>
      </c>
    </row>
    <row r="2248" spans="1:7">
      <c r="A2248" s="3"/>
      <c r="B2248" s="3"/>
      <c r="C2248" s="3"/>
      <c r="D2248" s="3"/>
      <c r="E2248" s="3">
        <v>5</v>
      </c>
      <c r="F2248" s="4" t="str">
        <f>HYPERLINK("http://141.218.60.56/~jnz1568/getInfo.php?workbook=12_05.xlsx&amp;sheet=U0&amp;row=2248&amp;col=6&amp;number=3.4&amp;sourceID=14","3.4")</f>
        <v>3.4</v>
      </c>
      <c r="G2248" s="4" t="str">
        <f>HYPERLINK("http://141.218.60.56/~jnz1568/getInfo.php?workbook=12_05.xlsx&amp;sheet=U0&amp;row=2248&amp;col=7&amp;number=0.000434&amp;sourceID=14","0.000434")</f>
        <v>0.000434</v>
      </c>
    </row>
    <row r="2249" spans="1:7">
      <c r="A2249" s="3"/>
      <c r="B2249" s="3"/>
      <c r="C2249" s="3"/>
      <c r="D2249" s="3"/>
      <c r="E2249" s="3">
        <v>6</v>
      </c>
      <c r="F2249" s="4" t="str">
        <f>HYPERLINK("http://141.218.60.56/~jnz1568/getInfo.php?workbook=12_05.xlsx&amp;sheet=U0&amp;row=2249&amp;col=6&amp;number=3.5&amp;sourceID=14","3.5")</f>
        <v>3.5</v>
      </c>
      <c r="G2249" s="4" t="str">
        <f>HYPERLINK("http://141.218.60.56/~jnz1568/getInfo.php?workbook=12_05.xlsx&amp;sheet=U0&amp;row=2249&amp;col=7&amp;number=0.000434&amp;sourceID=14","0.000434")</f>
        <v>0.000434</v>
      </c>
    </row>
    <row r="2250" spans="1:7">
      <c r="A2250" s="3"/>
      <c r="B2250" s="3"/>
      <c r="C2250" s="3"/>
      <c r="D2250" s="3"/>
      <c r="E2250" s="3">
        <v>7</v>
      </c>
      <c r="F2250" s="4" t="str">
        <f>HYPERLINK("http://141.218.60.56/~jnz1568/getInfo.php?workbook=12_05.xlsx&amp;sheet=U0&amp;row=2250&amp;col=6&amp;number=3.6&amp;sourceID=14","3.6")</f>
        <v>3.6</v>
      </c>
      <c r="G2250" s="4" t="str">
        <f>HYPERLINK("http://141.218.60.56/~jnz1568/getInfo.php?workbook=12_05.xlsx&amp;sheet=U0&amp;row=2250&amp;col=7&amp;number=0.000433&amp;sourceID=14","0.000433")</f>
        <v>0.000433</v>
      </c>
    </row>
    <row r="2251" spans="1:7">
      <c r="A2251" s="3"/>
      <c r="B2251" s="3"/>
      <c r="C2251" s="3"/>
      <c r="D2251" s="3"/>
      <c r="E2251" s="3">
        <v>8</v>
      </c>
      <c r="F2251" s="4" t="str">
        <f>HYPERLINK("http://141.218.60.56/~jnz1568/getInfo.php?workbook=12_05.xlsx&amp;sheet=U0&amp;row=2251&amp;col=6&amp;number=3.7&amp;sourceID=14","3.7")</f>
        <v>3.7</v>
      </c>
      <c r="G2251" s="4" t="str">
        <f>HYPERLINK("http://141.218.60.56/~jnz1568/getInfo.php?workbook=12_05.xlsx&amp;sheet=U0&amp;row=2251&amp;col=7&amp;number=0.000433&amp;sourceID=14","0.000433")</f>
        <v>0.000433</v>
      </c>
    </row>
    <row r="2252" spans="1:7">
      <c r="A2252" s="3"/>
      <c r="B2252" s="3"/>
      <c r="C2252" s="3"/>
      <c r="D2252" s="3"/>
      <c r="E2252" s="3">
        <v>9</v>
      </c>
      <c r="F2252" s="4" t="str">
        <f>HYPERLINK("http://141.218.60.56/~jnz1568/getInfo.php?workbook=12_05.xlsx&amp;sheet=U0&amp;row=2252&amp;col=6&amp;number=3.8&amp;sourceID=14","3.8")</f>
        <v>3.8</v>
      </c>
      <c r="G2252" s="4" t="str">
        <f>HYPERLINK("http://141.218.60.56/~jnz1568/getInfo.php?workbook=12_05.xlsx&amp;sheet=U0&amp;row=2252&amp;col=7&amp;number=0.000432&amp;sourceID=14","0.000432")</f>
        <v>0.000432</v>
      </c>
    </row>
    <row r="2253" spans="1:7">
      <c r="A2253" s="3"/>
      <c r="B2253" s="3"/>
      <c r="C2253" s="3"/>
      <c r="D2253" s="3"/>
      <c r="E2253" s="3">
        <v>10</v>
      </c>
      <c r="F2253" s="4" t="str">
        <f>HYPERLINK("http://141.218.60.56/~jnz1568/getInfo.php?workbook=12_05.xlsx&amp;sheet=U0&amp;row=2253&amp;col=6&amp;number=3.9&amp;sourceID=14","3.9")</f>
        <v>3.9</v>
      </c>
      <c r="G2253" s="4" t="str">
        <f>HYPERLINK("http://141.218.60.56/~jnz1568/getInfo.php?workbook=12_05.xlsx&amp;sheet=U0&amp;row=2253&amp;col=7&amp;number=0.000431&amp;sourceID=14","0.000431")</f>
        <v>0.000431</v>
      </c>
    </row>
    <row r="2254" spans="1:7">
      <c r="A2254" s="3"/>
      <c r="B2254" s="3"/>
      <c r="C2254" s="3"/>
      <c r="D2254" s="3"/>
      <c r="E2254" s="3">
        <v>11</v>
      </c>
      <c r="F2254" s="4" t="str">
        <f>HYPERLINK("http://141.218.60.56/~jnz1568/getInfo.php?workbook=12_05.xlsx&amp;sheet=U0&amp;row=2254&amp;col=6&amp;number=4&amp;sourceID=14","4")</f>
        <v>4</v>
      </c>
      <c r="G2254" s="4" t="str">
        <f>HYPERLINK("http://141.218.60.56/~jnz1568/getInfo.php?workbook=12_05.xlsx&amp;sheet=U0&amp;row=2254&amp;col=7&amp;number=0.00043&amp;sourceID=14","0.00043")</f>
        <v>0.00043</v>
      </c>
    </row>
    <row r="2255" spans="1:7">
      <c r="A2255" s="3"/>
      <c r="B2255" s="3"/>
      <c r="C2255" s="3"/>
      <c r="D2255" s="3"/>
      <c r="E2255" s="3">
        <v>12</v>
      </c>
      <c r="F2255" s="4" t="str">
        <f>HYPERLINK("http://141.218.60.56/~jnz1568/getInfo.php?workbook=12_05.xlsx&amp;sheet=U0&amp;row=2255&amp;col=6&amp;number=4.1&amp;sourceID=14","4.1")</f>
        <v>4.1</v>
      </c>
      <c r="G2255" s="4" t="str">
        <f>HYPERLINK("http://141.218.60.56/~jnz1568/getInfo.php?workbook=12_05.xlsx&amp;sheet=U0&amp;row=2255&amp;col=7&amp;number=0.000429&amp;sourceID=14","0.000429")</f>
        <v>0.000429</v>
      </c>
    </row>
    <row r="2256" spans="1:7">
      <c r="A2256" s="3"/>
      <c r="B2256" s="3"/>
      <c r="C2256" s="3"/>
      <c r="D2256" s="3"/>
      <c r="E2256" s="3">
        <v>13</v>
      </c>
      <c r="F2256" s="4" t="str">
        <f>HYPERLINK("http://141.218.60.56/~jnz1568/getInfo.php?workbook=12_05.xlsx&amp;sheet=U0&amp;row=2256&amp;col=6&amp;number=4.2&amp;sourceID=14","4.2")</f>
        <v>4.2</v>
      </c>
      <c r="G2256" s="4" t="str">
        <f>HYPERLINK("http://141.218.60.56/~jnz1568/getInfo.php?workbook=12_05.xlsx&amp;sheet=U0&amp;row=2256&amp;col=7&amp;number=0.000428&amp;sourceID=14","0.000428")</f>
        <v>0.000428</v>
      </c>
    </row>
    <row r="2257" spans="1:7">
      <c r="A2257" s="3"/>
      <c r="B2257" s="3"/>
      <c r="C2257" s="3"/>
      <c r="D2257" s="3"/>
      <c r="E2257" s="3">
        <v>14</v>
      </c>
      <c r="F2257" s="4" t="str">
        <f>HYPERLINK("http://141.218.60.56/~jnz1568/getInfo.php?workbook=12_05.xlsx&amp;sheet=U0&amp;row=2257&amp;col=6&amp;number=4.3&amp;sourceID=14","4.3")</f>
        <v>4.3</v>
      </c>
      <c r="G2257" s="4" t="str">
        <f>HYPERLINK("http://141.218.60.56/~jnz1568/getInfo.php?workbook=12_05.xlsx&amp;sheet=U0&amp;row=2257&amp;col=7&amp;number=0.000426&amp;sourceID=14","0.000426")</f>
        <v>0.000426</v>
      </c>
    </row>
    <row r="2258" spans="1:7">
      <c r="A2258" s="3"/>
      <c r="B2258" s="3"/>
      <c r="C2258" s="3"/>
      <c r="D2258" s="3"/>
      <c r="E2258" s="3">
        <v>15</v>
      </c>
      <c r="F2258" s="4" t="str">
        <f>HYPERLINK("http://141.218.60.56/~jnz1568/getInfo.php?workbook=12_05.xlsx&amp;sheet=U0&amp;row=2258&amp;col=6&amp;number=4.4&amp;sourceID=14","4.4")</f>
        <v>4.4</v>
      </c>
      <c r="G2258" s="4" t="str">
        <f>HYPERLINK("http://141.218.60.56/~jnz1568/getInfo.php?workbook=12_05.xlsx&amp;sheet=U0&amp;row=2258&amp;col=7&amp;number=0.000424&amp;sourceID=14","0.000424")</f>
        <v>0.000424</v>
      </c>
    </row>
    <row r="2259" spans="1:7">
      <c r="A2259" s="3"/>
      <c r="B2259" s="3"/>
      <c r="C2259" s="3"/>
      <c r="D2259" s="3"/>
      <c r="E2259" s="3">
        <v>16</v>
      </c>
      <c r="F2259" s="4" t="str">
        <f>HYPERLINK("http://141.218.60.56/~jnz1568/getInfo.php?workbook=12_05.xlsx&amp;sheet=U0&amp;row=2259&amp;col=6&amp;number=4.5&amp;sourceID=14","4.5")</f>
        <v>4.5</v>
      </c>
      <c r="G2259" s="4" t="str">
        <f>HYPERLINK("http://141.218.60.56/~jnz1568/getInfo.php?workbook=12_05.xlsx&amp;sheet=U0&amp;row=2259&amp;col=7&amp;number=0.000421&amp;sourceID=14","0.000421")</f>
        <v>0.000421</v>
      </c>
    </row>
    <row r="2260" spans="1:7">
      <c r="A2260" s="3"/>
      <c r="B2260" s="3"/>
      <c r="C2260" s="3"/>
      <c r="D2260" s="3"/>
      <c r="E2260" s="3">
        <v>17</v>
      </c>
      <c r="F2260" s="4" t="str">
        <f>HYPERLINK("http://141.218.60.56/~jnz1568/getInfo.php?workbook=12_05.xlsx&amp;sheet=U0&amp;row=2260&amp;col=6&amp;number=4.6&amp;sourceID=14","4.6")</f>
        <v>4.6</v>
      </c>
      <c r="G2260" s="4" t="str">
        <f>HYPERLINK("http://141.218.60.56/~jnz1568/getInfo.php?workbook=12_05.xlsx&amp;sheet=U0&amp;row=2260&amp;col=7&amp;number=0.000417&amp;sourceID=14","0.000417")</f>
        <v>0.000417</v>
      </c>
    </row>
    <row r="2261" spans="1:7">
      <c r="A2261" s="3"/>
      <c r="B2261" s="3"/>
      <c r="C2261" s="3"/>
      <c r="D2261" s="3"/>
      <c r="E2261" s="3">
        <v>18</v>
      </c>
      <c r="F2261" s="4" t="str">
        <f>HYPERLINK("http://141.218.60.56/~jnz1568/getInfo.php?workbook=12_05.xlsx&amp;sheet=U0&amp;row=2261&amp;col=6&amp;number=4.7&amp;sourceID=14","4.7")</f>
        <v>4.7</v>
      </c>
      <c r="G2261" s="4" t="str">
        <f>HYPERLINK("http://141.218.60.56/~jnz1568/getInfo.php?workbook=12_05.xlsx&amp;sheet=U0&amp;row=2261&amp;col=7&amp;number=0.000413&amp;sourceID=14","0.000413")</f>
        <v>0.000413</v>
      </c>
    </row>
    <row r="2262" spans="1:7">
      <c r="A2262" s="3"/>
      <c r="B2262" s="3"/>
      <c r="C2262" s="3"/>
      <c r="D2262" s="3"/>
      <c r="E2262" s="3">
        <v>19</v>
      </c>
      <c r="F2262" s="4" t="str">
        <f>HYPERLINK("http://141.218.60.56/~jnz1568/getInfo.php?workbook=12_05.xlsx&amp;sheet=U0&amp;row=2262&amp;col=6&amp;number=4.8&amp;sourceID=14","4.8")</f>
        <v>4.8</v>
      </c>
      <c r="G2262" s="4" t="str">
        <f>HYPERLINK("http://141.218.60.56/~jnz1568/getInfo.php?workbook=12_05.xlsx&amp;sheet=U0&amp;row=2262&amp;col=7&amp;number=0.000407&amp;sourceID=14","0.000407")</f>
        <v>0.000407</v>
      </c>
    </row>
    <row r="2263" spans="1:7">
      <c r="A2263" s="3"/>
      <c r="B2263" s="3"/>
      <c r="C2263" s="3"/>
      <c r="D2263" s="3"/>
      <c r="E2263" s="3">
        <v>20</v>
      </c>
      <c r="F2263" s="4" t="str">
        <f>HYPERLINK("http://141.218.60.56/~jnz1568/getInfo.php?workbook=12_05.xlsx&amp;sheet=U0&amp;row=2263&amp;col=6&amp;number=4.9&amp;sourceID=14","4.9")</f>
        <v>4.9</v>
      </c>
      <c r="G2263" s="4" t="str">
        <f>HYPERLINK("http://141.218.60.56/~jnz1568/getInfo.php?workbook=12_05.xlsx&amp;sheet=U0&amp;row=2263&amp;col=7&amp;number=0.0004&amp;sourceID=14","0.0004")</f>
        <v>0.0004</v>
      </c>
    </row>
    <row r="2264" spans="1:7">
      <c r="A2264" s="3">
        <v>12</v>
      </c>
      <c r="B2264" s="3">
        <v>5</v>
      </c>
      <c r="C2264" s="3">
        <v>1</v>
      </c>
      <c r="D2264" s="3">
        <v>73</v>
      </c>
      <c r="E2264" s="3">
        <v>1</v>
      </c>
      <c r="F2264" s="4" t="str">
        <f>HYPERLINK("http://141.218.60.56/~jnz1568/getInfo.php?workbook=12_05.xlsx&amp;sheet=U0&amp;row=2264&amp;col=6&amp;number=3&amp;sourceID=14","3")</f>
        <v>3</v>
      </c>
      <c r="G2264" s="4" t="str">
        <f>HYPERLINK("http://141.218.60.56/~jnz1568/getInfo.php?workbook=12_05.xlsx&amp;sheet=U0&amp;row=2264&amp;col=7&amp;number=0.0631&amp;sourceID=14","0.0631")</f>
        <v>0.0631</v>
      </c>
    </row>
    <row r="2265" spans="1:7">
      <c r="A2265" s="3"/>
      <c r="B2265" s="3"/>
      <c r="C2265" s="3"/>
      <c r="D2265" s="3"/>
      <c r="E2265" s="3">
        <v>2</v>
      </c>
      <c r="F2265" s="4" t="str">
        <f>HYPERLINK("http://141.218.60.56/~jnz1568/getInfo.php?workbook=12_05.xlsx&amp;sheet=U0&amp;row=2265&amp;col=6&amp;number=3.1&amp;sourceID=14","3.1")</f>
        <v>3.1</v>
      </c>
      <c r="G2265" s="4" t="str">
        <f>HYPERLINK("http://141.218.60.56/~jnz1568/getInfo.php?workbook=12_05.xlsx&amp;sheet=U0&amp;row=2265&amp;col=7&amp;number=0.0631&amp;sourceID=14","0.0631")</f>
        <v>0.0631</v>
      </c>
    </row>
    <row r="2266" spans="1:7">
      <c r="A2266" s="3"/>
      <c r="B2266" s="3"/>
      <c r="C2266" s="3"/>
      <c r="D2266" s="3"/>
      <c r="E2266" s="3">
        <v>3</v>
      </c>
      <c r="F2266" s="4" t="str">
        <f>HYPERLINK("http://141.218.60.56/~jnz1568/getInfo.php?workbook=12_05.xlsx&amp;sheet=U0&amp;row=2266&amp;col=6&amp;number=3.2&amp;sourceID=14","3.2")</f>
        <v>3.2</v>
      </c>
      <c r="G2266" s="4" t="str">
        <f>HYPERLINK("http://141.218.60.56/~jnz1568/getInfo.php?workbook=12_05.xlsx&amp;sheet=U0&amp;row=2266&amp;col=7&amp;number=0.0631&amp;sourceID=14","0.0631")</f>
        <v>0.0631</v>
      </c>
    </row>
    <row r="2267" spans="1:7">
      <c r="A2267" s="3"/>
      <c r="B2267" s="3"/>
      <c r="C2267" s="3"/>
      <c r="D2267" s="3"/>
      <c r="E2267" s="3">
        <v>4</v>
      </c>
      <c r="F2267" s="4" t="str">
        <f>HYPERLINK("http://141.218.60.56/~jnz1568/getInfo.php?workbook=12_05.xlsx&amp;sheet=U0&amp;row=2267&amp;col=6&amp;number=3.3&amp;sourceID=14","3.3")</f>
        <v>3.3</v>
      </c>
      <c r="G2267" s="4" t="str">
        <f>HYPERLINK("http://141.218.60.56/~jnz1568/getInfo.php?workbook=12_05.xlsx&amp;sheet=U0&amp;row=2267&amp;col=7&amp;number=0.0631&amp;sourceID=14","0.0631")</f>
        <v>0.0631</v>
      </c>
    </row>
    <row r="2268" spans="1:7">
      <c r="A2268" s="3"/>
      <c r="B2268" s="3"/>
      <c r="C2268" s="3"/>
      <c r="D2268" s="3"/>
      <c r="E2268" s="3">
        <v>5</v>
      </c>
      <c r="F2268" s="4" t="str">
        <f>HYPERLINK("http://141.218.60.56/~jnz1568/getInfo.php?workbook=12_05.xlsx&amp;sheet=U0&amp;row=2268&amp;col=6&amp;number=3.4&amp;sourceID=14","3.4")</f>
        <v>3.4</v>
      </c>
      <c r="G2268" s="4" t="str">
        <f>HYPERLINK("http://141.218.60.56/~jnz1568/getInfo.php?workbook=12_05.xlsx&amp;sheet=U0&amp;row=2268&amp;col=7&amp;number=0.0631&amp;sourceID=14","0.0631")</f>
        <v>0.0631</v>
      </c>
    </row>
    <row r="2269" spans="1:7">
      <c r="A2269" s="3"/>
      <c r="B2269" s="3"/>
      <c r="C2269" s="3"/>
      <c r="D2269" s="3"/>
      <c r="E2269" s="3">
        <v>6</v>
      </c>
      <c r="F2269" s="4" t="str">
        <f>HYPERLINK("http://141.218.60.56/~jnz1568/getInfo.php?workbook=12_05.xlsx&amp;sheet=U0&amp;row=2269&amp;col=6&amp;number=3.5&amp;sourceID=14","3.5")</f>
        <v>3.5</v>
      </c>
      <c r="G2269" s="4" t="str">
        <f>HYPERLINK("http://141.218.60.56/~jnz1568/getInfo.php?workbook=12_05.xlsx&amp;sheet=U0&amp;row=2269&amp;col=7&amp;number=0.0631&amp;sourceID=14","0.0631")</f>
        <v>0.0631</v>
      </c>
    </row>
    <row r="2270" spans="1:7">
      <c r="A2270" s="3"/>
      <c r="B2270" s="3"/>
      <c r="C2270" s="3"/>
      <c r="D2270" s="3"/>
      <c r="E2270" s="3">
        <v>7</v>
      </c>
      <c r="F2270" s="4" t="str">
        <f>HYPERLINK("http://141.218.60.56/~jnz1568/getInfo.php?workbook=12_05.xlsx&amp;sheet=U0&amp;row=2270&amp;col=6&amp;number=3.6&amp;sourceID=14","3.6")</f>
        <v>3.6</v>
      </c>
      <c r="G2270" s="4" t="str">
        <f>HYPERLINK("http://141.218.60.56/~jnz1568/getInfo.php?workbook=12_05.xlsx&amp;sheet=U0&amp;row=2270&amp;col=7&amp;number=0.063&amp;sourceID=14","0.063")</f>
        <v>0.063</v>
      </c>
    </row>
    <row r="2271" spans="1:7">
      <c r="A2271" s="3"/>
      <c r="B2271" s="3"/>
      <c r="C2271" s="3"/>
      <c r="D2271" s="3"/>
      <c r="E2271" s="3">
        <v>8</v>
      </c>
      <c r="F2271" s="4" t="str">
        <f>HYPERLINK("http://141.218.60.56/~jnz1568/getInfo.php?workbook=12_05.xlsx&amp;sheet=U0&amp;row=2271&amp;col=6&amp;number=3.7&amp;sourceID=14","3.7")</f>
        <v>3.7</v>
      </c>
      <c r="G2271" s="4" t="str">
        <f>HYPERLINK("http://141.218.60.56/~jnz1568/getInfo.php?workbook=12_05.xlsx&amp;sheet=U0&amp;row=2271&amp;col=7&amp;number=0.063&amp;sourceID=14","0.063")</f>
        <v>0.063</v>
      </c>
    </row>
    <row r="2272" spans="1:7">
      <c r="A2272" s="3"/>
      <c r="B2272" s="3"/>
      <c r="C2272" s="3"/>
      <c r="D2272" s="3"/>
      <c r="E2272" s="3">
        <v>9</v>
      </c>
      <c r="F2272" s="4" t="str">
        <f>HYPERLINK("http://141.218.60.56/~jnz1568/getInfo.php?workbook=12_05.xlsx&amp;sheet=U0&amp;row=2272&amp;col=6&amp;number=3.8&amp;sourceID=14","3.8")</f>
        <v>3.8</v>
      </c>
      <c r="G2272" s="4" t="str">
        <f>HYPERLINK("http://141.218.60.56/~jnz1568/getInfo.php?workbook=12_05.xlsx&amp;sheet=U0&amp;row=2272&amp;col=7&amp;number=0.063&amp;sourceID=14","0.063")</f>
        <v>0.063</v>
      </c>
    </row>
    <row r="2273" spans="1:7">
      <c r="A2273" s="3"/>
      <c r="B2273" s="3"/>
      <c r="C2273" s="3"/>
      <c r="D2273" s="3"/>
      <c r="E2273" s="3">
        <v>10</v>
      </c>
      <c r="F2273" s="4" t="str">
        <f>HYPERLINK("http://141.218.60.56/~jnz1568/getInfo.php?workbook=12_05.xlsx&amp;sheet=U0&amp;row=2273&amp;col=6&amp;number=3.9&amp;sourceID=14","3.9")</f>
        <v>3.9</v>
      </c>
      <c r="G2273" s="4" t="str">
        <f>HYPERLINK("http://141.218.60.56/~jnz1568/getInfo.php?workbook=12_05.xlsx&amp;sheet=U0&amp;row=2273&amp;col=7&amp;number=0.063&amp;sourceID=14","0.063")</f>
        <v>0.063</v>
      </c>
    </row>
    <row r="2274" spans="1:7">
      <c r="A2274" s="3"/>
      <c r="B2274" s="3"/>
      <c r="C2274" s="3"/>
      <c r="D2274" s="3"/>
      <c r="E2274" s="3">
        <v>11</v>
      </c>
      <c r="F2274" s="4" t="str">
        <f>HYPERLINK("http://141.218.60.56/~jnz1568/getInfo.php?workbook=12_05.xlsx&amp;sheet=U0&amp;row=2274&amp;col=6&amp;number=4&amp;sourceID=14","4")</f>
        <v>4</v>
      </c>
      <c r="G2274" s="4" t="str">
        <f>HYPERLINK("http://141.218.60.56/~jnz1568/getInfo.php?workbook=12_05.xlsx&amp;sheet=U0&amp;row=2274&amp;col=7&amp;number=0.063&amp;sourceID=14","0.063")</f>
        <v>0.063</v>
      </c>
    </row>
    <row r="2275" spans="1:7">
      <c r="A2275" s="3"/>
      <c r="B2275" s="3"/>
      <c r="C2275" s="3"/>
      <c r="D2275" s="3"/>
      <c r="E2275" s="3">
        <v>12</v>
      </c>
      <c r="F2275" s="4" t="str">
        <f>HYPERLINK("http://141.218.60.56/~jnz1568/getInfo.php?workbook=12_05.xlsx&amp;sheet=U0&amp;row=2275&amp;col=6&amp;number=4.1&amp;sourceID=14","4.1")</f>
        <v>4.1</v>
      </c>
      <c r="G2275" s="4" t="str">
        <f>HYPERLINK("http://141.218.60.56/~jnz1568/getInfo.php?workbook=12_05.xlsx&amp;sheet=U0&amp;row=2275&amp;col=7&amp;number=0.063&amp;sourceID=14","0.063")</f>
        <v>0.063</v>
      </c>
    </row>
    <row r="2276" spans="1:7">
      <c r="A2276" s="3"/>
      <c r="B2276" s="3"/>
      <c r="C2276" s="3"/>
      <c r="D2276" s="3"/>
      <c r="E2276" s="3">
        <v>13</v>
      </c>
      <c r="F2276" s="4" t="str">
        <f>HYPERLINK("http://141.218.60.56/~jnz1568/getInfo.php?workbook=12_05.xlsx&amp;sheet=U0&amp;row=2276&amp;col=6&amp;number=4.2&amp;sourceID=14","4.2")</f>
        <v>4.2</v>
      </c>
      <c r="G2276" s="4" t="str">
        <f>HYPERLINK("http://141.218.60.56/~jnz1568/getInfo.php?workbook=12_05.xlsx&amp;sheet=U0&amp;row=2276&amp;col=7&amp;number=0.063&amp;sourceID=14","0.063")</f>
        <v>0.063</v>
      </c>
    </row>
    <row r="2277" spans="1:7">
      <c r="A2277" s="3"/>
      <c r="B2277" s="3"/>
      <c r="C2277" s="3"/>
      <c r="D2277" s="3"/>
      <c r="E2277" s="3">
        <v>14</v>
      </c>
      <c r="F2277" s="4" t="str">
        <f>HYPERLINK("http://141.218.60.56/~jnz1568/getInfo.php?workbook=12_05.xlsx&amp;sheet=U0&amp;row=2277&amp;col=6&amp;number=4.3&amp;sourceID=14","4.3")</f>
        <v>4.3</v>
      </c>
      <c r="G2277" s="4" t="str">
        <f>HYPERLINK("http://141.218.60.56/~jnz1568/getInfo.php?workbook=12_05.xlsx&amp;sheet=U0&amp;row=2277&amp;col=7&amp;number=0.063&amp;sourceID=14","0.063")</f>
        <v>0.063</v>
      </c>
    </row>
    <row r="2278" spans="1:7">
      <c r="A2278" s="3"/>
      <c r="B2278" s="3"/>
      <c r="C2278" s="3"/>
      <c r="D2278" s="3"/>
      <c r="E2278" s="3">
        <v>15</v>
      </c>
      <c r="F2278" s="4" t="str">
        <f>HYPERLINK("http://141.218.60.56/~jnz1568/getInfo.php?workbook=12_05.xlsx&amp;sheet=U0&amp;row=2278&amp;col=6&amp;number=4.4&amp;sourceID=14","4.4")</f>
        <v>4.4</v>
      </c>
      <c r="G2278" s="4" t="str">
        <f>HYPERLINK("http://141.218.60.56/~jnz1568/getInfo.php?workbook=12_05.xlsx&amp;sheet=U0&amp;row=2278&amp;col=7&amp;number=0.063&amp;sourceID=14","0.063")</f>
        <v>0.063</v>
      </c>
    </row>
    <row r="2279" spans="1:7">
      <c r="A2279" s="3"/>
      <c r="B2279" s="3"/>
      <c r="C2279" s="3"/>
      <c r="D2279" s="3"/>
      <c r="E2279" s="3">
        <v>16</v>
      </c>
      <c r="F2279" s="4" t="str">
        <f>HYPERLINK("http://141.218.60.56/~jnz1568/getInfo.php?workbook=12_05.xlsx&amp;sheet=U0&amp;row=2279&amp;col=6&amp;number=4.5&amp;sourceID=14","4.5")</f>
        <v>4.5</v>
      </c>
      <c r="G2279" s="4" t="str">
        <f>HYPERLINK("http://141.218.60.56/~jnz1568/getInfo.php?workbook=12_05.xlsx&amp;sheet=U0&amp;row=2279&amp;col=7&amp;number=0.063&amp;sourceID=14","0.063")</f>
        <v>0.063</v>
      </c>
    </row>
    <row r="2280" spans="1:7">
      <c r="A2280" s="3"/>
      <c r="B2280" s="3"/>
      <c r="C2280" s="3"/>
      <c r="D2280" s="3"/>
      <c r="E2280" s="3">
        <v>17</v>
      </c>
      <c r="F2280" s="4" t="str">
        <f>HYPERLINK("http://141.218.60.56/~jnz1568/getInfo.php?workbook=12_05.xlsx&amp;sheet=U0&amp;row=2280&amp;col=6&amp;number=4.6&amp;sourceID=14","4.6")</f>
        <v>4.6</v>
      </c>
      <c r="G2280" s="4" t="str">
        <f>HYPERLINK("http://141.218.60.56/~jnz1568/getInfo.php?workbook=12_05.xlsx&amp;sheet=U0&amp;row=2280&amp;col=7&amp;number=0.0629&amp;sourceID=14","0.0629")</f>
        <v>0.0629</v>
      </c>
    </row>
    <row r="2281" spans="1:7">
      <c r="A2281" s="3"/>
      <c r="B2281" s="3"/>
      <c r="C2281" s="3"/>
      <c r="D2281" s="3"/>
      <c r="E2281" s="3">
        <v>18</v>
      </c>
      <c r="F2281" s="4" t="str">
        <f>HYPERLINK("http://141.218.60.56/~jnz1568/getInfo.php?workbook=12_05.xlsx&amp;sheet=U0&amp;row=2281&amp;col=6&amp;number=4.7&amp;sourceID=14","4.7")</f>
        <v>4.7</v>
      </c>
      <c r="G2281" s="4" t="str">
        <f>HYPERLINK("http://141.218.60.56/~jnz1568/getInfo.php?workbook=12_05.xlsx&amp;sheet=U0&amp;row=2281&amp;col=7&amp;number=0.0629&amp;sourceID=14","0.0629")</f>
        <v>0.0629</v>
      </c>
    </row>
    <row r="2282" spans="1:7">
      <c r="A2282" s="3"/>
      <c r="B2282" s="3"/>
      <c r="C2282" s="3"/>
      <c r="D2282" s="3"/>
      <c r="E2282" s="3">
        <v>19</v>
      </c>
      <c r="F2282" s="4" t="str">
        <f>HYPERLINK("http://141.218.60.56/~jnz1568/getInfo.php?workbook=12_05.xlsx&amp;sheet=U0&amp;row=2282&amp;col=6&amp;number=4.8&amp;sourceID=14","4.8")</f>
        <v>4.8</v>
      </c>
      <c r="G2282" s="4" t="str">
        <f>HYPERLINK("http://141.218.60.56/~jnz1568/getInfo.php?workbook=12_05.xlsx&amp;sheet=U0&amp;row=2282&amp;col=7&amp;number=0.0629&amp;sourceID=14","0.0629")</f>
        <v>0.0629</v>
      </c>
    </row>
    <row r="2283" spans="1:7">
      <c r="A2283" s="3"/>
      <c r="B2283" s="3"/>
      <c r="C2283" s="3"/>
      <c r="D2283" s="3"/>
      <c r="E2283" s="3">
        <v>20</v>
      </c>
      <c r="F2283" s="4" t="str">
        <f>HYPERLINK("http://141.218.60.56/~jnz1568/getInfo.php?workbook=12_05.xlsx&amp;sheet=U0&amp;row=2283&amp;col=6&amp;number=4.9&amp;sourceID=14","4.9")</f>
        <v>4.9</v>
      </c>
      <c r="G2283" s="4" t="str">
        <f>HYPERLINK("http://141.218.60.56/~jnz1568/getInfo.php?workbook=12_05.xlsx&amp;sheet=U0&amp;row=2283&amp;col=7&amp;number=0.0628&amp;sourceID=14","0.0628")</f>
        <v>0.0628</v>
      </c>
    </row>
    <row r="2284" spans="1:7">
      <c r="A2284" s="3">
        <v>12</v>
      </c>
      <c r="B2284" s="3">
        <v>5</v>
      </c>
      <c r="C2284" s="3">
        <v>1</v>
      </c>
      <c r="D2284" s="3">
        <v>74</v>
      </c>
      <c r="E2284" s="3">
        <v>1</v>
      </c>
      <c r="F2284" s="4" t="str">
        <f>HYPERLINK("http://141.218.60.56/~jnz1568/getInfo.php?workbook=12_05.xlsx&amp;sheet=U0&amp;row=2284&amp;col=6&amp;number=3&amp;sourceID=14","3")</f>
        <v>3</v>
      </c>
      <c r="G2284" s="4" t="str">
        <f>HYPERLINK("http://141.218.60.56/~jnz1568/getInfo.php?workbook=12_05.xlsx&amp;sheet=U0&amp;row=2284&amp;col=7&amp;number=0.00462&amp;sourceID=14","0.00462")</f>
        <v>0.00462</v>
      </c>
    </row>
    <row r="2285" spans="1:7">
      <c r="A2285" s="3"/>
      <c r="B2285" s="3"/>
      <c r="C2285" s="3"/>
      <c r="D2285" s="3"/>
      <c r="E2285" s="3">
        <v>2</v>
      </c>
      <c r="F2285" s="4" t="str">
        <f>HYPERLINK("http://141.218.60.56/~jnz1568/getInfo.php?workbook=12_05.xlsx&amp;sheet=U0&amp;row=2285&amp;col=6&amp;number=3.1&amp;sourceID=14","3.1")</f>
        <v>3.1</v>
      </c>
      <c r="G2285" s="4" t="str">
        <f>HYPERLINK("http://141.218.60.56/~jnz1568/getInfo.php?workbook=12_05.xlsx&amp;sheet=U0&amp;row=2285&amp;col=7&amp;number=0.00462&amp;sourceID=14","0.00462")</f>
        <v>0.00462</v>
      </c>
    </row>
    <row r="2286" spans="1:7">
      <c r="A2286" s="3"/>
      <c r="B2286" s="3"/>
      <c r="C2286" s="3"/>
      <c r="D2286" s="3"/>
      <c r="E2286" s="3">
        <v>3</v>
      </c>
      <c r="F2286" s="4" t="str">
        <f>HYPERLINK("http://141.218.60.56/~jnz1568/getInfo.php?workbook=12_05.xlsx&amp;sheet=U0&amp;row=2286&amp;col=6&amp;number=3.2&amp;sourceID=14","3.2")</f>
        <v>3.2</v>
      </c>
      <c r="G2286" s="4" t="str">
        <f>HYPERLINK("http://141.218.60.56/~jnz1568/getInfo.php?workbook=12_05.xlsx&amp;sheet=U0&amp;row=2286&amp;col=7&amp;number=0.00461&amp;sourceID=14","0.00461")</f>
        <v>0.00461</v>
      </c>
    </row>
    <row r="2287" spans="1:7">
      <c r="A2287" s="3"/>
      <c r="B2287" s="3"/>
      <c r="C2287" s="3"/>
      <c r="D2287" s="3"/>
      <c r="E2287" s="3">
        <v>4</v>
      </c>
      <c r="F2287" s="4" t="str">
        <f>HYPERLINK("http://141.218.60.56/~jnz1568/getInfo.php?workbook=12_05.xlsx&amp;sheet=U0&amp;row=2287&amp;col=6&amp;number=3.3&amp;sourceID=14","3.3")</f>
        <v>3.3</v>
      </c>
      <c r="G2287" s="4" t="str">
        <f>HYPERLINK("http://141.218.60.56/~jnz1568/getInfo.php?workbook=12_05.xlsx&amp;sheet=U0&amp;row=2287&amp;col=7&amp;number=0.00461&amp;sourceID=14","0.00461")</f>
        <v>0.00461</v>
      </c>
    </row>
    <row r="2288" spans="1:7">
      <c r="A2288" s="3"/>
      <c r="B2288" s="3"/>
      <c r="C2288" s="3"/>
      <c r="D2288" s="3"/>
      <c r="E2288" s="3">
        <v>5</v>
      </c>
      <c r="F2288" s="4" t="str">
        <f>HYPERLINK("http://141.218.60.56/~jnz1568/getInfo.php?workbook=12_05.xlsx&amp;sheet=U0&amp;row=2288&amp;col=6&amp;number=3.4&amp;sourceID=14","3.4")</f>
        <v>3.4</v>
      </c>
      <c r="G2288" s="4" t="str">
        <f>HYPERLINK("http://141.218.60.56/~jnz1568/getInfo.php?workbook=12_05.xlsx&amp;sheet=U0&amp;row=2288&amp;col=7&amp;number=0.00461&amp;sourceID=14","0.00461")</f>
        <v>0.00461</v>
      </c>
    </row>
    <row r="2289" spans="1:7">
      <c r="A2289" s="3"/>
      <c r="B2289" s="3"/>
      <c r="C2289" s="3"/>
      <c r="D2289" s="3"/>
      <c r="E2289" s="3">
        <v>6</v>
      </c>
      <c r="F2289" s="4" t="str">
        <f>HYPERLINK("http://141.218.60.56/~jnz1568/getInfo.php?workbook=12_05.xlsx&amp;sheet=U0&amp;row=2289&amp;col=6&amp;number=3.5&amp;sourceID=14","3.5")</f>
        <v>3.5</v>
      </c>
      <c r="G2289" s="4" t="str">
        <f>HYPERLINK("http://141.218.60.56/~jnz1568/getInfo.php?workbook=12_05.xlsx&amp;sheet=U0&amp;row=2289&amp;col=7&amp;number=0.00461&amp;sourceID=14","0.00461")</f>
        <v>0.00461</v>
      </c>
    </row>
    <row r="2290" spans="1:7">
      <c r="A2290" s="3"/>
      <c r="B2290" s="3"/>
      <c r="C2290" s="3"/>
      <c r="D2290" s="3"/>
      <c r="E2290" s="3">
        <v>7</v>
      </c>
      <c r="F2290" s="4" t="str">
        <f>HYPERLINK("http://141.218.60.56/~jnz1568/getInfo.php?workbook=12_05.xlsx&amp;sheet=U0&amp;row=2290&amp;col=6&amp;number=3.6&amp;sourceID=14","3.6")</f>
        <v>3.6</v>
      </c>
      <c r="G2290" s="4" t="str">
        <f>HYPERLINK("http://141.218.60.56/~jnz1568/getInfo.php?workbook=12_05.xlsx&amp;sheet=U0&amp;row=2290&amp;col=7&amp;number=0.0046&amp;sourceID=14","0.0046")</f>
        <v>0.0046</v>
      </c>
    </row>
    <row r="2291" spans="1:7">
      <c r="A2291" s="3"/>
      <c r="B2291" s="3"/>
      <c r="C2291" s="3"/>
      <c r="D2291" s="3"/>
      <c r="E2291" s="3">
        <v>8</v>
      </c>
      <c r="F2291" s="4" t="str">
        <f>HYPERLINK("http://141.218.60.56/~jnz1568/getInfo.php?workbook=12_05.xlsx&amp;sheet=U0&amp;row=2291&amp;col=6&amp;number=3.7&amp;sourceID=14","3.7")</f>
        <v>3.7</v>
      </c>
      <c r="G2291" s="4" t="str">
        <f>HYPERLINK("http://141.218.60.56/~jnz1568/getInfo.php?workbook=12_05.xlsx&amp;sheet=U0&amp;row=2291&amp;col=7&amp;number=0.0046&amp;sourceID=14","0.0046")</f>
        <v>0.0046</v>
      </c>
    </row>
    <row r="2292" spans="1:7">
      <c r="A2292" s="3"/>
      <c r="B2292" s="3"/>
      <c r="C2292" s="3"/>
      <c r="D2292" s="3"/>
      <c r="E2292" s="3">
        <v>9</v>
      </c>
      <c r="F2292" s="4" t="str">
        <f>HYPERLINK("http://141.218.60.56/~jnz1568/getInfo.php?workbook=12_05.xlsx&amp;sheet=U0&amp;row=2292&amp;col=6&amp;number=3.8&amp;sourceID=14","3.8")</f>
        <v>3.8</v>
      </c>
      <c r="G2292" s="4" t="str">
        <f>HYPERLINK("http://141.218.60.56/~jnz1568/getInfo.php?workbook=12_05.xlsx&amp;sheet=U0&amp;row=2292&amp;col=7&amp;number=0.0046&amp;sourceID=14","0.0046")</f>
        <v>0.0046</v>
      </c>
    </row>
    <row r="2293" spans="1:7">
      <c r="A2293" s="3"/>
      <c r="B2293" s="3"/>
      <c r="C2293" s="3"/>
      <c r="D2293" s="3"/>
      <c r="E2293" s="3">
        <v>10</v>
      </c>
      <c r="F2293" s="4" t="str">
        <f>HYPERLINK("http://141.218.60.56/~jnz1568/getInfo.php?workbook=12_05.xlsx&amp;sheet=U0&amp;row=2293&amp;col=6&amp;number=3.9&amp;sourceID=14","3.9")</f>
        <v>3.9</v>
      </c>
      <c r="G2293" s="4" t="str">
        <f>HYPERLINK("http://141.218.60.56/~jnz1568/getInfo.php?workbook=12_05.xlsx&amp;sheet=U0&amp;row=2293&amp;col=7&amp;number=0.00459&amp;sourceID=14","0.00459")</f>
        <v>0.00459</v>
      </c>
    </row>
    <row r="2294" spans="1:7">
      <c r="A2294" s="3"/>
      <c r="B2294" s="3"/>
      <c r="C2294" s="3"/>
      <c r="D2294" s="3"/>
      <c r="E2294" s="3">
        <v>11</v>
      </c>
      <c r="F2294" s="4" t="str">
        <f>HYPERLINK("http://141.218.60.56/~jnz1568/getInfo.php?workbook=12_05.xlsx&amp;sheet=U0&amp;row=2294&amp;col=6&amp;number=4&amp;sourceID=14","4")</f>
        <v>4</v>
      </c>
      <c r="G2294" s="4" t="str">
        <f>HYPERLINK("http://141.218.60.56/~jnz1568/getInfo.php?workbook=12_05.xlsx&amp;sheet=U0&amp;row=2294&amp;col=7&amp;number=0.00458&amp;sourceID=14","0.00458")</f>
        <v>0.00458</v>
      </c>
    </row>
    <row r="2295" spans="1:7">
      <c r="A2295" s="3"/>
      <c r="B2295" s="3"/>
      <c r="C2295" s="3"/>
      <c r="D2295" s="3"/>
      <c r="E2295" s="3">
        <v>12</v>
      </c>
      <c r="F2295" s="4" t="str">
        <f>HYPERLINK("http://141.218.60.56/~jnz1568/getInfo.php?workbook=12_05.xlsx&amp;sheet=U0&amp;row=2295&amp;col=6&amp;number=4.1&amp;sourceID=14","4.1")</f>
        <v>4.1</v>
      </c>
      <c r="G2295" s="4" t="str">
        <f>HYPERLINK("http://141.218.60.56/~jnz1568/getInfo.php?workbook=12_05.xlsx&amp;sheet=U0&amp;row=2295&amp;col=7&amp;number=0.00457&amp;sourceID=14","0.00457")</f>
        <v>0.00457</v>
      </c>
    </row>
    <row r="2296" spans="1:7">
      <c r="A2296" s="3"/>
      <c r="B2296" s="3"/>
      <c r="C2296" s="3"/>
      <c r="D2296" s="3"/>
      <c r="E2296" s="3">
        <v>13</v>
      </c>
      <c r="F2296" s="4" t="str">
        <f>HYPERLINK("http://141.218.60.56/~jnz1568/getInfo.php?workbook=12_05.xlsx&amp;sheet=U0&amp;row=2296&amp;col=6&amp;number=4.2&amp;sourceID=14","4.2")</f>
        <v>4.2</v>
      </c>
      <c r="G2296" s="4" t="str">
        <f>HYPERLINK("http://141.218.60.56/~jnz1568/getInfo.php?workbook=12_05.xlsx&amp;sheet=U0&amp;row=2296&amp;col=7&amp;number=0.00456&amp;sourceID=14","0.00456")</f>
        <v>0.00456</v>
      </c>
    </row>
    <row r="2297" spans="1:7">
      <c r="A2297" s="3"/>
      <c r="B2297" s="3"/>
      <c r="C2297" s="3"/>
      <c r="D2297" s="3"/>
      <c r="E2297" s="3">
        <v>14</v>
      </c>
      <c r="F2297" s="4" t="str">
        <f>HYPERLINK("http://141.218.60.56/~jnz1568/getInfo.php?workbook=12_05.xlsx&amp;sheet=U0&amp;row=2297&amp;col=6&amp;number=4.3&amp;sourceID=14","4.3")</f>
        <v>4.3</v>
      </c>
      <c r="G2297" s="4" t="str">
        <f>HYPERLINK("http://141.218.60.56/~jnz1568/getInfo.php?workbook=12_05.xlsx&amp;sheet=U0&amp;row=2297&amp;col=7&amp;number=0.00454&amp;sourceID=14","0.00454")</f>
        <v>0.00454</v>
      </c>
    </row>
    <row r="2298" spans="1:7">
      <c r="A2298" s="3"/>
      <c r="B2298" s="3"/>
      <c r="C2298" s="3"/>
      <c r="D2298" s="3"/>
      <c r="E2298" s="3">
        <v>15</v>
      </c>
      <c r="F2298" s="4" t="str">
        <f>HYPERLINK("http://141.218.60.56/~jnz1568/getInfo.php?workbook=12_05.xlsx&amp;sheet=U0&amp;row=2298&amp;col=6&amp;number=4.4&amp;sourceID=14","4.4")</f>
        <v>4.4</v>
      </c>
      <c r="G2298" s="4" t="str">
        <f>HYPERLINK("http://141.218.60.56/~jnz1568/getInfo.php?workbook=12_05.xlsx&amp;sheet=U0&amp;row=2298&amp;col=7&amp;number=0.00452&amp;sourceID=14","0.00452")</f>
        <v>0.00452</v>
      </c>
    </row>
    <row r="2299" spans="1:7">
      <c r="A2299" s="3"/>
      <c r="B2299" s="3"/>
      <c r="C2299" s="3"/>
      <c r="D2299" s="3"/>
      <c r="E2299" s="3">
        <v>16</v>
      </c>
      <c r="F2299" s="4" t="str">
        <f>HYPERLINK("http://141.218.60.56/~jnz1568/getInfo.php?workbook=12_05.xlsx&amp;sheet=U0&amp;row=2299&amp;col=6&amp;number=4.5&amp;sourceID=14","4.5")</f>
        <v>4.5</v>
      </c>
      <c r="G2299" s="4" t="str">
        <f>HYPERLINK("http://141.218.60.56/~jnz1568/getInfo.php?workbook=12_05.xlsx&amp;sheet=U0&amp;row=2299&amp;col=7&amp;number=0.00449&amp;sourceID=14","0.00449")</f>
        <v>0.00449</v>
      </c>
    </row>
    <row r="2300" spans="1:7">
      <c r="A2300" s="3"/>
      <c r="B2300" s="3"/>
      <c r="C2300" s="3"/>
      <c r="D2300" s="3"/>
      <c r="E2300" s="3">
        <v>17</v>
      </c>
      <c r="F2300" s="4" t="str">
        <f>HYPERLINK("http://141.218.60.56/~jnz1568/getInfo.php?workbook=12_05.xlsx&amp;sheet=U0&amp;row=2300&amp;col=6&amp;number=4.6&amp;sourceID=14","4.6")</f>
        <v>4.6</v>
      </c>
      <c r="G2300" s="4" t="str">
        <f>HYPERLINK("http://141.218.60.56/~jnz1568/getInfo.php?workbook=12_05.xlsx&amp;sheet=U0&amp;row=2300&amp;col=7&amp;number=0.00446&amp;sourceID=14","0.00446")</f>
        <v>0.00446</v>
      </c>
    </row>
    <row r="2301" spans="1:7">
      <c r="A2301" s="3"/>
      <c r="B2301" s="3"/>
      <c r="C2301" s="3"/>
      <c r="D2301" s="3"/>
      <c r="E2301" s="3">
        <v>18</v>
      </c>
      <c r="F2301" s="4" t="str">
        <f>HYPERLINK("http://141.218.60.56/~jnz1568/getInfo.php?workbook=12_05.xlsx&amp;sheet=U0&amp;row=2301&amp;col=6&amp;number=4.7&amp;sourceID=14","4.7")</f>
        <v>4.7</v>
      </c>
      <c r="G2301" s="4" t="str">
        <f>HYPERLINK("http://141.218.60.56/~jnz1568/getInfo.php?workbook=12_05.xlsx&amp;sheet=U0&amp;row=2301&amp;col=7&amp;number=0.00442&amp;sourceID=14","0.00442")</f>
        <v>0.00442</v>
      </c>
    </row>
    <row r="2302" spans="1:7">
      <c r="A2302" s="3"/>
      <c r="B2302" s="3"/>
      <c r="C2302" s="3"/>
      <c r="D2302" s="3"/>
      <c r="E2302" s="3">
        <v>19</v>
      </c>
      <c r="F2302" s="4" t="str">
        <f>HYPERLINK("http://141.218.60.56/~jnz1568/getInfo.php?workbook=12_05.xlsx&amp;sheet=U0&amp;row=2302&amp;col=6&amp;number=4.8&amp;sourceID=14","4.8")</f>
        <v>4.8</v>
      </c>
      <c r="G2302" s="4" t="str">
        <f>HYPERLINK("http://141.218.60.56/~jnz1568/getInfo.php?workbook=12_05.xlsx&amp;sheet=U0&amp;row=2302&amp;col=7&amp;number=0.00437&amp;sourceID=14","0.00437")</f>
        <v>0.00437</v>
      </c>
    </row>
    <row r="2303" spans="1:7">
      <c r="A2303" s="3"/>
      <c r="B2303" s="3"/>
      <c r="C2303" s="3"/>
      <c r="D2303" s="3"/>
      <c r="E2303" s="3">
        <v>20</v>
      </c>
      <c r="F2303" s="4" t="str">
        <f>HYPERLINK("http://141.218.60.56/~jnz1568/getInfo.php?workbook=12_05.xlsx&amp;sheet=U0&amp;row=2303&amp;col=6&amp;number=4.9&amp;sourceID=14","4.9")</f>
        <v>4.9</v>
      </c>
      <c r="G2303" s="4" t="str">
        <f>HYPERLINK("http://141.218.60.56/~jnz1568/getInfo.php?workbook=12_05.xlsx&amp;sheet=U0&amp;row=2303&amp;col=7&amp;number=0.00431&amp;sourceID=14","0.00431")</f>
        <v>0.00431</v>
      </c>
    </row>
    <row r="2304" spans="1:7">
      <c r="A2304" s="3">
        <v>12</v>
      </c>
      <c r="B2304" s="3">
        <v>5</v>
      </c>
      <c r="C2304" s="3">
        <v>1</v>
      </c>
      <c r="D2304" s="3">
        <v>75</v>
      </c>
      <c r="E2304" s="3">
        <v>1</v>
      </c>
      <c r="F2304" s="4" t="str">
        <f>HYPERLINK("http://141.218.60.56/~jnz1568/getInfo.php?workbook=12_05.xlsx&amp;sheet=U0&amp;row=2304&amp;col=6&amp;number=3&amp;sourceID=14","3")</f>
        <v>3</v>
      </c>
      <c r="G2304" s="4" t="str">
        <f>HYPERLINK("http://141.218.60.56/~jnz1568/getInfo.php?workbook=12_05.xlsx&amp;sheet=U0&amp;row=2304&amp;col=7&amp;number=0.135&amp;sourceID=14","0.135")</f>
        <v>0.135</v>
      </c>
    </row>
    <row r="2305" spans="1:7">
      <c r="A2305" s="3"/>
      <c r="B2305" s="3"/>
      <c r="C2305" s="3"/>
      <c r="D2305" s="3"/>
      <c r="E2305" s="3">
        <v>2</v>
      </c>
      <c r="F2305" s="4" t="str">
        <f>HYPERLINK("http://141.218.60.56/~jnz1568/getInfo.php?workbook=12_05.xlsx&amp;sheet=U0&amp;row=2305&amp;col=6&amp;number=3.1&amp;sourceID=14","3.1")</f>
        <v>3.1</v>
      </c>
      <c r="G2305" s="4" t="str">
        <f>HYPERLINK("http://141.218.60.56/~jnz1568/getInfo.php?workbook=12_05.xlsx&amp;sheet=U0&amp;row=2305&amp;col=7&amp;number=0.135&amp;sourceID=14","0.135")</f>
        <v>0.135</v>
      </c>
    </row>
    <row r="2306" spans="1:7">
      <c r="A2306" s="3"/>
      <c r="B2306" s="3"/>
      <c r="C2306" s="3"/>
      <c r="D2306" s="3"/>
      <c r="E2306" s="3">
        <v>3</v>
      </c>
      <c r="F2306" s="4" t="str">
        <f>HYPERLINK("http://141.218.60.56/~jnz1568/getInfo.php?workbook=12_05.xlsx&amp;sheet=U0&amp;row=2306&amp;col=6&amp;number=3.2&amp;sourceID=14","3.2")</f>
        <v>3.2</v>
      </c>
      <c r="G2306" s="4" t="str">
        <f>HYPERLINK("http://141.218.60.56/~jnz1568/getInfo.php?workbook=12_05.xlsx&amp;sheet=U0&amp;row=2306&amp;col=7&amp;number=0.135&amp;sourceID=14","0.135")</f>
        <v>0.135</v>
      </c>
    </row>
    <row r="2307" spans="1:7">
      <c r="A2307" s="3"/>
      <c r="B2307" s="3"/>
      <c r="C2307" s="3"/>
      <c r="D2307" s="3"/>
      <c r="E2307" s="3">
        <v>4</v>
      </c>
      <c r="F2307" s="4" t="str">
        <f>HYPERLINK("http://141.218.60.56/~jnz1568/getInfo.php?workbook=12_05.xlsx&amp;sheet=U0&amp;row=2307&amp;col=6&amp;number=3.3&amp;sourceID=14","3.3")</f>
        <v>3.3</v>
      </c>
      <c r="G2307" s="4" t="str">
        <f>HYPERLINK("http://141.218.60.56/~jnz1568/getInfo.php?workbook=12_05.xlsx&amp;sheet=U0&amp;row=2307&amp;col=7&amp;number=0.135&amp;sourceID=14","0.135")</f>
        <v>0.135</v>
      </c>
    </row>
    <row r="2308" spans="1:7">
      <c r="A2308" s="3"/>
      <c r="B2308" s="3"/>
      <c r="C2308" s="3"/>
      <c r="D2308" s="3"/>
      <c r="E2308" s="3">
        <v>5</v>
      </c>
      <c r="F2308" s="4" t="str">
        <f>HYPERLINK("http://141.218.60.56/~jnz1568/getInfo.php?workbook=12_05.xlsx&amp;sheet=U0&amp;row=2308&amp;col=6&amp;number=3.4&amp;sourceID=14","3.4")</f>
        <v>3.4</v>
      </c>
      <c r="G2308" s="4" t="str">
        <f>HYPERLINK("http://141.218.60.56/~jnz1568/getInfo.php?workbook=12_05.xlsx&amp;sheet=U0&amp;row=2308&amp;col=7&amp;number=0.135&amp;sourceID=14","0.135")</f>
        <v>0.135</v>
      </c>
    </row>
    <row r="2309" spans="1:7">
      <c r="A2309" s="3"/>
      <c r="B2309" s="3"/>
      <c r="C2309" s="3"/>
      <c r="D2309" s="3"/>
      <c r="E2309" s="3">
        <v>6</v>
      </c>
      <c r="F2309" s="4" t="str">
        <f>HYPERLINK("http://141.218.60.56/~jnz1568/getInfo.php?workbook=12_05.xlsx&amp;sheet=U0&amp;row=2309&amp;col=6&amp;number=3.5&amp;sourceID=14","3.5")</f>
        <v>3.5</v>
      </c>
      <c r="G2309" s="4" t="str">
        <f>HYPERLINK("http://141.218.60.56/~jnz1568/getInfo.php?workbook=12_05.xlsx&amp;sheet=U0&amp;row=2309&amp;col=7&amp;number=0.135&amp;sourceID=14","0.135")</f>
        <v>0.135</v>
      </c>
    </row>
    <row r="2310" spans="1:7">
      <c r="A2310" s="3"/>
      <c r="B2310" s="3"/>
      <c r="C2310" s="3"/>
      <c r="D2310" s="3"/>
      <c r="E2310" s="3">
        <v>7</v>
      </c>
      <c r="F2310" s="4" t="str">
        <f>HYPERLINK("http://141.218.60.56/~jnz1568/getInfo.php?workbook=12_05.xlsx&amp;sheet=U0&amp;row=2310&amp;col=6&amp;number=3.6&amp;sourceID=14","3.6")</f>
        <v>3.6</v>
      </c>
      <c r="G2310" s="4" t="str">
        <f>HYPERLINK("http://141.218.60.56/~jnz1568/getInfo.php?workbook=12_05.xlsx&amp;sheet=U0&amp;row=2310&amp;col=7&amp;number=0.135&amp;sourceID=14","0.135")</f>
        <v>0.135</v>
      </c>
    </row>
    <row r="2311" spans="1:7">
      <c r="A2311" s="3"/>
      <c r="B2311" s="3"/>
      <c r="C2311" s="3"/>
      <c r="D2311" s="3"/>
      <c r="E2311" s="3">
        <v>8</v>
      </c>
      <c r="F2311" s="4" t="str">
        <f>HYPERLINK("http://141.218.60.56/~jnz1568/getInfo.php?workbook=12_05.xlsx&amp;sheet=U0&amp;row=2311&amp;col=6&amp;number=3.7&amp;sourceID=14","3.7")</f>
        <v>3.7</v>
      </c>
      <c r="G2311" s="4" t="str">
        <f>HYPERLINK("http://141.218.60.56/~jnz1568/getInfo.php?workbook=12_05.xlsx&amp;sheet=U0&amp;row=2311&amp;col=7&amp;number=0.135&amp;sourceID=14","0.135")</f>
        <v>0.135</v>
      </c>
    </row>
    <row r="2312" spans="1:7">
      <c r="A2312" s="3"/>
      <c r="B2312" s="3"/>
      <c r="C2312" s="3"/>
      <c r="D2312" s="3"/>
      <c r="E2312" s="3">
        <v>9</v>
      </c>
      <c r="F2312" s="4" t="str">
        <f>HYPERLINK("http://141.218.60.56/~jnz1568/getInfo.php?workbook=12_05.xlsx&amp;sheet=U0&amp;row=2312&amp;col=6&amp;number=3.8&amp;sourceID=14","3.8")</f>
        <v>3.8</v>
      </c>
      <c r="G2312" s="4" t="str">
        <f>HYPERLINK("http://141.218.60.56/~jnz1568/getInfo.php?workbook=12_05.xlsx&amp;sheet=U0&amp;row=2312&amp;col=7&amp;number=0.135&amp;sourceID=14","0.135")</f>
        <v>0.135</v>
      </c>
    </row>
    <row r="2313" spans="1:7">
      <c r="A2313" s="3"/>
      <c r="B2313" s="3"/>
      <c r="C2313" s="3"/>
      <c r="D2313" s="3"/>
      <c r="E2313" s="3">
        <v>10</v>
      </c>
      <c r="F2313" s="4" t="str">
        <f>HYPERLINK("http://141.218.60.56/~jnz1568/getInfo.php?workbook=12_05.xlsx&amp;sheet=U0&amp;row=2313&amp;col=6&amp;number=3.9&amp;sourceID=14","3.9")</f>
        <v>3.9</v>
      </c>
      <c r="G2313" s="4" t="str">
        <f>HYPERLINK("http://141.218.60.56/~jnz1568/getInfo.php?workbook=12_05.xlsx&amp;sheet=U0&amp;row=2313&amp;col=7&amp;number=0.135&amp;sourceID=14","0.135")</f>
        <v>0.135</v>
      </c>
    </row>
    <row r="2314" spans="1:7">
      <c r="A2314" s="3"/>
      <c r="B2314" s="3"/>
      <c r="C2314" s="3"/>
      <c r="D2314" s="3"/>
      <c r="E2314" s="3">
        <v>11</v>
      </c>
      <c r="F2314" s="4" t="str">
        <f>HYPERLINK("http://141.218.60.56/~jnz1568/getInfo.php?workbook=12_05.xlsx&amp;sheet=U0&amp;row=2314&amp;col=6&amp;number=4&amp;sourceID=14","4")</f>
        <v>4</v>
      </c>
      <c r="G2314" s="4" t="str">
        <f>HYPERLINK("http://141.218.60.56/~jnz1568/getInfo.php?workbook=12_05.xlsx&amp;sheet=U0&amp;row=2314&amp;col=7&amp;number=0.135&amp;sourceID=14","0.135")</f>
        <v>0.135</v>
      </c>
    </row>
    <row r="2315" spans="1:7">
      <c r="A2315" s="3"/>
      <c r="B2315" s="3"/>
      <c r="C2315" s="3"/>
      <c r="D2315" s="3"/>
      <c r="E2315" s="3">
        <v>12</v>
      </c>
      <c r="F2315" s="4" t="str">
        <f>HYPERLINK("http://141.218.60.56/~jnz1568/getInfo.php?workbook=12_05.xlsx&amp;sheet=U0&amp;row=2315&amp;col=6&amp;number=4.1&amp;sourceID=14","4.1")</f>
        <v>4.1</v>
      </c>
      <c r="G2315" s="4" t="str">
        <f>HYPERLINK("http://141.218.60.56/~jnz1568/getInfo.php?workbook=12_05.xlsx&amp;sheet=U0&amp;row=2315&amp;col=7&amp;number=0.135&amp;sourceID=14","0.135")</f>
        <v>0.135</v>
      </c>
    </row>
    <row r="2316" spans="1:7">
      <c r="A2316" s="3"/>
      <c r="B2316" s="3"/>
      <c r="C2316" s="3"/>
      <c r="D2316" s="3"/>
      <c r="E2316" s="3">
        <v>13</v>
      </c>
      <c r="F2316" s="4" t="str">
        <f>HYPERLINK("http://141.218.60.56/~jnz1568/getInfo.php?workbook=12_05.xlsx&amp;sheet=U0&amp;row=2316&amp;col=6&amp;number=4.2&amp;sourceID=14","4.2")</f>
        <v>4.2</v>
      </c>
      <c r="G2316" s="4" t="str">
        <f>HYPERLINK("http://141.218.60.56/~jnz1568/getInfo.php?workbook=12_05.xlsx&amp;sheet=U0&amp;row=2316&amp;col=7&amp;number=0.135&amp;sourceID=14","0.135")</f>
        <v>0.135</v>
      </c>
    </row>
    <row r="2317" spans="1:7">
      <c r="A2317" s="3"/>
      <c r="B2317" s="3"/>
      <c r="C2317" s="3"/>
      <c r="D2317" s="3"/>
      <c r="E2317" s="3">
        <v>14</v>
      </c>
      <c r="F2317" s="4" t="str">
        <f>HYPERLINK("http://141.218.60.56/~jnz1568/getInfo.php?workbook=12_05.xlsx&amp;sheet=U0&amp;row=2317&amp;col=6&amp;number=4.3&amp;sourceID=14","4.3")</f>
        <v>4.3</v>
      </c>
      <c r="G2317" s="4" t="str">
        <f>HYPERLINK("http://141.218.60.56/~jnz1568/getInfo.php?workbook=12_05.xlsx&amp;sheet=U0&amp;row=2317&amp;col=7&amp;number=0.135&amp;sourceID=14","0.135")</f>
        <v>0.135</v>
      </c>
    </row>
    <row r="2318" spans="1:7">
      <c r="A2318" s="3"/>
      <c r="B2318" s="3"/>
      <c r="C2318" s="3"/>
      <c r="D2318" s="3"/>
      <c r="E2318" s="3">
        <v>15</v>
      </c>
      <c r="F2318" s="4" t="str">
        <f>HYPERLINK("http://141.218.60.56/~jnz1568/getInfo.php?workbook=12_05.xlsx&amp;sheet=U0&amp;row=2318&amp;col=6&amp;number=4.4&amp;sourceID=14","4.4")</f>
        <v>4.4</v>
      </c>
      <c r="G2318" s="4" t="str">
        <f>HYPERLINK("http://141.218.60.56/~jnz1568/getInfo.php?workbook=12_05.xlsx&amp;sheet=U0&amp;row=2318&amp;col=7&amp;number=0.135&amp;sourceID=14","0.135")</f>
        <v>0.135</v>
      </c>
    </row>
    <row r="2319" spans="1:7">
      <c r="A2319" s="3"/>
      <c r="B2319" s="3"/>
      <c r="C2319" s="3"/>
      <c r="D2319" s="3"/>
      <c r="E2319" s="3">
        <v>16</v>
      </c>
      <c r="F2319" s="4" t="str">
        <f>HYPERLINK("http://141.218.60.56/~jnz1568/getInfo.php?workbook=12_05.xlsx&amp;sheet=U0&amp;row=2319&amp;col=6&amp;number=4.5&amp;sourceID=14","4.5")</f>
        <v>4.5</v>
      </c>
      <c r="G2319" s="4" t="str">
        <f>HYPERLINK("http://141.218.60.56/~jnz1568/getInfo.php?workbook=12_05.xlsx&amp;sheet=U0&amp;row=2319&amp;col=7&amp;number=0.136&amp;sourceID=14","0.136")</f>
        <v>0.136</v>
      </c>
    </row>
    <row r="2320" spans="1:7">
      <c r="A2320" s="3"/>
      <c r="B2320" s="3"/>
      <c r="C2320" s="3"/>
      <c r="D2320" s="3"/>
      <c r="E2320" s="3">
        <v>17</v>
      </c>
      <c r="F2320" s="4" t="str">
        <f>HYPERLINK("http://141.218.60.56/~jnz1568/getInfo.php?workbook=12_05.xlsx&amp;sheet=U0&amp;row=2320&amp;col=6&amp;number=4.6&amp;sourceID=14","4.6")</f>
        <v>4.6</v>
      </c>
      <c r="G2320" s="4" t="str">
        <f>HYPERLINK("http://141.218.60.56/~jnz1568/getInfo.php?workbook=12_05.xlsx&amp;sheet=U0&amp;row=2320&amp;col=7&amp;number=0.136&amp;sourceID=14","0.136")</f>
        <v>0.136</v>
      </c>
    </row>
    <row r="2321" spans="1:7">
      <c r="A2321" s="3"/>
      <c r="B2321" s="3"/>
      <c r="C2321" s="3"/>
      <c r="D2321" s="3"/>
      <c r="E2321" s="3">
        <v>18</v>
      </c>
      <c r="F2321" s="4" t="str">
        <f>HYPERLINK("http://141.218.60.56/~jnz1568/getInfo.php?workbook=12_05.xlsx&amp;sheet=U0&amp;row=2321&amp;col=6&amp;number=4.7&amp;sourceID=14","4.7")</f>
        <v>4.7</v>
      </c>
      <c r="G2321" s="4" t="str">
        <f>HYPERLINK("http://141.218.60.56/~jnz1568/getInfo.php?workbook=12_05.xlsx&amp;sheet=U0&amp;row=2321&amp;col=7&amp;number=0.136&amp;sourceID=14","0.136")</f>
        <v>0.136</v>
      </c>
    </row>
    <row r="2322" spans="1:7">
      <c r="A2322" s="3"/>
      <c r="B2322" s="3"/>
      <c r="C2322" s="3"/>
      <c r="D2322" s="3"/>
      <c r="E2322" s="3">
        <v>19</v>
      </c>
      <c r="F2322" s="4" t="str">
        <f>HYPERLINK("http://141.218.60.56/~jnz1568/getInfo.php?workbook=12_05.xlsx&amp;sheet=U0&amp;row=2322&amp;col=6&amp;number=4.8&amp;sourceID=14","4.8")</f>
        <v>4.8</v>
      </c>
      <c r="G2322" s="4" t="str">
        <f>HYPERLINK("http://141.218.60.56/~jnz1568/getInfo.php?workbook=12_05.xlsx&amp;sheet=U0&amp;row=2322&amp;col=7&amp;number=0.136&amp;sourceID=14","0.136")</f>
        <v>0.136</v>
      </c>
    </row>
    <row r="2323" spans="1:7">
      <c r="A2323" s="3"/>
      <c r="B2323" s="3"/>
      <c r="C2323" s="3"/>
      <c r="D2323" s="3"/>
      <c r="E2323" s="3">
        <v>20</v>
      </c>
      <c r="F2323" s="4" t="str">
        <f>HYPERLINK("http://141.218.60.56/~jnz1568/getInfo.php?workbook=12_05.xlsx&amp;sheet=U0&amp;row=2323&amp;col=6&amp;number=4.9&amp;sourceID=14","4.9")</f>
        <v>4.9</v>
      </c>
      <c r="G2323" s="4" t="str">
        <f>HYPERLINK("http://141.218.60.56/~jnz1568/getInfo.php?workbook=12_05.xlsx&amp;sheet=U0&amp;row=2323&amp;col=7&amp;number=0.137&amp;sourceID=14","0.137")</f>
        <v>0.137</v>
      </c>
    </row>
    <row r="2324" spans="1:7">
      <c r="A2324" s="3">
        <v>12</v>
      </c>
      <c r="B2324" s="3">
        <v>5</v>
      </c>
      <c r="C2324" s="3">
        <v>1</v>
      </c>
      <c r="D2324" s="3">
        <v>76</v>
      </c>
      <c r="E2324" s="3">
        <v>1</v>
      </c>
      <c r="F2324" s="4" t="str">
        <f>HYPERLINK("http://141.218.60.56/~jnz1568/getInfo.php?workbook=12_05.xlsx&amp;sheet=U0&amp;row=2324&amp;col=6&amp;number=3&amp;sourceID=14","3")</f>
        <v>3</v>
      </c>
      <c r="G2324" s="4" t="str">
        <f>HYPERLINK("http://141.218.60.56/~jnz1568/getInfo.php?workbook=12_05.xlsx&amp;sheet=U0&amp;row=2324&amp;col=7&amp;number=0.00372&amp;sourceID=14","0.00372")</f>
        <v>0.00372</v>
      </c>
    </row>
    <row r="2325" spans="1:7">
      <c r="A2325" s="3"/>
      <c r="B2325" s="3"/>
      <c r="C2325" s="3"/>
      <c r="D2325" s="3"/>
      <c r="E2325" s="3">
        <v>2</v>
      </c>
      <c r="F2325" s="4" t="str">
        <f>HYPERLINK("http://141.218.60.56/~jnz1568/getInfo.php?workbook=12_05.xlsx&amp;sheet=U0&amp;row=2325&amp;col=6&amp;number=3.1&amp;sourceID=14","3.1")</f>
        <v>3.1</v>
      </c>
      <c r="G2325" s="4" t="str">
        <f>HYPERLINK("http://141.218.60.56/~jnz1568/getInfo.php?workbook=12_05.xlsx&amp;sheet=U0&amp;row=2325&amp;col=7&amp;number=0.00372&amp;sourceID=14","0.00372")</f>
        <v>0.00372</v>
      </c>
    </row>
    <row r="2326" spans="1:7">
      <c r="A2326" s="3"/>
      <c r="B2326" s="3"/>
      <c r="C2326" s="3"/>
      <c r="D2326" s="3"/>
      <c r="E2326" s="3">
        <v>3</v>
      </c>
      <c r="F2326" s="4" t="str">
        <f>HYPERLINK("http://141.218.60.56/~jnz1568/getInfo.php?workbook=12_05.xlsx&amp;sheet=U0&amp;row=2326&amp;col=6&amp;number=3.2&amp;sourceID=14","3.2")</f>
        <v>3.2</v>
      </c>
      <c r="G2326" s="4" t="str">
        <f>HYPERLINK("http://141.218.60.56/~jnz1568/getInfo.php?workbook=12_05.xlsx&amp;sheet=U0&amp;row=2326&amp;col=7&amp;number=0.00372&amp;sourceID=14","0.00372")</f>
        <v>0.00372</v>
      </c>
    </row>
    <row r="2327" spans="1:7">
      <c r="A2327" s="3"/>
      <c r="B2327" s="3"/>
      <c r="C2327" s="3"/>
      <c r="D2327" s="3"/>
      <c r="E2327" s="3">
        <v>4</v>
      </c>
      <c r="F2327" s="4" t="str">
        <f>HYPERLINK("http://141.218.60.56/~jnz1568/getInfo.php?workbook=12_05.xlsx&amp;sheet=U0&amp;row=2327&amp;col=6&amp;number=3.3&amp;sourceID=14","3.3")</f>
        <v>3.3</v>
      </c>
      <c r="G2327" s="4" t="str">
        <f>HYPERLINK("http://141.218.60.56/~jnz1568/getInfo.php?workbook=12_05.xlsx&amp;sheet=U0&amp;row=2327&amp;col=7&amp;number=0.00372&amp;sourceID=14","0.00372")</f>
        <v>0.00372</v>
      </c>
    </row>
    <row r="2328" spans="1:7">
      <c r="A2328" s="3"/>
      <c r="B2328" s="3"/>
      <c r="C2328" s="3"/>
      <c r="D2328" s="3"/>
      <c r="E2328" s="3">
        <v>5</v>
      </c>
      <c r="F2328" s="4" t="str">
        <f>HYPERLINK("http://141.218.60.56/~jnz1568/getInfo.php?workbook=12_05.xlsx&amp;sheet=U0&amp;row=2328&amp;col=6&amp;number=3.4&amp;sourceID=14","3.4")</f>
        <v>3.4</v>
      </c>
      <c r="G2328" s="4" t="str">
        <f>HYPERLINK("http://141.218.60.56/~jnz1568/getInfo.php?workbook=12_05.xlsx&amp;sheet=U0&amp;row=2328&amp;col=7&amp;number=0.00372&amp;sourceID=14","0.00372")</f>
        <v>0.00372</v>
      </c>
    </row>
    <row r="2329" spans="1:7">
      <c r="A2329" s="3"/>
      <c r="B2329" s="3"/>
      <c r="C2329" s="3"/>
      <c r="D2329" s="3"/>
      <c r="E2329" s="3">
        <v>6</v>
      </c>
      <c r="F2329" s="4" t="str">
        <f>HYPERLINK("http://141.218.60.56/~jnz1568/getInfo.php?workbook=12_05.xlsx&amp;sheet=U0&amp;row=2329&amp;col=6&amp;number=3.5&amp;sourceID=14","3.5")</f>
        <v>3.5</v>
      </c>
      <c r="G2329" s="4" t="str">
        <f>HYPERLINK("http://141.218.60.56/~jnz1568/getInfo.php?workbook=12_05.xlsx&amp;sheet=U0&amp;row=2329&amp;col=7&amp;number=0.00372&amp;sourceID=14","0.00372")</f>
        <v>0.00372</v>
      </c>
    </row>
    <row r="2330" spans="1:7">
      <c r="A2330" s="3"/>
      <c r="B2330" s="3"/>
      <c r="C2330" s="3"/>
      <c r="D2330" s="3"/>
      <c r="E2330" s="3">
        <v>7</v>
      </c>
      <c r="F2330" s="4" t="str">
        <f>HYPERLINK("http://141.218.60.56/~jnz1568/getInfo.php?workbook=12_05.xlsx&amp;sheet=U0&amp;row=2330&amp;col=6&amp;number=3.6&amp;sourceID=14","3.6")</f>
        <v>3.6</v>
      </c>
      <c r="G2330" s="4" t="str">
        <f>HYPERLINK("http://141.218.60.56/~jnz1568/getInfo.php?workbook=12_05.xlsx&amp;sheet=U0&amp;row=2330&amp;col=7&amp;number=0.00371&amp;sourceID=14","0.00371")</f>
        <v>0.00371</v>
      </c>
    </row>
    <row r="2331" spans="1:7">
      <c r="A2331" s="3"/>
      <c r="B2331" s="3"/>
      <c r="C2331" s="3"/>
      <c r="D2331" s="3"/>
      <c r="E2331" s="3">
        <v>8</v>
      </c>
      <c r="F2331" s="4" t="str">
        <f>HYPERLINK("http://141.218.60.56/~jnz1568/getInfo.php?workbook=12_05.xlsx&amp;sheet=U0&amp;row=2331&amp;col=6&amp;number=3.7&amp;sourceID=14","3.7")</f>
        <v>3.7</v>
      </c>
      <c r="G2331" s="4" t="str">
        <f>HYPERLINK("http://141.218.60.56/~jnz1568/getInfo.php?workbook=12_05.xlsx&amp;sheet=U0&amp;row=2331&amp;col=7&amp;number=0.00371&amp;sourceID=14","0.00371")</f>
        <v>0.00371</v>
      </c>
    </row>
    <row r="2332" spans="1:7">
      <c r="A2332" s="3"/>
      <c r="B2332" s="3"/>
      <c r="C2332" s="3"/>
      <c r="D2332" s="3"/>
      <c r="E2332" s="3">
        <v>9</v>
      </c>
      <c r="F2332" s="4" t="str">
        <f>HYPERLINK("http://141.218.60.56/~jnz1568/getInfo.php?workbook=12_05.xlsx&amp;sheet=U0&amp;row=2332&amp;col=6&amp;number=3.8&amp;sourceID=14","3.8")</f>
        <v>3.8</v>
      </c>
      <c r="G2332" s="4" t="str">
        <f>HYPERLINK("http://141.218.60.56/~jnz1568/getInfo.php?workbook=12_05.xlsx&amp;sheet=U0&amp;row=2332&amp;col=7&amp;number=0.00371&amp;sourceID=14","0.00371")</f>
        <v>0.00371</v>
      </c>
    </row>
    <row r="2333" spans="1:7">
      <c r="A2333" s="3"/>
      <c r="B2333" s="3"/>
      <c r="C2333" s="3"/>
      <c r="D2333" s="3"/>
      <c r="E2333" s="3">
        <v>10</v>
      </c>
      <c r="F2333" s="4" t="str">
        <f>HYPERLINK("http://141.218.60.56/~jnz1568/getInfo.php?workbook=12_05.xlsx&amp;sheet=U0&amp;row=2333&amp;col=6&amp;number=3.9&amp;sourceID=14","3.9")</f>
        <v>3.9</v>
      </c>
      <c r="G2333" s="4" t="str">
        <f>HYPERLINK("http://141.218.60.56/~jnz1568/getInfo.php?workbook=12_05.xlsx&amp;sheet=U0&amp;row=2333&amp;col=7&amp;number=0.0037&amp;sourceID=14","0.0037")</f>
        <v>0.0037</v>
      </c>
    </row>
    <row r="2334" spans="1:7">
      <c r="A2334" s="3"/>
      <c r="B2334" s="3"/>
      <c r="C2334" s="3"/>
      <c r="D2334" s="3"/>
      <c r="E2334" s="3">
        <v>11</v>
      </c>
      <c r="F2334" s="4" t="str">
        <f>HYPERLINK("http://141.218.60.56/~jnz1568/getInfo.php?workbook=12_05.xlsx&amp;sheet=U0&amp;row=2334&amp;col=6&amp;number=4&amp;sourceID=14","4")</f>
        <v>4</v>
      </c>
      <c r="G2334" s="4" t="str">
        <f>HYPERLINK("http://141.218.60.56/~jnz1568/getInfo.php?workbook=12_05.xlsx&amp;sheet=U0&amp;row=2334&amp;col=7&amp;number=0.00369&amp;sourceID=14","0.00369")</f>
        <v>0.00369</v>
      </c>
    </row>
    <row r="2335" spans="1:7">
      <c r="A2335" s="3"/>
      <c r="B2335" s="3"/>
      <c r="C2335" s="3"/>
      <c r="D2335" s="3"/>
      <c r="E2335" s="3">
        <v>12</v>
      </c>
      <c r="F2335" s="4" t="str">
        <f>HYPERLINK("http://141.218.60.56/~jnz1568/getInfo.php?workbook=12_05.xlsx&amp;sheet=U0&amp;row=2335&amp;col=6&amp;number=4.1&amp;sourceID=14","4.1")</f>
        <v>4.1</v>
      </c>
      <c r="G2335" s="4" t="str">
        <f>HYPERLINK("http://141.218.60.56/~jnz1568/getInfo.php?workbook=12_05.xlsx&amp;sheet=U0&amp;row=2335&amp;col=7&amp;number=0.00368&amp;sourceID=14","0.00368")</f>
        <v>0.00368</v>
      </c>
    </row>
    <row r="2336" spans="1:7">
      <c r="A2336" s="3"/>
      <c r="B2336" s="3"/>
      <c r="C2336" s="3"/>
      <c r="D2336" s="3"/>
      <c r="E2336" s="3">
        <v>13</v>
      </c>
      <c r="F2336" s="4" t="str">
        <f>HYPERLINK("http://141.218.60.56/~jnz1568/getInfo.php?workbook=12_05.xlsx&amp;sheet=U0&amp;row=2336&amp;col=6&amp;number=4.2&amp;sourceID=14","4.2")</f>
        <v>4.2</v>
      </c>
      <c r="G2336" s="4" t="str">
        <f>HYPERLINK("http://141.218.60.56/~jnz1568/getInfo.php?workbook=12_05.xlsx&amp;sheet=U0&amp;row=2336&amp;col=7&amp;number=0.00367&amp;sourceID=14","0.00367")</f>
        <v>0.00367</v>
      </c>
    </row>
    <row r="2337" spans="1:7">
      <c r="A2337" s="3"/>
      <c r="B2337" s="3"/>
      <c r="C2337" s="3"/>
      <c r="D2337" s="3"/>
      <c r="E2337" s="3">
        <v>14</v>
      </c>
      <c r="F2337" s="4" t="str">
        <f>HYPERLINK("http://141.218.60.56/~jnz1568/getInfo.php?workbook=12_05.xlsx&amp;sheet=U0&amp;row=2337&amp;col=6&amp;number=4.3&amp;sourceID=14","4.3")</f>
        <v>4.3</v>
      </c>
      <c r="G2337" s="4" t="str">
        <f>HYPERLINK("http://141.218.60.56/~jnz1568/getInfo.php?workbook=12_05.xlsx&amp;sheet=U0&amp;row=2337&amp;col=7&amp;number=0.00366&amp;sourceID=14","0.00366")</f>
        <v>0.00366</v>
      </c>
    </row>
    <row r="2338" spans="1:7">
      <c r="A2338" s="3"/>
      <c r="B2338" s="3"/>
      <c r="C2338" s="3"/>
      <c r="D2338" s="3"/>
      <c r="E2338" s="3">
        <v>15</v>
      </c>
      <c r="F2338" s="4" t="str">
        <f>HYPERLINK("http://141.218.60.56/~jnz1568/getInfo.php?workbook=12_05.xlsx&amp;sheet=U0&amp;row=2338&amp;col=6&amp;number=4.4&amp;sourceID=14","4.4")</f>
        <v>4.4</v>
      </c>
      <c r="G2338" s="4" t="str">
        <f>HYPERLINK("http://141.218.60.56/~jnz1568/getInfo.php?workbook=12_05.xlsx&amp;sheet=U0&amp;row=2338&amp;col=7&amp;number=0.00364&amp;sourceID=14","0.00364")</f>
        <v>0.00364</v>
      </c>
    </row>
    <row r="2339" spans="1:7">
      <c r="A2339" s="3"/>
      <c r="B2339" s="3"/>
      <c r="C2339" s="3"/>
      <c r="D2339" s="3"/>
      <c r="E2339" s="3">
        <v>16</v>
      </c>
      <c r="F2339" s="4" t="str">
        <f>HYPERLINK("http://141.218.60.56/~jnz1568/getInfo.php?workbook=12_05.xlsx&amp;sheet=U0&amp;row=2339&amp;col=6&amp;number=4.5&amp;sourceID=14","4.5")</f>
        <v>4.5</v>
      </c>
      <c r="G2339" s="4" t="str">
        <f>HYPERLINK("http://141.218.60.56/~jnz1568/getInfo.php?workbook=12_05.xlsx&amp;sheet=U0&amp;row=2339&amp;col=7&amp;number=0.00362&amp;sourceID=14","0.00362")</f>
        <v>0.00362</v>
      </c>
    </row>
    <row r="2340" spans="1:7">
      <c r="A2340" s="3"/>
      <c r="B2340" s="3"/>
      <c r="C2340" s="3"/>
      <c r="D2340" s="3"/>
      <c r="E2340" s="3">
        <v>17</v>
      </c>
      <c r="F2340" s="4" t="str">
        <f>HYPERLINK("http://141.218.60.56/~jnz1568/getInfo.php?workbook=12_05.xlsx&amp;sheet=U0&amp;row=2340&amp;col=6&amp;number=4.6&amp;sourceID=14","4.6")</f>
        <v>4.6</v>
      </c>
      <c r="G2340" s="4" t="str">
        <f>HYPERLINK("http://141.218.60.56/~jnz1568/getInfo.php?workbook=12_05.xlsx&amp;sheet=U0&amp;row=2340&amp;col=7&amp;number=0.00359&amp;sourceID=14","0.00359")</f>
        <v>0.00359</v>
      </c>
    </row>
    <row r="2341" spans="1:7">
      <c r="A2341" s="3"/>
      <c r="B2341" s="3"/>
      <c r="C2341" s="3"/>
      <c r="D2341" s="3"/>
      <c r="E2341" s="3">
        <v>18</v>
      </c>
      <c r="F2341" s="4" t="str">
        <f>HYPERLINK("http://141.218.60.56/~jnz1568/getInfo.php?workbook=12_05.xlsx&amp;sheet=U0&amp;row=2341&amp;col=6&amp;number=4.7&amp;sourceID=14","4.7")</f>
        <v>4.7</v>
      </c>
      <c r="G2341" s="4" t="str">
        <f>HYPERLINK("http://141.218.60.56/~jnz1568/getInfo.php?workbook=12_05.xlsx&amp;sheet=U0&amp;row=2341&amp;col=7&amp;number=0.00356&amp;sourceID=14","0.00356")</f>
        <v>0.00356</v>
      </c>
    </row>
    <row r="2342" spans="1:7">
      <c r="A2342" s="3"/>
      <c r="B2342" s="3"/>
      <c r="C2342" s="3"/>
      <c r="D2342" s="3"/>
      <c r="E2342" s="3">
        <v>19</v>
      </c>
      <c r="F2342" s="4" t="str">
        <f>HYPERLINK("http://141.218.60.56/~jnz1568/getInfo.php?workbook=12_05.xlsx&amp;sheet=U0&amp;row=2342&amp;col=6&amp;number=4.8&amp;sourceID=14","4.8")</f>
        <v>4.8</v>
      </c>
      <c r="G2342" s="4" t="str">
        <f>HYPERLINK("http://141.218.60.56/~jnz1568/getInfo.php?workbook=12_05.xlsx&amp;sheet=U0&amp;row=2342&amp;col=7&amp;number=0.00351&amp;sourceID=14","0.00351")</f>
        <v>0.00351</v>
      </c>
    </row>
    <row r="2343" spans="1:7">
      <c r="A2343" s="3"/>
      <c r="B2343" s="3"/>
      <c r="C2343" s="3"/>
      <c r="D2343" s="3"/>
      <c r="E2343" s="3">
        <v>20</v>
      </c>
      <c r="F2343" s="4" t="str">
        <f>HYPERLINK("http://141.218.60.56/~jnz1568/getInfo.php?workbook=12_05.xlsx&amp;sheet=U0&amp;row=2343&amp;col=6&amp;number=4.9&amp;sourceID=14","4.9")</f>
        <v>4.9</v>
      </c>
      <c r="G2343" s="4" t="str">
        <f>HYPERLINK("http://141.218.60.56/~jnz1568/getInfo.php?workbook=12_05.xlsx&amp;sheet=U0&amp;row=2343&amp;col=7&amp;number=0.00346&amp;sourceID=14","0.00346")</f>
        <v>0.00346</v>
      </c>
    </row>
    <row r="2344" spans="1:7">
      <c r="A2344" s="3">
        <v>12</v>
      </c>
      <c r="B2344" s="3">
        <v>5</v>
      </c>
      <c r="C2344" s="3">
        <v>1</v>
      </c>
      <c r="D2344" s="3">
        <v>77</v>
      </c>
      <c r="E2344" s="3">
        <v>1</v>
      </c>
      <c r="F2344" s="4" t="str">
        <f>HYPERLINK("http://141.218.60.56/~jnz1568/getInfo.php?workbook=12_05.xlsx&amp;sheet=U0&amp;row=2344&amp;col=6&amp;number=3&amp;sourceID=14","3")</f>
        <v>3</v>
      </c>
      <c r="G2344" s="4" t="str">
        <f>HYPERLINK("http://141.218.60.56/~jnz1568/getInfo.php?workbook=12_05.xlsx&amp;sheet=U0&amp;row=2344&amp;col=7&amp;number=0.000263&amp;sourceID=14","0.000263")</f>
        <v>0.000263</v>
      </c>
    </row>
    <row r="2345" spans="1:7">
      <c r="A2345" s="3"/>
      <c r="B2345" s="3"/>
      <c r="C2345" s="3"/>
      <c r="D2345" s="3"/>
      <c r="E2345" s="3">
        <v>2</v>
      </c>
      <c r="F2345" s="4" t="str">
        <f>HYPERLINK("http://141.218.60.56/~jnz1568/getInfo.php?workbook=12_05.xlsx&amp;sheet=U0&amp;row=2345&amp;col=6&amp;number=3.1&amp;sourceID=14","3.1")</f>
        <v>3.1</v>
      </c>
      <c r="G2345" s="4" t="str">
        <f>HYPERLINK("http://141.218.60.56/~jnz1568/getInfo.php?workbook=12_05.xlsx&amp;sheet=U0&amp;row=2345&amp;col=7&amp;number=0.000263&amp;sourceID=14","0.000263")</f>
        <v>0.000263</v>
      </c>
    </row>
    <row r="2346" spans="1:7">
      <c r="A2346" s="3"/>
      <c r="B2346" s="3"/>
      <c r="C2346" s="3"/>
      <c r="D2346" s="3"/>
      <c r="E2346" s="3">
        <v>3</v>
      </c>
      <c r="F2346" s="4" t="str">
        <f>HYPERLINK("http://141.218.60.56/~jnz1568/getInfo.php?workbook=12_05.xlsx&amp;sheet=U0&amp;row=2346&amp;col=6&amp;number=3.2&amp;sourceID=14","3.2")</f>
        <v>3.2</v>
      </c>
      <c r="G2346" s="4" t="str">
        <f>HYPERLINK("http://141.218.60.56/~jnz1568/getInfo.php?workbook=12_05.xlsx&amp;sheet=U0&amp;row=2346&amp;col=7&amp;number=0.000263&amp;sourceID=14","0.000263")</f>
        <v>0.000263</v>
      </c>
    </row>
    <row r="2347" spans="1:7">
      <c r="A2347" s="3"/>
      <c r="B2347" s="3"/>
      <c r="C2347" s="3"/>
      <c r="D2347" s="3"/>
      <c r="E2347" s="3">
        <v>4</v>
      </c>
      <c r="F2347" s="4" t="str">
        <f>HYPERLINK("http://141.218.60.56/~jnz1568/getInfo.php?workbook=12_05.xlsx&amp;sheet=U0&amp;row=2347&amp;col=6&amp;number=3.3&amp;sourceID=14","3.3")</f>
        <v>3.3</v>
      </c>
      <c r="G2347" s="4" t="str">
        <f>HYPERLINK("http://141.218.60.56/~jnz1568/getInfo.php?workbook=12_05.xlsx&amp;sheet=U0&amp;row=2347&amp;col=7&amp;number=0.000263&amp;sourceID=14","0.000263")</f>
        <v>0.000263</v>
      </c>
    </row>
    <row r="2348" spans="1:7">
      <c r="A2348" s="3"/>
      <c r="B2348" s="3"/>
      <c r="C2348" s="3"/>
      <c r="D2348" s="3"/>
      <c r="E2348" s="3">
        <v>5</v>
      </c>
      <c r="F2348" s="4" t="str">
        <f>HYPERLINK("http://141.218.60.56/~jnz1568/getInfo.php?workbook=12_05.xlsx&amp;sheet=U0&amp;row=2348&amp;col=6&amp;number=3.4&amp;sourceID=14","3.4")</f>
        <v>3.4</v>
      </c>
      <c r="G2348" s="4" t="str">
        <f>HYPERLINK("http://141.218.60.56/~jnz1568/getInfo.php?workbook=12_05.xlsx&amp;sheet=U0&amp;row=2348&amp;col=7&amp;number=0.000263&amp;sourceID=14","0.000263")</f>
        <v>0.000263</v>
      </c>
    </row>
    <row r="2349" spans="1:7">
      <c r="A2349" s="3"/>
      <c r="B2349" s="3"/>
      <c r="C2349" s="3"/>
      <c r="D2349" s="3"/>
      <c r="E2349" s="3">
        <v>6</v>
      </c>
      <c r="F2349" s="4" t="str">
        <f>HYPERLINK("http://141.218.60.56/~jnz1568/getInfo.php?workbook=12_05.xlsx&amp;sheet=U0&amp;row=2349&amp;col=6&amp;number=3.5&amp;sourceID=14","3.5")</f>
        <v>3.5</v>
      </c>
      <c r="G2349" s="4" t="str">
        <f>HYPERLINK("http://141.218.60.56/~jnz1568/getInfo.php?workbook=12_05.xlsx&amp;sheet=U0&amp;row=2349&amp;col=7&amp;number=0.000263&amp;sourceID=14","0.000263")</f>
        <v>0.000263</v>
      </c>
    </row>
    <row r="2350" spans="1:7">
      <c r="A2350" s="3"/>
      <c r="B2350" s="3"/>
      <c r="C2350" s="3"/>
      <c r="D2350" s="3"/>
      <c r="E2350" s="3">
        <v>7</v>
      </c>
      <c r="F2350" s="4" t="str">
        <f>HYPERLINK("http://141.218.60.56/~jnz1568/getInfo.php?workbook=12_05.xlsx&amp;sheet=U0&amp;row=2350&amp;col=6&amp;number=3.6&amp;sourceID=14","3.6")</f>
        <v>3.6</v>
      </c>
      <c r="G2350" s="4" t="str">
        <f>HYPERLINK("http://141.218.60.56/~jnz1568/getInfo.php?workbook=12_05.xlsx&amp;sheet=U0&amp;row=2350&amp;col=7&amp;number=0.000263&amp;sourceID=14","0.000263")</f>
        <v>0.000263</v>
      </c>
    </row>
    <row r="2351" spans="1:7">
      <c r="A2351" s="3"/>
      <c r="B2351" s="3"/>
      <c r="C2351" s="3"/>
      <c r="D2351" s="3"/>
      <c r="E2351" s="3">
        <v>8</v>
      </c>
      <c r="F2351" s="4" t="str">
        <f>HYPERLINK("http://141.218.60.56/~jnz1568/getInfo.php?workbook=12_05.xlsx&amp;sheet=U0&amp;row=2351&amp;col=6&amp;number=3.7&amp;sourceID=14","3.7")</f>
        <v>3.7</v>
      </c>
      <c r="G2351" s="4" t="str">
        <f>HYPERLINK("http://141.218.60.56/~jnz1568/getInfo.php?workbook=12_05.xlsx&amp;sheet=U0&amp;row=2351&amp;col=7&amp;number=0.000262&amp;sourceID=14","0.000262")</f>
        <v>0.000262</v>
      </c>
    </row>
    <row r="2352" spans="1:7">
      <c r="A2352" s="3"/>
      <c r="B2352" s="3"/>
      <c r="C2352" s="3"/>
      <c r="D2352" s="3"/>
      <c r="E2352" s="3">
        <v>9</v>
      </c>
      <c r="F2352" s="4" t="str">
        <f>HYPERLINK("http://141.218.60.56/~jnz1568/getInfo.php?workbook=12_05.xlsx&amp;sheet=U0&amp;row=2352&amp;col=6&amp;number=3.8&amp;sourceID=14","3.8")</f>
        <v>3.8</v>
      </c>
      <c r="G2352" s="4" t="str">
        <f>HYPERLINK("http://141.218.60.56/~jnz1568/getInfo.php?workbook=12_05.xlsx&amp;sheet=U0&amp;row=2352&amp;col=7&amp;number=0.000262&amp;sourceID=14","0.000262")</f>
        <v>0.000262</v>
      </c>
    </row>
    <row r="2353" spans="1:7">
      <c r="A2353" s="3"/>
      <c r="B2353" s="3"/>
      <c r="C2353" s="3"/>
      <c r="D2353" s="3"/>
      <c r="E2353" s="3">
        <v>10</v>
      </c>
      <c r="F2353" s="4" t="str">
        <f>HYPERLINK("http://141.218.60.56/~jnz1568/getInfo.php?workbook=12_05.xlsx&amp;sheet=U0&amp;row=2353&amp;col=6&amp;number=3.9&amp;sourceID=14","3.9")</f>
        <v>3.9</v>
      </c>
      <c r="G2353" s="4" t="str">
        <f>HYPERLINK("http://141.218.60.56/~jnz1568/getInfo.php?workbook=12_05.xlsx&amp;sheet=U0&amp;row=2353&amp;col=7&amp;number=0.000262&amp;sourceID=14","0.000262")</f>
        <v>0.000262</v>
      </c>
    </row>
    <row r="2354" spans="1:7">
      <c r="A2354" s="3"/>
      <c r="B2354" s="3"/>
      <c r="C2354" s="3"/>
      <c r="D2354" s="3"/>
      <c r="E2354" s="3">
        <v>11</v>
      </c>
      <c r="F2354" s="4" t="str">
        <f>HYPERLINK("http://141.218.60.56/~jnz1568/getInfo.php?workbook=12_05.xlsx&amp;sheet=U0&amp;row=2354&amp;col=6&amp;number=4&amp;sourceID=14","4")</f>
        <v>4</v>
      </c>
      <c r="G2354" s="4" t="str">
        <f>HYPERLINK("http://141.218.60.56/~jnz1568/getInfo.php?workbook=12_05.xlsx&amp;sheet=U0&amp;row=2354&amp;col=7&amp;number=0.000261&amp;sourceID=14","0.000261")</f>
        <v>0.000261</v>
      </c>
    </row>
    <row r="2355" spans="1:7">
      <c r="A2355" s="3"/>
      <c r="B2355" s="3"/>
      <c r="C2355" s="3"/>
      <c r="D2355" s="3"/>
      <c r="E2355" s="3">
        <v>12</v>
      </c>
      <c r="F2355" s="4" t="str">
        <f>HYPERLINK("http://141.218.60.56/~jnz1568/getInfo.php?workbook=12_05.xlsx&amp;sheet=U0&amp;row=2355&amp;col=6&amp;number=4.1&amp;sourceID=14","4.1")</f>
        <v>4.1</v>
      </c>
      <c r="G2355" s="4" t="str">
        <f>HYPERLINK("http://141.218.60.56/~jnz1568/getInfo.php?workbook=12_05.xlsx&amp;sheet=U0&amp;row=2355&amp;col=7&amp;number=0.000261&amp;sourceID=14","0.000261")</f>
        <v>0.000261</v>
      </c>
    </row>
    <row r="2356" spans="1:7">
      <c r="A2356" s="3"/>
      <c r="B2356" s="3"/>
      <c r="C2356" s="3"/>
      <c r="D2356" s="3"/>
      <c r="E2356" s="3">
        <v>13</v>
      </c>
      <c r="F2356" s="4" t="str">
        <f>HYPERLINK("http://141.218.60.56/~jnz1568/getInfo.php?workbook=12_05.xlsx&amp;sheet=U0&amp;row=2356&amp;col=6&amp;number=4.2&amp;sourceID=14","4.2")</f>
        <v>4.2</v>
      </c>
      <c r="G2356" s="4" t="str">
        <f>HYPERLINK("http://141.218.60.56/~jnz1568/getInfo.php?workbook=12_05.xlsx&amp;sheet=U0&amp;row=2356&amp;col=7&amp;number=0.00026&amp;sourceID=14","0.00026")</f>
        <v>0.00026</v>
      </c>
    </row>
    <row r="2357" spans="1:7">
      <c r="A2357" s="3"/>
      <c r="B2357" s="3"/>
      <c r="C2357" s="3"/>
      <c r="D2357" s="3"/>
      <c r="E2357" s="3">
        <v>14</v>
      </c>
      <c r="F2357" s="4" t="str">
        <f>HYPERLINK("http://141.218.60.56/~jnz1568/getInfo.php?workbook=12_05.xlsx&amp;sheet=U0&amp;row=2357&amp;col=6&amp;number=4.3&amp;sourceID=14","4.3")</f>
        <v>4.3</v>
      </c>
      <c r="G2357" s="4" t="str">
        <f>HYPERLINK("http://141.218.60.56/~jnz1568/getInfo.php?workbook=12_05.xlsx&amp;sheet=U0&amp;row=2357&amp;col=7&amp;number=0.000259&amp;sourceID=14","0.000259")</f>
        <v>0.000259</v>
      </c>
    </row>
    <row r="2358" spans="1:7">
      <c r="A2358" s="3"/>
      <c r="B2358" s="3"/>
      <c r="C2358" s="3"/>
      <c r="D2358" s="3"/>
      <c r="E2358" s="3">
        <v>15</v>
      </c>
      <c r="F2358" s="4" t="str">
        <f>HYPERLINK("http://141.218.60.56/~jnz1568/getInfo.php?workbook=12_05.xlsx&amp;sheet=U0&amp;row=2358&amp;col=6&amp;number=4.4&amp;sourceID=14","4.4")</f>
        <v>4.4</v>
      </c>
      <c r="G2358" s="4" t="str">
        <f>HYPERLINK("http://141.218.60.56/~jnz1568/getInfo.php?workbook=12_05.xlsx&amp;sheet=U0&amp;row=2358&amp;col=7&amp;number=0.000258&amp;sourceID=14","0.000258")</f>
        <v>0.000258</v>
      </c>
    </row>
    <row r="2359" spans="1:7">
      <c r="A2359" s="3"/>
      <c r="B2359" s="3"/>
      <c r="C2359" s="3"/>
      <c r="D2359" s="3"/>
      <c r="E2359" s="3">
        <v>16</v>
      </c>
      <c r="F2359" s="4" t="str">
        <f>HYPERLINK("http://141.218.60.56/~jnz1568/getInfo.php?workbook=12_05.xlsx&amp;sheet=U0&amp;row=2359&amp;col=6&amp;number=4.5&amp;sourceID=14","4.5")</f>
        <v>4.5</v>
      </c>
      <c r="G2359" s="4" t="str">
        <f>HYPERLINK("http://141.218.60.56/~jnz1568/getInfo.php?workbook=12_05.xlsx&amp;sheet=U0&amp;row=2359&amp;col=7&amp;number=0.000256&amp;sourceID=14","0.000256")</f>
        <v>0.000256</v>
      </c>
    </row>
    <row r="2360" spans="1:7">
      <c r="A2360" s="3"/>
      <c r="B2360" s="3"/>
      <c r="C2360" s="3"/>
      <c r="D2360" s="3"/>
      <c r="E2360" s="3">
        <v>17</v>
      </c>
      <c r="F2360" s="4" t="str">
        <f>HYPERLINK("http://141.218.60.56/~jnz1568/getInfo.php?workbook=12_05.xlsx&amp;sheet=U0&amp;row=2360&amp;col=6&amp;number=4.6&amp;sourceID=14","4.6")</f>
        <v>4.6</v>
      </c>
      <c r="G2360" s="4" t="str">
        <f>HYPERLINK("http://141.218.60.56/~jnz1568/getInfo.php?workbook=12_05.xlsx&amp;sheet=U0&amp;row=2360&amp;col=7&amp;number=0.000254&amp;sourceID=14","0.000254")</f>
        <v>0.000254</v>
      </c>
    </row>
    <row r="2361" spans="1:7">
      <c r="A2361" s="3"/>
      <c r="B2361" s="3"/>
      <c r="C2361" s="3"/>
      <c r="D2361" s="3"/>
      <c r="E2361" s="3">
        <v>18</v>
      </c>
      <c r="F2361" s="4" t="str">
        <f>HYPERLINK("http://141.218.60.56/~jnz1568/getInfo.php?workbook=12_05.xlsx&amp;sheet=U0&amp;row=2361&amp;col=6&amp;number=4.7&amp;sourceID=14","4.7")</f>
        <v>4.7</v>
      </c>
      <c r="G2361" s="4" t="str">
        <f>HYPERLINK("http://141.218.60.56/~jnz1568/getInfo.php?workbook=12_05.xlsx&amp;sheet=U0&amp;row=2361&amp;col=7&amp;number=0.000252&amp;sourceID=14","0.000252")</f>
        <v>0.000252</v>
      </c>
    </row>
    <row r="2362" spans="1:7">
      <c r="A2362" s="3"/>
      <c r="B2362" s="3"/>
      <c r="C2362" s="3"/>
      <c r="D2362" s="3"/>
      <c r="E2362" s="3">
        <v>19</v>
      </c>
      <c r="F2362" s="4" t="str">
        <f>HYPERLINK("http://141.218.60.56/~jnz1568/getInfo.php?workbook=12_05.xlsx&amp;sheet=U0&amp;row=2362&amp;col=6&amp;number=4.8&amp;sourceID=14","4.8")</f>
        <v>4.8</v>
      </c>
      <c r="G2362" s="4" t="str">
        <f>HYPERLINK("http://141.218.60.56/~jnz1568/getInfo.php?workbook=12_05.xlsx&amp;sheet=U0&amp;row=2362&amp;col=7&amp;number=0.000249&amp;sourceID=14","0.000249")</f>
        <v>0.000249</v>
      </c>
    </row>
    <row r="2363" spans="1:7">
      <c r="A2363" s="3"/>
      <c r="B2363" s="3"/>
      <c r="C2363" s="3"/>
      <c r="D2363" s="3"/>
      <c r="E2363" s="3">
        <v>20</v>
      </c>
      <c r="F2363" s="4" t="str">
        <f>HYPERLINK("http://141.218.60.56/~jnz1568/getInfo.php?workbook=12_05.xlsx&amp;sheet=U0&amp;row=2363&amp;col=6&amp;number=4.9&amp;sourceID=14","4.9")</f>
        <v>4.9</v>
      </c>
      <c r="G2363" s="4" t="str">
        <f>HYPERLINK("http://141.218.60.56/~jnz1568/getInfo.php?workbook=12_05.xlsx&amp;sheet=U0&amp;row=2363&amp;col=7&amp;number=0.000245&amp;sourceID=14","0.000245")</f>
        <v>0.000245</v>
      </c>
    </row>
    <row r="2364" spans="1:7">
      <c r="A2364" s="3">
        <v>12</v>
      </c>
      <c r="B2364" s="3">
        <v>5</v>
      </c>
      <c r="C2364" s="3">
        <v>1</v>
      </c>
      <c r="D2364" s="3">
        <v>78</v>
      </c>
      <c r="E2364" s="3">
        <v>1</v>
      </c>
      <c r="F2364" s="4" t="str">
        <f>HYPERLINK("http://141.218.60.56/~jnz1568/getInfo.php?workbook=12_05.xlsx&amp;sheet=U0&amp;row=2364&amp;col=6&amp;number=3&amp;sourceID=14","3")</f>
        <v>3</v>
      </c>
      <c r="G2364" s="4" t="str">
        <f>HYPERLINK("http://141.218.60.56/~jnz1568/getInfo.php?workbook=12_05.xlsx&amp;sheet=U0&amp;row=2364&amp;col=7&amp;number=0.0264&amp;sourceID=14","0.0264")</f>
        <v>0.0264</v>
      </c>
    </row>
    <row r="2365" spans="1:7">
      <c r="A2365" s="3"/>
      <c r="B2365" s="3"/>
      <c r="C2365" s="3"/>
      <c r="D2365" s="3"/>
      <c r="E2365" s="3">
        <v>2</v>
      </c>
      <c r="F2365" s="4" t="str">
        <f>HYPERLINK("http://141.218.60.56/~jnz1568/getInfo.php?workbook=12_05.xlsx&amp;sheet=U0&amp;row=2365&amp;col=6&amp;number=3.1&amp;sourceID=14","3.1")</f>
        <v>3.1</v>
      </c>
      <c r="G2365" s="4" t="str">
        <f>HYPERLINK("http://141.218.60.56/~jnz1568/getInfo.php?workbook=12_05.xlsx&amp;sheet=U0&amp;row=2365&amp;col=7&amp;number=0.0264&amp;sourceID=14","0.0264")</f>
        <v>0.0264</v>
      </c>
    </row>
    <row r="2366" spans="1:7">
      <c r="A2366" s="3"/>
      <c r="B2366" s="3"/>
      <c r="C2366" s="3"/>
      <c r="D2366" s="3"/>
      <c r="E2366" s="3">
        <v>3</v>
      </c>
      <c r="F2366" s="4" t="str">
        <f>HYPERLINK("http://141.218.60.56/~jnz1568/getInfo.php?workbook=12_05.xlsx&amp;sheet=U0&amp;row=2366&amp;col=6&amp;number=3.2&amp;sourceID=14","3.2")</f>
        <v>3.2</v>
      </c>
      <c r="G2366" s="4" t="str">
        <f>HYPERLINK("http://141.218.60.56/~jnz1568/getInfo.php?workbook=12_05.xlsx&amp;sheet=U0&amp;row=2366&amp;col=7&amp;number=0.0264&amp;sourceID=14","0.0264")</f>
        <v>0.0264</v>
      </c>
    </row>
    <row r="2367" spans="1:7">
      <c r="A2367" s="3"/>
      <c r="B2367" s="3"/>
      <c r="C2367" s="3"/>
      <c r="D2367" s="3"/>
      <c r="E2367" s="3">
        <v>4</v>
      </c>
      <c r="F2367" s="4" t="str">
        <f>HYPERLINK("http://141.218.60.56/~jnz1568/getInfo.php?workbook=12_05.xlsx&amp;sheet=U0&amp;row=2367&amp;col=6&amp;number=3.3&amp;sourceID=14","3.3")</f>
        <v>3.3</v>
      </c>
      <c r="G2367" s="4" t="str">
        <f>HYPERLINK("http://141.218.60.56/~jnz1568/getInfo.php?workbook=12_05.xlsx&amp;sheet=U0&amp;row=2367&amp;col=7&amp;number=0.0264&amp;sourceID=14","0.0264")</f>
        <v>0.0264</v>
      </c>
    </row>
    <row r="2368" spans="1:7">
      <c r="A2368" s="3"/>
      <c r="B2368" s="3"/>
      <c r="C2368" s="3"/>
      <c r="D2368" s="3"/>
      <c r="E2368" s="3">
        <v>5</v>
      </c>
      <c r="F2368" s="4" t="str">
        <f>HYPERLINK("http://141.218.60.56/~jnz1568/getInfo.php?workbook=12_05.xlsx&amp;sheet=U0&amp;row=2368&amp;col=6&amp;number=3.4&amp;sourceID=14","3.4")</f>
        <v>3.4</v>
      </c>
      <c r="G2368" s="4" t="str">
        <f>HYPERLINK("http://141.218.60.56/~jnz1568/getInfo.php?workbook=12_05.xlsx&amp;sheet=U0&amp;row=2368&amp;col=7&amp;number=0.0264&amp;sourceID=14","0.0264")</f>
        <v>0.0264</v>
      </c>
    </row>
    <row r="2369" spans="1:7">
      <c r="A2369" s="3"/>
      <c r="B2369" s="3"/>
      <c r="C2369" s="3"/>
      <c r="D2369" s="3"/>
      <c r="E2369" s="3">
        <v>6</v>
      </c>
      <c r="F2369" s="4" t="str">
        <f>HYPERLINK("http://141.218.60.56/~jnz1568/getInfo.php?workbook=12_05.xlsx&amp;sheet=U0&amp;row=2369&amp;col=6&amp;number=3.5&amp;sourceID=14","3.5")</f>
        <v>3.5</v>
      </c>
      <c r="G2369" s="4" t="str">
        <f>HYPERLINK("http://141.218.60.56/~jnz1568/getInfo.php?workbook=12_05.xlsx&amp;sheet=U0&amp;row=2369&amp;col=7&amp;number=0.0264&amp;sourceID=14","0.0264")</f>
        <v>0.0264</v>
      </c>
    </row>
    <row r="2370" spans="1:7">
      <c r="A2370" s="3"/>
      <c r="B2370" s="3"/>
      <c r="C2370" s="3"/>
      <c r="D2370" s="3"/>
      <c r="E2370" s="3">
        <v>7</v>
      </c>
      <c r="F2370" s="4" t="str">
        <f>HYPERLINK("http://141.218.60.56/~jnz1568/getInfo.php?workbook=12_05.xlsx&amp;sheet=U0&amp;row=2370&amp;col=6&amp;number=3.6&amp;sourceID=14","3.6")</f>
        <v>3.6</v>
      </c>
      <c r="G2370" s="4" t="str">
        <f>HYPERLINK("http://141.218.60.56/~jnz1568/getInfo.php?workbook=12_05.xlsx&amp;sheet=U0&amp;row=2370&amp;col=7&amp;number=0.0264&amp;sourceID=14","0.0264")</f>
        <v>0.0264</v>
      </c>
    </row>
    <row r="2371" spans="1:7">
      <c r="A2371" s="3"/>
      <c r="B2371" s="3"/>
      <c r="C2371" s="3"/>
      <c r="D2371" s="3"/>
      <c r="E2371" s="3">
        <v>8</v>
      </c>
      <c r="F2371" s="4" t="str">
        <f>HYPERLINK("http://141.218.60.56/~jnz1568/getInfo.php?workbook=12_05.xlsx&amp;sheet=U0&amp;row=2371&amp;col=6&amp;number=3.7&amp;sourceID=14","3.7")</f>
        <v>3.7</v>
      </c>
      <c r="G2371" s="4" t="str">
        <f>HYPERLINK("http://141.218.60.56/~jnz1568/getInfo.php?workbook=12_05.xlsx&amp;sheet=U0&amp;row=2371&amp;col=7&amp;number=0.0264&amp;sourceID=14","0.0264")</f>
        <v>0.0264</v>
      </c>
    </row>
    <row r="2372" spans="1:7">
      <c r="A2372" s="3"/>
      <c r="B2372" s="3"/>
      <c r="C2372" s="3"/>
      <c r="D2372" s="3"/>
      <c r="E2372" s="3">
        <v>9</v>
      </c>
      <c r="F2372" s="4" t="str">
        <f>HYPERLINK("http://141.218.60.56/~jnz1568/getInfo.php?workbook=12_05.xlsx&amp;sheet=U0&amp;row=2372&amp;col=6&amp;number=3.8&amp;sourceID=14","3.8")</f>
        <v>3.8</v>
      </c>
      <c r="G2372" s="4" t="str">
        <f>HYPERLINK("http://141.218.60.56/~jnz1568/getInfo.php?workbook=12_05.xlsx&amp;sheet=U0&amp;row=2372&amp;col=7&amp;number=0.0264&amp;sourceID=14","0.0264")</f>
        <v>0.0264</v>
      </c>
    </row>
    <row r="2373" spans="1:7">
      <c r="A2373" s="3"/>
      <c r="B2373" s="3"/>
      <c r="C2373" s="3"/>
      <c r="D2373" s="3"/>
      <c r="E2373" s="3">
        <v>10</v>
      </c>
      <c r="F2373" s="4" t="str">
        <f>HYPERLINK("http://141.218.60.56/~jnz1568/getInfo.php?workbook=12_05.xlsx&amp;sheet=U0&amp;row=2373&amp;col=6&amp;number=3.9&amp;sourceID=14","3.9")</f>
        <v>3.9</v>
      </c>
      <c r="G2373" s="4" t="str">
        <f>HYPERLINK("http://141.218.60.56/~jnz1568/getInfo.php?workbook=12_05.xlsx&amp;sheet=U0&amp;row=2373&amp;col=7&amp;number=0.0264&amp;sourceID=14","0.0264")</f>
        <v>0.0264</v>
      </c>
    </row>
    <row r="2374" spans="1:7">
      <c r="A2374" s="3"/>
      <c r="B2374" s="3"/>
      <c r="C2374" s="3"/>
      <c r="D2374" s="3"/>
      <c r="E2374" s="3">
        <v>11</v>
      </c>
      <c r="F2374" s="4" t="str">
        <f>HYPERLINK("http://141.218.60.56/~jnz1568/getInfo.php?workbook=12_05.xlsx&amp;sheet=U0&amp;row=2374&amp;col=6&amp;number=4&amp;sourceID=14","4")</f>
        <v>4</v>
      </c>
      <c r="G2374" s="4" t="str">
        <f>HYPERLINK("http://141.218.60.56/~jnz1568/getInfo.php?workbook=12_05.xlsx&amp;sheet=U0&amp;row=2374&amp;col=7&amp;number=0.0264&amp;sourceID=14","0.0264")</f>
        <v>0.0264</v>
      </c>
    </row>
    <row r="2375" spans="1:7">
      <c r="A2375" s="3"/>
      <c r="B2375" s="3"/>
      <c r="C2375" s="3"/>
      <c r="D2375" s="3"/>
      <c r="E2375" s="3">
        <v>12</v>
      </c>
      <c r="F2375" s="4" t="str">
        <f>HYPERLINK("http://141.218.60.56/~jnz1568/getInfo.php?workbook=12_05.xlsx&amp;sheet=U0&amp;row=2375&amp;col=6&amp;number=4.1&amp;sourceID=14","4.1")</f>
        <v>4.1</v>
      </c>
      <c r="G2375" s="4" t="str">
        <f>HYPERLINK("http://141.218.60.56/~jnz1568/getInfo.php?workbook=12_05.xlsx&amp;sheet=U0&amp;row=2375&amp;col=7&amp;number=0.0264&amp;sourceID=14","0.0264")</f>
        <v>0.0264</v>
      </c>
    </row>
    <row r="2376" spans="1:7">
      <c r="A2376" s="3"/>
      <c r="B2376" s="3"/>
      <c r="C2376" s="3"/>
      <c r="D2376" s="3"/>
      <c r="E2376" s="3">
        <v>13</v>
      </c>
      <c r="F2376" s="4" t="str">
        <f>HYPERLINK("http://141.218.60.56/~jnz1568/getInfo.php?workbook=12_05.xlsx&amp;sheet=U0&amp;row=2376&amp;col=6&amp;number=4.2&amp;sourceID=14","4.2")</f>
        <v>4.2</v>
      </c>
      <c r="G2376" s="4" t="str">
        <f>HYPERLINK("http://141.218.60.56/~jnz1568/getInfo.php?workbook=12_05.xlsx&amp;sheet=U0&amp;row=2376&amp;col=7&amp;number=0.0264&amp;sourceID=14","0.0264")</f>
        <v>0.0264</v>
      </c>
    </row>
    <row r="2377" spans="1:7">
      <c r="A2377" s="3"/>
      <c r="B2377" s="3"/>
      <c r="C2377" s="3"/>
      <c r="D2377" s="3"/>
      <c r="E2377" s="3">
        <v>14</v>
      </c>
      <c r="F2377" s="4" t="str">
        <f>HYPERLINK("http://141.218.60.56/~jnz1568/getInfo.php?workbook=12_05.xlsx&amp;sheet=U0&amp;row=2377&amp;col=6&amp;number=4.3&amp;sourceID=14","4.3")</f>
        <v>4.3</v>
      </c>
      <c r="G2377" s="4" t="str">
        <f>HYPERLINK("http://141.218.60.56/~jnz1568/getInfo.php?workbook=12_05.xlsx&amp;sheet=U0&amp;row=2377&amp;col=7&amp;number=0.0265&amp;sourceID=14","0.0265")</f>
        <v>0.0265</v>
      </c>
    </row>
    <row r="2378" spans="1:7">
      <c r="A2378" s="3"/>
      <c r="B2378" s="3"/>
      <c r="C2378" s="3"/>
      <c r="D2378" s="3"/>
      <c r="E2378" s="3">
        <v>15</v>
      </c>
      <c r="F2378" s="4" t="str">
        <f>HYPERLINK("http://141.218.60.56/~jnz1568/getInfo.php?workbook=12_05.xlsx&amp;sheet=U0&amp;row=2378&amp;col=6&amp;number=4.4&amp;sourceID=14","4.4")</f>
        <v>4.4</v>
      </c>
      <c r="G2378" s="4" t="str">
        <f>HYPERLINK("http://141.218.60.56/~jnz1568/getInfo.php?workbook=12_05.xlsx&amp;sheet=U0&amp;row=2378&amp;col=7&amp;number=0.0265&amp;sourceID=14","0.0265")</f>
        <v>0.0265</v>
      </c>
    </row>
    <row r="2379" spans="1:7">
      <c r="A2379" s="3"/>
      <c r="B2379" s="3"/>
      <c r="C2379" s="3"/>
      <c r="D2379" s="3"/>
      <c r="E2379" s="3">
        <v>16</v>
      </c>
      <c r="F2379" s="4" t="str">
        <f>HYPERLINK("http://141.218.60.56/~jnz1568/getInfo.php?workbook=12_05.xlsx&amp;sheet=U0&amp;row=2379&amp;col=6&amp;number=4.5&amp;sourceID=14","4.5")</f>
        <v>4.5</v>
      </c>
      <c r="G2379" s="4" t="str">
        <f>HYPERLINK("http://141.218.60.56/~jnz1568/getInfo.php?workbook=12_05.xlsx&amp;sheet=U0&amp;row=2379&amp;col=7&amp;number=0.0265&amp;sourceID=14","0.0265")</f>
        <v>0.0265</v>
      </c>
    </row>
    <row r="2380" spans="1:7">
      <c r="A2380" s="3"/>
      <c r="B2380" s="3"/>
      <c r="C2380" s="3"/>
      <c r="D2380" s="3"/>
      <c r="E2380" s="3">
        <v>17</v>
      </c>
      <c r="F2380" s="4" t="str">
        <f>HYPERLINK("http://141.218.60.56/~jnz1568/getInfo.php?workbook=12_05.xlsx&amp;sheet=U0&amp;row=2380&amp;col=6&amp;number=4.6&amp;sourceID=14","4.6")</f>
        <v>4.6</v>
      </c>
      <c r="G2380" s="4" t="str">
        <f>HYPERLINK("http://141.218.60.56/~jnz1568/getInfo.php?workbook=12_05.xlsx&amp;sheet=U0&amp;row=2380&amp;col=7&amp;number=0.0266&amp;sourceID=14","0.0266")</f>
        <v>0.0266</v>
      </c>
    </row>
    <row r="2381" spans="1:7">
      <c r="A2381" s="3"/>
      <c r="B2381" s="3"/>
      <c r="C2381" s="3"/>
      <c r="D2381" s="3"/>
      <c r="E2381" s="3">
        <v>18</v>
      </c>
      <c r="F2381" s="4" t="str">
        <f>HYPERLINK("http://141.218.60.56/~jnz1568/getInfo.php?workbook=12_05.xlsx&amp;sheet=U0&amp;row=2381&amp;col=6&amp;number=4.7&amp;sourceID=14","4.7")</f>
        <v>4.7</v>
      </c>
      <c r="G2381" s="4" t="str">
        <f>HYPERLINK("http://141.218.60.56/~jnz1568/getInfo.php?workbook=12_05.xlsx&amp;sheet=U0&amp;row=2381&amp;col=7&amp;number=0.0266&amp;sourceID=14","0.0266")</f>
        <v>0.0266</v>
      </c>
    </row>
    <row r="2382" spans="1:7">
      <c r="A2382" s="3"/>
      <c r="B2382" s="3"/>
      <c r="C2382" s="3"/>
      <c r="D2382" s="3"/>
      <c r="E2382" s="3">
        <v>19</v>
      </c>
      <c r="F2382" s="4" t="str">
        <f>HYPERLINK("http://141.218.60.56/~jnz1568/getInfo.php?workbook=12_05.xlsx&amp;sheet=U0&amp;row=2382&amp;col=6&amp;number=4.8&amp;sourceID=14","4.8")</f>
        <v>4.8</v>
      </c>
      <c r="G2382" s="4" t="str">
        <f>HYPERLINK("http://141.218.60.56/~jnz1568/getInfo.php?workbook=12_05.xlsx&amp;sheet=U0&amp;row=2382&amp;col=7&amp;number=0.0267&amp;sourceID=14","0.0267")</f>
        <v>0.0267</v>
      </c>
    </row>
    <row r="2383" spans="1:7">
      <c r="A2383" s="3"/>
      <c r="B2383" s="3"/>
      <c r="C2383" s="3"/>
      <c r="D2383" s="3"/>
      <c r="E2383" s="3">
        <v>20</v>
      </c>
      <c r="F2383" s="4" t="str">
        <f>HYPERLINK("http://141.218.60.56/~jnz1568/getInfo.php?workbook=12_05.xlsx&amp;sheet=U0&amp;row=2383&amp;col=6&amp;number=4.9&amp;sourceID=14","4.9")</f>
        <v>4.9</v>
      </c>
      <c r="G2383" s="4" t="str">
        <f>HYPERLINK("http://141.218.60.56/~jnz1568/getInfo.php?workbook=12_05.xlsx&amp;sheet=U0&amp;row=2383&amp;col=7&amp;number=0.0268&amp;sourceID=14","0.0268")</f>
        <v>0.0268</v>
      </c>
    </row>
    <row r="2384" spans="1:7">
      <c r="A2384" s="3">
        <v>12</v>
      </c>
      <c r="B2384" s="3">
        <v>5</v>
      </c>
      <c r="C2384" s="3">
        <v>1</v>
      </c>
      <c r="D2384" s="3">
        <v>79</v>
      </c>
      <c r="E2384" s="3">
        <v>1</v>
      </c>
      <c r="F2384" s="4" t="str">
        <f>HYPERLINK("http://141.218.60.56/~jnz1568/getInfo.php?workbook=12_05.xlsx&amp;sheet=U0&amp;row=2384&amp;col=6&amp;number=3&amp;sourceID=14","3")</f>
        <v>3</v>
      </c>
      <c r="G2384" s="4" t="str">
        <f>HYPERLINK("http://141.218.60.56/~jnz1568/getInfo.php?workbook=12_05.xlsx&amp;sheet=U0&amp;row=2384&amp;col=7&amp;number=0.00309&amp;sourceID=14","0.00309")</f>
        <v>0.00309</v>
      </c>
    </row>
    <row r="2385" spans="1:7">
      <c r="A2385" s="3"/>
      <c r="B2385" s="3"/>
      <c r="C2385" s="3"/>
      <c r="D2385" s="3"/>
      <c r="E2385" s="3">
        <v>2</v>
      </c>
      <c r="F2385" s="4" t="str">
        <f>HYPERLINK("http://141.218.60.56/~jnz1568/getInfo.php?workbook=12_05.xlsx&amp;sheet=U0&amp;row=2385&amp;col=6&amp;number=3.1&amp;sourceID=14","3.1")</f>
        <v>3.1</v>
      </c>
      <c r="G2385" s="4" t="str">
        <f>HYPERLINK("http://141.218.60.56/~jnz1568/getInfo.php?workbook=12_05.xlsx&amp;sheet=U0&amp;row=2385&amp;col=7&amp;number=0.00309&amp;sourceID=14","0.00309")</f>
        <v>0.00309</v>
      </c>
    </row>
    <row r="2386" spans="1:7">
      <c r="A2386" s="3"/>
      <c r="B2386" s="3"/>
      <c r="C2386" s="3"/>
      <c r="D2386" s="3"/>
      <c r="E2386" s="3">
        <v>3</v>
      </c>
      <c r="F2386" s="4" t="str">
        <f>HYPERLINK("http://141.218.60.56/~jnz1568/getInfo.php?workbook=12_05.xlsx&amp;sheet=U0&amp;row=2386&amp;col=6&amp;number=3.2&amp;sourceID=14","3.2")</f>
        <v>3.2</v>
      </c>
      <c r="G2386" s="4" t="str">
        <f>HYPERLINK("http://141.218.60.56/~jnz1568/getInfo.php?workbook=12_05.xlsx&amp;sheet=U0&amp;row=2386&amp;col=7&amp;number=0.00309&amp;sourceID=14","0.00309")</f>
        <v>0.00309</v>
      </c>
    </row>
    <row r="2387" spans="1:7">
      <c r="A2387" s="3"/>
      <c r="B2387" s="3"/>
      <c r="C2387" s="3"/>
      <c r="D2387" s="3"/>
      <c r="E2387" s="3">
        <v>4</v>
      </c>
      <c r="F2387" s="4" t="str">
        <f>HYPERLINK("http://141.218.60.56/~jnz1568/getInfo.php?workbook=12_05.xlsx&amp;sheet=U0&amp;row=2387&amp;col=6&amp;number=3.3&amp;sourceID=14","3.3")</f>
        <v>3.3</v>
      </c>
      <c r="G2387" s="4" t="str">
        <f>HYPERLINK("http://141.218.60.56/~jnz1568/getInfo.php?workbook=12_05.xlsx&amp;sheet=U0&amp;row=2387&amp;col=7&amp;number=0.00309&amp;sourceID=14","0.00309")</f>
        <v>0.00309</v>
      </c>
    </row>
    <row r="2388" spans="1:7">
      <c r="A2388" s="3"/>
      <c r="B2388" s="3"/>
      <c r="C2388" s="3"/>
      <c r="D2388" s="3"/>
      <c r="E2388" s="3">
        <v>5</v>
      </c>
      <c r="F2388" s="4" t="str">
        <f>HYPERLINK("http://141.218.60.56/~jnz1568/getInfo.php?workbook=12_05.xlsx&amp;sheet=U0&amp;row=2388&amp;col=6&amp;number=3.4&amp;sourceID=14","3.4")</f>
        <v>3.4</v>
      </c>
      <c r="G2388" s="4" t="str">
        <f>HYPERLINK("http://141.218.60.56/~jnz1568/getInfo.php?workbook=12_05.xlsx&amp;sheet=U0&amp;row=2388&amp;col=7&amp;number=0.00309&amp;sourceID=14","0.00309")</f>
        <v>0.00309</v>
      </c>
    </row>
    <row r="2389" spans="1:7">
      <c r="A2389" s="3"/>
      <c r="B2389" s="3"/>
      <c r="C2389" s="3"/>
      <c r="D2389" s="3"/>
      <c r="E2389" s="3">
        <v>6</v>
      </c>
      <c r="F2389" s="4" t="str">
        <f>HYPERLINK("http://141.218.60.56/~jnz1568/getInfo.php?workbook=12_05.xlsx&amp;sheet=U0&amp;row=2389&amp;col=6&amp;number=3.5&amp;sourceID=14","3.5")</f>
        <v>3.5</v>
      </c>
      <c r="G2389" s="4" t="str">
        <f>HYPERLINK("http://141.218.60.56/~jnz1568/getInfo.php?workbook=12_05.xlsx&amp;sheet=U0&amp;row=2389&amp;col=7&amp;number=0.00309&amp;sourceID=14","0.00309")</f>
        <v>0.00309</v>
      </c>
    </row>
    <row r="2390" spans="1:7">
      <c r="A2390" s="3"/>
      <c r="B2390" s="3"/>
      <c r="C2390" s="3"/>
      <c r="D2390" s="3"/>
      <c r="E2390" s="3">
        <v>7</v>
      </c>
      <c r="F2390" s="4" t="str">
        <f>HYPERLINK("http://141.218.60.56/~jnz1568/getInfo.php?workbook=12_05.xlsx&amp;sheet=U0&amp;row=2390&amp;col=6&amp;number=3.6&amp;sourceID=14","3.6")</f>
        <v>3.6</v>
      </c>
      <c r="G2390" s="4" t="str">
        <f>HYPERLINK("http://141.218.60.56/~jnz1568/getInfo.php?workbook=12_05.xlsx&amp;sheet=U0&amp;row=2390&amp;col=7&amp;number=0.00309&amp;sourceID=14","0.00309")</f>
        <v>0.00309</v>
      </c>
    </row>
    <row r="2391" spans="1:7">
      <c r="A2391" s="3"/>
      <c r="B2391" s="3"/>
      <c r="C2391" s="3"/>
      <c r="D2391" s="3"/>
      <c r="E2391" s="3">
        <v>8</v>
      </c>
      <c r="F2391" s="4" t="str">
        <f>HYPERLINK("http://141.218.60.56/~jnz1568/getInfo.php?workbook=12_05.xlsx&amp;sheet=U0&amp;row=2391&amp;col=6&amp;number=3.7&amp;sourceID=14","3.7")</f>
        <v>3.7</v>
      </c>
      <c r="G2391" s="4" t="str">
        <f>HYPERLINK("http://141.218.60.56/~jnz1568/getInfo.php?workbook=12_05.xlsx&amp;sheet=U0&amp;row=2391&amp;col=7&amp;number=0.00309&amp;sourceID=14","0.00309")</f>
        <v>0.00309</v>
      </c>
    </row>
    <row r="2392" spans="1:7">
      <c r="A2392" s="3"/>
      <c r="B2392" s="3"/>
      <c r="C2392" s="3"/>
      <c r="D2392" s="3"/>
      <c r="E2392" s="3">
        <v>9</v>
      </c>
      <c r="F2392" s="4" t="str">
        <f>HYPERLINK("http://141.218.60.56/~jnz1568/getInfo.php?workbook=12_05.xlsx&amp;sheet=U0&amp;row=2392&amp;col=6&amp;number=3.8&amp;sourceID=14","3.8")</f>
        <v>3.8</v>
      </c>
      <c r="G2392" s="4" t="str">
        <f>HYPERLINK("http://141.218.60.56/~jnz1568/getInfo.php?workbook=12_05.xlsx&amp;sheet=U0&amp;row=2392&amp;col=7&amp;number=0.00309&amp;sourceID=14","0.00309")</f>
        <v>0.00309</v>
      </c>
    </row>
    <row r="2393" spans="1:7">
      <c r="A2393" s="3"/>
      <c r="B2393" s="3"/>
      <c r="C2393" s="3"/>
      <c r="D2393" s="3"/>
      <c r="E2393" s="3">
        <v>10</v>
      </c>
      <c r="F2393" s="4" t="str">
        <f>HYPERLINK("http://141.218.60.56/~jnz1568/getInfo.php?workbook=12_05.xlsx&amp;sheet=U0&amp;row=2393&amp;col=6&amp;number=3.9&amp;sourceID=14","3.9")</f>
        <v>3.9</v>
      </c>
      <c r="G2393" s="4" t="str">
        <f>HYPERLINK("http://141.218.60.56/~jnz1568/getInfo.php?workbook=12_05.xlsx&amp;sheet=U0&amp;row=2393&amp;col=7&amp;number=0.00309&amp;sourceID=14","0.00309")</f>
        <v>0.00309</v>
      </c>
    </row>
    <row r="2394" spans="1:7">
      <c r="A2394" s="3"/>
      <c r="B2394" s="3"/>
      <c r="C2394" s="3"/>
      <c r="D2394" s="3"/>
      <c r="E2394" s="3">
        <v>11</v>
      </c>
      <c r="F2394" s="4" t="str">
        <f>HYPERLINK("http://141.218.60.56/~jnz1568/getInfo.php?workbook=12_05.xlsx&amp;sheet=U0&amp;row=2394&amp;col=6&amp;number=4&amp;sourceID=14","4")</f>
        <v>4</v>
      </c>
      <c r="G2394" s="4" t="str">
        <f>HYPERLINK("http://141.218.60.56/~jnz1568/getInfo.php?workbook=12_05.xlsx&amp;sheet=U0&amp;row=2394&amp;col=7&amp;number=0.00309&amp;sourceID=14","0.00309")</f>
        <v>0.00309</v>
      </c>
    </row>
    <row r="2395" spans="1:7">
      <c r="A2395" s="3"/>
      <c r="B2395" s="3"/>
      <c r="C2395" s="3"/>
      <c r="D2395" s="3"/>
      <c r="E2395" s="3">
        <v>12</v>
      </c>
      <c r="F2395" s="4" t="str">
        <f>HYPERLINK("http://141.218.60.56/~jnz1568/getInfo.php?workbook=12_05.xlsx&amp;sheet=U0&amp;row=2395&amp;col=6&amp;number=4.1&amp;sourceID=14","4.1")</f>
        <v>4.1</v>
      </c>
      <c r="G2395" s="4" t="str">
        <f>HYPERLINK("http://141.218.60.56/~jnz1568/getInfo.php?workbook=12_05.xlsx&amp;sheet=U0&amp;row=2395&amp;col=7&amp;number=0.00309&amp;sourceID=14","0.00309")</f>
        <v>0.00309</v>
      </c>
    </row>
    <row r="2396" spans="1:7">
      <c r="A2396" s="3"/>
      <c r="B2396" s="3"/>
      <c r="C2396" s="3"/>
      <c r="D2396" s="3"/>
      <c r="E2396" s="3">
        <v>13</v>
      </c>
      <c r="F2396" s="4" t="str">
        <f>HYPERLINK("http://141.218.60.56/~jnz1568/getInfo.php?workbook=12_05.xlsx&amp;sheet=U0&amp;row=2396&amp;col=6&amp;number=4.2&amp;sourceID=14","4.2")</f>
        <v>4.2</v>
      </c>
      <c r="G2396" s="4" t="str">
        <f>HYPERLINK("http://141.218.60.56/~jnz1568/getInfo.php?workbook=12_05.xlsx&amp;sheet=U0&amp;row=2396&amp;col=7&amp;number=0.00309&amp;sourceID=14","0.00309")</f>
        <v>0.00309</v>
      </c>
    </row>
    <row r="2397" spans="1:7">
      <c r="A2397" s="3"/>
      <c r="B2397" s="3"/>
      <c r="C2397" s="3"/>
      <c r="D2397" s="3"/>
      <c r="E2397" s="3">
        <v>14</v>
      </c>
      <c r="F2397" s="4" t="str">
        <f>HYPERLINK("http://141.218.60.56/~jnz1568/getInfo.php?workbook=12_05.xlsx&amp;sheet=U0&amp;row=2397&amp;col=6&amp;number=4.3&amp;sourceID=14","4.3")</f>
        <v>4.3</v>
      </c>
      <c r="G2397" s="4" t="str">
        <f>HYPERLINK("http://141.218.60.56/~jnz1568/getInfo.php?workbook=12_05.xlsx&amp;sheet=U0&amp;row=2397&amp;col=7&amp;number=0.00309&amp;sourceID=14","0.00309")</f>
        <v>0.00309</v>
      </c>
    </row>
    <row r="2398" spans="1:7">
      <c r="A2398" s="3"/>
      <c r="B2398" s="3"/>
      <c r="C2398" s="3"/>
      <c r="D2398" s="3"/>
      <c r="E2398" s="3">
        <v>15</v>
      </c>
      <c r="F2398" s="4" t="str">
        <f>HYPERLINK("http://141.218.60.56/~jnz1568/getInfo.php?workbook=12_05.xlsx&amp;sheet=U0&amp;row=2398&amp;col=6&amp;number=4.4&amp;sourceID=14","4.4")</f>
        <v>4.4</v>
      </c>
      <c r="G2398" s="4" t="str">
        <f>HYPERLINK("http://141.218.60.56/~jnz1568/getInfo.php?workbook=12_05.xlsx&amp;sheet=U0&amp;row=2398&amp;col=7&amp;number=0.00308&amp;sourceID=14","0.00308")</f>
        <v>0.00308</v>
      </c>
    </row>
    <row r="2399" spans="1:7">
      <c r="A2399" s="3"/>
      <c r="B2399" s="3"/>
      <c r="C2399" s="3"/>
      <c r="D2399" s="3"/>
      <c r="E2399" s="3">
        <v>16</v>
      </c>
      <c r="F2399" s="4" t="str">
        <f>HYPERLINK("http://141.218.60.56/~jnz1568/getInfo.php?workbook=12_05.xlsx&amp;sheet=U0&amp;row=2399&amp;col=6&amp;number=4.5&amp;sourceID=14","4.5")</f>
        <v>4.5</v>
      </c>
      <c r="G2399" s="4" t="str">
        <f>HYPERLINK("http://141.218.60.56/~jnz1568/getInfo.php?workbook=12_05.xlsx&amp;sheet=U0&amp;row=2399&amp;col=7&amp;number=0.00308&amp;sourceID=14","0.00308")</f>
        <v>0.00308</v>
      </c>
    </row>
    <row r="2400" spans="1:7">
      <c r="A2400" s="3"/>
      <c r="B2400" s="3"/>
      <c r="C2400" s="3"/>
      <c r="D2400" s="3"/>
      <c r="E2400" s="3">
        <v>17</v>
      </c>
      <c r="F2400" s="4" t="str">
        <f>HYPERLINK("http://141.218.60.56/~jnz1568/getInfo.php?workbook=12_05.xlsx&amp;sheet=U0&amp;row=2400&amp;col=6&amp;number=4.6&amp;sourceID=14","4.6")</f>
        <v>4.6</v>
      </c>
      <c r="G2400" s="4" t="str">
        <f>HYPERLINK("http://141.218.60.56/~jnz1568/getInfo.php?workbook=12_05.xlsx&amp;sheet=U0&amp;row=2400&amp;col=7&amp;number=0.00308&amp;sourceID=14","0.00308")</f>
        <v>0.00308</v>
      </c>
    </row>
    <row r="2401" spans="1:7">
      <c r="A2401" s="3"/>
      <c r="B2401" s="3"/>
      <c r="C2401" s="3"/>
      <c r="D2401" s="3"/>
      <c r="E2401" s="3">
        <v>18</v>
      </c>
      <c r="F2401" s="4" t="str">
        <f>HYPERLINK("http://141.218.60.56/~jnz1568/getInfo.php?workbook=12_05.xlsx&amp;sheet=U0&amp;row=2401&amp;col=6&amp;number=4.7&amp;sourceID=14","4.7")</f>
        <v>4.7</v>
      </c>
      <c r="G2401" s="4" t="str">
        <f>HYPERLINK("http://141.218.60.56/~jnz1568/getInfo.php?workbook=12_05.xlsx&amp;sheet=U0&amp;row=2401&amp;col=7&amp;number=0.00308&amp;sourceID=14","0.00308")</f>
        <v>0.00308</v>
      </c>
    </row>
    <row r="2402" spans="1:7">
      <c r="A2402" s="3"/>
      <c r="B2402" s="3"/>
      <c r="C2402" s="3"/>
      <c r="D2402" s="3"/>
      <c r="E2402" s="3">
        <v>19</v>
      </c>
      <c r="F2402" s="4" t="str">
        <f>HYPERLINK("http://141.218.60.56/~jnz1568/getInfo.php?workbook=12_05.xlsx&amp;sheet=U0&amp;row=2402&amp;col=6&amp;number=4.8&amp;sourceID=14","4.8")</f>
        <v>4.8</v>
      </c>
      <c r="G2402" s="4" t="str">
        <f>HYPERLINK("http://141.218.60.56/~jnz1568/getInfo.php?workbook=12_05.xlsx&amp;sheet=U0&amp;row=2402&amp;col=7&amp;number=0.00308&amp;sourceID=14","0.00308")</f>
        <v>0.00308</v>
      </c>
    </row>
    <row r="2403" spans="1:7">
      <c r="A2403" s="3"/>
      <c r="B2403" s="3"/>
      <c r="C2403" s="3"/>
      <c r="D2403" s="3"/>
      <c r="E2403" s="3">
        <v>20</v>
      </c>
      <c r="F2403" s="4" t="str">
        <f>HYPERLINK("http://141.218.60.56/~jnz1568/getInfo.php?workbook=12_05.xlsx&amp;sheet=U0&amp;row=2403&amp;col=6&amp;number=4.9&amp;sourceID=14","4.9")</f>
        <v>4.9</v>
      </c>
      <c r="G2403" s="4" t="str">
        <f>HYPERLINK("http://141.218.60.56/~jnz1568/getInfo.php?workbook=12_05.xlsx&amp;sheet=U0&amp;row=2403&amp;col=7&amp;number=0.00308&amp;sourceID=14","0.00308")</f>
        <v>0.00308</v>
      </c>
    </row>
    <row r="2404" spans="1:7">
      <c r="A2404" s="3">
        <v>12</v>
      </c>
      <c r="B2404" s="3">
        <v>5</v>
      </c>
      <c r="C2404" s="3">
        <v>1</v>
      </c>
      <c r="D2404" s="3">
        <v>80</v>
      </c>
      <c r="E2404" s="3">
        <v>1</v>
      </c>
      <c r="F2404" s="4" t="str">
        <f>HYPERLINK("http://141.218.60.56/~jnz1568/getInfo.php?workbook=12_05.xlsx&amp;sheet=U0&amp;row=2404&amp;col=6&amp;number=3&amp;sourceID=14","3")</f>
        <v>3</v>
      </c>
      <c r="G2404" s="4" t="str">
        <f>HYPERLINK("http://141.218.60.56/~jnz1568/getInfo.php?workbook=12_05.xlsx&amp;sheet=U0&amp;row=2404&amp;col=7&amp;number=0.00209&amp;sourceID=14","0.00209")</f>
        <v>0.00209</v>
      </c>
    </row>
    <row r="2405" spans="1:7">
      <c r="A2405" s="3"/>
      <c r="B2405" s="3"/>
      <c r="C2405" s="3"/>
      <c r="D2405" s="3"/>
      <c r="E2405" s="3">
        <v>2</v>
      </c>
      <c r="F2405" s="4" t="str">
        <f>HYPERLINK("http://141.218.60.56/~jnz1568/getInfo.php?workbook=12_05.xlsx&amp;sheet=U0&amp;row=2405&amp;col=6&amp;number=3.1&amp;sourceID=14","3.1")</f>
        <v>3.1</v>
      </c>
      <c r="G2405" s="4" t="str">
        <f>HYPERLINK("http://141.218.60.56/~jnz1568/getInfo.php?workbook=12_05.xlsx&amp;sheet=U0&amp;row=2405&amp;col=7&amp;number=0.00209&amp;sourceID=14","0.00209")</f>
        <v>0.00209</v>
      </c>
    </row>
    <row r="2406" spans="1:7">
      <c r="A2406" s="3"/>
      <c r="B2406" s="3"/>
      <c r="C2406" s="3"/>
      <c r="D2406" s="3"/>
      <c r="E2406" s="3">
        <v>3</v>
      </c>
      <c r="F2406" s="4" t="str">
        <f>HYPERLINK("http://141.218.60.56/~jnz1568/getInfo.php?workbook=12_05.xlsx&amp;sheet=U0&amp;row=2406&amp;col=6&amp;number=3.2&amp;sourceID=14","3.2")</f>
        <v>3.2</v>
      </c>
      <c r="G2406" s="4" t="str">
        <f>HYPERLINK("http://141.218.60.56/~jnz1568/getInfo.php?workbook=12_05.xlsx&amp;sheet=U0&amp;row=2406&amp;col=7&amp;number=0.00209&amp;sourceID=14","0.00209")</f>
        <v>0.00209</v>
      </c>
    </row>
    <row r="2407" spans="1:7">
      <c r="A2407" s="3"/>
      <c r="B2407" s="3"/>
      <c r="C2407" s="3"/>
      <c r="D2407" s="3"/>
      <c r="E2407" s="3">
        <v>4</v>
      </c>
      <c r="F2407" s="4" t="str">
        <f>HYPERLINK("http://141.218.60.56/~jnz1568/getInfo.php?workbook=12_05.xlsx&amp;sheet=U0&amp;row=2407&amp;col=6&amp;number=3.3&amp;sourceID=14","3.3")</f>
        <v>3.3</v>
      </c>
      <c r="G2407" s="4" t="str">
        <f>HYPERLINK("http://141.218.60.56/~jnz1568/getInfo.php?workbook=12_05.xlsx&amp;sheet=U0&amp;row=2407&amp;col=7&amp;number=0.00209&amp;sourceID=14","0.00209")</f>
        <v>0.00209</v>
      </c>
    </row>
    <row r="2408" spans="1:7">
      <c r="A2408" s="3"/>
      <c r="B2408" s="3"/>
      <c r="C2408" s="3"/>
      <c r="D2408" s="3"/>
      <c r="E2408" s="3">
        <v>5</v>
      </c>
      <c r="F2408" s="4" t="str">
        <f>HYPERLINK("http://141.218.60.56/~jnz1568/getInfo.php?workbook=12_05.xlsx&amp;sheet=U0&amp;row=2408&amp;col=6&amp;number=3.4&amp;sourceID=14","3.4")</f>
        <v>3.4</v>
      </c>
      <c r="G2408" s="4" t="str">
        <f>HYPERLINK("http://141.218.60.56/~jnz1568/getInfo.php?workbook=12_05.xlsx&amp;sheet=U0&amp;row=2408&amp;col=7&amp;number=0.00209&amp;sourceID=14","0.00209")</f>
        <v>0.00209</v>
      </c>
    </row>
    <row r="2409" spans="1:7">
      <c r="A2409" s="3"/>
      <c r="B2409" s="3"/>
      <c r="C2409" s="3"/>
      <c r="D2409" s="3"/>
      <c r="E2409" s="3">
        <v>6</v>
      </c>
      <c r="F2409" s="4" t="str">
        <f>HYPERLINK("http://141.218.60.56/~jnz1568/getInfo.php?workbook=12_05.xlsx&amp;sheet=U0&amp;row=2409&amp;col=6&amp;number=3.5&amp;sourceID=14","3.5")</f>
        <v>3.5</v>
      </c>
      <c r="G2409" s="4" t="str">
        <f>HYPERLINK("http://141.218.60.56/~jnz1568/getInfo.php?workbook=12_05.xlsx&amp;sheet=U0&amp;row=2409&amp;col=7&amp;number=0.00208&amp;sourceID=14","0.00208")</f>
        <v>0.00208</v>
      </c>
    </row>
    <row r="2410" spans="1:7">
      <c r="A2410" s="3"/>
      <c r="B2410" s="3"/>
      <c r="C2410" s="3"/>
      <c r="D2410" s="3"/>
      <c r="E2410" s="3">
        <v>7</v>
      </c>
      <c r="F2410" s="4" t="str">
        <f>HYPERLINK("http://141.218.60.56/~jnz1568/getInfo.php?workbook=12_05.xlsx&amp;sheet=U0&amp;row=2410&amp;col=6&amp;number=3.6&amp;sourceID=14","3.6")</f>
        <v>3.6</v>
      </c>
      <c r="G2410" s="4" t="str">
        <f>HYPERLINK("http://141.218.60.56/~jnz1568/getInfo.php?workbook=12_05.xlsx&amp;sheet=U0&amp;row=2410&amp;col=7&amp;number=0.00208&amp;sourceID=14","0.00208")</f>
        <v>0.00208</v>
      </c>
    </row>
    <row r="2411" spans="1:7">
      <c r="A2411" s="3"/>
      <c r="B2411" s="3"/>
      <c r="C2411" s="3"/>
      <c r="D2411" s="3"/>
      <c r="E2411" s="3">
        <v>8</v>
      </c>
      <c r="F2411" s="4" t="str">
        <f>HYPERLINK("http://141.218.60.56/~jnz1568/getInfo.php?workbook=12_05.xlsx&amp;sheet=U0&amp;row=2411&amp;col=6&amp;number=3.7&amp;sourceID=14","3.7")</f>
        <v>3.7</v>
      </c>
      <c r="G2411" s="4" t="str">
        <f>HYPERLINK("http://141.218.60.56/~jnz1568/getInfo.php?workbook=12_05.xlsx&amp;sheet=U0&amp;row=2411&amp;col=7&amp;number=0.00208&amp;sourceID=14","0.00208")</f>
        <v>0.00208</v>
      </c>
    </row>
    <row r="2412" spans="1:7">
      <c r="A2412" s="3"/>
      <c r="B2412" s="3"/>
      <c r="C2412" s="3"/>
      <c r="D2412" s="3"/>
      <c r="E2412" s="3">
        <v>9</v>
      </c>
      <c r="F2412" s="4" t="str">
        <f>HYPERLINK("http://141.218.60.56/~jnz1568/getInfo.php?workbook=12_05.xlsx&amp;sheet=U0&amp;row=2412&amp;col=6&amp;number=3.8&amp;sourceID=14","3.8")</f>
        <v>3.8</v>
      </c>
      <c r="G2412" s="4" t="str">
        <f>HYPERLINK("http://141.218.60.56/~jnz1568/getInfo.php?workbook=12_05.xlsx&amp;sheet=U0&amp;row=2412&amp;col=7&amp;number=0.00208&amp;sourceID=14","0.00208")</f>
        <v>0.00208</v>
      </c>
    </row>
    <row r="2413" spans="1:7">
      <c r="A2413" s="3"/>
      <c r="B2413" s="3"/>
      <c r="C2413" s="3"/>
      <c r="D2413" s="3"/>
      <c r="E2413" s="3">
        <v>10</v>
      </c>
      <c r="F2413" s="4" t="str">
        <f>HYPERLINK("http://141.218.60.56/~jnz1568/getInfo.php?workbook=12_05.xlsx&amp;sheet=U0&amp;row=2413&amp;col=6&amp;number=3.9&amp;sourceID=14","3.9")</f>
        <v>3.9</v>
      </c>
      <c r="G2413" s="4" t="str">
        <f>HYPERLINK("http://141.218.60.56/~jnz1568/getInfo.php?workbook=12_05.xlsx&amp;sheet=U0&amp;row=2413&amp;col=7&amp;number=0.00208&amp;sourceID=14","0.00208")</f>
        <v>0.00208</v>
      </c>
    </row>
    <row r="2414" spans="1:7">
      <c r="A2414" s="3"/>
      <c r="B2414" s="3"/>
      <c r="C2414" s="3"/>
      <c r="D2414" s="3"/>
      <c r="E2414" s="3">
        <v>11</v>
      </c>
      <c r="F2414" s="4" t="str">
        <f>HYPERLINK("http://141.218.60.56/~jnz1568/getInfo.php?workbook=12_05.xlsx&amp;sheet=U0&amp;row=2414&amp;col=6&amp;number=4&amp;sourceID=14","4")</f>
        <v>4</v>
      </c>
      <c r="G2414" s="4" t="str">
        <f>HYPERLINK("http://141.218.60.56/~jnz1568/getInfo.php?workbook=12_05.xlsx&amp;sheet=U0&amp;row=2414&amp;col=7&amp;number=0.00207&amp;sourceID=14","0.00207")</f>
        <v>0.00207</v>
      </c>
    </row>
    <row r="2415" spans="1:7">
      <c r="A2415" s="3"/>
      <c r="B2415" s="3"/>
      <c r="C2415" s="3"/>
      <c r="D2415" s="3"/>
      <c r="E2415" s="3">
        <v>12</v>
      </c>
      <c r="F2415" s="4" t="str">
        <f>HYPERLINK("http://141.218.60.56/~jnz1568/getInfo.php?workbook=12_05.xlsx&amp;sheet=U0&amp;row=2415&amp;col=6&amp;number=4.1&amp;sourceID=14","4.1")</f>
        <v>4.1</v>
      </c>
      <c r="G2415" s="4" t="str">
        <f>HYPERLINK("http://141.218.60.56/~jnz1568/getInfo.php?workbook=12_05.xlsx&amp;sheet=U0&amp;row=2415&amp;col=7&amp;number=0.00207&amp;sourceID=14","0.00207")</f>
        <v>0.00207</v>
      </c>
    </row>
    <row r="2416" spans="1:7">
      <c r="A2416" s="3"/>
      <c r="B2416" s="3"/>
      <c r="C2416" s="3"/>
      <c r="D2416" s="3"/>
      <c r="E2416" s="3">
        <v>13</v>
      </c>
      <c r="F2416" s="4" t="str">
        <f>HYPERLINK("http://141.218.60.56/~jnz1568/getInfo.php?workbook=12_05.xlsx&amp;sheet=U0&amp;row=2416&amp;col=6&amp;number=4.2&amp;sourceID=14","4.2")</f>
        <v>4.2</v>
      </c>
      <c r="G2416" s="4" t="str">
        <f>HYPERLINK("http://141.218.60.56/~jnz1568/getInfo.php?workbook=12_05.xlsx&amp;sheet=U0&amp;row=2416&amp;col=7&amp;number=0.00206&amp;sourceID=14","0.00206")</f>
        <v>0.00206</v>
      </c>
    </row>
    <row r="2417" spans="1:7">
      <c r="A2417" s="3"/>
      <c r="B2417" s="3"/>
      <c r="C2417" s="3"/>
      <c r="D2417" s="3"/>
      <c r="E2417" s="3">
        <v>14</v>
      </c>
      <c r="F2417" s="4" t="str">
        <f>HYPERLINK("http://141.218.60.56/~jnz1568/getInfo.php?workbook=12_05.xlsx&amp;sheet=U0&amp;row=2417&amp;col=6&amp;number=4.3&amp;sourceID=14","4.3")</f>
        <v>4.3</v>
      </c>
      <c r="G2417" s="4" t="str">
        <f>HYPERLINK("http://141.218.60.56/~jnz1568/getInfo.php?workbook=12_05.xlsx&amp;sheet=U0&amp;row=2417&amp;col=7&amp;number=0.00205&amp;sourceID=14","0.00205")</f>
        <v>0.00205</v>
      </c>
    </row>
    <row r="2418" spans="1:7">
      <c r="A2418" s="3"/>
      <c r="B2418" s="3"/>
      <c r="C2418" s="3"/>
      <c r="D2418" s="3"/>
      <c r="E2418" s="3">
        <v>15</v>
      </c>
      <c r="F2418" s="4" t="str">
        <f>HYPERLINK("http://141.218.60.56/~jnz1568/getInfo.php?workbook=12_05.xlsx&amp;sheet=U0&amp;row=2418&amp;col=6&amp;number=4.4&amp;sourceID=14","4.4")</f>
        <v>4.4</v>
      </c>
      <c r="G2418" s="4" t="str">
        <f>HYPERLINK("http://141.218.60.56/~jnz1568/getInfo.php?workbook=12_05.xlsx&amp;sheet=U0&amp;row=2418&amp;col=7&amp;number=0.00204&amp;sourceID=14","0.00204")</f>
        <v>0.00204</v>
      </c>
    </row>
    <row r="2419" spans="1:7">
      <c r="A2419" s="3"/>
      <c r="B2419" s="3"/>
      <c r="C2419" s="3"/>
      <c r="D2419" s="3"/>
      <c r="E2419" s="3">
        <v>16</v>
      </c>
      <c r="F2419" s="4" t="str">
        <f>HYPERLINK("http://141.218.60.56/~jnz1568/getInfo.php?workbook=12_05.xlsx&amp;sheet=U0&amp;row=2419&amp;col=6&amp;number=4.5&amp;sourceID=14","4.5")</f>
        <v>4.5</v>
      </c>
      <c r="G2419" s="4" t="str">
        <f>HYPERLINK("http://141.218.60.56/~jnz1568/getInfo.php?workbook=12_05.xlsx&amp;sheet=U0&amp;row=2419&amp;col=7&amp;number=0.00203&amp;sourceID=14","0.00203")</f>
        <v>0.00203</v>
      </c>
    </row>
    <row r="2420" spans="1:7">
      <c r="A2420" s="3"/>
      <c r="B2420" s="3"/>
      <c r="C2420" s="3"/>
      <c r="D2420" s="3"/>
      <c r="E2420" s="3">
        <v>17</v>
      </c>
      <c r="F2420" s="4" t="str">
        <f>HYPERLINK("http://141.218.60.56/~jnz1568/getInfo.php?workbook=12_05.xlsx&amp;sheet=U0&amp;row=2420&amp;col=6&amp;number=4.6&amp;sourceID=14","4.6")</f>
        <v>4.6</v>
      </c>
      <c r="G2420" s="4" t="str">
        <f>HYPERLINK("http://141.218.60.56/~jnz1568/getInfo.php?workbook=12_05.xlsx&amp;sheet=U0&amp;row=2420&amp;col=7&amp;number=0.00202&amp;sourceID=14","0.00202")</f>
        <v>0.00202</v>
      </c>
    </row>
    <row r="2421" spans="1:7">
      <c r="A2421" s="3"/>
      <c r="B2421" s="3"/>
      <c r="C2421" s="3"/>
      <c r="D2421" s="3"/>
      <c r="E2421" s="3">
        <v>18</v>
      </c>
      <c r="F2421" s="4" t="str">
        <f>HYPERLINK("http://141.218.60.56/~jnz1568/getInfo.php?workbook=12_05.xlsx&amp;sheet=U0&amp;row=2421&amp;col=6&amp;number=4.7&amp;sourceID=14","4.7")</f>
        <v>4.7</v>
      </c>
      <c r="G2421" s="4" t="str">
        <f>HYPERLINK("http://141.218.60.56/~jnz1568/getInfo.php?workbook=12_05.xlsx&amp;sheet=U0&amp;row=2421&amp;col=7&amp;number=0.002&amp;sourceID=14","0.002")</f>
        <v>0.002</v>
      </c>
    </row>
    <row r="2422" spans="1:7">
      <c r="A2422" s="3"/>
      <c r="B2422" s="3"/>
      <c r="C2422" s="3"/>
      <c r="D2422" s="3"/>
      <c r="E2422" s="3">
        <v>19</v>
      </c>
      <c r="F2422" s="4" t="str">
        <f>HYPERLINK("http://141.218.60.56/~jnz1568/getInfo.php?workbook=12_05.xlsx&amp;sheet=U0&amp;row=2422&amp;col=6&amp;number=4.8&amp;sourceID=14","4.8")</f>
        <v>4.8</v>
      </c>
      <c r="G2422" s="4" t="str">
        <f>HYPERLINK("http://141.218.60.56/~jnz1568/getInfo.php?workbook=12_05.xlsx&amp;sheet=U0&amp;row=2422&amp;col=7&amp;number=0.00198&amp;sourceID=14","0.00198")</f>
        <v>0.00198</v>
      </c>
    </row>
    <row r="2423" spans="1:7">
      <c r="A2423" s="3"/>
      <c r="B2423" s="3"/>
      <c r="C2423" s="3"/>
      <c r="D2423" s="3"/>
      <c r="E2423" s="3">
        <v>20</v>
      </c>
      <c r="F2423" s="4" t="str">
        <f>HYPERLINK("http://141.218.60.56/~jnz1568/getInfo.php?workbook=12_05.xlsx&amp;sheet=U0&amp;row=2423&amp;col=6&amp;number=4.9&amp;sourceID=14","4.9")</f>
        <v>4.9</v>
      </c>
      <c r="G2423" s="4" t="str">
        <f>HYPERLINK("http://141.218.60.56/~jnz1568/getInfo.php?workbook=12_05.xlsx&amp;sheet=U0&amp;row=2423&amp;col=7&amp;number=0.00195&amp;sourceID=14","0.00195")</f>
        <v>0.00195</v>
      </c>
    </row>
    <row r="2424" spans="1:7">
      <c r="A2424" s="3">
        <v>12</v>
      </c>
      <c r="B2424" s="3">
        <v>5</v>
      </c>
      <c r="C2424" s="3">
        <v>1</v>
      </c>
      <c r="D2424" s="3">
        <v>82</v>
      </c>
      <c r="E2424" s="3">
        <v>1</v>
      </c>
      <c r="F2424" s="4" t="str">
        <f>HYPERLINK("http://141.218.60.56/~jnz1568/getInfo.php?workbook=12_05.xlsx&amp;sheet=U0&amp;row=2424&amp;col=6&amp;number=3&amp;sourceID=14","3")</f>
        <v>3</v>
      </c>
      <c r="G2424" s="4" t="str">
        <f>HYPERLINK("http://141.218.60.56/~jnz1568/getInfo.php?workbook=12_05.xlsx&amp;sheet=U0&amp;row=2424&amp;col=7&amp;number=0.000181&amp;sourceID=14","0.000181")</f>
        <v>0.000181</v>
      </c>
    </row>
    <row r="2425" spans="1:7">
      <c r="A2425" s="3"/>
      <c r="B2425" s="3"/>
      <c r="C2425" s="3"/>
      <c r="D2425" s="3"/>
      <c r="E2425" s="3">
        <v>2</v>
      </c>
      <c r="F2425" s="4" t="str">
        <f>HYPERLINK("http://141.218.60.56/~jnz1568/getInfo.php?workbook=12_05.xlsx&amp;sheet=U0&amp;row=2425&amp;col=6&amp;number=3.1&amp;sourceID=14","3.1")</f>
        <v>3.1</v>
      </c>
      <c r="G2425" s="4" t="str">
        <f>HYPERLINK("http://141.218.60.56/~jnz1568/getInfo.php?workbook=12_05.xlsx&amp;sheet=U0&amp;row=2425&amp;col=7&amp;number=0.000181&amp;sourceID=14","0.000181")</f>
        <v>0.000181</v>
      </c>
    </row>
    <row r="2426" spans="1:7">
      <c r="A2426" s="3"/>
      <c r="B2426" s="3"/>
      <c r="C2426" s="3"/>
      <c r="D2426" s="3"/>
      <c r="E2426" s="3">
        <v>3</v>
      </c>
      <c r="F2426" s="4" t="str">
        <f>HYPERLINK("http://141.218.60.56/~jnz1568/getInfo.php?workbook=12_05.xlsx&amp;sheet=U0&amp;row=2426&amp;col=6&amp;number=3.2&amp;sourceID=14","3.2")</f>
        <v>3.2</v>
      </c>
      <c r="G2426" s="4" t="str">
        <f>HYPERLINK("http://141.218.60.56/~jnz1568/getInfo.php?workbook=12_05.xlsx&amp;sheet=U0&amp;row=2426&amp;col=7&amp;number=0.000181&amp;sourceID=14","0.000181")</f>
        <v>0.000181</v>
      </c>
    </row>
    <row r="2427" spans="1:7">
      <c r="A2427" s="3"/>
      <c r="B2427" s="3"/>
      <c r="C2427" s="3"/>
      <c r="D2427" s="3"/>
      <c r="E2427" s="3">
        <v>4</v>
      </c>
      <c r="F2427" s="4" t="str">
        <f>HYPERLINK("http://141.218.60.56/~jnz1568/getInfo.php?workbook=12_05.xlsx&amp;sheet=U0&amp;row=2427&amp;col=6&amp;number=3.3&amp;sourceID=14","3.3")</f>
        <v>3.3</v>
      </c>
      <c r="G2427" s="4" t="str">
        <f>HYPERLINK("http://141.218.60.56/~jnz1568/getInfo.php?workbook=12_05.xlsx&amp;sheet=U0&amp;row=2427&amp;col=7&amp;number=0.000181&amp;sourceID=14","0.000181")</f>
        <v>0.000181</v>
      </c>
    </row>
    <row r="2428" spans="1:7">
      <c r="A2428" s="3"/>
      <c r="B2428" s="3"/>
      <c r="C2428" s="3"/>
      <c r="D2428" s="3"/>
      <c r="E2428" s="3">
        <v>5</v>
      </c>
      <c r="F2428" s="4" t="str">
        <f>HYPERLINK("http://141.218.60.56/~jnz1568/getInfo.php?workbook=12_05.xlsx&amp;sheet=U0&amp;row=2428&amp;col=6&amp;number=3.4&amp;sourceID=14","3.4")</f>
        <v>3.4</v>
      </c>
      <c r="G2428" s="4" t="str">
        <f>HYPERLINK("http://141.218.60.56/~jnz1568/getInfo.php?workbook=12_05.xlsx&amp;sheet=U0&amp;row=2428&amp;col=7&amp;number=0.000181&amp;sourceID=14","0.000181")</f>
        <v>0.000181</v>
      </c>
    </row>
    <row r="2429" spans="1:7">
      <c r="A2429" s="3"/>
      <c r="B2429" s="3"/>
      <c r="C2429" s="3"/>
      <c r="D2429" s="3"/>
      <c r="E2429" s="3">
        <v>6</v>
      </c>
      <c r="F2429" s="4" t="str">
        <f>HYPERLINK("http://141.218.60.56/~jnz1568/getInfo.php?workbook=12_05.xlsx&amp;sheet=U0&amp;row=2429&amp;col=6&amp;number=3.5&amp;sourceID=14","3.5")</f>
        <v>3.5</v>
      </c>
      <c r="G2429" s="4" t="str">
        <f>HYPERLINK("http://141.218.60.56/~jnz1568/getInfo.php?workbook=12_05.xlsx&amp;sheet=U0&amp;row=2429&amp;col=7&amp;number=0.000181&amp;sourceID=14","0.000181")</f>
        <v>0.000181</v>
      </c>
    </row>
    <row r="2430" spans="1:7">
      <c r="A2430" s="3"/>
      <c r="B2430" s="3"/>
      <c r="C2430" s="3"/>
      <c r="D2430" s="3"/>
      <c r="E2430" s="3">
        <v>7</v>
      </c>
      <c r="F2430" s="4" t="str">
        <f>HYPERLINK("http://141.218.60.56/~jnz1568/getInfo.php?workbook=12_05.xlsx&amp;sheet=U0&amp;row=2430&amp;col=6&amp;number=3.6&amp;sourceID=14","3.6")</f>
        <v>3.6</v>
      </c>
      <c r="G2430" s="4" t="str">
        <f>HYPERLINK("http://141.218.60.56/~jnz1568/getInfo.php?workbook=12_05.xlsx&amp;sheet=U0&amp;row=2430&amp;col=7&amp;number=0.000181&amp;sourceID=14","0.000181")</f>
        <v>0.000181</v>
      </c>
    </row>
    <row r="2431" spans="1:7">
      <c r="A2431" s="3"/>
      <c r="B2431" s="3"/>
      <c r="C2431" s="3"/>
      <c r="D2431" s="3"/>
      <c r="E2431" s="3">
        <v>8</v>
      </c>
      <c r="F2431" s="4" t="str">
        <f>HYPERLINK("http://141.218.60.56/~jnz1568/getInfo.php?workbook=12_05.xlsx&amp;sheet=U0&amp;row=2431&amp;col=6&amp;number=3.7&amp;sourceID=14","3.7")</f>
        <v>3.7</v>
      </c>
      <c r="G2431" s="4" t="str">
        <f>HYPERLINK("http://141.218.60.56/~jnz1568/getInfo.php?workbook=12_05.xlsx&amp;sheet=U0&amp;row=2431&amp;col=7&amp;number=0.000181&amp;sourceID=14","0.000181")</f>
        <v>0.000181</v>
      </c>
    </row>
    <row r="2432" spans="1:7">
      <c r="A2432" s="3"/>
      <c r="B2432" s="3"/>
      <c r="C2432" s="3"/>
      <c r="D2432" s="3"/>
      <c r="E2432" s="3">
        <v>9</v>
      </c>
      <c r="F2432" s="4" t="str">
        <f>HYPERLINK("http://141.218.60.56/~jnz1568/getInfo.php?workbook=12_05.xlsx&amp;sheet=U0&amp;row=2432&amp;col=6&amp;number=3.8&amp;sourceID=14","3.8")</f>
        <v>3.8</v>
      </c>
      <c r="G2432" s="4" t="str">
        <f>HYPERLINK("http://141.218.60.56/~jnz1568/getInfo.php?workbook=12_05.xlsx&amp;sheet=U0&amp;row=2432&amp;col=7&amp;number=0.00018&amp;sourceID=14","0.00018")</f>
        <v>0.00018</v>
      </c>
    </row>
    <row r="2433" spans="1:7">
      <c r="A2433" s="3"/>
      <c r="B2433" s="3"/>
      <c r="C2433" s="3"/>
      <c r="D2433" s="3"/>
      <c r="E2433" s="3">
        <v>10</v>
      </c>
      <c r="F2433" s="4" t="str">
        <f>HYPERLINK("http://141.218.60.56/~jnz1568/getInfo.php?workbook=12_05.xlsx&amp;sheet=U0&amp;row=2433&amp;col=6&amp;number=3.9&amp;sourceID=14","3.9")</f>
        <v>3.9</v>
      </c>
      <c r="G2433" s="4" t="str">
        <f>HYPERLINK("http://141.218.60.56/~jnz1568/getInfo.php?workbook=12_05.xlsx&amp;sheet=U0&amp;row=2433&amp;col=7&amp;number=0.00018&amp;sourceID=14","0.00018")</f>
        <v>0.00018</v>
      </c>
    </row>
    <row r="2434" spans="1:7">
      <c r="A2434" s="3"/>
      <c r="B2434" s="3"/>
      <c r="C2434" s="3"/>
      <c r="D2434" s="3"/>
      <c r="E2434" s="3">
        <v>11</v>
      </c>
      <c r="F2434" s="4" t="str">
        <f>HYPERLINK("http://141.218.60.56/~jnz1568/getInfo.php?workbook=12_05.xlsx&amp;sheet=U0&amp;row=2434&amp;col=6&amp;number=4&amp;sourceID=14","4")</f>
        <v>4</v>
      </c>
      <c r="G2434" s="4" t="str">
        <f>HYPERLINK("http://141.218.60.56/~jnz1568/getInfo.php?workbook=12_05.xlsx&amp;sheet=U0&amp;row=2434&amp;col=7&amp;number=0.00018&amp;sourceID=14","0.00018")</f>
        <v>0.00018</v>
      </c>
    </row>
    <row r="2435" spans="1:7">
      <c r="A2435" s="3"/>
      <c r="B2435" s="3"/>
      <c r="C2435" s="3"/>
      <c r="D2435" s="3"/>
      <c r="E2435" s="3">
        <v>12</v>
      </c>
      <c r="F2435" s="4" t="str">
        <f>HYPERLINK("http://141.218.60.56/~jnz1568/getInfo.php?workbook=12_05.xlsx&amp;sheet=U0&amp;row=2435&amp;col=6&amp;number=4.1&amp;sourceID=14","4.1")</f>
        <v>4.1</v>
      </c>
      <c r="G2435" s="4" t="str">
        <f>HYPERLINK("http://141.218.60.56/~jnz1568/getInfo.php?workbook=12_05.xlsx&amp;sheet=U0&amp;row=2435&amp;col=7&amp;number=0.00018&amp;sourceID=14","0.00018")</f>
        <v>0.00018</v>
      </c>
    </row>
    <row r="2436" spans="1:7">
      <c r="A2436" s="3"/>
      <c r="B2436" s="3"/>
      <c r="C2436" s="3"/>
      <c r="D2436" s="3"/>
      <c r="E2436" s="3">
        <v>13</v>
      </c>
      <c r="F2436" s="4" t="str">
        <f>HYPERLINK("http://141.218.60.56/~jnz1568/getInfo.php?workbook=12_05.xlsx&amp;sheet=U0&amp;row=2436&amp;col=6&amp;number=4.2&amp;sourceID=14","4.2")</f>
        <v>4.2</v>
      </c>
      <c r="G2436" s="4" t="str">
        <f>HYPERLINK("http://141.218.60.56/~jnz1568/getInfo.php?workbook=12_05.xlsx&amp;sheet=U0&amp;row=2436&amp;col=7&amp;number=0.000179&amp;sourceID=14","0.000179")</f>
        <v>0.000179</v>
      </c>
    </row>
    <row r="2437" spans="1:7">
      <c r="A2437" s="3"/>
      <c r="B2437" s="3"/>
      <c r="C2437" s="3"/>
      <c r="D2437" s="3"/>
      <c r="E2437" s="3">
        <v>14</v>
      </c>
      <c r="F2437" s="4" t="str">
        <f>HYPERLINK("http://141.218.60.56/~jnz1568/getInfo.php?workbook=12_05.xlsx&amp;sheet=U0&amp;row=2437&amp;col=6&amp;number=4.3&amp;sourceID=14","4.3")</f>
        <v>4.3</v>
      </c>
      <c r="G2437" s="4" t="str">
        <f>HYPERLINK("http://141.218.60.56/~jnz1568/getInfo.php?workbook=12_05.xlsx&amp;sheet=U0&amp;row=2437&amp;col=7&amp;number=0.000178&amp;sourceID=14","0.000178")</f>
        <v>0.000178</v>
      </c>
    </row>
    <row r="2438" spans="1:7">
      <c r="A2438" s="3"/>
      <c r="B2438" s="3"/>
      <c r="C2438" s="3"/>
      <c r="D2438" s="3"/>
      <c r="E2438" s="3">
        <v>15</v>
      </c>
      <c r="F2438" s="4" t="str">
        <f>HYPERLINK("http://141.218.60.56/~jnz1568/getInfo.php?workbook=12_05.xlsx&amp;sheet=U0&amp;row=2438&amp;col=6&amp;number=4.4&amp;sourceID=14","4.4")</f>
        <v>4.4</v>
      </c>
      <c r="G2438" s="4" t="str">
        <f>HYPERLINK("http://141.218.60.56/~jnz1568/getInfo.php?workbook=12_05.xlsx&amp;sheet=U0&amp;row=2438&amp;col=7&amp;number=0.000178&amp;sourceID=14","0.000178")</f>
        <v>0.000178</v>
      </c>
    </row>
    <row r="2439" spans="1:7">
      <c r="A2439" s="3"/>
      <c r="B2439" s="3"/>
      <c r="C2439" s="3"/>
      <c r="D2439" s="3"/>
      <c r="E2439" s="3">
        <v>16</v>
      </c>
      <c r="F2439" s="4" t="str">
        <f>HYPERLINK("http://141.218.60.56/~jnz1568/getInfo.php?workbook=12_05.xlsx&amp;sheet=U0&amp;row=2439&amp;col=6&amp;number=4.5&amp;sourceID=14","4.5")</f>
        <v>4.5</v>
      </c>
      <c r="G2439" s="4" t="str">
        <f>HYPERLINK("http://141.218.60.56/~jnz1568/getInfo.php?workbook=12_05.xlsx&amp;sheet=U0&amp;row=2439&amp;col=7&amp;number=0.000177&amp;sourceID=14","0.000177")</f>
        <v>0.000177</v>
      </c>
    </row>
    <row r="2440" spans="1:7">
      <c r="A2440" s="3"/>
      <c r="B2440" s="3"/>
      <c r="C2440" s="3"/>
      <c r="D2440" s="3"/>
      <c r="E2440" s="3">
        <v>17</v>
      </c>
      <c r="F2440" s="4" t="str">
        <f>HYPERLINK("http://141.218.60.56/~jnz1568/getInfo.php?workbook=12_05.xlsx&amp;sheet=U0&amp;row=2440&amp;col=6&amp;number=4.6&amp;sourceID=14","4.6")</f>
        <v>4.6</v>
      </c>
      <c r="G2440" s="4" t="str">
        <f>HYPERLINK("http://141.218.60.56/~jnz1568/getInfo.php?workbook=12_05.xlsx&amp;sheet=U0&amp;row=2440&amp;col=7&amp;number=0.000176&amp;sourceID=14","0.000176")</f>
        <v>0.000176</v>
      </c>
    </row>
    <row r="2441" spans="1:7">
      <c r="A2441" s="3"/>
      <c r="B2441" s="3"/>
      <c r="C2441" s="3"/>
      <c r="D2441" s="3"/>
      <c r="E2441" s="3">
        <v>18</v>
      </c>
      <c r="F2441" s="4" t="str">
        <f>HYPERLINK("http://141.218.60.56/~jnz1568/getInfo.php?workbook=12_05.xlsx&amp;sheet=U0&amp;row=2441&amp;col=6&amp;number=4.7&amp;sourceID=14","4.7")</f>
        <v>4.7</v>
      </c>
      <c r="G2441" s="4" t="str">
        <f>HYPERLINK("http://141.218.60.56/~jnz1568/getInfo.php?workbook=12_05.xlsx&amp;sheet=U0&amp;row=2441&amp;col=7&amp;number=0.000174&amp;sourceID=14","0.000174")</f>
        <v>0.000174</v>
      </c>
    </row>
    <row r="2442" spans="1:7">
      <c r="A2442" s="3"/>
      <c r="B2442" s="3"/>
      <c r="C2442" s="3"/>
      <c r="D2442" s="3"/>
      <c r="E2442" s="3">
        <v>19</v>
      </c>
      <c r="F2442" s="4" t="str">
        <f>HYPERLINK("http://141.218.60.56/~jnz1568/getInfo.php?workbook=12_05.xlsx&amp;sheet=U0&amp;row=2442&amp;col=6&amp;number=4.8&amp;sourceID=14","4.8")</f>
        <v>4.8</v>
      </c>
      <c r="G2442" s="4" t="str">
        <f>HYPERLINK("http://141.218.60.56/~jnz1568/getInfo.php?workbook=12_05.xlsx&amp;sheet=U0&amp;row=2442&amp;col=7&amp;number=0.000172&amp;sourceID=14","0.000172")</f>
        <v>0.000172</v>
      </c>
    </row>
    <row r="2443" spans="1:7">
      <c r="A2443" s="3"/>
      <c r="B2443" s="3"/>
      <c r="C2443" s="3"/>
      <c r="D2443" s="3"/>
      <c r="E2443" s="3">
        <v>20</v>
      </c>
      <c r="F2443" s="4" t="str">
        <f>HYPERLINK("http://141.218.60.56/~jnz1568/getInfo.php?workbook=12_05.xlsx&amp;sheet=U0&amp;row=2443&amp;col=6&amp;number=4.9&amp;sourceID=14","4.9")</f>
        <v>4.9</v>
      </c>
      <c r="G2443" s="4" t="str">
        <f>HYPERLINK("http://141.218.60.56/~jnz1568/getInfo.php?workbook=12_05.xlsx&amp;sheet=U0&amp;row=2443&amp;col=7&amp;number=0.00017&amp;sourceID=14","0.00017")</f>
        <v>0.00017</v>
      </c>
    </row>
    <row r="2444" spans="1:7">
      <c r="A2444" s="3">
        <v>12</v>
      </c>
      <c r="B2444" s="3">
        <v>5</v>
      </c>
      <c r="C2444" s="3">
        <v>1</v>
      </c>
      <c r="D2444" s="3">
        <v>83</v>
      </c>
      <c r="E2444" s="3">
        <v>1</v>
      </c>
      <c r="F2444" s="4" t="str">
        <f>HYPERLINK("http://141.218.60.56/~jnz1568/getInfo.php?workbook=12_05.xlsx&amp;sheet=U0&amp;row=2444&amp;col=6&amp;number=3&amp;sourceID=14","3")</f>
        <v>3</v>
      </c>
      <c r="G2444" s="4" t="str">
        <f>HYPERLINK("http://141.218.60.56/~jnz1568/getInfo.php?workbook=12_05.xlsx&amp;sheet=U0&amp;row=2444&amp;col=7&amp;number=8.25e-05&amp;sourceID=14","8.25e-05")</f>
        <v>8.25e-05</v>
      </c>
    </row>
    <row r="2445" spans="1:7">
      <c r="A2445" s="3"/>
      <c r="B2445" s="3"/>
      <c r="C2445" s="3"/>
      <c r="D2445" s="3"/>
      <c r="E2445" s="3">
        <v>2</v>
      </c>
      <c r="F2445" s="4" t="str">
        <f>HYPERLINK("http://141.218.60.56/~jnz1568/getInfo.php?workbook=12_05.xlsx&amp;sheet=U0&amp;row=2445&amp;col=6&amp;number=3.1&amp;sourceID=14","3.1")</f>
        <v>3.1</v>
      </c>
      <c r="G2445" s="4" t="str">
        <f>HYPERLINK("http://141.218.60.56/~jnz1568/getInfo.php?workbook=12_05.xlsx&amp;sheet=U0&amp;row=2445&amp;col=7&amp;number=8.25e-05&amp;sourceID=14","8.25e-05")</f>
        <v>8.25e-05</v>
      </c>
    </row>
    <row r="2446" spans="1:7">
      <c r="A2446" s="3"/>
      <c r="B2446" s="3"/>
      <c r="C2446" s="3"/>
      <c r="D2446" s="3"/>
      <c r="E2446" s="3">
        <v>3</v>
      </c>
      <c r="F2446" s="4" t="str">
        <f>HYPERLINK("http://141.218.60.56/~jnz1568/getInfo.php?workbook=12_05.xlsx&amp;sheet=U0&amp;row=2446&amp;col=6&amp;number=3.2&amp;sourceID=14","3.2")</f>
        <v>3.2</v>
      </c>
      <c r="G2446" s="4" t="str">
        <f>HYPERLINK("http://141.218.60.56/~jnz1568/getInfo.php?workbook=12_05.xlsx&amp;sheet=U0&amp;row=2446&amp;col=7&amp;number=8.25e-05&amp;sourceID=14","8.25e-05")</f>
        <v>8.25e-05</v>
      </c>
    </row>
    <row r="2447" spans="1:7">
      <c r="A2447" s="3"/>
      <c r="B2447" s="3"/>
      <c r="C2447" s="3"/>
      <c r="D2447" s="3"/>
      <c r="E2447" s="3">
        <v>4</v>
      </c>
      <c r="F2447" s="4" t="str">
        <f>HYPERLINK("http://141.218.60.56/~jnz1568/getInfo.php?workbook=12_05.xlsx&amp;sheet=U0&amp;row=2447&amp;col=6&amp;number=3.3&amp;sourceID=14","3.3")</f>
        <v>3.3</v>
      </c>
      <c r="G2447" s="4" t="str">
        <f>HYPERLINK("http://141.218.60.56/~jnz1568/getInfo.php?workbook=12_05.xlsx&amp;sheet=U0&amp;row=2447&amp;col=7&amp;number=8.25e-05&amp;sourceID=14","8.25e-05")</f>
        <v>8.25e-05</v>
      </c>
    </row>
    <row r="2448" spans="1:7">
      <c r="A2448" s="3"/>
      <c r="B2448" s="3"/>
      <c r="C2448" s="3"/>
      <c r="D2448" s="3"/>
      <c r="E2448" s="3">
        <v>5</v>
      </c>
      <c r="F2448" s="4" t="str">
        <f>HYPERLINK("http://141.218.60.56/~jnz1568/getInfo.php?workbook=12_05.xlsx&amp;sheet=U0&amp;row=2448&amp;col=6&amp;number=3.4&amp;sourceID=14","3.4")</f>
        <v>3.4</v>
      </c>
      <c r="G2448" s="4" t="str">
        <f>HYPERLINK("http://141.218.60.56/~jnz1568/getInfo.php?workbook=12_05.xlsx&amp;sheet=U0&amp;row=2448&amp;col=7&amp;number=8.24e-05&amp;sourceID=14","8.24e-05")</f>
        <v>8.24e-05</v>
      </c>
    </row>
    <row r="2449" spans="1:7">
      <c r="A2449" s="3"/>
      <c r="B2449" s="3"/>
      <c r="C2449" s="3"/>
      <c r="D2449" s="3"/>
      <c r="E2449" s="3">
        <v>6</v>
      </c>
      <c r="F2449" s="4" t="str">
        <f>HYPERLINK("http://141.218.60.56/~jnz1568/getInfo.php?workbook=12_05.xlsx&amp;sheet=U0&amp;row=2449&amp;col=6&amp;number=3.5&amp;sourceID=14","3.5")</f>
        <v>3.5</v>
      </c>
      <c r="G2449" s="4" t="str">
        <f>HYPERLINK("http://141.218.60.56/~jnz1568/getInfo.php?workbook=12_05.xlsx&amp;sheet=U0&amp;row=2449&amp;col=7&amp;number=8.24e-05&amp;sourceID=14","8.24e-05")</f>
        <v>8.24e-05</v>
      </c>
    </row>
    <row r="2450" spans="1:7">
      <c r="A2450" s="3"/>
      <c r="B2450" s="3"/>
      <c r="C2450" s="3"/>
      <c r="D2450" s="3"/>
      <c r="E2450" s="3">
        <v>7</v>
      </c>
      <c r="F2450" s="4" t="str">
        <f>HYPERLINK("http://141.218.60.56/~jnz1568/getInfo.php?workbook=12_05.xlsx&amp;sheet=U0&amp;row=2450&amp;col=6&amp;number=3.6&amp;sourceID=14","3.6")</f>
        <v>3.6</v>
      </c>
      <c r="G2450" s="4" t="str">
        <f>HYPERLINK("http://141.218.60.56/~jnz1568/getInfo.php?workbook=12_05.xlsx&amp;sheet=U0&amp;row=2450&amp;col=7&amp;number=8.23e-05&amp;sourceID=14","8.23e-05")</f>
        <v>8.23e-05</v>
      </c>
    </row>
    <row r="2451" spans="1:7">
      <c r="A2451" s="3"/>
      <c r="B2451" s="3"/>
      <c r="C2451" s="3"/>
      <c r="D2451" s="3"/>
      <c r="E2451" s="3">
        <v>8</v>
      </c>
      <c r="F2451" s="4" t="str">
        <f>HYPERLINK("http://141.218.60.56/~jnz1568/getInfo.php?workbook=12_05.xlsx&amp;sheet=U0&amp;row=2451&amp;col=6&amp;number=3.7&amp;sourceID=14","3.7")</f>
        <v>3.7</v>
      </c>
      <c r="G2451" s="4" t="str">
        <f>HYPERLINK("http://141.218.60.56/~jnz1568/getInfo.php?workbook=12_05.xlsx&amp;sheet=U0&amp;row=2451&amp;col=7&amp;number=8.23e-05&amp;sourceID=14","8.23e-05")</f>
        <v>8.23e-05</v>
      </c>
    </row>
    <row r="2452" spans="1:7">
      <c r="A2452" s="3"/>
      <c r="B2452" s="3"/>
      <c r="C2452" s="3"/>
      <c r="D2452" s="3"/>
      <c r="E2452" s="3">
        <v>9</v>
      </c>
      <c r="F2452" s="4" t="str">
        <f>HYPERLINK("http://141.218.60.56/~jnz1568/getInfo.php?workbook=12_05.xlsx&amp;sheet=U0&amp;row=2452&amp;col=6&amp;number=3.8&amp;sourceID=14","3.8")</f>
        <v>3.8</v>
      </c>
      <c r="G2452" s="4" t="str">
        <f>HYPERLINK("http://141.218.60.56/~jnz1568/getInfo.php?workbook=12_05.xlsx&amp;sheet=U0&amp;row=2452&amp;col=7&amp;number=8.22e-05&amp;sourceID=14","8.22e-05")</f>
        <v>8.22e-05</v>
      </c>
    </row>
    <row r="2453" spans="1:7">
      <c r="A2453" s="3"/>
      <c r="B2453" s="3"/>
      <c r="C2453" s="3"/>
      <c r="D2453" s="3"/>
      <c r="E2453" s="3">
        <v>10</v>
      </c>
      <c r="F2453" s="4" t="str">
        <f>HYPERLINK("http://141.218.60.56/~jnz1568/getInfo.php?workbook=12_05.xlsx&amp;sheet=U0&amp;row=2453&amp;col=6&amp;number=3.9&amp;sourceID=14","3.9")</f>
        <v>3.9</v>
      </c>
      <c r="G2453" s="4" t="str">
        <f>HYPERLINK("http://141.218.60.56/~jnz1568/getInfo.php?workbook=12_05.xlsx&amp;sheet=U0&amp;row=2453&amp;col=7&amp;number=8.21e-05&amp;sourceID=14","8.21e-05")</f>
        <v>8.21e-05</v>
      </c>
    </row>
    <row r="2454" spans="1:7">
      <c r="A2454" s="3"/>
      <c r="B2454" s="3"/>
      <c r="C2454" s="3"/>
      <c r="D2454" s="3"/>
      <c r="E2454" s="3">
        <v>11</v>
      </c>
      <c r="F2454" s="4" t="str">
        <f>HYPERLINK("http://141.218.60.56/~jnz1568/getInfo.php?workbook=12_05.xlsx&amp;sheet=U0&amp;row=2454&amp;col=6&amp;number=4&amp;sourceID=14","4")</f>
        <v>4</v>
      </c>
      <c r="G2454" s="4" t="str">
        <f>HYPERLINK("http://141.218.60.56/~jnz1568/getInfo.php?workbook=12_05.xlsx&amp;sheet=U0&amp;row=2454&amp;col=7&amp;number=8.19e-05&amp;sourceID=14","8.19e-05")</f>
        <v>8.19e-05</v>
      </c>
    </row>
    <row r="2455" spans="1:7">
      <c r="A2455" s="3"/>
      <c r="B2455" s="3"/>
      <c r="C2455" s="3"/>
      <c r="D2455" s="3"/>
      <c r="E2455" s="3">
        <v>12</v>
      </c>
      <c r="F2455" s="4" t="str">
        <f>HYPERLINK("http://141.218.60.56/~jnz1568/getInfo.php?workbook=12_05.xlsx&amp;sheet=U0&amp;row=2455&amp;col=6&amp;number=4.1&amp;sourceID=14","4.1")</f>
        <v>4.1</v>
      </c>
      <c r="G2455" s="4" t="str">
        <f>HYPERLINK("http://141.218.60.56/~jnz1568/getInfo.php?workbook=12_05.xlsx&amp;sheet=U0&amp;row=2455&amp;col=7&amp;number=8.18e-05&amp;sourceID=14","8.18e-05")</f>
        <v>8.18e-05</v>
      </c>
    </row>
    <row r="2456" spans="1:7">
      <c r="A2456" s="3"/>
      <c r="B2456" s="3"/>
      <c r="C2456" s="3"/>
      <c r="D2456" s="3"/>
      <c r="E2456" s="3">
        <v>13</v>
      </c>
      <c r="F2456" s="4" t="str">
        <f>HYPERLINK("http://141.218.60.56/~jnz1568/getInfo.php?workbook=12_05.xlsx&amp;sheet=U0&amp;row=2456&amp;col=6&amp;number=4.2&amp;sourceID=14","4.2")</f>
        <v>4.2</v>
      </c>
      <c r="G2456" s="4" t="str">
        <f>HYPERLINK("http://141.218.60.56/~jnz1568/getInfo.php?workbook=12_05.xlsx&amp;sheet=U0&amp;row=2456&amp;col=7&amp;number=8.16e-05&amp;sourceID=14","8.16e-05")</f>
        <v>8.16e-05</v>
      </c>
    </row>
    <row r="2457" spans="1:7">
      <c r="A2457" s="3"/>
      <c r="B2457" s="3"/>
      <c r="C2457" s="3"/>
      <c r="D2457" s="3"/>
      <c r="E2457" s="3">
        <v>14</v>
      </c>
      <c r="F2457" s="4" t="str">
        <f>HYPERLINK("http://141.218.60.56/~jnz1568/getInfo.php?workbook=12_05.xlsx&amp;sheet=U0&amp;row=2457&amp;col=6&amp;number=4.3&amp;sourceID=14","4.3")</f>
        <v>4.3</v>
      </c>
      <c r="G2457" s="4" t="str">
        <f>HYPERLINK("http://141.218.60.56/~jnz1568/getInfo.php?workbook=12_05.xlsx&amp;sheet=U0&amp;row=2457&amp;col=7&amp;number=8.13e-05&amp;sourceID=14","8.13e-05")</f>
        <v>8.13e-05</v>
      </c>
    </row>
    <row r="2458" spans="1:7">
      <c r="A2458" s="3"/>
      <c r="B2458" s="3"/>
      <c r="C2458" s="3"/>
      <c r="D2458" s="3"/>
      <c r="E2458" s="3">
        <v>15</v>
      </c>
      <c r="F2458" s="4" t="str">
        <f>HYPERLINK("http://141.218.60.56/~jnz1568/getInfo.php?workbook=12_05.xlsx&amp;sheet=U0&amp;row=2458&amp;col=6&amp;number=4.4&amp;sourceID=14","4.4")</f>
        <v>4.4</v>
      </c>
      <c r="G2458" s="4" t="str">
        <f>HYPERLINK("http://141.218.60.56/~jnz1568/getInfo.php?workbook=12_05.xlsx&amp;sheet=U0&amp;row=2458&amp;col=7&amp;number=8.09e-05&amp;sourceID=14","8.09e-05")</f>
        <v>8.09e-05</v>
      </c>
    </row>
    <row r="2459" spans="1:7">
      <c r="A2459" s="3"/>
      <c r="B2459" s="3"/>
      <c r="C2459" s="3"/>
      <c r="D2459" s="3"/>
      <c r="E2459" s="3">
        <v>16</v>
      </c>
      <c r="F2459" s="4" t="str">
        <f>HYPERLINK("http://141.218.60.56/~jnz1568/getInfo.php?workbook=12_05.xlsx&amp;sheet=U0&amp;row=2459&amp;col=6&amp;number=4.5&amp;sourceID=14","4.5")</f>
        <v>4.5</v>
      </c>
      <c r="G2459" s="4" t="str">
        <f>HYPERLINK("http://141.218.60.56/~jnz1568/getInfo.php?workbook=12_05.xlsx&amp;sheet=U0&amp;row=2459&amp;col=7&amp;number=8.05e-05&amp;sourceID=14","8.05e-05")</f>
        <v>8.05e-05</v>
      </c>
    </row>
    <row r="2460" spans="1:7">
      <c r="A2460" s="3"/>
      <c r="B2460" s="3"/>
      <c r="C2460" s="3"/>
      <c r="D2460" s="3"/>
      <c r="E2460" s="3">
        <v>17</v>
      </c>
      <c r="F2460" s="4" t="str">
        <f>HYPERLINK("http://141.218.60.56/~jnz1568/getInfo.php?workbook=12_05.xlsx&amp;sheet=U0&amp;row=2460&amp;col=6&amp;number=4.6&amp;sourceID=14","4.6")</f>
        <v>4.6</v>
      </c>
      <c r="G2460" s="4" t="str">
        <f>HYPERLINK("http://141.218.60.56/~jnz1568/getInfo.php?workbook=12_05.xlsx&amp;sheet=U0&amp;row=2460&amp;col=7&amp;number=8e-05&amp;sourceID=14","8e-05")</f>
        <v>8e-05</v>
      </c>
    </row>
    <row r="2461" spans="1:7">
      <c r="A2461" s="3"/>
      <c r="B2461" s="3"/>
      <c r="C2461" s="3"/>
      <c r="D2461" s="3"/>
      <c r="E2461" s="3">
        <v>18</v>
      </c>
      <c r="F2461" s="4" t="str">
        <f>HYPERLINK("http://141.218.60.56/~jnz1568/getInfo.php?workbook=12_05.xlsx&amp;sheet=U0&amp;row=2461&amp;col=6&amp;number=4.7&amp;sourceID=14","4.7")</f>
        <v>4.7</v>
      </c>
      <c r="G2461" s="4" t="str">
        <f>HYPERLINK("http://141.218.60.56/~jnz1568/getInfo.php?workbook=12_05.xlsx&amp;sheet=U0&amp;row=2461&amp;col=7&amp;number=7.93e-05&amp;sourceID=14","7.93e-05")</f>
        <v>7.93e-05</v>
      </c>
    </row>
    <row r="2462" spans="1:7">
      <c r="A2462" s="3"/>
      <c r="B2462" s="3"/>
      <c r="C2462" s="3"/>
      <c r="D2462" s="3"/>
      <c r="E2462" s="3">
        <v>19</v>
      </c>
      <c r="F2462" s="4" t="str">
        <f>HYPERLINK("http://141.218.60.56/~jnz1568/getInfo.php?workbook=12_05.xlsx&amp;sheet=U0&amp;row=2462&amp;col=6&amp;number=4.8&amp;sourceID=14","4.8")</f>
        <v>4.8</v>
      </c>
      <c r="G2462" s="4" t="str">
        <f>HYPERLINK("http://141.218.60.56/~jnz1568/getInfo.php?workbook=12_05.xlsx&amp;sheet=U0&amp;row=2462&amp;col=7&amp;number=7.85e-05&amp;sourceID=14","7.85e-05")</f>
        <v>7.85e-05</v>
      </c>
    </row>
    <row r="2463" spans="1:7">
      <c r="A2463" s="3"/>
      <c r="B2463" s="3"/>
      <c r="C2463" s="3"/>
      <c r="D2463" s="3"/>
      <c r="E2463" s="3">
        <v>20</v>
      </c>
      <c r="F2463" s="4" t="str">
        <f>HYPERLINK("http://141.218.60.56/~jnz1568/getInfo.php?workbook=12_05.xlsx&amp;sheet=U0&amp;row=2463&amp;col=6&amp;number=4.9&amp;sourceID=14","4.9")</f>
        <v>4.9</v>
      </c>
      <c r="G2463" s="4" t="str">
        <f>HYPERLINK("http://141.218.60.56/~jnz1568/getInfo.php?workbook=12_05.xlsx&amp;sheet=U0&amp;row=2463&amp;col=7&amp;number=7.75e-05&amp;sourceID=14","7.75e-05")</f>
        <v>7.75e-05</v>
      </c>
    </row>
    <row r="2464" spans="1:7">
      <c r="A2464" s="3">
        <v>12</v>
      </c>
      <c r="B2464" s="3">
        <v>5</v>
      </c>
      <c r="C2464" s="3">
        <v>1</v>
      </c>
      <c r="D2464" s="3">
        <v>84</v>
      </c>
      <c r="E2464" s="3">
        <v>1</v>
      </c>
      <c r="F2464" s="4" t="str">
        <f>HYPERLINK("http://141.218.60.56/~jnz1568/getInfo.php?workbook=12_05.xlsx&amp;sheet=U0&amp;row=2464&amp;col=6&amp;number=3&amp;sourceID=14","3")</f>
        <v>3</v>
      </c>
      <c r="G2464" s="4" t="str">
        <f>HYPERLINK("http://141.218.60.56/~jnz1568/getInfo.php?workbook=12_05.xlsx&amp;sheet=U0&amp;row=2464&amp;col=7&amp;number=0.00029&amp;sourceID=14","0.00029")</f>
        <v>0.00029</v>
      </c>
    </row>
    <row r="2465" spans="1:7">
      <c r="A2465" s="3"/>
      <c r="B2465" s="3"/>
      <c r="C2465" s="3"/>
      <c r="D2465" s="3"/>
      <c r="E2465" s="3">
        <v>2</v>
      </c>
      <c r="F2465" s="4" t="str">
        <f>HYPERLINK("http://141.218.60.56/~jnz1568/getInfo.php?workbook=12_05.xlsx&amp;sheet=U0&amp;row=2465&amp;col=6&amp;number=3.1&amp;sourceID=14","3.1")</f>
        <v>3.1</v>
      </c>
      <c r="G2465" s="4" t="str">
        <f>HYPERLINK("http://141.218.60.56/~jnz1568/getInfo.php?workbook=12_05.xlsx&amp;sheet=U0&amp;row=2465&amp;col=7&amp;number=0.00029&amp;sourceID=14","0.00029")</f>
        <v>0.00029</v>
      </c>
    </row>
    <row r="2466" spans="1:7">
      <c r="A2466" s="3"/>
      <c r="B2466" s="3"/>
      <c r="C2466" s="3"/>
      <c r="D2466" s="3"/>
      <c r="E2466" s="3">
        <v>3</v>
      </c>
      <c r="F2466" s="4" t="str">
        <f>HYPERLINK("http://141.218.60.56/~jnz1568/getInfo.php?workbook=12_05.xlsx&amp;sheet=U0&amp;row=2466&amp;col=6&amp;number=3.2&amp;sourceID=14","3.2")</f>
        <v>3.2</v>
      </c>
      <c r="G2466" s="4" t="str">
        <f>HYPERLINK("http://141.218.60.56/~jnz1568/getInfo.php?workbook=12_05.xlsx&amp;sheet=U0&amp;row=2466&amp;col=7&amp;number=0.00029&amp;sourceID=14","0.00029")</f>
        <v>0.00029</v>
      </c>
    </row>
    <row r="2467" spans="1:7">
      <c r="A2467" s="3"/>
      <c r="B2467" s="3"/>
      <c r="C2467" s="3"/>
      <c r="D2467" s="3"/>
      <c r="E2467" s="3">
        <v>4</v>
      </c>
      <c r="F2467" s="4" t="str">
        <f>HYPERLINK("http://141.218.60.56/~jnz1568/getInfo.php?workbook=12_05.xlsx&amp;sheet=U0&amp;row=2467&amp;col=6&amp;number=3.3&amp;sourceID=14","3.3")</f>
        <v>3.3</v>
      </c>
      <c r="G2467" s="4" t="str">
        <f>HYPERLINK("http://141.218.60.56/~jnz1568/getInfo.php?workbook=12_05.xlsx&amp;sheet=U0&amp;row=2467&amp;col=7&amp;number=0.00029&amp;sourceID=14","0.00029")</f>
        <v>0.00029</v>
      </c>
    </row>
    <row r="2468" spans="1:7">
      <c r="A2468" s="3"/>
      <c r="B2468" s="3"/>
      <c r="C2468" s="3"/>
      <c r="D2468" s="3"/>
      <c r="E2468" s="3">
        <v>5</v>
      </c>
      <c r="F2468" s="4" t="str">
        <f>HYPERLINK("http://141.218.60.56/~jnz1568/getInfo.php?workbook=12_05.xlsx&amp;sheet=U0&amp;row=2468&amp;col=6&amp;number=3.4&amp;sourceID=14","3.4")</f>
        <v>3.4</v>
      </c>
      <c r="G2468" s="4" t="str">
        <f>HYPERLINK("http://141.218.60.56/~jnz1568/getInfo.php?workbook=12_05.xlsx&amp;sheet=U0&amp;row=2468&amp;col=7&amp;number=0.00029&amp;sourceID=14","0.00029")</f>
        <v>0.00029</v>
      </c>
    </row>
    <row r="2469" spans="1:7">
      <c r="A2469" s="3"/>
      <c r="B2469" s="3"/>
      <c r="C2469" s="3"/>
      <c r="D2469" s="3"/>
      <c r="E2469" s="3">
        <v>6</v>
      </c>
      <c r="F2469" s="4" t="str">
        <f>HYPERLINK("http://141.218.60.56/~jnz1568/getInfo.php?workbook=12_05.xlsx&amp;sheet=U0&amp;row=2469&amp;col=6&amp;number=3.5&amp;sourceID=14","3.5")</f>
        <v>3.5</v>
      </c>
      <c r="G2469" s="4" t="str">
        <f>HYPERLINK("http://141.218.60.56/~jnz1568/getInfo.php?workbook=12_05.xlsx&amp;sheet=U0&amp;row=2469&amp;col=7&amp;number=0.00029&amp;sourceID=14","0.00029")</f>
        <v>0.00029</v>
      </c>
    </row>
    <row r="2470" spans="1:7">
      <c r="A2470" s="3"/>
      <c r="B2470" s="3"/>
      <c r="C2470" s="3"/>
      <c r="D2470" s="3"/>
      <c r="E2470" s="3">
        <v>7</v>
      </c>
      <c r="F2470" s="4" t="str">
        <f>HYPERLINK("http://141.218.60.56/~jnz1568/getInfo.php?workbook=12_05.xlsx&amp;sheet=U0&amp;row=2470&amp;col=6&amp;number=3.6&amp;sourceID=14","3.6")</f>
        <v>3.6</v>
      </c>
      <c r="G2470" s="4" t="str">
        <f>HYPERLINK("http://141.218.60.56/~jnz1568/getInfo.php?workbook=12_05.xlsx&amp;sheet=U0&amp;row=2470&amp;col=7&amp;number=0.00029&amp;sourceID=14","0.00029")</f>
        <v>0.00029</v>
      </c>
    </row>
    <row r="2471" spans="1:7">
      <c r="A2471" s="3"/>
      <c r="B2471" s="3"/>
      <c r="C2471" s="3"/>
      <c r="D2471" s="3"/>
      <c r="E2471" s="3">
        <v>8</v>
      </c>
      <c r="F2471" s="4" t="str">
        <f>HYPERLINK("http://141.218.60.56/~jnz1568/getInfo.php?workbook=12_05.xlsx&amp;sheet=U0&amp;row=2471&amp;col=6&amp;number=3.7&amp;sourceID=14","3.7")</f>
        <v>3.7</v>
      </c>
      <c r="G2471" s="4" t="str">
        <f>HYPERLINK("http://141.218.60.56/~jnz1568/getInfo.php?workbook=12_05.xlsx&amp;sheet=U0&amp;row=2471&amp;col=7&amp;number=0.00029&amp;sourceID=14","0.00029")</f>
        <v>0.00029</v>
      </c>
    </row>
    <row r="2472" spans="1:7">
      <c r="A2472" s="3"/>
      <c r="B2472" s="3"/>
      <c r="C2472" s="3"/>
      <c r="D2472" s="3"/>
      <c r="E2472" s="3">
        <v>9</v>
      </c>
      <c r="F2472" s="4" t="str">
        <f>HYPERLINK("http://141.218.60.56/~jnz1568/getInfo.php?workbook=12_05.xlsx&amp;sheet=U0&amp;row=2472&amp;col=6&amp;number=3.8&amp;sourceID=14","3.8")</f>
        <v>3.8</v>
      </c>
      <c r="G2472" s="4" t="str">
        <f>HYPERLINK("http://141.218.60.56/~jnz1568/getInfo.php?workbook=12_05.xlsx&amp;sheet=U0&amp;row=2472&amp;col=7&amp;number=0.00029&amp;sourceID=14","0.00029")</f>
        <v>0.00029</v>
      </c>
    </row>
    <row r="2473" spans="1:7">
      <c r="A2473" s="3"/>
      <c r="B2473" s="3"/>
      <c r="C2473" s="3"/>
      <c r="D2473" s="3"/>
      <c r="E2473" s="3">
        <v>10</v>
      </c>
      <c r="F2473" s="4" t="str">
        <f>HYPERLINK("http://141.218.60.56/~jnz1568/getInfo.php?workbook=12_05.xlsx&amp;sheet=U0&amp;row=2473&amp;col=6&amp;number=3.9&amp;sourceID=14","3.9")</f>
        <v>3.9</v>
      </c>
      <c r="G2473" s="4" t="str">
        <f>HYPERLINK("http://141.218.60.56/~jnz1568/getInfo.php?workbook=12_05.xlsx&amp;sheet=U0&amp;row=2473&amp;col=7&amp;number=0.00029&amp;sourceID=14","0.00029")</f>
        <v>0.00029</v>
      </c>
    </row>
    <row r="2474" spans="1:7">
      <c r="A2474" s="3"/>
      <c r="B2474" s="3"/>
      <c r="C2474" s="3"/>
      <c r="D2474" s="3"/>
      <c r="E2474" s="3">
        <v>11</v>
      </c>
      <c r="F2474" s="4" t="str">
        <f>HYPERLINK("http://141.218.60.56/~jnz1568/getInfo.php?workbook=12_05.xlsx&amp;sheet=U0&amp;row=2474&amp;col=6&amp;number=4&amp;sourceID=14","4")</f>
        <v>4</v>
      </c>
      <c r="G2474" s="4" t="str">
        <f>HYPERLINK("http://141.218.60.56/~jnz1568/getInfo.php?workbook=12_05.xlsx&amp;sheet=U0&amp;row=2474&amp;col=7&amp;number=0.00029&amp;sourceID=14","0.00029")</f>
        <v>0.00029</v>
      </c>
    </row>
    <row r="2475" spans="1:7">
      <c r="A2475" s="3"/>
      <c r="B2475" s="3"/>
      <c r="C2475" s="3"/>
      <c r="D2475" s="3"/>
      <c r="E2475" s="3">
        <v>12</v>
      </c>
      <c r="F2475" s="4" t="str">
        <f>HYPERLINK("http://141.218.60.56/~jnz1568/getInfo.php?workbook=12_05.xlsx&amp;sheet=U0&amp;row=2475&amp;col=6&amp;number=4.1&amp;sourceID=14","4.1")</f>
        <v>4.1</v>
      </c>
      <c r="G2475" s="4" t="str">
        <f>HYPERLINK("http://141.218.60.56/~jnz1568/getInfo.php?workbook=12_05.xlsx&amp;sheet=U0&amp;row=2475&amp;col=7&amp;number=0.00029&amp;sourceID=14","0.00029")</f>
        <v>0.00029</v>
      </c>
    </row>
    <row r="2476" spans="1:7">
      <c r="A2476" s="3"/>
      <c r="B2476" s="3"/>
      <c r="C2476" s="3"/>
      <c r="D2476" s="3"/>
      <c r="E2476" s="3">
        <v>13</v>
      </c>
      <c r="F2476" s="4" t="str">
        <f>HYPERLINK("http://141.218.60.56/~jnz1568/getInfo.php?workbook=12_05.xlsx&amp;sheet=U0&amp;row=2476&amp;col=6&amp;number=4.2&amp;sourceID=14","4.2")</f>
        <v>4.2</v>
      </c>
      <c r="G2476" s="4" t="str">
        <f>HYPERLINK("http://141.218.60.56/~jnz1568/getInfo.php?workbook=12_05.xlsx&amp;sheet=U0&amp;row=2476&amp;col=7&amp;number=0.00029&amp;sourceID=14","0.00029")</f>
        <v>0.00029</v>
      </c>
    </row>
    <row r="2477" spans="1:7">
      <c r="A2477" s="3"/>
      <c r="B2477" s="3"/>
      <c r="C2477" s="3"/>
      <c r="D2477" s="3"/>
      <c r="E2477" s="3">
        <v>14</v>
      </c>
      <c r="F2477" s="4" t="str">
        <f>HYPERLINK("http://141.218.60.56/~jnz1568/getInfo.php?workbook=12_05.xlsx&amp;sheet=U0&amp;row=2477&amp;col=6&amp;number=4.3&amp;sourceID=14","4.3")</f>
        <v>4.3</v>
      </c>
      <c r="G2477" s="4" t="str">
        <f>HYPERLINK("http://141.218.60.56/~jnz1568/getInfo.php?workbook=12_05.xlsx&amp;sheet=U0&amp;row=2477&amp;col=7&amp;number=0.00029&amp;sourceID=14","0.00029")</f>
        <v>0.00029</v>
      </c>
    </row>
    <row r="2478" spans="1:7">
      <c r="A2478" s="3"/>
      <c r="B2478" s="3"/>
      <c r="C2478" s="3"/>
      <c r="D2478" s="3"/>
      <c r="E2478" s="3">
        <v>15</v>
      </c>
      <c r="F2478" s="4" t="str">
        <f>HYPERLINK("http://141.218.60.56/~jnz1568/getInfo.php?workbook=12_05.xlsx&amp;sheet=U0&amp;row=2478&amp;col=6&amp;number=4.4&amp;sourceID=14","4.4")</f>
        <v>4.4</v>
      </c>
      <c r="G2478" s="4" t="str">
        <f>HYPERLINK("http://141.218.60.56/~jnz1568/getInfo.php?workbook=12_05.xlsx&amp;sheet=U0&amp;row=2478&amp;col=7&amp;number=0.00029&amp;sourceID=14","0.00029")</f>
        <v>0.00029</v>
      </c>
    </row>
    <row r="2479" spans="1:7">
      <c r="A2479" s="3"/>
      <c r="B2479" s="3"/>
      <c r="C2479" s="3"/>
      <c r="D2479" s="3"/>
      <c r="E2479" s="3">
        <v>16</v>
      </c>
      <c r="F2479" s="4" t="str">
        <f>HYPERLINK("http://141.218.60.56/~jnz1568/getInfo.php?workbook=12_05.xlsx&amp;sheet=U0&amp;row=2479&amp;col=6&amp;number=4.5&amp;sourceID=14","4.5")</f>
        <v>4.5</v>
      </c>
      <c r="G2479" s="4" t="str">
        <f>HYPERLINK("http://141.218.60.56/~jnz1568/getInfo.php?workbook=12_05.xlsx&amp;sheet=U0&amp;row=2479&amp;col=7&amp;number=0.000291&amp;sourceID=14","0.000291")</f>
        <v>0.000291</v>
      </c>
    </row>
    <row r="2480" spans="1:7">
      <c r="A2480" s="3"/>
      <c r="B2480" s="3"/>
      <c r="C2480" s="3"/>
      <c r="D2480" s="3"/>
      <c r="E2480" s="3">
        <v>17</v>
      </c>
      <c r="F2480" s="4" t="str">
        <f>HYPERLINK("http://141.218.60.56/~jnz1568/getInfo.php?workbook=12_05.xlsx&amp;sheet=U0&amp;row=2480&amp;col=6&amp;number=4.6&amp;sourceID=14","4.6")</f>
        <v>4.6</v>
      </c>
      <c r="G2480" s="4" t="str">
        <f>HYPERLINK("http://141.218.60.56/~jnz1568/getInfo.php?workbook=12_05.xlsx&amp;sheet=U0&amp;row=2480&amp;col=7&amp;number=0.000291&amp;sourceID=14","0.000291")</f>
        <v>0.000291</v>
      </c>
    </row>
    <row r="2481" spans="1:7">
      <c r="A2481" s="3"/>
      <c r="B2481" s="3"/>
      <c r="C2481" s="3"/>
      <c r="D2481" s="3"/>
      <c r="E2481" s="3">
        <v>18</v>
      </c>
      <c r="F2481" s="4" t="str">
        <f>HYPERLINK("http://141.218.60.56/~jnz1568/getInfo.php?workbook=12_05.xlsx&amp;sheet=U0&amp;row=2481&amp;col=6&amp;number=4.7&amp;sourceID=14","4.7")</f>
        <v>4.7</v>
      </c>
      <c r="G2481" s="4" t="str">
        <f>HYPERLINK("http://141.218.60.56/~jnz1568/getInfo.php?workbook=12_05.xlsx&amp;sheet=U0&amp;row=2481&amp;col=7&amp;number=0.000291&amp;sourceID=14","0.000291")</f>
        <v>0.000291</v>
      </c>
    </row>
    <row r="2482" spans="1:7">
      <c r="A2482" s="3"/>
      <c r="B2482" s="3"/>
      <c r="C2482" s="3"/>
      <c r="D2482" s="3"/>
      <c r="E2482" s="3">
        <v>19</v>
      </c>
      <c r="F2482" s="4" t="str">
        <f>HYPERLINK("http://141.218.60.56/~jnz1568/getInfo.php?workbook=12_05.xlsx&amp;sheet=U0&amp;row=2482&amp;col=6&amp;number=4.8&amp;sourceID=14","4.8")</f>
        <v>4.8</v>
      </c>
      <c r="G2482" s="4" t="str">
        <f>HYPERLINK("http://141.218.60.56/~jnz1568/getInfo.php?workbook=12_05.xlsx&amp;sheet=U0&amp;row=2482&amp;col=7&amp;number=0.000291&amp;sourceID=14","0.000291")</f>
        <v>0.000291</v>
      </c>
    </row>
    <row r="2483" spans="1:7">
      <c r="A2483" s="3"/>
      <c r="B2483" s="3"/>
      <c r="C2483" s="3"/>
      <c r="D2483" s="3"/>
      <c r="E2483" s="3">
        <v>20</v>
      </c>
      <c r="F2483" s="4" t="str">
        <f>HYPERLINK("http://141.218.60.56/~jnz1568/getInfo.php?workbook=12_05.xlsx&amp;sheet=U0&amp;row=2483&amp;col=6&amp;number=4.9&amp;sourceID=14","4.9")</f>
        <v>4.9</v>
      </c>
      <c r="G2483" s="4" t="str">
        <f>HYPERLINK("http://141.218.60.56/~jnz1568/getInfo.php?workbook=12_05.xlsx&amp;sheet=U0&amp;row=2483&amp;col=7&amp;number=0.000291&amp;sourceID=14","0.000291")</f>
        <v>0.000291</v>
      </c>
    </row>
    <row r="2484" spans="1:7">
      <c r="A2484" s="3">
        <v>12</v>
      </c>
      <c r="B2484" s="3">
        <v>5</v>
      </c>
      <c r="C2484" s="3">
        <v>1</v>
      </c>
      <c r="D2484" s="3">
        <v>85</v>
      </c>
      <c r="E2484" s="3">
        <v>1</v>
      </c>
      <c r="F2484" s="4" t="str">
        <f>HYPERLINK("http://141.218.60.56/~jnz1568/getInfo.php?workbook=12_05.xlsx&amp;sheet=U0&amp;row=2484&amp;col=6&amp;number=3&amp;sourceID=14","3")</f>
        <v>3</v>
      </c>
      <c r="G2484" s="4" t="str">
        <f>HYPERLINK("http://141.218.60.56/~jnz1568/getInfo.php?workbook=12_05.xlsx&amp;sheet=U0&amp;row=2484&amp;col=7&amp;number=0.000349&amp;sourceID=14","0.000349")</f>
        <v>0.000349</v>
      </c>
    </row>
    <row r="2485" spans="1:7">
      <c r="A2485" s="3"/>
      <c r="B2485" s="3"/>
      <c r="C2485" s="3"/>
      <c r="D2485" s="3"/>
      <c r="E2485" s="3">
        <v>2</v>
      </c>
      <c r="F2485" s="4" t="str">
        <f>HYPERLINK("http://141.218.60.56/~jnz1568/getInfo.php?workbook=12_05.xlsx&amp;sheet=U0&amp;row=2485&amp;col=6&amp;number=3.1&amp;sourceID=14","3.1")</f>
        <v>3.1</v>
      </c>
      <c r="G2485" s="4" t="str">
        <f>HYPERLINK("http://141.218.60.56/~jnz1568/getInfo.php?workbook=12_05.xlsx&amp;sheet=U0&amp;row=2485&amp;col=7&amp;number=0.000349&amp;sourceID=14","0.000349")</f>
        <v>0.000349</v>
      </c>
    </row>
    <row r="2486" spans="1:7">
      <c r="A2486" s="3"/>
      <c r="B2486" s="3"/>
      <c r="C2486" s="3"/>
      <c r="D2486" s="3"/>
      <c r="E2486" s="3">
        <v>3</v>
      </c>
      <c r="F2486" s="4" t="str">
        <f>HYPERLINK("http://141.218.60.56/~jnz1568/getInfo.php?workbook=12_05.xlsx&amp;sheet=U0&amp;row=2486&amp;col=6&amp;number=3.2&amp;sourceID=14","3.2")</f>
        <v>3.2</v>
      </c>
      <c r="G2486" s="4" t="str">
        <f>HYPERLINK("http://141.218.60.56/~jnz1568/getInfo.php?workbook=12_05.xlsx&amp;sheet=U0&amp;row=2486&amp;col=7&amp;number=0.000349&amp;sourceID=14","0.000349")</f>
        <v>0.000349</v>
      </c>
    </row>
    <row r="2487" spans="1:7">
      <c r="A2487" s="3"/>
      <c r="B2487" s="3"/>
      <c r="C2487" s="3"/>
      <c r="D2487" s="3"/>
      <c r="E2487" s="3">
        <v>4</v>
      </c>
      <c r="F2487" s="4" t="str">
        <f>HYPERLINK("http://141.218.60.56/~jnz1568/getInfo.php?workbook=12_05.xlsx&amp;sheet=U0&amp;row=2487&amp;col=6&amp;number=3.3&amp;sourceID=14","3.3")</f>
        <v>3.3</v>
      </c>
      <c r="G2487" s="4" t="str">
        <f>HYPERLINK("http://141.218.60.56/~jnz1568/getInfo.php?workbook=12_05.xlsx&amp;sheet=U0&amp;row=2487&amp;col=7&amp;number=0.000349&amp;sourceID=14","0.000349")</f>
        <v>0.000349</v>
      </c>
    </row>
    <row r="2488" spans="1:7">
      <c r="A2488" s="3"/>
      <c r="B2488" s="3"/>
      <c r="C2488" s="3"/>
      <c r="D2488" s="3"/>
      <c r="E2488" s="3">
        <v>5</v>
      </c>
      <c r="F2488" s="4" t="str">
        <f>HYPERLINK("http://141.218.60.56/~jnz1568/getInfo.php?workbook=12_05.xlsx&amp;sheet=U0&amp;row=2488&amp;col=6&amp;number=3.4&amp;sourceID=14","3.4")</f>
        <v>3.4</v>
      </c>
      <c r="G2488" s="4" t="str">
        <f>HYPERLINK("http://141.218.60.56/~jnz1568/getInfo.php?workbook=12_05.xlsx&amp;sheet=U0&amp;row=2488&amp;col=7&amp;number=0.000349&amp;sourceID=14","0.000349")</f>
        <v>0.000349</v>
      </c>
    </row>
    <row r="2489" spans="1:7">
      <c r="A2489" s="3"/>
      <c r="B2489" s="3"/>
      <c r="C2489" s="3"/>
      <c r="D2489" s="3"/>
      <c r="E2489" s="3">
        <v>6</v>
      </c>
      <c r="F2489" s="4" t="str">
        <f>HYPERLINK("http://141.218.60.56/~jnz1568/getInfo.php?workbook=12_05.xlsx&amp;sheet=U0&amp;row=2489&amp;col=6&amp;number=3.5&amp;sourceID=14","3.5")</f>
        <v>3.5</v>
      </c>
      <c r="G2489" s="4" t="str">
        <f>HYPERLINK("http://141.218.60.56/~jnz1568/getInfo.php?workbook=12_05.xlsx&amp;sheet=U0&amp;row=2489&amp;col=7&amp;number=0.000349&amp;sourceID=14","0.000349")</f>
        <v>0.000349</v>
      </c>
    </row>
    <row r="2490" spans="1:7">
      <c r="A2490" s="3"/>
      <c r="B2490" s="3"/>
      <c r="C2490" s="3"/>
      <c r="D2490" s="3"/>
      <c r="E2490" s="3">
        <v>7</v>
      </c>
      <c r="F2490" s="4" t="str">
        <f>HYPERLINK("http://141.218.60.56/~jnz1568/getInfo.php?workbook=12_05.xlsx&amp;sheet=U0&amp;row=2490&amp;col=6&amp;number=3.6&amp;sourceID=14","3.6")</f>
        <v>3.6</v>
      </c>
      <c r="G2490" s="4" t="str">
        <f>HYPERLINK("http://141.218.60.56/~jnz1568/getInfo.php?workbook=12_05.xlsx&amp;sheet=U0&amp;row=2490&amp;col=7&amp;number=0.000349&amp;sourceID=14","0.000349")</f>
        <v>0.000349</v>
      </c>
    </row>
    <row r="2491" spans="1:7">
      <c r="A2491" s="3"/>
      <c r="B2491" s="3"/>
      <c r="C2491" s="3"/>
      <c r="D2491" s="3"/>
      <c r="E2491" s="3">
        <v>8</v>
      </c>
      <c r="F2491" s="4" t="str">
        <f>HYPERLINK("http://141.218.60.56/~jnz1568/getInfo.php?workbook=12_05.xlsx&amp;sheet=U0&amp;row=2491&amp;col=6&amp;number=3.7&amp;sourceID=14","3.7")</f>
        <v>3.7</v>
      </c>
      <c r="G2491" s="4" t="str">
        <f>HYPERLINK("http://141.218.60.56/~jnz1568/getInfo.php?workbook=12_05.xlsx&amp;sheet=U0&amp;row=2491&amp;col=7&amp;number=0.000349&amp;sourceID=14","0.000349")</f>
        <v>0.000349</v>
      </c>
    </row>
    <row r="2492" spans="1:7">
      <c r="A2492" s="3"/>
      <c r="B2492" s="3"/>
      <c r="C2492" s="3"/>
      <c r="D2492" s="3"/>
      <c r="E2492" s="3">
        <v>9</v>
      </c>
      <c r="F2492" s="4" t="str">
        <f>HYPERLINK("http://141.218.60.56/~jnz1568/getInfo.php?workbook=12_05.xlsx&amp;sheet=U0&amp;row=2492&amp;col=6&amp;number=3.8&amp;sourceID=14","3.8")</f>
        <v>3.8</v>
      </c>
      <c r="G2492" s="4" t="str">
        <f>HYPERLINK("http://141.218.60.56/~jnz1568/getInfo.php?workbook=12_05.xlsx&amp;sheet=U0&amp;row=2492&amp;col=7&amp;number=0.000349&amp;sourceID=14","0.000349")</f>
        <v>0.000349</v>
      </c>
    </row>
    <row r="2493" spans="1:7">
      <c r="A2493" s="3"/>
      <c r="B2493" s="3"/>
      <c r="C2493" s="3"/>
      <c r="D2493" s="3"/>
      <c r="E2493" s="3">
        <v>10</v>
      </c>
      <c r="F2493" s="4" t="str">
        <f>HYPERLINK("http://141.218.60.56/~jnz1568/getInfo.php?workbook=12_05.xlsx&amp;sheet=U0&amp;row=2493&amp;col=6&amp;number=3.9&amp;sourceID=14","3.9")</f>
        <v>3.9</v>
      </c>
      <c r="G2493" s="4" t="str">
        <f>HYPERLINK("http://141.218.60.56/~jnz1568/getInfo.php?workbook=12_05.xlsx&amp;sheet=U0&amp;row=2493&amp;col=7&amp;number=0.000349&amp;sourceID=14","0.000349")</f>
        <v>0.000349</v>
      </c>
    </row>
    <row r="2494" spans="1:7">
      <c r="A2494" s="3"/>
      <c r="B2494" s="3"/>
      <c r="C2494" s="3"/>
      <c r="D2494" s="3"/>
      <c r="E2494" s="3">
        <v>11</v>
      </c>
      <c r="F2494" s="4" t="str">
        <f>HYPERLINK("http://141.218.60.56/~jnz1568/getInfo.php?workbook=12_05.xlsx&amp;sheet=U0&amp;row=2494&amp;col=6&amp;number=4&amp;sourceID=14","4")</f>
        <v>4</v>
      </c>
      <c r="G2494" s="4" t="str">
        <f>HYPERLINK("http://141.218.60.56/~jnz1568/getInfo.php?workbook=12_05.xlsx&amp;sheet=U0&amp;row=2494&amp;col=7&amp;number=0.000349&amp;sourceID=14","0.000349")</f>
        <v>0.000349</v>
      </c>
    </row>
    <row r="2495" spans="1:7">
      <c r="A2495" s="3"/>
      <c r="B2495" s="3"/>
      <c r="C2495" s="3"/>
      <c r="D2495" s="3"/>
      <c r="E2495" s="3">
        <v>12</v>
      </c>
      <c r="F2495" s="4" t="str">
        <f>HYPERLINK("http://141.218.60.56/~jnz1568/getInfo.php?workbook=12_05.xlsx&amp;sheet=U0&amp;row=2495&amp;col=6&amp;number=4.1&amp;sourceID=14","4.1")</f>
        <v>4.1</v>
      </c>
      <c r="G2495" s="4" t="str">
        <f>HYPERLINK("http://141.218.60.56/~jnz1568/getInfo.php?workbook=12_05.xlsx&amp;sheet=U0&amp;row=2495&amp;col=7&amp;number=0.000349&amp;sourceID=14","0.000349")</f>
        <v>0.000349</v>
      </c>
    </row>
    <row r="2496" spans="1:7">
      <c r="A2496" s="3"/>
      <c r="B2496" s="3"/>
      <c r="C2496" s="3"/>
      <c r="D2496" s="3"/>
      <c r="E2496" s="3">
        <v>13</v>
      </c>
      <c r="F2496" s="4" t="str">
        <f>HYPERLINK("http://141.218.60.56/~jnz1568/getInfo.php?workbook=12_05.xlsx&amp;sheet=U0&amp;row=2496&amp;col=6&amp;number=4.2&amp;sourceID=14","4.2")</f>
        <v>4.2</v>
      </c>
      <c r="G2496" s="4" t="str">
        <f>HYPERLINK("http://141.218.60.56/~jnz1568/getInfo.php?workbook=12_05.xlsx&amp;sheet=U0&amp;row=2496&amp;col=7&amp;number=0.000349&amp;sourceID=14","0.000349")</f>
        <v>0.000349</v>
      </c>
    </row>
    <row r="2497" spans="1:7">
      <c r="A2497" s="3"/>
      <c r="B2497" s="3"/>
      <c r="C2497" s="3"/>
      <c r="D2497" s="3"/>
      <c r="E2497" s="3">
        <v>14</v>
      </c>
      <c r="F2497" s="4" t="str">
        <f>HYPERLINK("http://141.218.60.56/~jnz1568/getInfo.php?workbook=12_05.xlsx&amp;sheet=U0&amp;row=2497&amp;col=6&amp;number=4.3&amp;sourceID=14","4.3")</f>
        <v>4.3</v>
      </c>
      <c r="G2497" s="4" t="str">
        <f>HYPERLINK("http://141.218.60.56/~jnz1568/getInfo.php?workbook=12_05.xlsx&amp;sheet=U0&amp;row=2497&amp;col=7&amp;number=0.000349&amp;sourceID=14","0.000349")</f>
        <v>0.000349</v>
      </c>
    </row>
    <row r="2498" spans="1:7">
      <c r="A2498" s="3"/>
      <c r="B2498" s="3"/>
      <c r="C2498" s="3"/>
      <c r="D2498" s="3"/>
      <c r="E2498" s="3">
        <v>15</v>
      </c>
      <c r="F2498" s="4" t="str">
        <f>HYPERLINK("http://141.218.60.56/~jnz1568/getInfo.php?workbook=12_05.xlsx&amp;sheet=U0&amp;row=2498&amp;col=6&amp;number=4.4&amp;sourceID=14","4.4")</f>
        <v>4.4</v>
      </c>
      <c r="G2498" s="4" t="str">
        <f>HYPERLINK("http://141.218.60.56/~jnz1568/getInfo.php?workbook=12_05.xlsx&amp;sheet=U0&amp;row=2498&amp;col=7&amp;number=0.000349&amp;sourceID=14","0.000349")</f>
        <v>0.000349</v>
      </c>
    </row>
    <row r="2499" spans="1:7">
      <c r="A2499" s="3"/>
      <c r="B2499" s="3"/>
      <c r="C2499" s="3"/>
      <c r="D2499" s="3"/>
      <c r="E2499" s="3">
        <v>16</v>
      </c>
      <c r="F2499" s="4" t="str">
        <f>HYPERLINK("http://141.218.60.56/~jnz1568/getInfo.php?workbook=12_05.xlsx&amp;sheet=U0&amp;row=2499&amp;col=6&amp;number=4.5&amp;sourceID=14","4.5")</f>
        <v>4.5</v>
      </c>
      <c r="G2499" s="4" t="str">
        <f>HYPERLINK("http://141.218.60.56/~jnz1568/getInfo.php?workbook=12_05.xlsx&amp;sheet=U0&amp;row=2499&amp;col=7&amp;number=0.000349&amp;sourceID=14","0.000349")</f>
        <v>0.000349</v>
      </c>
    </row>
    <row r="2500" spans="1:7">
      <c r="A2500" s="3"/>
      <c r="B2500" s="3"/>
      <c r="C2500" s="3"/>
      <c r="D2500" s="3"/>
      <c r="E2500" s="3">
        <v>17</v>
      </c>
      <c r="F2500" s="4" t="str">
        <f>HYPERLINK("http://141.218.60.56/~jnz1568/getInfo.php?workbook=12_05.xlsx&amp;sheet=U0&amp;row=2500&amp;col=6&amp;number=4.6&amp;sourceID=14","4.6")</f>
        <v>4.6</v>
      </c>
      <c r="G2500" s="4" t="str">
        <f>HYPERLINK("http://141.218.60.56/~jnz1568/getInfo.php?workbook=12_05.xlsx&amp;sheet=U0&amp;row=2500&amp;col=7&amp;number=0.000349&amp;sourceID=14","0.000349")</f>
        <v>0.000349</v>
      </c>
    </row>
    <row r="2501" spans="1:7">
      <c r="A2501" s="3"/>
      <c r="B2501" s="3"/>
      <c r="C2501" s="3"/>
      <c r="D2501" s="3"/>
      <c r="E2501" s="3">
        <v>18</v>
      </c>
      <c r="F2501" s="4" t="str">
        <f>HYPERLINK("http://141.218.60.56/~jnz1568/getInfo.php?workbook=12_05.xlsx&amp;sheet=U0&amp;row=2501&amp;col=6&amp;number=4.7&amp;sourceID=14","4.7")</f>
        <v>4.7</v>
      </c>
      <c r="G2501" s="4" t="str">
        <f>HYPERLINK("http://141.218.60.56/~jnz1568/getInfo.php?workbook=12_05.xlsx&amp;sheet=U0&amp;row=2501&amp;col=7&amp;number=0.00035&amp;sourceID=14","0.00035")</f>
        <v>0.00035</v>
      </c>
    </row>
    <row r="2502" spans="1:7">
      <c r="A2502" s="3"/>
      <c r="B2502" s="3"/>
      <c r="C2502" s="3"/>
      <c r="D2502" s="3"/>
      <c r="E2502" s="3">
        <v>19</v>
      </c>
      <c r="F2502" s="4" t="str">
        <f>HYPERLINK("http://141.218.60.56/~jnz1568/getInfo.php?workbook=12_05.xlsx&amp;sheet=U0&amp;row=2502&amp;col=6&amp;number=4.8&amp;sourceID=14","4.8")</f>
        <v>4.8</v>
      </c>
      <c r="G2502" s="4" t="str">
        <f>HYPERLINK("http://141.218.60.56/~jnz1568/getInfo.php?workbook=12_05.xlsx&amp;sheet=U0&amp;row=2502&amp;col=7&amp;number=0.00035&amp;sourceID=14","0.00035")</f>
        <v>0.00035</v>
      </c>
    </row>
    <row r="2503" spans="1:7">
      <c r="A2503" s="3"/>
      <c r="B2503" s="3"/>
      <c r="C2503" s="3"/>
      <c r="D2503" s="3"/>
      <c r="E2503" s="3">
        <v>20</v>
      </c>
      <c r="F2503" s="4" t="str">
        <f>HYPERLINK("http://141.218.60.56/~jnz1568/getInfo.php?workbook=12_05.xlsx&amp;sheet=U0&amp;row=2503&amp;col=6&amp;number=4.9&amp;sourceID=14","4.9")</f>
        <v>4.9</v>
      </c>
      <c r="G2503" s="4" t="str">
        <f>HYPERLINK("http://141.218.60.56/~jnz1568/getInfo.php?workbook=12_05.xlsx&amp;sheet=U0&amp;row=2503&amp;col=7&amp;number=0.00035&amp;sourceID=14","0.00035")</f>
        <v>0.00035</v>
      </c>
    </row>
    <row r="2504" spans="1:7">
      <c r="A2504" s="3">
        <v>12</v>
      </c>
      <c r="B2504" s="3">
        <v>5</v>
      </c>
      <c r="C2504" s="3">
        <v>1</v>
      </c>
      <c r="D2504" s="3">
        <v>86</v>
      </c>
      <c r="E2504" s="3">
        <v>1</v>
      </c>
      <c r="F2504" s="4" t="str">
        <f>HYPERLINK("http://141.218.60.56/~jnz1568/getInfo.php?workbook=12_05.xlsx&amp;sheet=U0&amp;row=2504&amp;col=6&amp;number=3&amp;sourceID=14","3")</f>
        <v>3</v>
      </c>
      <c r="G2504" s="4" t="str">
        <f>HYPERLINK("http://141.218.60.56/~jnz1568/getInfo.php?workbook=12_05.xlsx&amp;sheet=U0&amp;row=2504&amp;col=7&amp;number=0.000209&amp;sourceID=14","0.000209")</f>
        <v>0.000209</v>
      </c>
    </row>
    <row r="2505" spans="1:7">
      <c r="A2505" s="3"/>
      <c r="B2505" s="3"/>
      <c r="C2505" s="3"/>
      <c r="D2505" s="3"/>
      <c r="E2505" s="3">
        <v>2</v>
      </c>
      <c r="F2505" s="4" t="str">
        <f>HYPERLINK("http://141.218.60.56/~jnz1568/getInfo.php?workbook=12_05.xlsx&amp;sheet=U0&amp;row=2505&amp;col=6&amp;number=3.1&amp;sourceID=14","3.1")</f>
        <v>3.1</v>
      </c>
      <c r="G2505" s="4" t="str">
        <f>HYPERLINK("http://141.218.60.56/~jnz1568/getInfo.php?workbook=12_05.xlsx&amp;sheet=U0&amp;row=2505&amp;col=7&amp;number=0.000209&amp;sourceID=14","0.000209")</f>
        <v>0.000209</v>
      </c>
    </row>
    <row r="2506" spans="1:7">
      <c r="A2506" s="3"/>
      <c r="B2506" s="3"/>
      <c r="C2506" s="3"/>
      <c r="D2506" s="3"/>
      <c r="E2506" s="3">
        <v>3</v>
      </c>
      <c r="F2506" s="4" t="str">
        <f>HYPERLINK("http://141.218.60.56/~jnz1568/getInfo.php?workbook=12_05.xlsx&amp;sheet=U0&amp;row=2506&amp;col=6&amp;number=3.2&amp;sourceID=14","3.2")</f>
        <v>3.2</v>
      </c>
      <c r="G2506" s="4" t="str">
        <f>HYPERLINK("http://141.218.60.56/~jnz1568/getInfo.php?workbook=12_05.xlsx&amp;sheet=U0&amp;row=2506&amp;col=7&amp;number=0.000208&amp;sourceID=14","0.000208")</f>
        <v>0.000208</v>
      </c>
    </row>
    <row r="2507" spans="1:7">
      <c r="A2507" s="3"/>
      <c r="B2507" s="3"/>
      <c r="C2507" s="3"/>
      <c r="D2507" s="3"/>
      <c r="E2507" s="3">
        <v>4</v>
      </c>
      <c r="F2507" s="4" t="str">
        <f>HYPERLINK("http://141.218.60.56/~jnz1568/getInfo.php?workbook=12_05.xlsx&amp;sheet=U0&amp;row=2507&amp;col=6&amp;number=3.3&amp;sourceID=14","3.3")</f>
        <v>3.3</v>
      </c>
      <c r="G2507" s="4" t="str">
        <f>HYPERLINK("http://141.218.60.56/~jnz1568/getInfo.php?workbook=12_05.xlsx&amp;sheet=U0&amp;row=2507&amp;col=7&amp;number=0.000208&amp;sourceID=14","0.000208")</f>
        <v>0.000208</v>
      </c>
    </row>
    <row r="2508" spans="1:7">
      <c r="A2508" s="3"/>
      <c r="B2508" s="3"/>
      <c r="C2508" s="3"/>
      <c r="D2508" s="3"/>
      <c r="E2508" s="3">
        <v>5</v>
      </c>
      <c r="F2508" s="4" t="str">
        <f>HYPERLINK("http://141.218.60.56/~jnz1568/getInfo.php?workbook=12_05.xlsx&amp;sheet=U0&amp;row=2508&amp;col=6&amp;number=3.4&amp;sourceID=14","3.4")</f>
        <v>3.4</v>
      </c>
      <c r="G2508" s="4" t="str">
        <f>HYPERLINK("http://141.218.60.56/~jnz1568/getInfo.php?workbook=12_05.xlsx&amp;sheet=U0&amp;row=2508&amp;col=7&amp;number=0.000208&amp;sourceID=14","0.000208")</f>
        <v>0.000208</v>
      </c>
    </row>
    <row r="2509" spans="1:7">
      <c r="A2509" s="3"/>
      <c r="B2509" s="3"/>
      <c r="C2509" s="3"/>
      <c r="D2509" s="3"/>
      <c r="E2509" s="3">
        <v>6</v>
      </c>
      <c r="F2509" s="4" t="str">
        <f>HYPERLINK("http://141.218.60.56/~jnz1568/getInfo.php?workbook=12_05.xlsx&amp;sheet=U0&amp;row=2509&amp;col=6&amp;number=3.5&amp;sourceID=14","3.5")</f>
        <v>3.5</v>
      </c>
      <c r="G2509" s="4" t="str">
        <f>HYPERLINK("http://141.218.60.56/~jnz1568/getInfo.php?workbook=12_05.xlsx&amp;sheet=U0&amp;row=2509&amp;col=7&amp;number=0.000208&amp;sourceID=14","0.000208")</f>
        <v>0.000208</v>
      </c>
    </row>
    <row r="2510" spans="1:7">
      <c r="A2510" s="3"/>
      <c r="B2510" s="3"/>
      <c r="C2510" s="3"/>
      <c r="D2510" s="3"/>
      <c r="E2510" s="3">
        <v>7</v>
      </c>
      <c r="F2510" s="4" t="str">
        <f>HYPERLINK("http://141.218.60.56/~jnz1568/getInfo.php?workbook=12_05.xlsx&amp;sheet=U0&amp;row=2510&amp;col=6&amp;number=3.6&amp;sourceID=14","3.6")</f>
        <v>3.6</v>
      </c>
      <c r="G2510" s="4" t="str">
        <f>HYPERLINK("http://141.218.60.56/~jnz1568/getInfo.php?workbook=12_05.xlsx&amp;sheet=U0&amp;row=2510&amp;col=7&amp;number=0.000208&amp;sourceID=14","0.000208")</f>
        <v>0.000208</v>
      </c>
    </row>
    <row r="2511" spans="1:7">
      <c r="A2511" s="3"/>
      <c r="B2511" s="3"/>
      <c r="C2511" s="3"/>
      <c r="D2511" s="3"/>
      <c r="E2511" s="3">
        <v>8</v>
      </c>
      <c r="F2511" s="4" t="str">
        <f>HYPERLINK("http://141.218.60.56/~jnz1568/getInfo.php?workbook=12_05.xlsx&amp;sheet=U0&amp;row=2511&amp;col=6&amp;number=3.7&amp;sourceID=14","3.7")</f>
        <v>3.7</v>
      </c>
      <c r="G2511" s="4" t="str">
        <f>HYPERLINK("http://141.218.60.56/~jnz1568/getInfo.php?workbook=12_05.xlsx&amp;sheet=U0&amp;row=2511&amp;col=7&amp;number=0.000208&amp;sourceID=14","0.000208")</f>
        <v>0.000208</v>
      </c>
    </row>
    <row r="2512" spans="1:7">
      <c r="A2512" s="3"/>
      <c r="B2512" s="3"/>
      <c r="C2512" s="3"/>
      <c r="D2512" s="3"/>
      <c r="E2512" s="3">
        <v>9</v>
      </c>
      <c r="F2512" s="4" t="str">
        <f>HYPERLINK("http://141.218.60.56/~jnz1568/getInfo.php?workbook=12_05.xlsx&amp;sheet=U0&amp;row=2512&amp;col=6&amp;number=3.8&amp;sourceID=14","3.8")</f>
        <v>3.8</v>
      </c>
      <c r="G2512" s="4" t="str">
        <f>HYPERLINK("http://141.218.60.56/~jnz1568/getInfo.php?workbook=12_05.xlsx&amp;sheet=U0&amp;row=2512&amp;col=7&amp;number=0.000208&amp;sourceID=14","0.000208")</f>
        <v>0.000208</v>
      </c>
    </row>
    <row r="2513" spans="1:7">
      <c r="A2513" s="3"/>
      <c r="B2513" s="3"/>
      <c r="C2513" s="3"/>
      <c r="D2513" s="3"/>
      <c r="E2513" s="3">
        <v>10</v>
      </c>
      <c r="F2513" s="4" t="str">
        <f>HYPERLINK("http://141.218.60.56/~jnz1568/getInfo.php?workbook=12_05.xlsx&amp;sheet=U0&amp;row=2513&amp;col=6&amp;number=3.9&amp;sourceID=14","3.9")</f>
        <v>3.9</v>
      </c>
      <c r="G2513" s="4" t="str">
        <f>HYPERLINK("http://141.218.60.56/~jnz1568/getInfo.php?workbook=12_05.xlsx&amp;sheet=U0&amp;row=2513&amp;col=7&amp;number=0.000208&amp;sourceID=14","0.000208")</f>
        <v>0.000208</v>
      </c>
    </row>
    <row r="2514" spans="1:7">
      <c r="A2514" s="3"/>
      <c r="B2514" s="3"/>
      <c r="C2514" s="3"/>
      <c r="D2514" s="3"/>
      <c r="E2514" s="3">
        <v>11</v>
      </c>
      <c r="F2514" s="4" t="str">
        <f>HYPERLINK("http://141.218.60.56/~jnz1568/getInfo.php?workbook=12_05.xlsx&amp;sheet=U0&amp;row=2514&amp;col=6&amp;number=4&amp;sourceID=14","4")</f>
        <v>4</v>
      </c>
      <c r="G2514" s="4" t="str">
        <f>HYPERLINK("http://141.218.60.56/~jnz1568/getInfo.php?workbook=12_05.xlsx&amp;sheet=U0&amp;row=2514&amp;col=7&amp;number=0.000208&amp;sourceID=14","0.000208")</f>
        <v>0.000208</v>
      </c>
    </row>
    <row r="2515" spans="1:7">
      <c r="A2515" s="3"/>
      <c r="B2515" s="3"/>
      <c r="C2515" s="3"/>
      <c r="D2515" s="3"/>
      <c r="E2515" s="3">
        <v>12</v>
      </c>
      <c r="F2515" s="4" t="str">
        <f>HYPERLINK("http://141.218.60.56/~jnz1568/getInfo.php?workbook=12_05.xlsx&amp;sheet=U0&amp;row=2515&amp;col=6&amp;number=4.1&amp;sourceID=14","4.1")</f>
        <v>4.1</v>
      </c>
      <c r="G2515" s="4" t="str">
        <f>HYPERLINK("http://141.218.60.56/~jnz1568/getInfo.php?workbook=12_05.xlsx&amp;sheet=U0&amp;row=2515&amp;col=7&amp;number=0.000208&amp;sourceID=14","0.000208")</f>
        <v>0.000208</v>
      </c>
    </row>
    <row r="2516" spans="1:7">
      <c r="A2516" s="3"/>
      <c r="B2516" s="3"/>
      <c r="C2516" s="3"/>
      <c r="D2516" s="3"/>
      <c r="E2516" s="3">
        <v>13</v>
      </c>
      <c r="F2516" s="4" t="str">
        <f>HYPERLINK("http://141.218.60.56/~jnz1568/getInfo.php?workbook=12_05.xlsx&amp;sheet=U0&amp;row=2516&amp;col=6&amp;number=4.2&amp;sourceID=14","4.2")</f>
        <v>4.2</v>
      </c>
      <c r="G2516" s="4" t="str">
        <f>HYPERLINK("http://141.218.60.56/~jnz1568/getInfo.php?workbook=12_05.xlsx&amp;sheet=U0&amp;row=2516&amp;col=7&amp;number=0.000207&amp;sourceID=14","0.000207")</f>
        <v>0.000207</v>
      </c>
    </row>
    <row r="2517" spans="1:7">
      <c r="A2517" s="3"/>
      <c r="B2517" s="3"/>
      <c r="C2517" s="3"/>
      <c r="D2517" s="3"/>
      <c r="E2517" s="3">
        <v>14</v>
      </c>
      <c r="F2517" s="4" t="str">
        <f>HYPERLINK("http://141.218.60.56/~jnz1568/getInfo.php?workbook=12_05.xlsx&amp;sheet=U0&amp;row=2517&amp;col=6&amp;number=4.3&amp;sourceID=14","4.3")</f>
        <v>4.3</v>
      </c>
      <c r="G2517" s="4" t="str">
        <f>HYPERLINK("http://141.218.60.56/~jnz1568/getInfo.php?workbook=12_05.xlsx&amp;sheet=U0&amp;row=2517&amp;col=7&amp;number=0.000207&amp;sourceID=14","0.000207")</f>
        <v>0.000207</v>
      </c>
    </row>
    <row r="2518" spans="1:7">
      <c r="A2518" s="3"/>
      <c r="B2518" s="3"/>
      <c r="C2518" s="3"/>
      <c r="D2518" s="3"/>
      <c r="E2518" s="3">
        <v>15</v>
      </c>
      <c r="F2518" s="4" t="str">
        <f>HYPERLINK("http://141.218.60.56/~jnz1568/getInfo.php?workbook=12_05.xlsx&amp;sheet=U0&amp;row=2518&amp;col=6&amp;number=4.4&amp;sourceID=14","4.4")</f>
        <v>4.4</v>
      </c>
      <c r="G2518" s="4" t="str">
        <f>HYPERLINK("http://141.218.60.56/~jnz1568/getInfo.php?workbook=12_05.xlsx&amp;sheet=U0&amp;row=2518&amp;col=7&amp;number=0.000207&amp;sourceID=14","0.000207")</f>
        <v>0.000207</v>
      </c>
    </row>
    <row r="2519" spans="1:7">
      <c r="A2519" s="3"/>
      <c r="B2519" s="3"/>
      <c r="C2519" s="3"/>
      <c r="D2519" s="3"/>
      <c r="E2519" s="3">
        <v>16</v>
      </c>
      <c r="F2519" s="4" t="str">
        <f>HYPERLINK("http://141.218.60.56/~jnz1568/getInfo.php?workbook=12_05.xlsx&amp;sheet=U0&amp;row=2519&amp;col=6&amp;number=4.5&amp;sourceID=14","4.5")</f>
        <v>4.5</v>
      </c>
      <c r="G2519" s="4" t="str">
        <f>HYPERLINK("http://141.218.60.56/~jnz1568/getInfo.php?workbook=12_05.xlsx&amp;sheet=U0&amp;row=2519&amp;col=7&amp;number=0.000206&amp;sourceID=14","0.000206")</f>
        <v>0.000206</v>
      </c>
    </row>
    <row r="2520" spans="1:7">
      <c r="A2520" s="3"/>
      <c r="B2520" s="3"/>
      <c r="C2520" s="3"/>
      <c r="D2520" s="3"/>
      <c r="E2520" s="3">
        <v>17</v>
      </c>
      <c r="F2520" s="4" t="str">
        <f>HYPERLINK("http://141.218.60.56/~jnz1568/getInfo.php?workbook=12_05.xlsx&amp;sheet=U0&amp;row=2520&amp;col=6&amp;number=4.6&amp;sourceID=14","4.6")</f>
        <v>4.6</v>
      </c>
      <c r="G2520" s="4" t="str">
        <f>HYPERLINK("http://141.218.60.56/~jnz1568/getInfo.php?workbook=12_05.xlsx&amp;sheet=U0&amp;row=2520&amp;col=7&amp;number=0.000206&amp;sourceID=14","0.000206")</f>
        <v>0.000206</v>
      </c>
    </row>
    <row r="2521" spans="1:7">
      <c r="A2521" s="3"/>
      <c r="B2521" s="3"/>
      <c r="C2521" s="3"/>
      <c r="D2521" s="3"/>
      <c r="E2521" s="3">
        <v>18</v>
      </c>
      <c r="F2521" s="4" t="str">
        <f>HYPERLINK("http://141.218.60.56/~jnz1568/getInfo.php?workbook=12_05.xlsx&amp;sheet=U0&amp;row=2521&amp;col=6&amp;number=4.7&amp;sourceID=14","4.7")</f>
        <v>4.7</v>
      </c>
      <c r="G2521" s="4" t="str">
        <f>HYPERLINK("http://141.218.60.56/~jnz1568/getInfo.php?workbook=12_05.xlsx&amp;sheet=U0&amp;row=2521&amp;col=7&amp;number=0.000205&amp;sourceID=14","0.000205")</f>
        <v>0.000205</v>
      </c>
    </row>
    <row r="2522" spans="1:7">
      <c r="A2522" s="3"/>
      <c r="B2522" s="3"/>
      <c r="C2522" s="3"/>
      <c r="D2522" s="3"/>
      <c r="E2522" s="3">
        <v>19</v>
      </c>
      <c r="F2522" s="4" t="str">
        <f>HYPERLINK("http://141.218.60.56/~jnz1568/getInfo.php?workbook=12_05.xlsx&amp;sheet=U0&amp;row=2522&amp;col=6&amp;number=4.8&amp;sourceID=14","4.8")</f>
        <v>4.8</v>
      </c>
      <c r="G2522" s="4" t="str">
        <f>HYPERLINK("http://141.218.60.56/~jnz1568/getInfo.php?workbook=12_05.xlsx&amp;sheet=U0&amp;row=2522&amp;col=7&amp;number=0.000204&amp;sourceID=14","0.000204")</f>
        <v>0.000204</v>
      </c>
    </row>
    <row r="2523" spans="1:7">
      <c r="A2523" s="3"/>
      <c r="B2523" s="3"/>
      <c r="C2523" s="3"/>
      <c r="D2523" s="3"/>
      <c r="E2523" s="3">
        <v>20</v>
      </c>
      <c r="F2523" s="4" t="str">
        <f>HYPERLINK("http://141.218.60.56/~jnz1568/getInfo.php?workbook=12_05.xlsx&amp;sheet=U0&amp;row=2523&amp;col=6&amp;number=4.9&amp;sourceID=14","4.9")</f>
        <v>4.9</v>
      </c>
      <c r="G2523" s="4" t="str">
        <f>HYPERLINK("http://141.218.60.56/~jnz1568/getInfo.php?workbook=12_05.xlsx&amp;sheet=U0&amp;row=2523&amp;col=7&amp;number=0.000203&amp;sourceID=14","0.000203")</f>
        <v>0.000203</v>
      </c>
    </row>
    <row r="2524" spans="1:7">
      <c r="A2524" s="3">
        <v>12</v>
      </c>
      <c r="B2524" s="3">
        <v>5</v>
      </c>
      <c r="C2524" s="3">
        <v>1</v>
      </c>
      <c r="D2524" s="3">
        <v>87</v>
      </c>
      <c r="E2524" s="3">
        <v>1</v>
      </c>
      <c r="F2524" s="4" t="str">
        <f>HYPERLINK("http://141.218.60.56/~jnz1568/getInfo.php?workbook=12_05.xlsx&amp;sheet=U0&amp;row=2524&amp;col=6&amp;number=3&amp;sourceID=14","3")</f>
        <v>3</v>
      </c>
      <c r="G2524" s="4" t="str">
        <f>HYPERLINK("http://141.218.60.56/~jnz1568/getInfo.php?workbook=12_05.xlsx&amp;sheet=U0&amp;row=2524&amp;col=7&amp;number=0.0297&amp;sourceID=14","0.0297")</f>
        <v>0.0297</v>
      </c>
    </row>
    <row r="2525" spans="1:7">
      <c r="A2525" s="3"/>
      <c r="B2525" s="3"/>
      <c r="C2525" s="3"/>
      <c r="D2525" s="3"/>
      <c r="E2525" s="3">
        <v>2</v>
      </c>
      <c r="F2525" s="4" t="str">
        <f>HYPERLINK("http://141.218.60.56/~jnz1568/getInfo.php?workbook=12_05.xlsx&amp;sheet=U0&amp;row=2525&amp;col=6&amp;number=3.1&amp;sourceID=14","3.1")</f>
        <v>3.1</v>
      </c>
      <c r="G2525" s="4" t="str">
        <f>HYPERLINK("http://141.218.60.56/~jnz1568/getInfo.php?workbook=12_05.xlsx&amp;sheet=U0&amp;row=2525&amp;col=7&amp;number=0.0297&amp;sourceID=14","0.0297")</f>
        <v>0.0297</v>
      </c>
    </row>
    <row r="2526" spans="1:7">
      <c r="A2526" s="3"/>
      <c r="B2526" s="3"/>
      <c r="C2526" s="3"/>
      <c r="D2526" s="3"/>
      <c r="E2526" s="3">
        <v>3</v>
      </c>
      <c r="F2526" s="4" t="str">
        <f>HYPERLINK("http://141.218.60.56/~jnz1568/getInfo.php?workbook=12_05.xlsx&amp;sheet=U0&amp;row=2526&amp;col=6&amp;number=3.2&amp;sourceID=14","3.2")</f>
        <v>3.2</v>
      </c>
      <c r="G2526" s="4" t="str">
        <f>HYPERLINK("http://141.218.60.56/~jnz1568/getInfo.php?workbook=12_05.xlsx&amp;sheet=U0&amp;row=2526&amp;col=7&amp;number=0.0297&amp;sourceID=14","0.0297")</f>
        <v>0.0297</v>
      </c>
    </row>
    <row r="2527" spans="1:7">
      <c r="A2527" s="3"/>
      <c r="B2527" s="3"/>
      <c r="C2527" s="3"/>
      <c r="D2527" s="3"/>
      <c r="E2527" s="3">
        <v>4</v>
      </c>
      <c r="F2527" s="4" t="str">
        <f>HYPERLINK("http://141.218.60.56/~jnz1568/getInfo.php?workbook=12_05.xlsx&amp;sheet=U0&amp;row=2527&amp;col=6&amp;number=3.3&amp;sourceID=14","3.3")</f>
        <v>3.3</v>
      </c>
      <c r="G2527" s="4" t="str">
        <f>HYPERLINK("http://141.218.60.56/~jnz1568/getInfo.php?workbook=12_05.xlsx&amp;sheet=U0&amp;row=2527&amp;col=7&amp;number=0.0297&amp;sourceID=14","0.0297")</f>
        <v>0.0297</v>
      </c>
    </row>
    <row r="2528" spans="1:7">
      <c r="A2528" s="3"/>
      <c r="B2528" s="3"/>
      <c r="C2528" s="3"/>
      <c r="D2528" s="3"/>
      <c r="E2528" s="3">
        <v>5</v>
      </c>
      <c r="F2528" s="4" t="str">
        <f>HYPERLINK("http://141.218.60.56/~jnz1568/getInfo.php?workbook=12_05.xlsx&amp;sheet=U0&amp;row=2528&amp;col=6&amp;number=3.4&amp;sourceID=14","3.4")</f>
        <v>3.4</v>
      </c>
      <c r="G2528" s="4" t="str">
        <f>HYPERLINK("http://141.218.60.56/~jnz1568/getInfo.php?workbook=12_05.xlsx&amp;sheet=U0&amp;row=2528&amp;col=7&amp;number=0.0297&amp;sourceID=14","0.0297")</f>
        <v>0.0297</v>
      </c>
    </row>
    <row r="2529" spans="1:7">
      <c r="A2529" s="3"/>
      <c r="B2529" s="3"/>
      <c r="C2529" s="3"/>
      <c r="D2529" s="3"/>
      <c r="E2529" s="3">
        <v>6</v>
      </c>
      <c r="F2529" s="4" t="str">
        <f>HYPERLINK("http://141.218.60.56/~jnz1568/getInfo.php?workbook=12_05.xlsx&amp;sheet=U0&amp;row=2529&amp;col=6&amp;number=3.5&amp;sourceID=14","3.5")</f>
        <v>3.5</v>
      </c>
      <c r="G2529" s="4" t="str">
        <f>HYPERLINK("http://141.218.60.56/~jnz1568/getInfo.php?workbook=12_05.xlsx&amp;sheet=U0&amp;row=2529&amp;col=7&amp;number=0.0297&amp;sourceID=14","0.0297")</f>
        <v>0.0297</v>
      </c>
    </row>
    <row r="2530" spans="1:7">
      <c r="A2530" s="3"/>
      <c r="B2530" s="3"/>
      <c r="C2530" s="3"/>
      <c r="D2530" s="3"/>
      <c r="E2530" s="3">
        <v>7</v>
      </c>
      <c r="F2530" s="4" t="str">
        <f>HYPERLINK("http://141.218.60.56/~jnz1568/getInfo.php?workbook=12_05.xlsx&amp;sheet=U0&amp;row=2530&amp;col=6&amp;number=3.6&amp;sourceID=14","3.6")</f>
        <v>3.6</v>
      </c>
      <c r="G2530" s="4" t="str">
        <f>HYPERLINK("http://141.218.60.56/~jnz1568/getInfo.php?workbook=12_05.xlsx&amp;sheet=U0&amp;row=2530&amp;col=7&amp;number=0.0297&amp;sourceID=14","0.0297")</f>
        <v>0.0297</v>
      </c>
    </row>
    <row r="2531" spans="1:7">
      <c r="A2531" s="3"/>
      <c r="B2531" s="3"/>
      <c r="C2531" s="3"/>
      <c r="D2531" s="3"/>
      <c r="E2531" s="3">
        <v>8</v>
      </c>
      <c r="F2531" s="4" t="str">
        <f>HYPERLINK("http://141.218.60.56/~jnz1568/getInfo.php?workbook=12_05.xlsx&amp;sheet=U0&amp;row=2531&amp;col=6&amp;number=3.7&amp;sourceID=14","3.7")</f>
        <v>3.7</v>
      </c>
      <c r="G2531" s="4" t="str">
        <f>HYPERLINK("http://141.218.60.56/~jnz1568/getInfo.php?workbook=12_05.xlsx&amp;sheet=U0&amp;row=2531&amp;col=7&amp;number=0.0297&amp;sourceID=14","0.0297")</f>
        <v>0.0297</v>
      </c>
    </row>
    <row r="2532" spans="1:7">
      <c r="A2532" s="3"/>
      <c r="B2532" s="3"/>
      <c r="C2532" s="3"/>
      <c r="D2532" s="3"/>
      <c r="E2532" s="3">
        <v>9</v>
      </c>
      <c r="F2532" s="4" t="str">
        <f>HYPERLINK("http://141.218.60.56/~jnz1568/getInfo.php?workbook=12_05.xlsx&amp;sheet=U0&amp;row=2532&amp;col=6&amp;number=3.8&amp;sourceID=14","3.8")</f>
        <v>3.8</v>
      </c>
      <c r="G2532" s="4" t="str">
        <f>HYPERLINK("http://141.218.60.56/~jnz1568/getInfo.php?workbook=12_05.xlsx&amp;sheet=U0&amp;row=2532&amp;col=7&amp;number=0.0296&amp;sourceID=14","0.0296")</f>
        <v>0.0296</v>
      </c>
    </row>
    <row r="2533" spans="1:7">
      <c r="A2533" s="3"/>
      <c r="B2533" s="3"/>
      <c r="C2533" s="3"/>
      <c r="D2533" s="3"/>
      <c r="E2533" s="3">
        <v>10</v>
      </c>
      <c r="F2533" s="4" t="str">
        <f>HYPERLINK("http://141.218.60.56/~jnz1568/getInfo.php?workbook=12_05.xlsx&amp;sheet=U0&amp;row=2533&amp;col=6&amp;number=3.9&amp;sourceID=14","3.9")</f>
        <v>3.9</v>
      </c>
      <c r="G2533" s="4" t="str">
        <f>HYPERLINK("http://141.218.60.56/~jnz1568/getInfo.php?workbook=12_05.xlsx&amp;sheet=U0&amp;row=2533&amp;col=7&amp;number=0.0296&amp;sourceID=14","0.0296")</f>
        <v>0.0296</v>
      </c>
    </row>
    <row r="2534" spans="1:7">
      <c r="A2534" s="3"/>
      <c r="B2534" s="3"/>
      <c r="C2534" s="3"/>
      <c r="D2534" s="3"/>
      <c r="E2534" s="3">
        <v>11</v>
      </c>
      <c r="F2534" s="4" t="str">
        <f>HYPERLINK("http://141.218.60.56/~jnz1568/getInfo.php?workbook=12_05.xlsx&amp;sheet=U0&amp;row=2534&amp;col=6&amp;number=4&amp;sourceID=14","4")</f>
        <v>4</v>
      </c>
      <c r="G2534" s="4" t="str">
        <f>HYPERLINK("http://141.218.60.56/~jnz1568/getInfo.php?workbook=12_05.xlsx&amp;sheet=U0&amp;row=2534&amp;col=7&amp;number=0.0296&amp;sourceID=14","0.0296")</f>
        <v>0.0296</v>
      </c>
    </row>
    <row r="2535" spans="1:7">
      <c r="A2535" s="3"/>
      <c r="B2535" s="3"/>
      <c r="C2535" s="3"/>
      <c r="D2535" s="3"/>
      <c r="E2535" s="3">
        <v>12</v>
      </c>
      <c r="F2535" s="4" t="str">
        <f>HYPERLINK("http://141.218.60.56/~jnz1568/getInfo.php?workbook=12_05.xlsx&amp;sheet=U0&amp;row=2535&amp;col=6&amp;number=4.1&amp;sourceID=14","4.1")</f>
        <v>4.1</v>
      </c>
      <c r="G2535" s="4" t="str">
        <f>HYPERLINK("http://141.218.60.56/~jnz1568/getInfo.php?workbook=12_05.xlsx&amp;sheet=U0&amp;row=2535&amp;col=7&amp;number=0.0295&amp;sourceID=14","0.0295")</f>
        <v>0.0295</v>
      </c>
    </row>
    <row r="2536" spans="1:7">
      <c r="A2536" s="3"/>
      <c r="B2536" s="3"/>
      <c r="C2536" s="3"/>
      <c r="D2536" s="3"/>
      <c r="E2536" s="3">
        <v>13</v>
      </c>
      <c r="F2536" s="4" t="str">
        <f>HYPERLINK("http://141.218.60.56/~jnz1568/getInfo.php?workbook=12_05.xlsx&amp;sheet=U0&amp;row=2536&amp;col=6&amp;number=4.2&amp;sourceID=14","4.2")</f>
        <v>4.2</v>
      </c>
      <c r="G2536" s="4" t="str">
        <f>HYPERLINK("http://141.218.60.56/~jnz1568/getInfo.php?workbook=12_05.xlsx&amp;sheet=U0&amp;row=2536&amp;col=7&amp;number=0.0295&amp;sourceID=14","0.0295")</f>
        <v>0.0295</v>
      </c>
    </row>
    <row r="2537" spans="1:7">
      <c r="A2537" s="3"/>
      <c r="B2537" s="3"/>
      <c r="C2537" s="3"/>
      <c r="D2537" s="3"/>
      <c r="E2537" s="3">
        <v>14</v>
      </c>
      <c r="F2537" s="4" t="str">
        <f>HYPERLINK("http://141.218.60.56/~jnz1568/getInfo.php?workbook=12_05.xlsx&amp;sheet=U0&amp;row=2537&amp;col=6&amp;number=4.3&amp;sourceID=14","4.3")</f>
        <v>4.3</v>
      </c>
      <c r="G2537" s="4" t="str">
        <f>HYPERLINK("http://141.218.60.56/~jnz1568/getInfo.php?workbook=12_05.xlsx&amp;sheet=U0&amp;row=2537&amp;col=7&amp;number=0.0294&amp;sourceID=14","0.0294")</f>
        <v>0.0294</v>
      </c>
    </row>
    <row r="2538" spans="1:7">
      <c r="A2538" s="3"/>
      <c r="B2538" s="3"/>
      <c r="C2538" s="3"/>
      <c r="D2538" s="3"/>
      <c r="E2538" s="3">
        <v>15</v>
      </c>
      <c r="F2538" s="4" t="str">
        <f>HYPERLINK("http://141.218.60.56/~jnz1568/getInfo.php?workbook=12_05.xlsx&amp;sheet=U0&amp;row=2538&amp;col=6&amp;number=4.4&amp;sourceID=14","4.4")</f>
        <v>4.4</v>
      </c>
      <c r="G2538" s="4" t="str">
        <f>HYPERLINK("http://141.218.60.56/~jnz1568/getInfo.php?workbook=12_05.xlsx&amp;sheet=U0&amp;row=2538&amp;col=7&amp;number=0.0294&amp;sourceID=14","0.0294")</f>
        <v>0.0294</v>
      </c>
    </row>
    <row r="2539" spans="1:7">
      <c r="A2539" s="3"/>
      <c r="B2539" s="3"/>
      <c r="C2539" s="3"/>
      <c r="D2539" s="3"/>
      <c r="E2539" s="3">
        <v>16</v>
      </c>
      <c r="F2539" s="4" t="str">
        <f>HYPERLINK("http://141.218.60.56/~jnz1568/getInfo.php?workbook=12_05.xlsx&amp;sheet=U0&amp;row=2539&amp;col=6&amp;number=4.5&amp;sourceID=14","4.5")</f>
        <v>4.5</v>
      </c>
      <c r="G2539" s="4" t="str">
        <f>HYPERLINK("http://141.218.60.56/~jnz1568/getInfo.php?workbook=12_05.xlsx&amp;sheet=U0&amp;row=2539&amp;col=7&amp;number=0.0293&amp;sourceID=14","0.0293")</f>
        <v>0.0293</v>
      </c>
    </row>
    <row r="2540" spans="1:7">
      <c r="A2540" s="3"/>
      <c r="B2540" s="3"/>
      <c r="C2540" s="3"/>
      <c r="D2540" s="3"/>
      <c r="E2540" s="3">
        <v>17</v>
      </c>
      <c r="F2540" s="4" t="str">
        <f>HYPERLINK("http://141.218.60.56/~jnz1568/getInfo.php?workbook=12_05.xlsx&amp;sheet=U0&amp;row=2540&amp;col=6&amp;number=4.6&amp;sourceID=14","4.6")</f>
        <v>4.6</v>
      </c>
      <c r="G2540" s="4" t="str">
        <f>HYPERLINK("http://141.218.60.56/~jnz1568/getInfo.php?workbook=12_05.xlsx&amp;sheet=U0&amp;row=2540&amp;col=7&amp;number=0.0292&amp;sourceID=14","0.0292")</f>
        <v>0.0292</v>
      </c>
    </row>
    <row r="2541" spans="1:7">
      <c r="A2541" s="3"/>
      <c r="B2541" s="3"/>
      <c r="C2541" s="3"/>
      <c r="D2541" s="3"/>
      <c r="E2541" s="3">
        <v>18</v>
      </c>
      <c r="F2541" s="4" t="str">
        <f>HYPERLINK("http://141.218.60.56/~jnz1568/getInfo.php?workbook=12_05.xlsx&amp;sheet=U0&amp;row=2541&amp;col=6&amp;number=4.7&amp;sourceID=14","4.7")</f>
        <v>4.7</v>
      </c>
      <c r="G2541" s="4" t="str">
        <f>HYPERLINK("http://141.218.60.56/~jnz1568/getInfo.php?workbook=12_05.xlsx&amp;sheet=U0&amp;row=2541&amp;col=7&amp;number=0.029&amp;sourceID=14","0.029")</f>
        <v>0.029</v>
      </c>
    </row>
    <row r="2542" spans="1:7">
      <c r="A2542" s="3"/>
      <c r="B2542" s="3"/>
      <c r="C2542" s="3"/>
      <c r="D2542" s="3"/>
      <c r="E2542" s="3">
        <v>19</v>
      </c>
      <c r="F2542" s="4" t="str">
        <f>HYPERLINK("http://141.218.60.56/~jnz1568/getInfo.php?workbook=12_05.xlsx&amp;sheet=U0&amp;row=2542&amp;col=6&amp;number=4.8&amp;sourceID=14","4.8")</f>
        <v>4.8</v>
      </c>
      <c r="G2542" s="4" t="str">
        <f>HYPERLINK("http://141.218.60.56/~jnz1568/getInfo.php?workbook=12_05.xlsx&amp;sheet=U0&amp;row=2542&amp;col=7&amp;number=0.0289&amp;sourceID=14","0.0289")</f>
        <v>0.0289</v>
      </c>
    </row>
    <row r="2543" spans="1:7">
      <c r="A2543" s="3"/>
      <c r="B2543" s="3"/>
      <c r="C2543" s="3"/>
      <c r="D2543" s="3"/>
      <c r="E2543" s="3">
        <v>20</v>
      </c>
      <c r="F2543" s="4" t="str">
        <f>HYPERLINK("http://141.218.60.56/~jnz1568/getInfo.php?workbook=12_05.xlsx&amp;sheet=U0&amp;row=2543&amp;col=6&amp;number=4.9&amp;sourceID=14","4.9")</f>
        <v>4.9</v>
      </c>
      <c r="G2543" s="4" t="str">
        <f>HYPERLINK("http://141.218.60.56/~jnz1568/getInfo.php?workbook=12_05.xlsx&amp;sheet=U0&amp;row=2543&amp;col=7&amp;number=0.0287&amp;sourceID=14","0.0287")</f>
        <v>0.0287</v>
      </c>
    </row>
    <row r="2544" spans="1:7">
      <c r="A2544" s="3">
        <v>12</v>
      </c>
      <c r="B2544" s="3">
        <v>5</v>
      </c>
      <c r="C2544" s="3">
        <v>1</v>
      </c>
      <c r="D2544" s="3">
        <v>88</v>
      </c>
      <c r="E2544" s="3">
        <v>1</v>
      </c>
      <c r="F2544" s="4" t="str">
        <f>HYPERLINK("http://141.218.60.56/~jnz1568/getInfo.php?workbook=12_05.xlsx&amp;sheet=U0&amp;row=2544&amp;col=6&amp;number=3&amp;sourceID=14","3")</f>
        <v>3</v>
      </c>
      <c r="G2544" s="4" t="str">
        <f>HYPERLINK("http://141.218.60.56/~jnz1568/getInfo.php?workbook=12_05.xlsx&amp;sheet=U0&amp;row=2544&amp;col=7&amp;number=0.00586&amp;sourceID=14","0.00586")</f>
        <v>0.00586</v>
      </c>
    </row>
    <row r="2545" spans="1:7">
      <c r="A2545" s="3"/>
      <c r="B2545" s="3"/>
      <c r="C2545" s="3"/>
      <c r="D2545" s="3"/>
      <c r="E2545" s="3">
        <v>2</v>
      </c>
      <c r="F2545" s="4" t="str">
        <f>HYPERLINK("http://141.218.60.56/~jnz1568/getInfo.php?workbook=12_05.xlsx&amp;sheet=U0&amp;row=2545&amp;col=6&amp;number=3.1&amp;sourceID=14","3.1")</f>
        <v>3.1</v>
      </c>
      <c r="G2545" s="4" t="str">
        <f>HYPERLINK("http://141.218.60.56/~jnz1568/getInfo.php?workbook=12_05.xlsx&amp;sheet=U0&amp;row=2545&amp;col=7&amp;number=0.00586&amp;sourceID=14","0.00586")</f>
        <v>0.00586</v>
      </c>
    </row>
    <row r="2546" spans="1:7">
      <c r="A2546" s="3"/>
      <c r="B2546" s="3"/>
      <c r="C2546" s="3"/>
      <c r="D2546" s="3"/>
      <c r="E2546" s="3">
        <v>3</v>
      </c>
      <c r="F2546" s="4" t="str">
        <f>HYPERLINK("http://141.218.60.56/~jnz1568/getInfo.php?workbook=12_05.xlsx&amp;sheet=U0&amp;row=2546&amp;col=6&amp;number=3.2&amp;sourceID=14","3.2")</f>
        <v>3.2</v>
      </c>
      <c r="G2546" s="4" t="str">
        <f>HYPERLINK("http://141.218.60.56/~jnz1568/getInfo.php?workbook=12_05.xlsx&amp;sheet=U0&amp;row=2546&amp;col=7&amp;number=0.00586&amp;sourceID=14","0.00586")</f>
        <v>0.00586</v>
      </c>
    </row>
    <row r="2547" spans="1:7">
      <c r="A2547" s="3"/>
      <c r="B2547" s="3"/>
      <c r="C2547" s="3"/>
      <c r="D2547" s="3"/>
      <c r="E2547" s="3">
        <v>4</v>
      </c>
      <c r="F2547" s="4" t="str">
        <f>HYPERLINK("http://141.218.60.56/~jnz1568/getInfo.php?workbook=12_05.xlsx&amp;sheet=U0&amp;row=2547&amp;col=6&amp;number=3.3&amp;sourceID=14","3.3")</f>
        <v>3.3</v>
      </c>
      <c r="G2547" s="4" t="str">
        <f>HYPERLINK("http://141.218.60.56/~jnz1568/getInfo.php?workbook=12_05.xlsx&amp;sheet=U0&amp;row=2547&amp;col=7&amp;number=0.00586&amp;sourceID=14","0.00586")</f>
        <v>0.00586</v>
      </c>
    </row>
    <row r="2548" spans="1:7">
      <c r="A2548" s="3"/>
      <c r="B2548" s="3"/>
      <c r="C2548" s="3"/>
      <c r="D2548" s="3"/>
      <c r="E2548" s="3">
        <v>5</v>
      </c>
      <c r="F2548" s="4" t="str">
        <f>HYPERLINK("http://141.218.60.56/~jnz1568/getInfo.php?workbook=12_05.xlsx&amp;sheet=U0&amp;row=2548&amp;col=6&amp;number=3.4&amp;sourceID=14","3.4")</f>
        <v>3.4</v>
      </c>
      <c r="G2548" s="4" t="str">
        <f>HYPERLINK("http://141.218.60.56/~jnz1568/getInfo.php?workbook=12_05.xlsx&amp;sheet=U0&amp;row=2548&amp;col=7&amp;number=0.00585&amp;sourceID=14","0.00585")</f>
        <v>0.00585</v>
      </c>
    </row>
    <row r="2549" spans="1:7">
      <c r="A2549" s="3"/>
      <c r="B2549" s="3"/>
      <c r="C2549" s="3"/>
      <c r="D2549" s="3"/>
      <c r="E2549" s="3">
        <v>6</v>
      </c>
      <c r="F2549" s="4" t="str">
        <f>HYPERLINK("http://141.218.60.56/~jnz1568/getInfo.php?workbook=12_05.xlsx&amp;sheet=U0&amp;row=2549&amp;col=6&amp;number=3.5&amp;sourceID=14","3.5")</f>
        <v>3.5</v>
      </c>
      <c r="G2549" s="4" t="str">
        <f>HYPERLINK("http://141.218.60.56/~jnz1568/getInfo.php?workbook=12_05.xlsx&amp;sheet=U0&amp;row=2549&amp;col=7&amp;number=0.00585&amp;sourceID=14","0.00585")</f>
        <v>0.00585</v>
      </c>
    </row>
    <row r="2550" spans="1:7">
      <c r="A2550" s="3"/>
      <c r="B2550" s="3"/>
      <c r="C2550" s="3"/>
      <c r="D2550" s="3"/>
      <c r="E2550" s="3">
        <v>7</v>
      </c>
      <c r="F2550" s="4" t="str">
        <f>HYPERLINK("http://141.218.60.56/~jnz1568/getInfo.php?workbook=12_05.xlsx&amp;sheet=U0&amp;row=2550&amp;col=6&amp;number=3.6&amp;sourceID=14","3.6")</f>
        <v>3.6</v>
      </c>
      <c r="G2550" s="4" t="str">
        <f>HYPERLINK("http://141.218.60.56/~jnz1568/getInfo.php?workbook=12_05.xlsx&amp;sheet=U0&amp;row=2550&amp;col=7&amp;number=0.00584&amp;sourceID=14","0.00584")</f>
        <v>0.00584</v>
      </c>
    </row>
    <row r="2551" spans="1:7">
      <c r="A2551" s="3"/>
      <c r="B2551" s="3"/>
      <c r="C2551" s="3"/>
      <c r="D2551" s="3"/>
      <c r="E2551" s="3">
        <v>8</v>
      </c>
      <c r="F2551" s="4" t="str">
        <f>HYPERLINK("http://141.218.60.56/~jnz1568/getInfo.php?workbook=12_05.xlsx&amp;sheet=U0&amp;row=2551&amp;col=6&amp;number=3.7&amp;sourceID=14","3.7")</f>
        <v>3.7</v>
      </c>
      <c r="G2551" s="4" t="str">
        <f>HYPERLINK("http://141.218.60.56/~jnz1568/getInfo.php?workbook=12_05.xlsx&amp;sheet=U0&amp;row=2551&amp;col=7&amp;number=0.00584&amp;sourceID=14","0.00584")</f>
        <v>0.00584</v>
      </c>
    </row>
    <row r="2552" spans="1:7">
      <c r="A2552" s="3"/>
      <c r="B2552" s="3"/>
      <c r="C2552" s="3"/>
      <c r="D2552" s="3"/>
      <c r="E2552" s="3">
        <v>9</v>
      </c>
      <c r="F2552" s="4" t="str">
        <f>HYPERLINK("http://141.218.60.56/~jnz1568/getInfo.php?workbook=12_05.xlsx&amp;sheet=U0&amp;row=2552&amp;col=6&amp;number=3.8&amp;sourceID=14","3.8")</f>
        <v>3.8</v>
      </c>
      <c r="G2552" s="4" t="str">
        <f>HYPERLINK("http://141.218.60.56/~jnz1568/getInfo.php?workbook=12_05.xlsx&amp;sheet=U0&amp;row=2552&amp;col=7&amp;number=0.00583&amp;sourceID=14","0.00583")</f>
        <v>0.00583</v>
      </c>
    </row>
    <row r="2553" spans="1:7">
      <c r="A2553" s="3"/>
      <c r="B2553" s="3"/>
      <c r="C2553" s="3"/>
      <c r="D2553" s="3"/>
      <c r="E2553" s="3">
        <v>10</v>
      </c>
      <c r="F2553" s="4" t="str">
        <f>HYPERLINK("http://141.218.60.56/~jnz1568/getInfo.php?workbook=12_05.xlsx&amp;sheet=U0&amp;row=2553&amp;col=6&amp;number=3.9&amp;sourceID=14","3.9")</f>
        <v>3.9</v>
      </c>
      <c r="G2553" s="4" t="str">
        <f>HYPERLINK("http://141.218.60.56/~jnz1568/getInfo.php?workbook=12_05.xlsx&amp;sheet=U0&amp;row=2553&amp;col=7&amp;number=0.00582&amp;sourceID=14","0.00582")</f>
        <v>0.00582</v>
      </c>
    </row>
    <row r="2554" spans="1:7">
      <c r="A2554" s="3"/>
      <c r="B2554" s="3"/>
      <c r="C2554" s="3"/>
      <c r="D2554" s="3"/>
      <c r="E2554" s="3">
        <v>11</v>
      </c>
      <c r="F2554" s="4" t="str">
        <f>HYPERLINK("http://141.218.60.56/~jnz1568/getInfo.php?workbook=12_05.xlsx&amp;sheet=U0&amp;row=2554&amp;col=6&amp;number=4&amp;sourceID=14","4")</f>
        <v>4</v>
      </c>
      <c r="G2554" s="4" t="str">
        <f>HYPERLINK("http://141.218.60.56/~jnz1568/getInfo.php?workbook=12_05.xlsx&amp;sheet=U0&amp;row=2554&amp;col=7&amp;number=0.00581&amp;sourceID=14","0.00581")</f>
        <v>0.00581</v>
      </c>
    </row>
    <row r="2555" spans="1:7">
      <c r="A2555" s="3"/>
      <c r="B2555" s="3"/>
      <c r="C2555" s="3"/>
      <c r="D2555" s="3"/>
      <c r="E2555" s="3">
        <v>12</v>
      </c>
      <c r="F2555" s="4" t="str">
        <f>HYPERLINK("http://141.218.60.56/~jnz1568/getInfo.php?workbook=12_05.xlsx&amp;sheet=U0&amp;row=2555&amp;col=6&amp;number=4.1&amp;sourceID=14","4.1")</f>
        <v>4.1</v>
      </c>
      <c r="G2555" s="4" t="str">
        <f>HYPERLINK("http://141.218.60.56/~jnz1568/getInfo.php?workbook=12_05.xlsx&amp;sheet=U0&amp;row=2555&amp;col=7&amp;number=0.0058&amp;sourceID=14","0.0058")</f>
        <v>0.0058</v>
      </c>
    </row>
    <row r="2556" spans="1:7">
      <c r="A2556" s="3"/>
      <c r="B2556" s="3"/>
      <c r="C2556" s="3"/>
      <c r="D2556" s="3"/>
      <c r="E2556" s="3">
        <v>13</v>
      </c>
      <c r="F2556" s="4" t="str">
        <f>HYPERLINK("http://141.218.60.56/~jnz1568/getInfo.php?workbook=12_05.xlsx&amp;sheet=U0&amp;row=2556&amp;col=6&amp;number=4.2&amp;sourceID=14","4.2")</f>
        <v>4.2</v>
      </c>
      <c r="G2556" s="4" t="str">
        <f>HYPERLINK("http://141.218.60.56/~jnz1568/getInfo.php?workbook=12_05.xlsx&amp;sheet=U0&amp;row=2556&amp;col=7&amp;number=0.00578&amp;sourceID=14","0.00578")</f>
        <v>0.00578</v>
      </c>
    </row>
    <row r="2557" spans="1:7">
      <c r="A2557" s="3"/>
      <c r="B2557" s="3"/>
      <c r="C2557" s="3"/>
      <c r="D2557" s="3"/>
      <c r="E2557" s="3">
        <v>14</v>
      </c>
      <c r="F2557" s="4" t="str">
        <f>HYPERLINK("http://141.218.60.56/~jnz1568/getInfo.php?workbook=12_05.xlsx&amp;sheet=U0&amp;row=2557&amp;col=6&amp;number=4.3&amp;sourceID=14","4.3")</f>
        <v>4.3</v>
      </c>
      <c r="G2557" s="4" t="str">
        <f>HYPERLINK("http://141.218.60.56/~jnz1568/getInfo.php?workbook=12_05.xlsx&amp;sheet=U0&amp;row=2557&amp;col=7&amp;number=0.00576&amp;sourceID=14","0.00576")</f>
        <v>0.00576</v>
      </c>
    </row>
    <row r="2558" spans="1:7">
      <c r="A2558" s="3"/>
      <c r="B2558" s="3"/>
      <c r="C2558" s="3"/>
      <c r="D2558" s="3"/>
      <c r="E2558" s="3">
        <v>15</v>
      </c>
      <c r="F2558" s="4" t="str">
        <f>HYPERLINK("http://141.218.60.56/~jnz1568/getInfo.php?workbook=12_05.xlsx&amp;sheet=U0&amp;row=2558&amp;col=6&amp;number=4.4&amp;sourceID=14","4.4")</f>
        <v>4.4</v>
      </c>
      <c r="G2558" s="4" t="str">
        <f>HYPERLINK("http://141.218.60.56/~jnz1568/getInfo.php?workbook=12_05.xlsx&amp;sheet=U0&amp;row=2558&amp;col=7&amp;number=0.00573&amp;sourceID=14","0.00573")</f>
        <v>0.00573</v>
      </c>
    </row>
    <row r="2559" spans="1:7">
      <c r="A2559" s="3"/>
      <c r="B2559" s="3"/>
      <c r="C2559" s="3"/>
      <c r="D2559" s="3"/>
      <c r="E2559" s="3">
        <v>16</v>
      </c>
      <c r="F2559" s="4" t="str">
        <f>HYPERLINK("http://141.218.60.56/~jnz1568/getInfo.php?workbook=12_05.xlsx&amp;sheet=U0&amp;row=2559&amp;col=6&amp;number=4.5&amp;sourceID=14","4.5")</f>
        <v>4.5</v>
      </c>
      <c r="G2559" s="4" t="str">
        <f>HYPERLINK("http://141.218.60.56/~jnz1568/getInfo.php?workbook=12_05.xlsx&amp;sheet=U0&amp;row=2559&amp;col=7&amp;number=0.0057&amp;sourceID=14","0.0057")</f>
        <v>0.0057</v>
      </c>
    </row>
    <row r="2560" spans="1:7">
      <c r="A2560" s="3"/>
      <c r="B2560" s="3"/>
      <c r="C2560" s="3"/>
      <c r="D2560" s="3"/>
      <c r="E2560" s="3">
        <v>17</v>
      </c>
      <c r="F2560" s="4" t="str">
        <f>HYPERLINK("http://141.218.60.56/~jnz1568/getInfo.php?workbook=12_05.xlsx&amp;sheet=U0&amp;row=2560&amp;col=6&amp;number=4.6&amp;sourceID=14","4.6")</f>
        <v>4.6</v>
      </c>
      <c r="G2560" s="4" t="str">
        <f>HYPERLINK("http://141.218.60.56/~jnz1568/getInfo.php?workbook=12_05.xlsx&amp;sheet=U0&amp;row=2560&amp;col=7&amp;number=0.00566&amp;sourceID=14","0.00566")</f>
        <v>0.00566</v>
      </c>
    </row>
    <row r="2561" spans="1:7">
      <c r="A2561" s="3"/>
      <c r="B2561" s="3"/>
      <c r="C2561" s="3"/>
      <c r="D2561" s="3"/>
      <c r="E2561" s="3">
        <v>18</v>
      </c>
      <c r="F2561" s="4" t="str">
        <f>HYPERLINK("http://141.218.60.56/~jnz1568/getInfo.php?workbook=12_05.xlsx&amp;sheet=U0&amp;row=2561&amp;col=6&amp;number=4.7&amp;sourceID=14","4.7")</f>
        <v>4.7</v>
      </c>
      <c r="G2561" s="4" t="str">
        <f>HYPERLINK("http://141.218.60.56/~jnz1568/getInfo.php?workbook=12_05.xlsx&amp;sheet=U0&amp;row=2561&amp;col=7&amp;number=0.00561&amp;sourceID=14","0.00561")</f>
        <v>0.00561</v>
      </c>
    </row>
    <row r="2562" spans="1:7">
      <c r="A2562" s="3"/>
      <c r="B2562" s="3"/>
      <c r="C2562" s="3"/>
      <c r="D2562" s="3"/>
      <c r="E2562" s="3">
        <v>19</v>
      </c>
      <c r="F2562" s="4" t="str">
        <f>HYPERLINK("http://141.218.60.56/~jnz1568/getInfo.php?workbook=12_05.xlsx&amp;sheet=U0&amp;row=2562&amp;col=6&amp;number=4.8&amp;sourceID=14","4.8")</f>
        <v>4.8</v>
      </c>
      <c r="G2562" s="4" t="str">
        <f>HYPERLINK("http://141.218.60.56/~jnz1568/getInfo.php?workbook=12_05.xlsx&amp;sheet=U0&amp;row=2562&amp;col=7&amp;number=0.00554&amp;sourceID=14","0.00554")</f>
        <v>0.00554</v>
      </c>
    </row>
    <row r="2563" spans="1:7">
      <c r="A2563" s="3"/>
      <c r="B2563" s="3"/>
      <c r="C2563" s="3"/>
      <c r="D2563" s="3"/>
      <c r="E2563" s="3">
        <v>20</v>
      </c>
      <c r="F2563" s="4" t="str">
        <f>HYPERLINK("http://141.218.60.56/~jnz1568/getInfo.php?workbook=12_05.xlsx&amp;sheet=U0&amp;row=2563&amp;col=6&amp;number=4.9&amp;sourceID=14","4.9")</f>
        <v>4.9</v>
      </c>
      <c r="G2563" s="4" t="str">
        <f>HYPERLINK("http://141.218.60.56/~jnz1568/getInfo.php?workbook=12_05.xlsx&amp;sheet=U0&amp;row=2563&amp;col=7&amp;number=0.00546&amp;sourceID=14","0.00546")</f>
        <v>0.00546</v>
      </c>
    </row>
    <row r="2564" spans="1:7">
      <c r="A2564" s="3">
        <v>12</v>
      </c>
      <c r="B2564" s="3">
        <v>5</v>
      </c>
      <c r="C2564" s="3">
        <v>1</v>
      </c>
      <c r="D2564" s="3">
        <v>89</v>
      </c>
      <c r="E2564" s="3">
        <v>1</v>
      </c>
      <c r="F2564" s="4" t="str">
        <f>HYPERLINK("http://141.218.60.56/~jnz1568/getInfo.php?workbook=12_05.xlsx&amp;sheet=U0&amp;row=2564&amp;col=6&amp;number=3&amp;sourceID=14","3")</f>
        <v>3</v>
      </c>
      <c r="G2564" s="4" t="str">
        <f>HYPERLINK("http://141.218.60.56/~jnz1568/getInfo.php?workbook=12_05.xlsx&amp;sheet=U0&amp;row=2564&amp;col=7&amp;number=0.00101&amp;sourceID=14","0.00101")</f>
        <v>0.00101</v>
      </c>
    </row>
    <row r="2565" spans="1:7">
      <c r="A2565" s="3"/>
      <c r="B2565" s="3"/>
      <c r="C2565" s="3"/>
      <c r="D2565" s="3"/>
      <c r="E2565" s="3">
        <v>2</v>
      </c>
      <c r="F2565" s="4" t="str">
        <f>HYPERLINK("http://141.218.60.56/~jnz1568/getInfo.php?workbook=12_05.xlsx&amp;sheet=U0&amp;row=2565&amp;col=6&amp;number=3.1&amp;sourceID=14","3.1")</f>
        <v>3.1</v>
      </c>
      <c r="G2565" s="4" t="str">
        <f>HYPERLINK("http://141.218.60.56/~jnz1568/getInfo.php?workbook=12_05.xlsx&amp;sheet=U0&amp;row=2565&amp;col=7&amp;number=0.00101&amp;sourceID=14","0.00101")</f>
        <v>0.00101</v>
      </c>
    </row>
    <row r="2566" spans="1:7">
      <c r="A2566" s="3"/>
      <c r="B2566" s="3"/>
      <c r="C2566" s="3"/>
      <c r="D2566" s="3"/>
      <c r="E2566" s="3">
        <v>3</v>
      </c>
      <c r="F2566" s="4" t="str">
        <f>HYPERLINK("http://141.218.60.56/~jnz1568/getInfo.php?workbook=12_05.xlsx&amp;sheet=U0&amp;row=2566&amp;col=6&amp;number=3.2&amp;sourceID=14","3.2")</f>
        <v>3.2</v>
      </c>
      <c r="G2566" s="4" t="str">
        <f>HYPERLINK("http://141.218.60.56/~jnz1568/getInfo.php?workbook=12_05.xlsx&amp;sheet=U0&amp;row=2566&amp;col=7&amp;number=0.00101&amp;sourceID=14","0.00101")</f>
        <v>0.00101</v>
      </c>
    </row>
    <row r="2567" spans="1:7">
      <c r="A2567" s="3"/>
      <c r="B2567" s="3"/>
      <c r="C2567" s="3"/>
      <c r="D2567" s="3"/>
      <c r="E2567" s="3">
        <v>4</v>
      </c>
      <c r="F2567" s="4" t="str">
        <f>HYPERLINK("http://141.218.60.56/~jnz1568/getInfo.php?workbook=12_05.xlsx&amp;sheet=U0&amp;row=2567&amp;col=6&amp;number=3.3&amp;sourceID=14","3.3")</f>
        <v>3.3</v>
      </c>
      <c r="G2567" s="4" t="str">
        <f>HYPERLINK("http://141.218.60.56/~jnz1568/getInfo.php?workbook=12_05.xlsx&amp;sheet=U0&amp;row=2567&amp;col=7&amp;number=0.00101&amp;sourceID=14","0.00101")</f>
        <v>0.00101</v>
      </c>
    </row>
    <row r="2568" spans="1:7">
      <c r="A2568" s="3"/>
      <c r="B2568" s="3"/>
      <c r="C2568" s="3"/>
      <c r="D2568" s="3"/>
      <c r="E2568" s="3">
        <v>5</v>
      </c>
      <c r="F2568" s="4" t="str">
        <f>HYPERLINK("http://141.218.60.56/~jnz1568/getInfo.php?workbook=12_05.xlsx&amp;sheet=U0&amp;row=2568&amp;col=6&amp;number=3.4&amp;sourceID=14","3.4")</f>
        <v>3.4</v>
      </c>
      <c r="G2568" s="4" t="str">
        <f>HYPERLINK("http://141.218.60.56/~jnz1568/getInfo.php?workbook=12_05.xlsx&amp;sheet=U0&amp;row=2568&amp;col=7&amp;number=0.00101&amp;sourceID=14","0.00101")</f>
        <v>0.00101</v>
      </c>
    </row>
    <row r="2569" spans="1:7">
      <c r="A2569" s="3"/>
      <c r="B2569" s="3"/>
      <c r="C2569" s="3"/>
      <c r="D2569" s="3"/>
      <c r="E2569" s="3">
        <v>6</v>
      </c>
      <c r="F2569" s="4" t="str">
        <f>HYPERLINK("http://141.218.60.56/~jnz1568/getInfo.php?workbook=12_05.xlsx&amp;sheet=U0&amp;row=2569&amp;col=6&amp;number=3.5&amp;sourceID=14","3.5")</f>
        <v>3.5</v>
      </c>
      <c r="G2569" s="4" t="str">
        <f>HYPERLINK("http://141.218.60.56/~jnz1568/getInfo.php?workbook=12_05.xlsx&amp;sheet=U0&amp;row=2569&amp;col=7&amp;number=0.00101&amp;sourceID=14","0.00101")</f>
        <v>0.00101</v>
      </c>
    </row>
    <row r="2570" spans="1:7">
      <c r="A2570" s="3"/>
      <c r="B2570" s="3"/>
      <c r="C2570" s="3"/>
      <c r="D2570" s="3"/>
      <c r="E2570" s="3">
        <v>7</v>
      </c>
      <c r="F2570" s="4" t="str">
        <f>HYPERLINK("http://141.218.60.56/~jnz1568/getInfo.php?workbook=12_05.xlsx&amp;sheet=U0&amp;row=2570&amp;col=6&amp;number=3.6&amp;sourceID=14","3.6")</f>
        <v>3.6</v>
      </c>
      <c r="G2570" s="4" t="str">
        <f>HYPERLINK("http://141.218.60.56/~jnz1568/getInfo.php?workbook=12_05.xlsx&amp;sheet=U0&amp;row=2570&amp;col=7&amp;number=0.00101&amp;sourceID=14","0.00101")</f>
        <v>0.00101</v>
      </c>
    </row>
    <row r="2571" spans="1:7">
      <c r="A2571" s="3"/>
      <c r="B2571" s="3"/>
      <c r="C2571" s="3"/>
      <c r="D2571" s="3"/>
      <c r="E2571" s="3">
        <v>8</v>
      </c>
      <c r="F2571" s="4" t="str">
        <f>HYPERLINK("http://141.218.60.56/~jnz1568/getInfo.php?workbook=12_05.xlsx&amp;sheet=U0&amp;row=2571&amp;col=6&amp;number=3.7&amp;sourceID=14","3.7")</f>
        <v>3.7</v>
      </c>
      <c r="G2571" s="4" t="str">
        <f>HYPERLINK("http://141.218.60.56/~jnz1568/getInfo.php?workbook=12_05.xlsx&amp;sheet=U0&amp;row=2571&amp;col=7&amp;number=0.00101&amp;sourceID=14","0.00101")</f>
        <v>0.00101</v>
      </c>
    </row>
    <row r="2572" spans="1:7">
      <c r="A2572" s="3"/>
      <c r="B2572" s="3"/>
      <c r="C2572" s="3"/>
      <c r="D2572" s="3"/>
      <c r="E2572" s="3">
        <v>9</v>
      </c>
      <c r="F2572" s="4" t="str">
        <f>HYPERLINK("http://141.218.60.56/~jnz1568/getInfo.php?workbook=12_05.xlsx&amp;sheet=U0&amp;row=2572&amp;col=6&amp;number=3.8&amp;sourceID=14","3.8")</f>
        <v>3.8</v>
      </c>
      <c r="G2572" s="4" t="str">
        <f>HYPERLINK("http://141.218.60.56/~jnz1568/getInfo.php?workbook=12_05.xlsx&amp;sheet=U0&amp;row=2572&amp;col=7&amp;number=0.00101&amp;sourceID=14","0.00101")</f>
        <v>0.00101</v>
      </c>
    </row>
    <row r="2573" spans="1:7">
      <c r="A2573" s="3"/>
      <c r="B2573" s="3"/>
      <c r="C2573" s="3"/>
      <c r="D2573" s="3"/>
      <c r="E2573" s="3">
        <v>10</v>
      </c>
      <c r="F2573" s="4" t="str">
        <f>HYPERLINK("http://141.218.60.56/~jnz1568/getInfo.php?workbook=12_05.xlsx&amp;sheet=U0&amp;row=2573&amp;col=6&amp;number=3.9&amp;sourceID=14","3.9")</f>
        <v>3.9</v>
      </c>
      <c r="G2573" s="4" t="str">
        <f>HYPERLINK("http://141.218.60.56/~jnz1568/getInfo.php?workbook=12_05.xlsx&amp;sheet=U0&amp;row=2573&amp;col=7&amp;number=0.00101&amp;sourceID=14","0.00101")</f>
        <v>0.00101</v>
      </c>
    </row>
    <row r="2574" spans="1:7">
      <c r="A2574" s="3"/>
      <c r="B2574" s="3"/>
      <c r="C2574" s="3"/>
      <c r="D2574" s="3"/>
      <c r="E2574" s="3">
        <v>11</v>
      </c>
      <c r="F2574" s="4" t="str">
        <f>HYPERLINK("http://141.218.60.56/~jnz1568/getInfo.php?workbook=12_05.xlsx&amp;sheet=U0&amp;row=2574&amp;col=6&amp;number=4&amp;sourceID=14","4")</f>
        <v>4</v>
      </c>
      <c r="G2574" s="4" t="str">
        <f>HYPERLINK("http://141.218.60.56/~jnz1568/getInfo.php?workbook=12_05.xlsx&amp;sheet=U0&amp;row=2574&amp;col=7&amp;number=0.00101&amp;sourceID=14","0.00101")</f>
        <v>0.00101</v>
      </c>
    </row>
    <row r="2575" spans="1:7">
      <c r="A2575" s="3"/>
      <c r="B2575" s="3"/>
      <c r="C2575" s="3"/>
      <c r="D2575" s="3"/>
      <c r="E2575" s="3">
        <v>12</v>
      </c>
      <c r="F2575" s="4" t="str">
        <f>HYPERLINK("http://141.218.60.56/~jnz1568/getInfo.php?workbook=12_05.xlsx&amp;sheet=U0&amp;row=2575&amp;col=6&amp;number=4.1&amp;sourceID=14","4.1")</f>
        <v>4.1</v>
      </c>
      <c r="G2575" s="4" t="str">
        <f>HYPERLINK("http://141.218.60.56/~jnz1568/getInfo.php?workbook=12_05.xlsx&amp;sheet=U0&amp;row=2575&amp;col=7&amp;number=0.001&amp;sourceID=14","0.001")</f>
        <v>0.001</v>
      </c>
    </row>
    <row r="2576" spans="1:7">
      <c r="A2576" s="3"/>
      <c r="B2576" s="3"/>
      <c r="C2576" s="3"/>
      <c r="D2576" s="3"/>
      <c r="E2576" s="3">
        <v>13</v>
      </c>
      <c r="F2576" s="4" t="str">
        <f>HYPERLINK("http://141.218.60.56/~jnz1568/getInfo.php?workbook=12_05.xlsx&amp;sheet=U0&amp;row=2576&amp;col=6&amp;number=4.2&amp;sourceID=14","4.2")</f>
        <v>4.2</v>
      </c>
      <c r="G2576" s="4" t="str">
        <f>HYPERLINK("http://141.218.60.56/~jnz1568/getInfo.php?workbook=12_05.xlsx&amp;sheet=U0&amp;row=2576&amp;col=7&amp;number=0.001&amp;sourceID=14","0.001")</f>
        <v>0.001</v>
      </c>
    </row>
    <row r="2577" spans="1:7">
      <c r="A2577" s="3"/>
      <c r="B2577" s="3"/>
      <c r="C2577" s="3"/>
      <c r="D2577" s="3"/>
      <c r="E2577" s="3">
        <v>14</v>
      </c>
      <c r="F2577" s="4" t="str">
        <f>HYPERLINK("http://141.218.60.56/~jnz1568/getInfo.php?workbook=12_05.xlsx&amp;sheet=U0&amp;row=2577&amp;col=6&amp;number=4.3&amp;sourceID=14","4.3")</f>
        <v>4.3</v>
      </c>
      <c r="G2577" s="4" t="str">
        <f>HYPERLINK("http://141.218.60.56/~jnz1568/getInfo.php?workbook=12_05.xlsx&amp;sheet=U0&amp;row=2577&amp;col=7&amp;number=0.000998&amp;sourceID=14","0.000998")</f>
        <v>0.000998</v>
      </c>
    </row>
    <row r="2578" spans="1:7">
      <c r="A2578" s="3"/>
      <c r="B2578" s="3"/>
      <c r="C2578" s="3"/>
      <c r="D2578" s="3"/>
      <c r="E2578" s="3">
        <v>15</v>
      </c>
      <c r="F2578" s="4" t="str">
        <f>HYPERLINK("http://141.218.60.56/~jnz1568/getInfo.php?workbook=12_05.xlsx&amp;sheet=U0&amp;row=2578&amp;col=6&amp;number=4.4&amp;sourceID=14","4.4")</f>
        <v>4.4</v>
      </c>
      <c r="G2578" s="4" t="str">
        <f>HYPERLINK("http://141.218.60.56/~jnz1568/getInfo.php?workbook=12_05.xlsx&amp;sheet=U0&amp;row=2578&amp;col=7&amp;number=0.000993&amp;sourceID=14","0.000993")</f>
        <v>0.000993</v>
      </c>
    </row>
    <row r="2579" spans="1:7">
      <c r="A2579" s="3"/>
      <c r="B2579" s="3"/>
      <c r="C2579" s="3"/>
      <c r="D2579" s="3"/>
      <c r="E2579" s="3">
        <v>16</v>
      </c>
      <c r="F2579" s="4" t="str">
        <f>HYPERLINK("http://141.218.60.56/~jnz1568/getInfo.php?workbook=12_05.xlsx&amp;sheet=U0&amp;row=2579&amp;col=6&amp;number=4.5&amp;sourceID=14","4.5")</f>
        <v>4.5</v>
      </c>
      <c r="G2579" s="4" t="str">
        <f>HYPERLINK("http://141.218.60.56/~jnz1568/getInfo.php?workbook=12_05.xlsx&amp;sheet=U0&amp;row=2579&amp;col=7&amp;number=0.000988&amp;sourceID=14","0.000988")</f>
        <v>0.000988</v>
      </c>
    </row>
    <row r="2580" spans="1:7">
      <c r="A2580" s="3"/>
      <c r="B2580" s="3"/>
      <c r="C2580" s="3"/>
      <c r="D2580" s="3"/>
      <c r="E2580" s="3">
        <v>17</v>
      </c>
      <c r="F2580" s="4" t="str">
        <f>HYPERLINK("http://141.218.60.56/~jnz1568/getInfo.php?workbook=12_05.xlsx&amp;sheet=U0&amp;row=2580&amp;col=6&amp;number=4.6&amp;sourceID=14","4.6")</f>
        <v>4.6</v>
      </c>
      <c r="G2580" s="4" t="str">
        <f>HYPERLINK("http://141.218.60.56/~jnz1568/getInfo.php?workbook=12_05.xlsx&amp;sheet=U0&amp;row=2580&amp;col=7&amp;number=0.000981&amp;sourceID=14","0.000981")</f>
        <v>0.000981</v>
      </c>
    </row>
    <row r="2581" spans="1:7">
      <c r="A2581" s="3"/>
      <c r="B2581" s="3"/>
      <c r="C2581" s="3"/>
      <c r="D2581" s="3"/>
      <c r="E2581" s="3">
        <v>18</v>
      </c>
      <c r="F2581" s="4" t="str">
        <f>HYPERLINK("http://141.218.60.56/~jnz1568/getInfo.php?workbook=12_05.xlsx&amp;sheet=U0&amp;row=2581&amp;col=6&amp;number=4.7&amp;sourceID=14","4.7")</f>
        <v>4.7</v>
      </c>
      <c r="G2581" s="4" t="str">
        <f>HYPERLINK("http://141.218.60.56/~jnz1568/getInfo.php?workbook=12_05.xlsx&amp;sheet=U0&amp;row=2581&amp;col=7&amp;number=0.000972&amp;sourceID=14","0.000972")</f>
        <v>0.000972</v>
      </c>
    </row>
    <row r="2582" spans="1:7">
      <c r="A2582" s="3"/>
      <c r="B2582" s="3"/>
      <c r="C2582" s="3"/>
      <c r="D2582" s="3"/>
      <c r="E2582" s="3">
        <v>19</v>
      </c>
      <c r="F2582" s="4" t="str">
        <f>HYPERLINK("http://141.218.60.56/~jnz1568/getInfo.php?workbook=12_05.xlsx&amp;sheet=U0&amp;row=2582&amp;col=6&amp;number=4.8&amp;sourceID=14","4.8")</f>
        <v>4.8</v>
      </c>
      <c r="G2582" s="4" t="str">
        <f>HYPERLINK("http://141.218.60.56/~jnz1568/getInfo.php?workbook=12_05.xlsx&amp;sheet=U0&amp;row=2582&amp;col=7&amp;number=0.000962&amp;sourceID=14","0.000962")</f>
        <v>0.000962</v>
      </c>
    </row>
    <row r="2583" spans="1:7">
      <c r="A2583" s="3"/>
      <c r="B2583" s="3"/>
      <c r="C2583" s="3"/>
      <c r="D2583" s="3"/>
      <c r="E2583" s="3">
        <v>20</v>
      </c>
      <c r="F2583" s="4" t="str">
        <f>HYPERLINK("http://141.218.60.56/~jnz1568/getInfo.php?workbook=12_05.xlsx&amp;sheet=U0&amp;row=2583&amp;col=6&amp;number=4.9&amp;sourceID=14","4.9")</f>
        <v>4.9</v>
      </c>
      <c r="G2583" s="4" t="str">
        <f>HYPERLINK("http://141.218.60.56/~jnz1568/getInfo.php?workbook=12_05.xlsx&amp;sheet=U0&amp;row=2583&amp;col=7&amp;number=0.000949&amp;sourceID=14","0.000949")</f>
        <v>0.000949</v>
      </c>
    </row>
    <row r="2584" spans="1:7">
      <c r="A2584" s="3">
        <v>12</v>
      </c>
      <c r="B2584" s="3">
        <v>5</v>
      </c>
      <c r="C2584" s="3">
        <v>1</v>
      </c>
      <c r="D2584" s="3">
        <v>90</v>
      </c>
      <c r="E2584" s="3">
        <v>1</v>
      </c>
      <c r="F2584" s="4" t="str">
        <f>HYPERLINK("http://141.218.60.56/~jnz1568/getInfo.php?workbook=12_05.xlsx&amp;sheet=U0&amp;row=2584&amp;col=6&amp;number=3&amp;sourceID=14","3")</f>
        <v>3</v>
      </c>
      <c r="G2584" s="4" t="str">
        <f>HYPERLINK("http://141.218.60.56/~jnz1568/getInfo.php?workbook=12_05.xlsx&amp;sheet=U0&amp;row=2584&amp;col=7&amp;number=0.0115&amp;sourceID=14","0.0115")</f>
        <v>0.0115</v>
      </c>
    </row>
    <row r="2585" spans="1:7">
      <c r="A2585" s="3"/>
      <c r="B2585" s="3"/>
      <c r="C2585" s="3"/>
      <c r="D2585" s="3"/>
      <c r="E2585" s="3">
        <v>2</v>
      </c>
      <c r="F2585" s="4" t="str">
        <f>HYPERLINK("http://141.218.60.56/~jnz1568/getInfo.php?workbook=12_05.xlsx&amp;sheet=U0&amp;row=2585&amp;col=6&amp;number=3.1&amp;sourceID=14","3.1")</f>
        <v>3.1</v>
      </c>
      <c r="G2585" s="4" t="str">
        <f>HYPERLINK("http://141.218.60.56/~jnz1568/getInfo.php?workbook=12_05.xlsx&amp;sheet=U0&amp;row=2585&amp;col=7&amp;number=0.0115&amp;sourceID=14","0.0115")</f>
        <v>0.0115</v>
      </c>
    </row>
    <row r="2586" spans="1:7">
      <c r="A2586" s="3"/>
      <c r="B2586" s="3"/>
      <c r="C2586" s="3"/>
      <c r="D2586" s="3"/>
      <c r="E2586" s="3">
        <v>3</v>
      </c>
      <c r="F2586" s="4" t="str">
        <f>HYPERLINK("http://141.218.60.56/~jnz1568/getInfo.php?workbook=12_05.xlsx&amp;sheet=U0&amp;row=2586&amp;col=6&amp;number=3.2&amp;sourceID=14","3.2")</f>
        <v>3.2</v>
      </c>
      <c r="G2586" s="4" t="str">
        <f>HYPERLINK("http://141.218.60.56/~jnz1568/getInfo.php?workbook=12_05.xlsx&amp;sheet=U0&amp;row=2586&amp;col=7&amp;number=0.0115&amp;sourceID=14","0.0115")</f>
        <v>0.0115</v>
      </c>
    </row>
    <row r="2587" spans="1:7">
      <c r="A2587" s="3"/>
      <c r="B2587" s="3"/>
      <c r="C2587" s="3"/>
      <c r="D2587" s="3"/>
      <c r="E2587" s="3">
        <v>4</v>
      </c>
      <c r="F2587" s="4" t="str">
        <f>HYPERLINK("http://141.218.60.56/~jnz1568/getInfo.php?workbook=12_05.xlsx&amp;sheet=U0&amp;row=2587&amp;col=6&amp;number=3.3&amp;sourceID=14","3.3")</f>
        <v>3.3</v>
      </c>
      <c r="G2587" s="4" t="str">
        <f>HYPERLINK("http://141.218.60.56/~jnz1568/getInfo.php?workbook=12_05.xlsx&amp;sheet=U0&amp;row=2587&amp;col=7&amp;number=0.0115&amp;sourceID=14","0.0115")</f>
        <v>0.0115</v>
      </c>
    </row>
    <row r="2588" spans="1:7">
      <c r="A2588" s="3"/>
      <c r="B2588" s="3"/>
      <c r="C2588" s="3"/>
      <c r="D2588" s="3"/>
      <c r="E2588" s="3">
        <v>5</v>
      </c>
      <c r="F2588" s="4" t="str">
        <f>HYPERLINK("http://141.218.60.56/~jnz1568/getInfo.php?workbook=12_05.xlsx&amp;sheet=U0&amp;row=2588&amp;col=6&amp;number=3.4&amp;sourceID=14","3.4")</f>
        <v>3.4</v>
      </c>
      <c r="G2588" s="4" t="str">
        <f>HYPERLINK("http://141.218.60.56/~jnz1568/getInfo.php?workbook=12_05.xlsx&amp;sheet=U0&amp;row=2588&amp;col=7&amp;number=0.0115&amp;sourceID=14","0.0115")</f>
        <v>0.0115</v>
      </c>
    </row>
    <row r="2589" spans="1:7">
      <c r="A2589" s="3"/>
      <c r="B2589" s="3"/>
      <c r="C2589" s="3"/>
      <c r="D2589" s="3"/>
      <c r="E2589" s="3">
        <v>6</v>
      </c>
      <c r="F2589" s="4" t="str">
        <f>HYPERLINK("http://141.218.60.56/~jnz1568/getInfo.php?workbook=12_05.xlsx&amp;sheet=U0&amp;row=2589&amp;col=6&amp;number=3.5&amp;sourceID=14","3.5")</f>
        <v>3.5</v>
      </c>
      <c r="G2589" s="4" t="str">
        <f>HYPERLINK("http://141.218.60.56/~jnz1568/getInfo.php?workbook=12_05.xlsx&amp;sheet=U0&amp;row=2589&amp;col=7&amp;number=0.0115&amp;sourceID=14","0.0115")</f>
        <v>0.0115</v>
      </c>
    </row>
    <row r="2590" spans="1:7">
      <c r="A2590" s="3"/>
      <c r="B2590" s="3"/>
      <c r="C2590" s="3"/>
      <c r="D2590" s="3"/>
      <c r="E2590" s="3">
        <v>7</v>
      </c>
      <c r="F2590" s="4" t="str">
        <f>HYPERLINK("http://141.218.60.56/~jnz1568/getInfo.php?workbook=12_05.xlsx&amp;sheet=U0&amp;row=2590&amp;col=6&amp;number=3.6&amp;sourceID=14","3.6")</f>
        <v>3.6</v>
      </c>
      <c r="G2590" s="4" t="str">
        <f>HYPERLINK("http://141.218.60.56/~jnz1568/getInfo.php?workbook=12_05.xlsx&amp;sheet=U0&amp;row=2590&amp;col=7&amp;number=0.0115&amp;sourceID=14","0.0115")</f>
        <v>0.0115</v>
      </c>
    </row>
    <row r="2591" spans="1:7">
      <c r="A2591" s="3"/>
      <c r="B2591" s="3"/>
      <c r="C2591" s="3"/>
      <c r="D2591" s="3"/>
      <c r="E2591" s="3">
        <v>8</v>
      </c>
      <c r="F2591" s="4" t="str">
        <f>HYPERLINK("http://141.218.60.56/~jnz1568/getInfo.php?workbook=12_05.xlsx&amp;sheet=U0&amp;row=2591&amp;col=6&amp;number=3.7&amp;sourceID=14","3.7")</f>
        <v>3.7</v>
      </c>
      <c r="G2591" s="4" t="str">
        <f>HYPERLINK("http://141.218.60.56/~jnz1568/getInfo.php?workbook=12_05.xlsx&amp;sheet=U0&amp;row=2591&amp;col=7&amp;number=0.0115&amp;sourceID=14","0.0115")</f>
        <v>0.0115</v>
      </c>
    </row>
    <row r="2592" spans="1:7">
      <c r="A2592" s="3"/>
      <c r="B2592" s="3"/>
      <c r="C2592" s="3"/>
      <c r="D2592" s="3"/>
      <c r="E2592" s="3">
        <v>9</v>
      </c>
      <c r="F2592" s="4" t="str">
        <f>HYPERLINK("http://141.218.60.56/~jnz1568/getInfo.php?workbook=12_05.xlsx&amp;sheet=U0&amp;row=2592&amp;col=6&amp;number=3.8&amp;sourceID=14","3.8")</f>
        <v>3.8</v>
      </c>
      <c r="G2592" s="4" t="str">
        <f>HYPERLINK("http://141.218.60.56/~jnz1568/getInfo.php?workbook=12_05.xlsx&amp;sheet=U0&amp;row=2592&amp;col=7&amp;number=0.0115&amp;sourceID=14","0.0115")</f>
        <v>0.0115</v>
      </c>
    </row>
    <row r="2593" spans="1:7">
      <c r="A2593" s="3"/>
      <c r="B2593" s="3"/>
      <c r="C2593" s="3"/>
      <c r="D2593" s="3"/>
      <c r="E2593" s="3">
        <v>10</v>
      </c>
      <c r="F2593" s="4" t="str">
        <f>HYPERLINK("http://141.218.60.56/~jnz1568/getInfo.php?workbook=12_05.xlsx&amp;sheet=U0&amp;row=2593&amp;col=6&amp;number=3.9&amp;sourceID=14","3.9")</f>
        <v>3.9</v>
      </c>
      <c r="G2593" s="4" t="str">
        <f>HYPERLINK("http://141.218.60.56/~jnz1568/getInfo.php?workbook=12_05.xlsx&amp;sheet=U0&amp;row=2593&amp;col=7&amp;number=0.0115&amp;sourceID=14","0.0115")</f>
        <v>0.0115</v>
      </c>
    </row>
    <row r="2594" spans="1:7">
      <c r="A2594" s="3"/>
      <c r="B2594" s="3"/>
      <c r="C2594" s="3"/>
      <c r="D2594" s="3"/>
      <c r="E2594" s="3">
        <v>11</v>
      </c>
      <c r="F2594" s="4" t="str">
        <f>HYPERLINK("http://141.218.60.56/~jnz1568/getInfo.php?workbook=12_05.xlsx&amp;sheet=U0&amp;row=2594&amp;col=6&amp;number=4&amp;sourceID=14","4")</f>
        <v>4</v>
      </c>
      <c r="G2594" s="4" t="str">
        <f>HYPERLINK("http://141.218.60.56/~jnz1568/getInfo.php?workbook=12_05.xlsx&amp;sheet=U0&amp;row=2594&amp;col=7&amp;number=0.0114&amp;sourceID=14","0.0114")</f>
        <v>0.0114</v>
      </c>
    </row>
    <row r="2595" spans="1:7">
      <c r="A2595" s="3"/>
      <c r="B2595" s="3"/>
      <c r="C2595" s="3"/>
      <c r="D2595" s="3"/>
      <c r="E2595" s="3">
        <v>12</v>
      </c>
      <c r="F2595" s="4" t="str">
        <f>HYPERLINK("http://141.218.60.56/~jnz1568/getInfo.php?workbook=12_05.xlsx&amp;sheet=U0&amp;row=2595&amp;col=6&amp;number=4.1&amp;sourceID=14","4.1")</f>
        <v>4.1</v>
      </c>
      <c r="G2595" s="4" t="str">
        <f>HYPERLINK("http://141.218.60.56/~jnz1568/getInfo.php?workbook=12_05.xlsx&amp;sheet=U0&amp;row=2595&amp;col=7&amp;number=0.0114&amp;sourceID=14","0.0114")</f>
        <v>0.0114</v>
      </c>
    </row>
    <row r="2596" spans="1:7">
      <c r="A2596" s="3"/>
      <c r="B2596" s="3"/>
      <c r="C2596" s="3"/>
      <c r="D2596" s="3"/>
      <c r="E2596" s="3">
        <v>13</v>
      </c>
      <c r="F2596" s="4" t="str">
        <f>HYPERLINK("http://141.218.60.56/~jnz1568/getInfo.php?workbook=12_05.xlsx&amp;sheet=U0&amp;row=2596&amp;col=6&amp;number=4.2&amp;sourceID=14","4.2")</f>
        <v>4.2</v>
      </c>
      <c r="G2596" s="4" t="str">
        <f>HYPERLINK("http://141.218.60.56/~jnz1568/getInfo.php?workbook=12_05.xlsx&amp;sheet=U0&amp;row=2596&amp;col=7&amp;number=0.0114&amp;sourceID=14","0.0114")</f>
        <v>0.0114</v>
      </c>
    </row>
    <row r="2597" spans="1:7">
      <c r="A2597" s="3"/>
      <c r="B2597" s="3"/>
      <c r="C2597" s="3"/>
      <c r="D2597" s="3"/>
      <c r="E2597" s="3">
        <v>14</v>
      </c>
      <c r="F2597" s="4" t="str">
        <f>HYPERLINK("http://141.218.60.56/~jnz1568/getInfo.php?workbook=12_05.xlsx&amp;sheet=U0&amp;row=2597&amp;col=6&amp;number=4.3&amp;sourceID=14","4.3")</f>
        <v>4.3</v>
      </c>
      <c r="G2597" s="4" t="str">
        <f>HYPERLINK("http://141.218.60.56/~jnz1568/getInfo.php?workbook=12_05.xlsx&amp;sheet=U0&amp;row=2597&amp;col=7&amp;number=0.0113&amp;sourceID=14","0.0113")</f>
        <v>0.0113</v>
      </c>
    </row>
    <row r="2598" spans="1:7">
      <c r="A2598" s="3"/>
      <c r="B2598" s="3"/>
      <c r="C2598" s="3"/>
      <c r="D2598" s="3"/>
      <c r="E2598" s="3">
        <v>15</v>
      </c>
      <c r="F2598" s="4" t="str">
        <f>HYPERLINK("http://141.218.60.56/~jnz1568/getInfo.php?workbook=12_05.xlsx&amp;sheet=U0&amp;row=2598&amp;col=6&amp;number=4.4&amp;sourceID=14","4.4")</f>
        <v>4.4</v>
      </c>
      <c r="G2598" s="4" t="str">
        <f>HYPERLINK("http://141.218.60.56/~jnz1568/getInfo.php?workbook=12_05.xlsx&amp;sheet=U0&amp;row=2598&amp;col=7&amp;number=0.0113&amp;sourceID=14","0.0113")</f>
        <v>0.0113</v>
      </c>
    </row>
    <row r="2599" spans="1:7">
      <c r="A2599" s="3"/>
      <c r="B2599" s="3"/>
      <c r="C2599" s="3"/>
      <c r="D2599" s="3"/>
      <c r="E2599" s="3">
        <v>16</v>
      </c>
      <c r="F2599" s="4" t="str">
        <f>HYPERLINK("http://141.218.60.56/~jnz1568/getInfo.php?workbook=12_05.xlsx&amp;sheet=U0&amp;row=2599&amp;col=6&amp;number=4.5&amp;sourceID=14","4.5")</f>
        <v>4.5</v>
      </c>
      <c r="G2599" s="4" t="str">
        <f>HYPERLINK("http://141.218.60.56/~jnz1568/getInfo.php?workbook=12_05.xlsx&amp;sheet=U0&amp;row=2599&amp;col=7&amp;number=0.0112&amp;sourceID=14","0.0112")</f>
        <v>0.0112</v>
      </c>
    </row>
    <row r="2600" spans="1:7">
      <c r="A2600" s="3"/>
      <c r="B2600" s="3"/>
      <c r="C2600" s="3"/>
      <c r="D2600" s="3"/>
      <c r="E2600" s="3">
        <v>17</v>
      </c>
      <c r="F2600" s="4" t="str">
        <f>HYPERLINK("http://141.218.60.56/~jnz1568/getInfo.php?workbook=12_05.xlsx&amp;sheet=U0&amp;row=2600&amp;col=6&amp;number=4.6&amp;sourceID=14","4.6")</f>
        <v>4.6</v>
      </c>
      <c r="G2600" s="4" t="str">
        <f>HYPERLINK("http://141.218.60.56/~jnz1568/getInfo.php?workbook=12_05.xlsx&amp;sheet=U0&amp;row=2600&amp;col=7&amp;number=0.0111&amp;sourceID=14","0.0111")</f>
        <v>0.0111</v>
      </c>
    </row>
    <row r="2601" spans="1:7">
      <c r="A2601" s="3"/>
      <c r="B2601" s="3"/>
      <c r="C2601" s="3"/>
      <c r="D2601" s="3"/>
      <c r="E2601" s="3">
        <v>18</v>
      </c>
      <c r="F2601" s="4" t="str">
        <f>HYPERLINK("http://141.218.60.56/~jnz1568/getInfo.php?workbook=12_05.xlsx&amp;sheet=U0&amp;row=2601&amp;col=6&amp;number=4.7&amp;sourceID=14","4.7")</f>
        <v>4.7</v>
      </c>
      <c r="G2601" s="4" t="str">
        <f>HYPERLINK("http://141.218.60.56/~jnz1568/getInfo.php?workbook=12_05.xlsx&amp;sheet=U0&amp;row=2601&amp;col=7&amp;number=0.011&amp;sourceID=14","0.011")</f>
        <v>0.011</v>
      </c>
    </row>
    <row r="2602" spans="1:7">
      <c r="A2602" s="3"/>
      <c r="B2602" s="3"/>
      <c r="C2602" s="3"/>
      <c r="D2602" s="3"/>
      <c r="E2602" s="3">
        <v>19</v>
      </c>
      <c r="F2602" s="4" t="str">
        <f>HYPERLINK("http://141.218.60.56/~jnz1568/getInfo.php?workbook=12_05.xlsx&amp;sheet=U0&amp;row=2602&amp;col=6&amp;number=4.8&amp;sourceID=14","4.8")</f>
        <v>4.8</v>
      </c>
      <c r="G2602" s="4" t="str">
        <f>HYPERLINK("http://141.218.60.56/~jnz1568/getInfo.php?workbook=12_05.xlsx&amp;sheet=U0&amp;row=2602&amp;col=7&amp;number=0.0109&amp;sourceID=14","0.0109")</f>
        <v>0.0109</v>
      </c>
    </row>
    <row r="2603" spans="1:7">
      <c r="A2603" s="3"/>
      <c r="B2603" s="3"/>
      <c r="C2603" s="3"/>
      <c r="D2603" s="3"/>
      <c r="E2603" s="3">
        <v>20</v>
      </c>
      <c r="F2603" s="4" t="str">
        <f>HYPERLINK("http://141.218.60.56/~jnz1568/getInfo.php?workbook=12_05.xlsx&amp;sheet=U0&amp;row=2603&amp;col=6&amp;number=4.9&amp;sourceID=14","4.9")</f>
        <v>4.9</v>
      </c>
      <c r="G2603" s="4" t="str">
        <f>HYPERLINK("http://141.218.60.56/~jnz1568/getInfo.php?workbook=12_05.xlsx&amp;sheet=U0&amp;row=2603&amp;col=7&amp;number=0.0107&amp;sourceID=14","0.0107")</f>
        <v>0.0107</v>
      </c>
    </row>
    <row r="2604" spans="1:7">
      <c r="A2604" s="3">
        <v>12</v>
      </c>
      <c r="B2604" s="3">
        <v>5</v>
      </c>
      <c r="C2604" s="3">
        <v>1</v>
      </c>
      <c r="D2604" s="3">
        <v>91</v>
      </c>
      <c r="E2604" s="3">
        <v>1</v>
      </c>
      <c r="F2604" s="4" t="str">
        <f>HYPERLINK("http://141.218.60.56/~jnz1568/getInfo.php?workbook=12_05.xlsx&amp;sheet=U0&amp;row=2604&amp;col=6&amp;number=3&amp;sourceID=14","3")</f>
        <v>3</v>
      </c>
      <c r="G2604" s="4" t="str">
        <f>HYPERLINK("http://141.218.60.56/~jnz1568/getInfo.php?workbook=12_05.xlsx&amp;sheet=U0&amp;row=2604&amp;col=7&amp;number=0.00781&amp;sourceID=14","0.00781")</f>
        <v>0.00781</v>
      </c>
    </row>
    <row r="2605" spans="1:7">
      <c r="A2605" s="3"/>
      <c r="B2605" s="3"/>
      <c r="C2605" s="3"/>
      <c r="D2605" s="3"/>
      <c r="E2605" s="3">
        <v>2</v>
      </c>
      <c r="F2605" s="4" t="str">
        <f>HYPERLINK("http://141.218.60.56/~jnz1568/getInfo.php?workbook=12_05.xlsx&amp;sheet=U0&amp;row=2605&amp;col=6&amp;number=3.1&amp;sourceID=14","3.1")</f>
        <v>3.1</v>
      </c>
      <c r="G2605" s="4" t="str">
        <f>HYPERLINK("http://141.218.60.56/~jnz1568/getInfo.php?workbook=12_05.xlsx&amp;sheet=U0&amp;row=2605&amp;col=7&amp;number=0.00781&amp;sourceID=14","0.00781")</f>
        <v>0.00781</v>
      </c>
    </row>
    <row r="2606" spans="1:7">
      <c r="A2606" s="3"/>
      <c r="B2606" s="3"/>
      <c r="C2606" s="3"/>
      <c r="D2606" s="3"/>
      <c r="E2606" s="3">
        <v>3</v>
      </c>
      <c r="F2606" s="4" t="str">
        <f>HYPERLINK("http://141.218.60.56/~jnz1568/getInfo.php?workbook=12_05.xlsx&amp;sheet=U0&amp;row=2606&amp;col=6&amp;number=3.2&amp;sourceID=14","3.2")</f>
        <v>3.2</v>
      </c>
      <c r="G2606" s="4" t="str">
        <f>HYPERLINK("http://141.218.60.56/~jnz1568/getInfo.php?workbook=12_05.xlsx&amp;sheet=U0&amp;row=2606&amp;col=7&amp;number=0.00781&amp;sourceID=14","0.00781")</f>
        <v>0.00781</v>
      </c>
    </row>
    <row r="2607" spans="1:7">
      <c r="A2607" s="3"/>
      <c r="B2607" s="3"/>
      <c r="C2607" s="3"/>
      <c r="D2607" s="3"/>
      <c r="E2607" s="3">
        <v>4</v>
      </c>
      <c r="F2607" s="4" t="str">
        <f>HYPERLINK("http://141.218.60.56/~jnz1568/getInfo.php?workbook=12_05.xlsx&amp;sheet=U0&amp;row=2607&amp;col=6&amp;number=3.3&amp;sourceID=14","3.3")</f>
        <v>3.3</v>
      </c>
      <c r="G2607" s="4" t="str">
        <f>HYPERLINK("http://141.218.60.56/~jnz1568/getInfo.php?workbook=12_05.xlsx&amp;sheet=U0&amp;row=2607&amp;col=7&amp;number=0.0078&amp;sourceID=14","0.0078")</f>
        <v>0.0078</v>
      </c>
    </row>
    <row r="2608" spans="1:7">
      <c r="A2608" s="3"/>
      <c r="B2608" s="3"/>
      <c r="C2608" s="3"/>
      <c r="D2608" s="3"/>
      <c r="E2608" s="3">
        <v>5</v>
      </c>
      <c r="F2608" s="4" t="str">
        <f>HYPERLINK("http://141.218.60.56/~jnz1568/getInfo.php?workbook=12_05.xlsx&amp;sheet=U0&amp;row=2608&amp;col=6&amp;number=3.4&amp;sourceID=14","3.4")</f>
        <v>3.4</v>
      </c>
      <c r="G2608" s="4" t="str">
        <f>HYPERLINK("http://141.218.60.56/~jnz1568/getInfo.php?workbook=12_05.xlsx&amp;sheet=U0&amp;row=2608&amp;col=7&amp;number=0.0078&amp;sourceID=14","0.0078")</f>
        <v>0.0078</v>
      </c>
    </row>
    <row r="2609" spans="1:7">
      <c r="A2609" s="3"/>
      <c r="B2609" s="3"/>
      <c r="C2609" s="3"/>
      <c r="D2609" s="3"/>
      <c r="E2609" s="3">
        <v>6</v>
      </c>
      <c r="F2609" s="4" t="str">
        <f>HYPERLINK("http://141.218.60.56/~jnz1568/getInfo.php?workbook=12_05.xlsx&amp;sheet=U0&amp;row=2609&amp;col=6&amp;number=3.5&amp;sourceID=14","3.5")</f>
        <v>3.5</v>
      </c>
      <c r="G2609" s="4" t="str">
        <f>HYPERLINK("http://141.218.60.56/~jnz1568/getInfo.php?workbook=12_05.xlsx&amp;sheet=U0&amp;row=2609&amp;col=7&amp;number=0.0078&amp;sourceID=14","0.0078")</f>
        <v>0.0078</v>
      </c>
    </row>
    <row r="2610" spans="1:7">
      <c r="A2610" s="3"/>
      <c r="B2610" s="3"/>
      <c r="C2610" s="3"/>
      <c r="D2610" s="3"/>
      <c r="E2610" s="3">
        <v>7</v>
      </c>
      <c r="F2610" s="4" t="str">
        <f>HYPERLINK("http://141.218.60.56/~jnz1568/getInfo.php?workbook=12_05.xlsx&amp;sheet=U0&amp;row=2610&amp;col=6&amp;number=3.6&amp;sourceID=14","3.6")</f>
        <v>3.6</v>
      </c>
      <c r="G2610" s="4" t="str">
        <f>HYPERLINK("http://141.218.60.56/~jnz1568/getInfo.php?workbook=12_05.xlsx&amp;sheet=U0&amp;row=2610&amp;col=7&amp;number=0.00779&amp;sourceID=14","0.00779")</f>
        <v>0.00779</v>
      </c>
    </row>
    <row r="2611" spans="1:7">
      <c r="A2611" s="3"/>
      <c r="B2611" s="3"/>
      <c r="C2611" s="3"/>
      <c r="D2611" s="3"/>
      <c r="E2611" s="3">
        <v>8</v>
      </c>
      <c r="F2611" s="4" t="str">
        <f>HYPERLINK("http://141.218.60.56/~jnz1568/getInfo.php?workbook=12_05.xlsx&amp;sheet=U0&amp;row=2611&amp;col=6&amp;number=3.7&amp;sourceID=14","3.7")</f>
        <v>3.7</v>
      </c>
      <c r="G2611" s="4" t="str">
        <f>HYPERLINK("http://141.218.60.56/~jnz1568/getInfo.php?workbook=12_05.xlsx&amp;sheet=U0&amp;row=2611&amp;col=7&amp;number=0.00778&amp;sourceID=14","0.00778")</f>
        <v>0.00778</v>
      </c>
    </row>
    <row r="2612" spans="1:7">
      <c r="A2612" s="3"/>
      <c r="B2612" s="3"/>
      <c r="C2612" s="3"/>
      <c r="D2612" s="3"/>
      <c r="E2612" s="3">
        <v>9</v>
      </c>
      <c r="F2612" s="4" t="str">
        <f>HYPERLINK("http://141.218.60.56/~jnz1568/getInfo.php?workbook=12_05.xlsx&amp;sheet=U0&amp;row=2612&amp;col=6&amp;number=3.8&amp;sourceID=14","3.8")</f>
        <v>3.8</v>
      </c>
      <c r="G2612" s="4" t="str">
        <f>HYPERLINK("http://141.218.60.56/~jnz1568/getInfo.php?workbook=12_05.xlsx&amp;sheet=U0&amp;row=2612&amp;col=7&amp;number=0.00777&amp;sourceID=14","0.00777")</f>
        <v>0.00777</v>
      </c>
    </row>
    <row r="2613" spans="1:7">
      <c r="A2613" s="3"/>
      <c r="B2613" s="3"/>
      <c r="C2613" s="3"/>
      <c r="D2613" s="3"/>
      <c r="E2613" s="3">
        <v>10</v>
      </c>
      <c r="F2613" s="4" t="str">
        <f>HYPERLINK("http://141.218.60.56/~jnz1568/getInfo.php?workbook=12_05.xlsx&amp;sheet=U0&amp;row=2613&amp;col=6&amp;number=3.9&amp;sourceID=14","3.9")</f>
        <v>3.9</v>
      </c>
      <c r="G2613" s="4" t="str">
        <f>HYPERLINK("http://141.218.60.56/~jnz1568/getInfo.php?workbook=12_05.xlsx&amp;sheet=U0&amp;row=2613&amp;col=7&amp;number=0.00776&amp;sourceID=14","0.00776")</f>
        <v>0.00776</v>
      </c>
    </row>
    <row r="2614" spans="1:7">
      <c r="A2614" s="3"/>
      <c r="B2614" s="3"/>
      <c r="C2614" s="3"/>
      <c r="D2614" s="3"/>
      <c r="E2614" s="3">
        <v>11</v>
      </c>
      <c r="F2614" s="4" t="str">
        <f>HYPERLINK("http://141.218.60.56/~jnz1568/getInfo.php?workbook=12_05.xlsx&amp;sheet=U0&amp;row=2614&amp;col=6&amp;number=4&amp;sourceID=14","4")</f>
        <v>4</v>
      </c>
      <c r="G2614" s="4" t="str">
        <f>HYPERLINK("http://141.218.60.56/~jnz1568/getInfo.php?workbook=12_05.xlsx&amp;sheet=U0&amp;row=2614&amp;col=7&amp;number=0.00775&amp;sourceID=14","0.00775")</f>
        <v>0.00775</v>
      </c>
    </row>
    <row r="2615" spans="1:7">
      <c r="A2615" s="3"/>
      <c r="B2615" s="3"/>
      <c r="C2615" s="3"/>
      <c r="D2615" s="3"/>
      <c r="E2615" s="3">
        <v>12</v>
      </c>
      <c r="F2615" s="4" t="str">
        <f>HYPERLINK("http://141.218.60.56/~jnz1568/getInfo.php?workbook=12_05.xlsx&amp;sheet=U0&amp;row=2615&amp;col=6&amp;number=4.1&amp;sourceID=14","4.1")</f>
        <v>4.1</v>
      </c>
      <c r="G2615" s="4" t="str">
        <f>HYPERLINK("http://141.218.60.56/~jnz1568/getInfo.php?workbook=12_05.xlsx&amp;sheet=U0&amp;row=2615&amp;col=7&amp;number=0.00773&amp;sourceID=14","0.00773")</f>
        <v>0.00773</v>
      </c>
    </row>
    <row r="2616" spans="1:7">
      <c r="A2616" s="3"/>
      <c r="B2616" s="3"/>
      <c r="C2616" s="3"/>
      <c r="D2616" s="3"/>
      <c r="E2616" s="3">
        <v>13</v>
      </c>
      <c r="F2616" s="4" t="str">
        <f>HYPERLINK("http://141.218.60.56/~jnz1568/getInfo.php?workbook=12_05.xlsx&amp;sheet=U0&amp;row=2616&amp;col=6&amp;number=4.2&amp;sourceID=14","4.2")</f>
        <v>4.2</v>
      </c>
      <c r="G2616" s="4" t="str">
        <f>HYPERLINK("http://141.218.60.56/~jnz1568/getInfo.php?workbook=12_05.xlsx&amp;sheet=U0&amp;row=2616&amp;col=7&amp;number=0.00771&amp;sourceID=14","0.00771")</f>
        <v>0.00771</v>
      </c>
    </row>
    <row r="2617" spans="1:7">
      <c r="A2617" s="3"/>
      <c r="B2617" s="3"/>
      <c r="C2617" s="3"/>
      <c r="D2617" s="3"/>
      <c r="E2617" s="3">
        <v>14</v>
      </c>
      <c r="F2617" s="4" t="str">
        <f>HYPERLINK("http://141.218.60.56/~jnz1568/getInfo.php?workbook=12_05.xlsx&amp;sheet=U0&amp;row=2617&amp;col=6&amp;number=4.3&amp;sourceID=14","4.3")</f>
        <v>4.3</v>
      </c>
      <c r="G2617" s="4" t="str">
        <f>HYPERLINK("http://141.218.60.56/~jnz1568/getInfo.php?workbook=12_05.xlsx&amp;sheet=U0&amp;row=2617&amp;col=7&amp;number=0.00768&amp;sourceID=14","0.00768")</f>
        <v>0.00768</v>
      </c>
    </row>
    <row r="2618" spans="1:7">
      <c r="A2618" s="3"/>
      <c r="B2618" s="3"/>
      <c r="C2618" s="3"/>
      <c r="D2618" s="3"/>
      <c r="E2618" s="3">
        <v>15</v>
      </c>
      <c r="F2618" s="4" t="str">
        <f>HYPERLINK("http://141.218.60.56/~jnz1568/getInfo.php?workbook=12_05.xlsx&amp;sheet=U0&amp;row=2618&amp;col=6&amp;number=4.4&amp;sourceID=14","4.4")</f>
        <v>4.4</v>
      </c>
      <c r="G2618" s="4" t="str">
        <f>HYPERLINK("http://141.218.60.56/~jnz1568/getInfo.php?workbook=12_05.xlsx&amp;sheet=U0&amp;row=2618&amp;col=7&amp;number=0.00765&amp;sourceID=14","0.00765")</f>
        <v>0.00765</v>
      </c>
    </row>
    <row r="2619" spans="1:7">
      <c r="A2619" s="3"/>
      <c r="B2619" s="3"/>
      <c r="C2619" s="3"/>
      <c r="D2619" s="3"/>
      <c r="E2619" s="3">
        <v>16</v>
      </c>
      <c r="F2619" s="4" t="str">
        <f>HYPERLINK("http://141.218.60.56/~jnz1568/getInfo.php?workbook=12_05.xlsx&amp;sheet=U0&amp;row=2619&amp;col=6&amp;number=4.5&amp;sourceID=14","4.5")</f>
        <v>4.5</v>
      </c>
      <c r="G2619" s="4" t="str">
        <f>HYPERLINK("http://141.218.60.56/~jnz1568/getInfo.php?workbook=12_05.xlsx&amp;sheet=U0&amp;row=2619&amp;col=7&amp;number=0.00761&amp;sourceID=14","0.00761")</f>
        <v>0.00761</v>
      </c>
    </row>
    <row r="2620" spans="1:7">
      <c r="A2620" s="3"/>
      <c r="B2620" s="3"/>
      <c r="C2620" s="3"/>
      <c r="D2620" s="3"/>
      <c r="E2620" s="3">
        <v>17</v>
      </c>
      <c r="F2620" s="4" t="str">
        <f>HYPERLINK("http://141.218.60.56/~jnz1568/getInfo.php?workbook=12_05.xlsx&amp;sheet=U0&amp;row=2620&amp;col=6&amp;number=4.6&amp;sourceID=14","4.6")</f>
        <v>4.6</v>
      </c>
      <c r="G2620" s="4" t="str">
        <f>HYPERLINK("http://141.218.60.56/~jnz1568/getInfo.php?workbook=12_05.xlsx&amp;sheet=U0&amp;row=2620&amp;col=7&amp;number=0.00756&amp;sourceID=14","0.00756")</f>
        <v>0.00756</v>
      </c>
    </row>
    <row r="2621" spans="1:7">
      <c r="A2621" s="3"/>
      <c r="B2621" s="3"/>
      <c r="C2621" s="3"/>
      <c r="D2621" s="3"/>
      <c r="E2621" s="3">
        <v>18</v>
      </c>
      <c r="F2621" s="4" t="str">
        <f>HYPERLINK("http://141.218.60.56/~jnz1568/getInfo.php?workbook=12_05.xlsx&amp;sheet=U0&amp;row=2621&amp;col=6&amp;number=4.7&amp;sourceID=14","4.7")</f>
        <v>4.7</v>
      </c>
      <c r="G2621" s="4" t="str">
        <f>HYPERLINK("http://141.218.60.56/~jnz1568/getInfo.php?workbook=12_05.xlsx&amp;sheet=U0&amp;row=2621&amp;col=7&amp;number=0.00749&amp;sourceID=14","0.00749")</f>
        <v>0.00749</v>
      </c>
    </row>
    <row r="2622" spans="1:7">
      <c r="A2622" s="3"/>
      <c r="B2622" s="3"/>
      <c r="C2622" s="3"/>
      <c r="D2622" s="3"/>
      <c r="E2622" s="3">
        <v>19</v>
      </c>
      <c r="F2622" s="4" t="str">
        <f>HYPERLINK("http://141.218.60.56/~jnz1568/getInfo.php?workbook=12_05.xlsx&amp;sheet=U0&amp;row=2622&amp;col=6&amp;number=4.8&amp;sourceID=14","4.8")</f>
        <v>4.8</v>
      </c>
      <c r="G2622" s="4" t="str">
        <f>HYPERLINK("http://141.218.60.56/~jnz1568/getInfo.php?workbook=12_05.xlsx&amp;sheet=U0&amp;row=2622&amp;col=7&amp;number=0.00741&amp;sourceID=14","0.00741")</f>
        <v>0.00741</v>
      </c>
    </row>
    <row r="2623" spans="1:7">
      <c r="A2623" s="3"/>
      <c r="B2623" s="3"/>
      <c r="C2623" s="3"/>
      <c r="D2623" s="3"/>
      <c r="E2623" s="3">
        <v>20</v>
      </c>
      <c r="F2623" s="4" t="str">
        <f>HYPERLINK("http://141.218.60.56/~jnz1568/getInfo.php?workbook=12_05.xlsx&amp;sheet=U0&amp;row=2623&amp;col=6&amp;number=4.9&amp;sourceID=14","4.9")</f>
        <v>4.9</v>
      </c>
      <c r="G2623" s="4" t="str">
        <f>HYPERLINK("http://141.218.60.56/~jnz1568/getInfo.php?workbook=12_05.xlsx&amp;sheet=U0&amp;row=2623&amp;col=7&amp;number=0.00731&amp;sourceID=14","0.00731")</f>
        <v>0.00731</v>
      </c>
    </row>
    <row r="2624" spans="1:7">
      <c r="A2624" s="3">
        <v>12</v>
      </c>
      <c r="B2624" s="3">
        <v>5</v>
      </c>
      <c r="C2624" s="3">
        <v>1</v>
      </c>
      <c r="D2624" s="3">
        <v>92</v>
      </c>
      <c r="E2624" s="3">
        <v>1</v>
      </c>
      <c r="F2624" s="4" t="str">
        <f>HYPERLINK("http://141.218.60.56/~jnz1568/getInfo.php?workbook=12_05.xlsx&amp;sheet=U0&amp;row=2624&amp;col=6&amp;number=3&amp;sourceID=14","3")</f>
        <v>3</v>
      </c>
      <c r="G2624" s="4" t="str">
        <f>HYPERLINK("http://141.218.60.56/~jnz1568/getInfo.php?workbook=12_05.xlsx&amp;sheet=U0&amp;row=2624&amp;col=7&amp;number=0.0188&amp;sourceID=14","0.0188")</f>
        <v>0.0188</v>
      </c>
    </row>
    <row r="2625" spans="1:7">
      <c r="A2625" s="3"/>
      <c r="B2625" s="3"/>
      <c r="C2625" s="3"/>
      <c r="D2625" s="3"/>
      <c r="E2625" s="3">
        <v>2</v>
      </c>
      <c r="F2625" s="4" t="str">
        <f>HYPERLINK("http://141.218.60.56/~jnz1568/getInfo.php?workbook=12_05.xlsx&amp;sheet=U0&amp;row=2625&amp;col=6&amp;number=3.1&amp;sourceID=14","3.1")</f>
        <v>3.1</v>
      </c>
      <c r="G2625" s="4" t="str">
        <f>HYPERLINK("http://141.218.60.56/~jnz1568/getInfo.php?workbook=12_05.xlsx&amp;sheet=U0&amp;row=2625&amp;col=7&amp;number=0.0188&amp;sourceID=14","0.0188")</f>
        <v>0.0188</v>
      </c>
    </row>
    <row r="2626" spans="1:7">
      <c r="A2626" s="3"/>
      <c r="B2626" s="3"/>
      <c r="C2626" s="3"/>
      <c r="D2626" s="3"/>
      <c r="E2626" s="3">
        <v>3</v>
      </c>
      <c r="F2626" s="4" t="str">
        <f>HYPERLINK("http://141.218.60.56/~jnz1568/getInfo.php?workbook=12_05.xlsx&amp;sheet=U0&amp;row=2626&amp;col=6&amp;number=3.2&amp;sourceID=14","3.2")</f>
        <v>3.2</v>
      </c>
      <c r="G2626" s="4" t="str">
        <f>HYPERLINK("http://141.218.60.56/~jnz1568/getInfo.php?workbook=12_05.xlsx&amp;sheet=U0&amp;row=2626&amp;col=7&amp;number=0.0188&amp;sourceID=14","0.0188")</f>
        <v>0.0188</v>
      </c>
    </row>
    <row r="2627" spans="1:7">
      <c r="A2627" s="3"/>
      <c r="B2627" s="3"/>
      <c r="C2627" s="3"/>
      <c r="D2627" s="3"/>
      <c r="E2627" s="3">
        <v>4</v>
      </c>
      <c r="F2627" s="4" t="str">
        <f>HYPERLINK("http://141.218.60.56/~jnz1568/getInfo.php?workbook=12_05.xlsx&amp;sheet=U0&amp;row=2627&amp;col=6&amp;number=3.3&amp;sourceID=14","3.3")</f>
        <v>3.3</v>
      </c>
      <c r="G2627" s="4" t="str">
        <f>HYPERLINK("http://141.218.60.56/~jnz1568/getInfo.php?workbook=12_05.xlsx&amp;sheet=U0&amp;row=2627&amp;col=7&amp;number=0.0188&amp;sourceID=14","0.0188")</f>
        <v>0.0188</v>
      </c>
    </row>
    <row r="2628" spans="1:7">
      <c r="A2628" s="3"/>
      <c r="B2628" s="3"/>
      <c r="C2628" s="3"/>
      <c r="D2628" s="3"/>
      <c r="E2628" s="3">
        <v>5</v>
      </c>
      <c r="F2628" s="4" t="str">
        <f>HYPERLINK("http://141.218.60.56/~jnz1568/getInfo.php?workbook=12_05.xlsx&amp;sheet=U0&amp;row=2628&amp;col=6&amp;number=3.4&amp;sourceID=14","3.4")</f>
        <v>3.4</v>
      </c>
      <c r="G2628" s="4" t="str">
        <f>HYPERLINK("http://141.218.60.56/~jnz1568/getInfo.php?workbook=12_05.xlsx&amp;sheet=U0&amp;row=2628&amp;col=7&amp;number=0.0188&amp;sourceID=14","0.0188")</f>
        <v>0.0188</v>
      </c>
    </row>
    <row r="2629" spans="1:7">
      <c r="A2629" s="3"/>
      <c r="B2629" s="3"/>
      <c r="C2629" s="3"/>
      <c r="D2629" s="3"/>
      <c r="E2629" s="3">
        <v>6</v>
      </c>
      <c r="F2629" s="4" t="str">
        <f>HYPERLINK("http://141.218.60.56/~jnz1568/getInfo.php?workbook=12_05.xlsx&amp;sheet=U0&amp;row=2629&amp;col=6&amp;number=3.5&amp;sourceID=14","3.5")</f>
        <v>3.5</v>
      </c>
      <c r="G2629" s="4" t="str">
        <f>HYPERLINK("http://141.218.60.56/~jnz1568/getInfo.php?workbook=12_05.xlsx&amp;sheet=U0&amp;row=2629&amp;col=7&amp;number=0.0188&amp;sourceID=14","0.0188")</f>
        <v>0.0188</v>
      </c>
    </row>
    <row r="2630" spans="1:7">
      <c r="A2630" s="3"/>
      <c r="B2630" s="3"/>
      <c r="C2630" s="3"/>
      <c r="D2630" s="3"/>
      <c r="E2630" s="3">
        <v>7</v>
      </c>
      <c r="F2630" s="4" t="str">
        <f>HYPERLINK("http://141.218.60.56/~jnz1568/getInfo.php?workbook=12_05.xlsx&amp;sheet=U0&amp;row=2630&amp;col=6&amp;number=3.6&amp;sourceID=14","3.6")</f>
        <v>3.6</v>
      </c>
      <c r="G2630" s="4" t="str">
        <f>HYPERLINK("http://141.218.60.56/~jnz1568/getInfo.php?workbook=12_05.xlsx&amp;sheet=U0&amp;row=2630&amp;col=7&amp;number=0.0189&amp;sourceID=14","0.0189")</f>
        <v>0.0189</v>
      </c>
    </row>
    <row r="2631" spans="1:7">
      <c r="A2631" s="3"/>
      <c r="B2631" s="3"/>
      <c r="C2631" s="3"/>
      <c r="D2631" s="3"/>
      <c r="E2631" s="3">
        <v>8</v>
      </c>
      <c r="F2631" s="4" t="str">
        <f>HYPERLINK("http://141.218.60.56/~jnz1568/getInfo.php?workbook=12_05.xlsx&amp;sheet=U0&amp;row=2631&amp;col=6&amp;number=3.7&amp;sourceID=14","3.7")</f>
        <v>3.7</v>
      </c>
      <c r="G2631" s="4" t="str">
        <f>HYPERLINK("http://141.218.60.56/~jnz1568/getInfo.php?workbook=12_05.xlsx&amp;sheet=U0&amp;row=2631&amp;col=7&amp;number=0.0189&amp;sourceID=14","0.0189")</f>
        <v>0.0189</v>
      </c>
    </row>
    <row r="2632" spans="1:7">
      <c r="A2632" s="3"/>
      <c r="B2632" s="3"/>
      <c r="C2632" s="3"/>
      <c r="D2632" s="3"/>
      <c r="E2632" s="3">
        <v>9</v>
      </c>
      <c r="F2632" s="4" t="str">
        <f>HYPERLINK("http://141.218.60.56/~jnz1568/getInfo.php?workbook=12_05.xlsx&amp;sheet=U0&amp;row=2632&amp;col=6&amp;number=3.8&amp;sourceID=14","3.8")</f>
        <v>3.8</v>
      </c>
      <c r="G2632" s="4" t="str">
        <f>HYPERLINK("http://141.218.60.56/~jnz1568/getInfo.php?workbook=12_05.xlsx&amp;sheet=U0&amp;row=2632&amp;col=7&amp;number=0.0189&amp;sourceID=14","0.0189")</f>
        <v>0.0189</v>
      </c>
    </row>
    <row r="2633" spans="1:7">
      <c r="A2633" s="3"/>
      <c r="B2633" s="3"/>
      <c r="C2633" s="3"/>
      <c r="D2633" s="3"/>
      <c r="E2633" s="3">
        <v>10</v>
      </c>
      <c r="F2633" s="4" t="str">
        <f>HYPERLINK("http://141.218.60.56/~jnz1568/getInfo.php?workbook=12_05.xlsx&amp;sheet=U0&amp;row=2633&amp;col=6&amp;number=3.9&amp;sourceID=14","3.9")</f>
        <v>3.9</v>
      </c>
      <c r="G2633" s="4" t="str">
        <f>HYPERLINK("http://141.218.60.56/~jnz1568/getInfo.php?workbook=12_05.xlsx&amp;sheet=U0&amp;row=2633&amp;col=7&amp;number=0.0189&amp;sourceID=14","0.0189")</f>
        <v>0.0189</v>
      </c>
    </row>
    <row r="2634" spans="1:7">
      <c r="A2634" s="3"/>
      <c r="B2634" s="3"/>
      <c r="C2634" s="3"/>
      <c r="D2634" s="3"/>
      <c r="E2634" s="3">
        <v>11</v>
      </c>
      <c r="F2634" s="4" t="str">
        <f>HYPERLINK("http://141.218.60.56/~jnz1568/getInfo.php?workbook=12_05.xlsx&amp;sheet=U0&amp;row=2634&amp;col=6&amp;number=4&amp;sourceID=14","4")</f>
        <v>4</v>
      </c>
      <c r="G2634" s="4" t="str">
        <f>HYPERLINK("http://141.218.60.56/~jnz1568/getInfo.php?workbook=12_05.xlsx&amp;sheet=U0&amp;row=2634&amp;col=7&amp;number=0.019&amp;sourceID=14","0.019")</f>
        <v>0.019</v>
      </c>
    </row>
    <row r="2635" spans="1:7">
      <c r="A2635" s="3"/>
      <c r="B2635" s="3"/>
      <c r="C2635" s="3"/>
      <c r="D2635" s="3"/>
      <c r="E2635" s="3">
        <v>12</v>
      </c>
      <c r="F2635" s="4" t="str">
        <f>HYPERLINK("http://141.218.60.56/~jnz1568/getInfo.php?workbook=12_05.xlsx&amp;sheet=U0&amp;row=2635&amp;col=6&amp;number=4.1&amp;sourceID=14","4.1")</f>
        <v>4.1</v>
      </c>
      <c r="G2635" s="4" t="str">
        <f>HYPERLINK("http://141.218.60.56/~jnz1568/getInfo.php?workbook=12_05.xlsx&amp;sheet=U0&amp;row=2635&amp;col=7&amp;number=0.019&amp;sourceID=14","0.019")</f>
        <v>0.019</v>
      </c>
    </row>
    <row r="2636" spans="1:7">
      <c r="A2636" s="3"/>
      <c r="B2636" s="3"/>
      <c r="C2636" s="3"/>
      <c r="D2636" s="3"/>
      <c r="E2636" s="3">
        <v>13</v>
      </c>
      <c r="F2636" s="4" t="str">
        <f>HYPERLINK("http://141.218.60.56/~jnz1568/getInfo.php?workbook=12_05.xlsx&amp;sheet=U0&amp;row=2636&amp;col=6&amp;number=4.2&amp;sourceID=14","4.2")</f>
        <v>4.2</v>
      </c>
      <c r="G2636" s="4" t="str">
        <f>HYPERLINK("http://141.218.60.56/~jnz1568/getInfo.php?workbook=12_05.xlsx&amp;sheet=U0&amp;row=2636&amp;col=7&amp;number=0.019&amp;sourceID=14","0.019")</f>
        <v>0.019</v>
      </c>
    </row>
    <row r="2637" spans="1:7">
      <c r="A2637" s="3"/>
      <c r="B2637" s="3"/>
      <c r="C2637" s="3"/>
      <c r="D2637" s="3"/>
      <c r="E2637" s="3">
        <v>14</v>
      </c>
      <c r="F2637" s="4" t="str">
        <f>HYPERLINK("http://141.218.60.56/~jnz1568/getInfo.php?workbook=12_05.xlsx&amp;sheet=U0&amp;row=2637&amp;col=6&amp;number=4.3&amp;sourceID=14","4.3")</f>
        <v>4.3</v>
      </c>
      <c r="G2637" s="4" t="str">
        <f>HYPERLINK("http://141.218.60.56/~jnz1568/getInfo.php?workbook=12_05.xlsx&amp;sheet=U0&amp;row=2637&amp;col=7&amp;number=0.0191&amp;sourceID=14","0.0191")</f>
        <v>0.0191</v>
      </c>
    </row>
    <row r="2638" spans="1:7">
      <c r="A2638" s="3"/>
      <c r="B2638" s="3"/>
      <c r="C2638" s="3"/>
      <c r="D2638" s="3"/>
      <c r="E2638" s="3">
        <v>15</v>
      </c>
      <c r="F2638" s="4" t="str">
        <f>HYPERLINK("http://141.218.60.56/~jnz1568/getInfo.php?workbook=12_05.xlsx&amp;sheet=U0&amp;row=2638&amp;col=6&amp;number=4.4&amp;sourceID=14","4.4")</f>
        <v>4.4</v>
      </c>
      <c r="G2638" s="4" t="str">
        <f>HYPERLINK("http://141.218.60.56/~jnz1568/getInfo.php?workbook=12_05.xlsx&amp;sheet=U0&amp;row=2638&amp;col=7&amp;number=0.0192&amp;sourceID=14","0.0192")</f>
        <v>0.0192</v>
      </c>
    </row>
    <row r="2639" spans="1:7">
      <c r="A2639" s="3"/>
      <c r="B2639" s="3"/>
      <c r="C2639" s="3"/>
      <c r="D2639" s="3"/>
      <c r="E2639" s="3">
        <v>16</v>
      </c>
      <c r="F2639" s="4" t="str">
        <f>HYPERLINK("http://141.218.60.56/~jnz1568/getInfo.php?workbook=12_05.xlsx&amp;sheet=U0&amp;row=2639&amp;col=6&amp;number=4.5&amp;sourceID=14","4.5")</f>
        <v>4.5</v>
      </c>
      <c r="G2639" s="4" t="str">
        <f>HYPERLINK("http://141.218.60.56/~jnz1568/getInfo.php?workbook=12_05.xlsx&amp;sheet=U0&amp;row=2639&amp;col=7&amp;number=0.0193&amp;sourceID=14","0.0193")</f>
        <v>0.0193</v>
      </c>
    </row>
    <row r="2640" spans="1:7">
      <c r="A2640" s="3"/>
      <c r="B2640" s="3"/>
      <c r="C2640" s="3"/>
      <c r="D2640" s="3"/>
      <c r="E2640" s="3">
        <v>17</v>
      </c>
      <c r="F2640" s="4" t="str">
        <f>HYPERLINK("http://141.218.60.56/~jnz1568/getInfo.php?workbook=12_05.xlsx&amp;sheet=U0&amp;row=2640&amp;col=6&amp;number=4.6&amp;sourceID=14","4.6")</f>
        <v>4.6</v>
      </c>
      <c r="G2640" s="4" t="str">
        <f>HYPERLINK("http://141.218.60.56/~jnz1568/getInfo.php?workbook=12_05.xlsx&amp;sheet=U0&amp;row=2640&amp;col=7&amp;number=0.0194&amp;sourceID=14","0.0194")</f>
        <v>0.0194</v>
      </c>
    </row>
    <row r="2641" spans="1:7">
      <c r="A2641" s="3"/>
      <c r="B2641" s="3"/>
      <c r="C2641" s="3"/>
      <c r="D2641" s="3"/>
      <c r="E2641" s="3">
        <v>18</v>
      </c>
      <c r="F2641" s="4" t="str">
        <f>HYPERLINK("http://141.218.60.56/~jnz1568/getInfo.php?workbook=12_05.xlsx&amp;sheet=U0&amp;row=2641&amp;col=6&amp;number=4.7&amp;sourceID=14","4.7")</f>
        <v>4.7</v>
      </c>
      <c r="G2641" s="4" t="str">
        <f>HYPERLINK("http://141.218.60.56/~jnz1568/getInfo.php?workbook=12_05.xlsx&amp;sheet=U0&amp;row=2641&amp;col=7&amp;number=0.0196&amp;sourceID=14","0.0196")</f>
        <v>0.0196</v>
      </c>
    </row>
    <row r="2642" spans="1:7">
      <c r="A2642" s="3"/>
      <c r="B2642" s="3"/>
      <c r="C2642" s="3"/>
      <c r="D2642" s="3"/>
      <c r="E2642" s="3">
        <v>19</v>
      </c>
      <c r="F2642" s="4" t="str">
        <f>HYPERLINK("http://141.218.60.56/~jnz1568/getInfo.php?workbook=12_05.xlsx&amp;sheet=U0&amp;row=2642&amp;col=6&amp;number=4.8&amp;sourceID=14","4.8")</f>
        <v>4.8</v>
      </c>
      <c r="G2642" s="4" t="str">
        <f>HYPERLINK("http://141.218.60.56/~jnz1568/getInfo.php?workbook=12_05.xlsx&amp;sheet=U0&amp;row=2642&amp;col=7&amp;number=0.0198&amp;sourceID=14","0.0198")</f>
        <v>0.0198</v>
      </c>
    </row>
    <row r="2643" spans="1:7">
      <c r="A2643" s="3"/>
      <c r="B2643" s="3"/>
      <c r="C2643" s="3"/>
      <c r="D2643" s="3"/>
      <c r="E2643" s="3">
        <v>20</v>
      </c>
      <c r="F2643" s="4" t="str">
        <f>HYPERLINK("http://141.218.60.56/~jnz1568/getInfo.php?workbook=12_05.xlsx&amp;sheet=U0&amp;row=2643&amp;col=6&amp;number=4.9&amp;sourceID=14","4.9")</f>
        <v>4.9</v>
      </c>
      <c r="G2643" s="4" t="str">
        <f>HYPERLINK("http://141.218.60.56/~jnz1568/getInfo.php?workbook=12_05.xlsx&amp;sheet=U0&amp;row=2643&amp;col=7&amp;number=0.0201&amp;sourceID=14","0.0201")</f>
        <v>0.0201</v>
      </c>
    </row>
    <row r="2644" spans="1:7">
      <c r="A2644" s="3">
        <v>12</v>
      </c>
      <c r="B2644" s="3">
        <v>5</v>
      </c>
      <c r="C2644" s="3">
        <v>1</v>
      </c>
      <c r="D2644" s="3">
        <v>93</v>
      </c>
      <c r="E2644" s="3">
        <v>1</v>
      </c>
      <c r="F2644" s="4" t="str">
        <f>HYPERLINK("http://141.218.60.56/~jnz1568/getInfo.php?workbook=12_05.xlsx&amp;sheet=U0&amp;row=2644&amp;col=6&amp;number=3&amp;sourceID=14","3")</f>
        <v>3</v>
      </c>
      <c r="G2644" s="4" t="str">
        <f>HYPERLINK("http://141.218.60.56/~jnz1568/getInfo.php?workbook=12_05.xlsx&amp;sheet=U0&amp;row=2644&amp;col=7&amp;number=0.00202&amp;sourceID=14","0.00202")</f>
        <v>0.00202</v>
      </c>
    </row>
    <row r="2645" spans="1:7">
      <c r="A2645" s="3"/>
      <c r="B2645" s="3"/>
      <c r="C2645" s="3"/>
      <c r="D2645" s="3"/>
      <c r="E2645" s="3">
        <v>2</v>
      </c>
      <c r="F2645" s="4" t="str">
        <f>HYPERLINK("http://141.218.60.56/~jnz1568/getInfo.php?workbook=12_05.xlsx&amp;sheet=U0&amp;row=2645&amp;col=6&amp;number=3.1&amp;sourceID=14","3.1")</f>
        <v>3.1</v>
      </c>
      <c r="G2645" s="4" t="str">
        <f>HYPERLINK("http://141.218.60.56/~jnz1568/getInfo.php?workbook=12_05.xlsx&amp;sheet=U0&amp;row=2645&amp;col=7&amp;number=0.00202&amp;sourceID=14","0.00202")</f>
        <v>0.00202</v>
      </c>
    </row>
    <row r="2646" spans="1:7">
      <c r="A2646" s="3"/>
      <c r="B2646" s="3"/>
      <c r="C2646" s="3"/>
      <c r="D2646" s="3"/>
      <c r="E2646" s="3">
        <v>3</v>
      </c>
      <c r="F2646" s="4" t="str">
        <f>HYPERLINK("http://141.218.60.56/~jnz1568/getInfo.php?workbook=12_05.xlsx&amp;sheet=U0&amp;row=2646&amp;col=6&amp;number=3.2&amp;sourceID=14","3.2")</f>
        <v>3.2</v>
      </c>
      <c r="G2646" s="4" t="str">
        <f>HYPERLINK("http://141.218.60.56/~jnz1568/getInfo.php?workbook=12_05.xlsx&amp;sheet=U0&amp;row=2646&amp;col=7&amp;number=0.00202&amp;sourceID=14","0.00202")</f>
        <v>0.00202</v>
      </c>
    </row>
    <row r="2647" spans="1:7">
      <c r="A2647" s="3"/>
      <c r="B2647" s="3"/>
      <c r="C2647" s="3"/>
      <c r="D2647" s="3"/>
      <c r="E2647" s="3">
        <v>4</v>
      </c>
      <c r="F2647" s="4" t="str">
        <f>HYPERLINK("http://141.218.60.56/~jnz1568/getInfo.php?workbook=12_05.xlsx&amp;sheet=U0&amp;row=2647&amp;col=6&amp;number=3.3&amp;sourceID=14","3.3")</f>
        <v>3.3</v>
      </c>
      <c r="G2647" s="4" t="str">
        <f>HYPERLINK("http://141.218.60.56/~jnz1568/getInfo.php?workbook=12_05.xlsx&amp;sheet=U0&amp;row=2647&amp;col=7&amp;number=0.00202&amp;sourceID=14","0.00202")</f>
        <v>0.00202</v>
      </c>
    </row>
    <row r="2648" spans="1:7">
      <c r="A2648" s="3"/>
      <c r="B2648" s="3"/>
      <c r="C2648" s="3"/>
      <c r="D2648" s="3"/>
      <c r="E2648" s="3">
        <v>5</v>
      </c>
      <c r="F2648" s="4" t="str">
        <f>HYPERLINK("http://141.218.60.56/~jnz1568/getInfo.php?workbook=12_05.xlsx&amp;sheet=U0&amp;row=2648&amp;col=6&amp;number=3.4&amp;sourceID=14","3.4")</f>
        <v>3.4</v>
      </c>
      <c r="G2648" s="4" t="str">
        <f>HYPERLINK("http://141.218.60.56/~jnz1568/getInfo.php?workbook=12_05.xlsx&amp;sheet=U0&amp;row=2648&amp;col=7&amp;number=0.00202&amp;sourceID=14","0.00202")</f>
        <v>0.00202</v>
      </c>
    </row>
    <row r="2649" spans="1:7">
      <c r="A2649" s="3"/>
      <c r="B2649" s="3"/>
      <c r="C2649" s="3"/>
      <c r="D2649" s="3"/>
      <c r="E2649" s="3">
        <v>6</v>
      </c>
      <c r="F2649" s="4" t="str">
        <f>HYPERLINK("http://141.218.60.56/~jnz1568/getInfo.php?workbook=12_05.xlsx&amp;sheet=U0&amp;row=2649&amp;col=6&amp;number=3.5&amp;sourceID=14","3.5")</f>
        <v>3.5</v>
      </c>
      <c r="G2649" s="4" t="str">
        <f>HYPERLINK("http://141.218.60.56/~jnz1568/getInfo.php?workbook=12_05.xlsx&amp;sheet=U0&amp;row=2649&amp;col=7&amp;number=0.00202&amp;sourceID=14","0.00202")</f>
        <v>0.00202</v>
      </c>
    </row>
    <row r="2650" spans="1:7">
      <c r="A2650" s="3"/>
      <c r="B2650" s="3"/>
      <c r="C2650" s="3"/>
      <c r="D2650" s="3"/>
      <c r="E2650" s="3">
        <v>7</v>
      </c>
      <c r="F2650" s="4" t="str">
        <f>HYPERLINK("http://141.218.60.56/~jnz1568/getInfo.php?workbook=12_05.xlsx&amp;sheet=U0&amp;row=2650&amp;col=6&amp;number=3.6&amp;sourceID=14","3.6")</f>
        <v>3.6</v>
      </c>
      <c r="G2650" s="4" t="str">
        <f>HYPERLINK("http://141.218.60.56/~jnz1568/getInfo.php?workbook=12_05.xlsx&amp;sheet=U0&amp;row=2650&amp;col=7&amp;number=0.00202&amp;sourceID=14","0.00202")</f>
        <v>0.00202</v>
      </c>
    </row>
    <row r="2651" spans="1:7">
      <c r="A2651" s="3"/>
      <c r="B2651" s="3"/>
      <c r="C2651" s="3"/>
      <c r="D2651" s="3"/>
      <c r="E2651" s="3">
        <v>8</v>
      </c>
      <c r="F2651" s="4" t="str">
        <f>HYPERLINK("http://141.218.60.56/~jnz1568/getInfo.php?workbook=12_05.xlsx&amp;sheet=U0&amp;row=2651&amp;col=6&amp;number=3.7&amp;sourceID=14","3.7")</f>
        <v>3.7</v>
      </c>
      <c r="G2651" s="4" t="str">
        <f>HYPERLINK("http://141.218.60.56/~jnz1568/getInfo.php?workbook=12_05.xlsx&amp;sheet=U0&amp;row=2651&amp;col=7&amp;number=0.00202&amp;sourceID=14","0.00202")</f>
        <v>0.00202</v>
      </c>
    </row>
    <row r="2652" spans="1:7">
      <c r="A2652" s="3"/>
      <c r="B2652" s="3"/>
      <c r="C2652" s="3"/>
      <c r="D2652" s="3"/>
      <c r="E2652" s="3">
        <v>9</v>
      </c>
      <c r="F2652" s="4" t="str">
        <f>HYPERLINK("http://141.218.60.56/~jnz1568/getInfo.php?workbook=12_05.xlsx&amp;sheet=U0&amp;row=2652&amp;col=6&amp;number=3.8&amp;sourceID=14","3.8")</f>
        <v>3.8</v>
      </c>
      <c r="G2652" s="4" t="str">
        <f>HYPERLINK("http://141.218.60.56/~jnz1568/getInfo.php?workbook=12_05.xlsx&amp;sheet=U0&amp;row=2652&amp;col=7&amp;number=0.00201&amp;sourceID=14","0.00201")</f>
        <v>0.00201</v>
      </c>
    </row>
    <row r="2653" spans="1:7">
      <c r="A2653" s="3"/>
      <c r="B2653" s="3"/>
      <c r="C2653" s="3"/>
      <c r="D2653" s="3"/>
      <c r="E2653" s="3">
        <v>10</v>
      </c>
      <c r="F2653" s="4" t="str">
        <f>HYPERLINK("http://141.218.60.56/~jnz1568/getInfo.php?workbook=12_05.xlsx&amp;sheet=U0&amp;row=2653&amp;col=6&amp;number=3.9&amp;sourceID=14","3.9")</f>
        <v>3.9</v>
      </c>
      <c r="G2653" s="4" t="str">
        <f>HYPERLINK("http://141.218.60.56/~jnz1568/getInfo.php?workbook=12_05.xlsx&amp;sheet=U0&amp;row=2653&amp;col=7&amp;number=0.00201&amp;sourceID=14","0.00201")</f>
        <v>0.00201</v>
      </c>
    </row>
    <row r="2654" spans="1:7">
      <c r="A2654" s="3"/>
      <c r="B2654" s="3"/>
      <c r="C2654" s="3"/>
      <c r="D2654" s="3"/>
      <c r="E2654" s="3">
        <v>11</v>
      </c>
      <c r="F2654" s="4" t="str">
        <f>HYPERLINK("http://141.218.60.56/~jnz1568/getInfo.php?workbook=12_05.xlsx&amp;sheet=U0&amp;row=2654&amp;col=6&amp;number=4&amp;sourceID=14","4")</f>
        <v>4</v>
      </c>
      <c r="G2654" s="4" t="str">
        <f>HYPERLINK("http://141.218.60.56/~jnz1568/getInfo.php?workbook=12_05.xlsx&amp;sheet=U0&amp;row=2654&amp;col=7&amp;number=0.00201&amp;sourceID=14","0.00201")</f>
        <v>0.00201</v>
      </c>
    </row>
    <row r="2655" spans="1:7">
      <c r="A2655" s="3"/>
      <c r="B2655" s="3"/>
      <c r="C2655" s="3"/>
      <c r="D2655" s="3"/>
      <c r="E2655" s="3">
        <v>12</v>
      </c>
      <c r="F2655" s="4" t="str">
        <f>HYPERLINK("http://141.218.60.56/~jnz1568/getInfo.php?workbook=12_05.xlsx&amp;sheet=U0&amp;row=2655&amp;col=6&amp;number=4.1&amp;sourceID=14","4.1")</f>
        <v>4.1</v>
      </c>
      <c r="G2655" s="4" t="str">
        <f>HYPERLINK("http://141.218.60.56/~jnz1568/getInfo.php?workbook=12_05.xlsx&amp;sheet=U0&amp;row=2655&amp;col=7&amp;number=0.002&amp;sourceID=14","0.002")</f>
        <v>0.002</v>
      </c>
    </row>
    <row r="2656" spans="1:7">
      <c r="A2656" s="3"/>
      <c r="B2656" s="3"/>
      <c r="C2656" s="3"/>
      <c r="D2656" s="3"/>
      <c r="E2656" s="3">
        <v>13</v>
      </c>
      <c r="F2656" s="4" t="str">
        <f>HYPERLINK("http://141.218.60.56/~jnz1568/getInfo.php?workbook=12_05.xlsx&amp;sheet=U0&amp;row=2656&amp;col=6&amp;number=4.2&amp;sourceID=14","4.2")</f>
        <v>4.2</v>
      </c>
      <c r="G2656" s="4" t="str">
        <f>HYPERLINK("http://141.218.60.56/~jnz1568/getInfo.php?workbook=12_05.xlsx&amp;sheet=U0&amp;row=2656&amp;col=7&amp;number=0.002&amp;sourceID=14","0.002")</f>
        <v>0.002</v>
      </c>
    </row>
    <row r="2657" spans="1:7">
      <c r="A2657" s="3"/>
      <c r="B2657" s="3"/>
      <c r="C2657" s="3"/>
      <c r="D2657" s="3"/>
      <c r="E2657" s="3">
        <v>14</v>
      </c>
      <c r="F2657" s="4" t="str">
        <f>HYPERLINK("http://141.218.60.56/~jnz1568/getInfo.php?workbook=12_05.xlsx&amp;sheet=U0&amp;row=2657&amp;col=6&amp;number=4.3&amp;sourceID=14","4.3")</f>
        <v>4.3</v>
      </c>
      <c r="G2657" s="4" t="str">
        <f>HYPERLINK("http://141.218.60.56/~jnz1568/getInfo.php?workbook=12_05.xlsx&amp;sheet=U0&amp;row=2657&amp;col=7&amp;number=0.00199&amp;sourceID=14","0.00199")</f>
        <v>0.00199</v>
      </c>
    </row>
    <row r="2658" spans="1:7">
      <c r="A2658" s="3"/>
      <c r="B2658" s="3"/>
      <c r="C2658" s="3"/>
      <c r="D2658" s="3"/>
      <c r="E2658" s="3">
        <v>15</v>
      </c>
      <c r="F2658" s="4" t="str">
        <f>HYPERLINK("http://141.218.60.56/~jnz1568/getInfo.php?workbook=12_05.xlsx&amp;sheet=U0&amp;row=2658&amp;col=6&amp;number=4.4&amp;sourceID=14","4.4")</f>
        <v>4.4</v>
      </c>
      <c r="G2658" s="4" t="str">
        <f>HYPERLINK("http://141.218.60.56/~jnz1568/getInfo.php?workbook=12_05.xlsx&amp;sheet=U0&amp;row=2658&amp;col=7&amp;number=0.00198&amp;sourceID=14","0.00198")</f>
        <v>0.00198</v>
      </c>
    </row>
    <row r="2659" spans="1:7">
      <c r="A2659" s="3"/>
      <c r="B2659" s="3"/>
      <c r="C2659" s="3"/>
      <c r="D2659" s="3"/>
      <c r="E2659" s="3">
        <v>16</v>
      </c>
      <c r="F2659" s="4" t="str">
        <f>HYPERLINK("http://141.218.60.56/~jnz1568/getInfo.php?workbook=12_05.xlsx&amp;sheet=U0&amp;row=2659&amp;col=6&amp;number=4.5&amp;sourceID=14","4.5")</f>
        <v>4.5</v>
      </c>
      <c r="G2659" s="4" t="str">
        <f>HYPERLINK("http://141.218.60.56/~jnz1568/getInfo.php?workbook=12_05.xlsx&amp;sheet=U0&amp;row=2659&amp;col=7&amp;number=0.00197&amp;sourceID=14","0.00197")</f>
        <v>0.00197</v>
      </c>
    </row>
    <row r="2660" spans="1:7">
      <c r="A2660" s="3"/>
      <c r="B2660" s="3"/>
      <c r="C2660" s="3"/>
      <c r="D2660" s="3"/>
      <c r="E2660" s="3">
        <v>17</v>
      </c>
      <c r="F2660" s="4" t="str">
        <f>HYPERLINK("http://141.218.60.56/~jnz1568/getInfo.php?workbook=12_05.xlsx&amp;sheet=U0&amp;row=2660&amp;col=6&amp;number=4.6&amp;sourceID=14","4.6")</f>
        <v>4.6</v>
      </c>
      <c r="G2660" s="4" t="str">
        <f>HYPERLINK("http://141.218.60.56/~jnz1568/getInfo.php?workbook=12_05.xlsx&amp;sheet=U0&amp;row=2660&amp;col=7&amp;number=0.00195&amp;sourceID=14","0.00195")</f>
        <v>0.00195</v>
      </c>
    </row>
    <row r="2661" spans="1:7">
      <c r="A2661" s="3"/>
      <c r="B2661" s="3"/>
      <c r="C2661" s="3"/>
      <c r="D2661" s="3"/>
      <c r="E2661" s="3">
        <v>18</v>
      </c>
      <c r="F2661" s="4" t="str">
        <f>HYPERLINK("http://141.218.60.56/~jnz1568/getInfo.php?workbook=12_05.xlsx&amp;sheet=U0&amp;row=2661&amp;col=6&amp;number=4.7&amp;sourceID=14","4.7")</f>
        <v>4.7</v>
      </c>
      <c r="G2661" s="4" t="str">
        <f>HYPERLINK("http://141.218.60.56/~jnz1568/getInfo.php?workbook=12_05.xlsx&amp;sheet=U0&amp;row=2661&amp;col=7&amp;number=0.00194&amp;sourceID=14","0.00194")</f>
        <v>0.00194</v>
      </c>
    </row>
    <row r="2662" spans="1:7">
      <c r="A2662" s="3"/>
      <c r="B2662" s="3"/>
      <c r="C2662" s="3"/>
      <c r="D2662" s="3"/>
      <c r="E2662" s="3">
        <v>19</v>
      </c>
      <c r="F2662" s="4" t="str">
        <f>HYPERLINK("http://141.218.60.56/~jnz1568/getInfo.php?workbook=12_05.xlsx&amp;sheet=U0&amp;row=2662&amp;col=6&amp;number=4.8&amp;sourceID=14","4.8")</f>
        <v>4.8</v>
      </c>
      <c r="G2662" s="4" t="str">
        <f>HYPERLINK("http://141.218.60.56/~jnz1568/getInfo.php?workbook=12_05.xlsx&amp;sheet=U0&amp;row=2662&amp;col=7&amp;number=0.00192&amp;sourceID=14","0.00192")</f>
        <v>0.00192</v>
      </c>
    </row>
    <row r="2663" spans="1:7">
      <c r="A2663" s="3"/>
      <c r="B2663" s="3"/>
      <c r="C2663" s="3"/>
      <c r="D2663" s="3"/>
      <c r="E2663" s="3">
        <v>20</v>
      </c>
      <c r="F2663" s="4" t="str">
        <f>HYPERLINK("http://141.218.60.56/~jnz1568/getInfo.php?workbook=12_05.xlsx&amp;sheet=U0&amp;row=2663&amp;col=6&amp;number=4.9&amp;sourceID=14","4.9")</f>
        <v>4.9</v>
      </c>
      <c r="G2663" s="4" t="str">
        <f>HYPERLINK("http://141.218.60.56/~jnz1568/getInfo.php?workbook=12_05.xlsx&amp;sheet=U0&amp;row=2663&amp;col=7&amp;number=0.00189&amp;sourceID=14","0.00189")</f>
        <v>0.00189</v>
      </c>
    </row>
    <row r="2664" spans="1:7">
      <c r="A2664" s="3">
        <v>12</v>
      </c>
      <c r="B2664" s="3">
        <v>5</v>
      </c>
      <c r="C2664" s="3">
        <v>1</v>
      </c>
      <c r="D2664" s="3">
        <v>94</v>
      </c>
      <c r="E2664" s="3">
        <v>1</v>
      </c>
      <c r="F2664" s="4" t="str">
        <f>HYPERLINK("http://141.218.60.56/~jnz1568/getInfo.php?workbook=12_05.xlsx&amp;sheet=U0&amp;row=2664&amp;col=6&amp;number=3&amp;sourceID=14","3")</f>
        <v>3</v>
      </c>
      <c r="G2664" s="4" t="str">
        <f>HYPERLINK("http://141.218.60.56/~jnz1568/getInfo.php?workbook=12_05.xlsx&amp;sheet=U0&amp;row=2664&amp;col=7&amp;number=0.00462&amp;sourceID=14","0.00462")</f>
        <v>0.00462</v>
      </c>
    </row>
    <row r="2665" spans="1:7">
      <c r="A2665" s="3"/>
      <c r="B2665" s="3"/>
      <c r="C2665" s="3"/>
      <c r="D2665" s="3"/>
      <c r="E2665" s="3">
        <v>2</v>
      </c>
      <c r="F2665" s="4" t="str">
        <f>HYPERLINK("http://141.218.60.56/~jnz1568/getInfo.php?workbook=12_05.xlsx&amp;sheet=U0&amp;row=2665&amp;col=6&amp;number=3.1&amp;sourceID=14","3.1")</f>
        <v>3.1</v>
      </c>
      <c r="G2665" s="4" t="str">
        <f>HYPERLINK("http://141.218.60.56/~jnz1568/getInfo.php?workbook=12_05.xlsx&amp;sheet=U0&amp;row=2665&amp;col=7&amp;number=0.00462&amp;sourceID=14","0.00462")</f>
        <v>0.00462</v>
      </c>
    </row>
    <row r="2666" spans="1:7">
      <c r="A2666" s="3"/>
      <c r="B2666" s="3"/>
      <c r="C2666" s="3"/>
      <c r="D2666" s="3"/>
      <c r="E2666" s="3">
        <v>3</v>
      </c>
      <c r="F2666" s="4" t="str">
        <f>HYPERLINK("http://141.218.60.56/~jnz1568/getInfo.php?workbook=12_05.xlsx&amp;sheet=U0&amp;row=2666&amp;col=6&amp;number=3.2&amp;sourceID=14","3.2")</f>
        <v>3.2</v>
      </c>
      <c r="G2666" s="4" t="str">
        <f>HYPERLINK("http://141.218.60.56/~jnz1568/getInfo.php?workbook=12_05.xlsx&amp;sheet=U0&amp;row=2666&amp;col=7&amp;number=0.00462&amp;sourceID=14","0.00462")</f>
        <v>0.00462</v>
      </c>
    </row>
    <row r="2667" spans="1:7">
      <c r="A2667" s="3"/>
      <c r="B2667" s="3"/>
      <c r="C2667" s="3"/>
      <c r="D2667" s="3"/>
      <c r="E2667" s="3">
        <v>4</v>
      </c>
      <c r="F2667" s="4" t="str">
        <f>HYPERLINK("http://141.218.60.56/~jnz1568/getInfo.php?workbook=12_05.xlsx&amp;sheet=U0&amp;row=2667&amp;col=6&amp;number=3.3&amp;sourceID=14","3.3")</f>
        <v>3.3</v>
      </c>
      <c r="G2667" s="4" t="str">
        <f>HYPERLINK("http://141.218.60.56/~jnz1568/getInfo.php?workbook=12_05.xlsx&amp;sheet=U0&amp;row=2667&amp;col=7&amp;number=0.00462&amp;sourceID=14","0.00462")</f>
        <v>0.00462</v>
      </c>
    </row>
    <row r="2668" spans="1:7">
      <c r="A2668" s="3"/>
      <c r="B2668" s="3"/>
      <c r="C2668" s="3"/>
      <c r="D2668" s="3"/>
      <c r="E2668" s="3">
        <v>5</v>
      </c>
      <c r="F2668" s="4" t="str">
        <f>HYPERLINK("http://141.218.60.56/~jnz1568/getInfo.php?workbook=12_05.xlsx&amp;sheet=U0&amp;row=2668&amp;col=6&amp;number=3.4&amp;sourceID=14","3.4")</f>
        <v>3.4</v>
      </c>
      <c r="G2668" s="4" t="str">
        <f>HYPERLINK("http://141.218.60.56/~jnz1568/getInfo.php?workbook=12_05.xlsx&amp;sheet=U0&amp;row=2668&amp;col=7&amp;number=0.00462&amp;sourceID=14","0.00462")</f>
        <v>0.00462</v>
      </c>
    </row>
    <row r="2669" spans="1:7">
      <c r="A2669" s="3"/>
      <c r="B2669" s="3"/>
      <c r="C2669" s="3"/>
      <c r="D2669" s="3"/>
      <c r="E2669" s="3">
        <v>6</v>
      </c>
      <c r="F2669" s="4" t="str">
        <f>HYPERLINK("http://141.218.60.56/~jnz1568/getInfo.php?workbook=12_05.xlsx&amp;sheet=U0&amp;row=2669&amp;col=6&amp;number=3.5&amp;sourceID=14","3.5")</f>
        <v>3.5</v>
      </c>
      <c r="G2669" s="4" t="str">
        <f>HYPERLINK("http://141.218.60.56/~jnz1568/getInfo.php?workbook=12_05.xlsx&amp;sheet=U0&amp;row=2669&amp;col=7&amp;number=0.00462&amp;sourceID=14","0.00462")</f>
        <v>0.00462</v>
      </c>
    </row>
    <row r="2670" spans="1:7">
      <c r="A2670" s="3"/>
      <c r="B2670" s="3"/>
      <c r="C2670" s="3"/>
      <c r="D2670" s="3"/>
      <c r="E2670" s="3">
        <v>7</v>
      </c>
      <c r="F2670" s="4" t="str">
        <f>HYPERLINK("http://141.218.60.56/~jnz1568/getInfo.php?workbook=12_05.xlsx&amp;sheet=U0&amp;row=2670&amp;col=6&amp;number=3.6&amp;sourceID=14","3.6")</f>
        <v>3.6</v>
      </c>
      <c r="G2670" s="4" t="str">
        <f>HYPERLINK("http://141.218.60.56/~jnz1568/getInfo.php?workbook=12_05.xlsx&amp;sheet=U0&amp;row=2670&amp;col=7&amp;number=0.00462&amp;sourceID=14","0.00462")</f>
        <v>0.00462</v>
      </c>
    </row>
    <row r="2671" spans="1:7">
      <c r="A2671" s="3"/>
      <c r="B2671" s="3"/>
      <c r="C2671" s="3"/>
      <c r="D2671" s="3"/>
      <c r="E2671" s="3">
        <v>8</v>
      </c>
      <c r="F2671" s="4" t="str">
        <f>HYPERLINK("http://141.218.60.56/~jnz1568/getInfo.php?workbook=12_05.xlsx&amp;sheet=U0&amp;row=2671&amp;col=6&amp;number=3.7&amp;sourceID=14","3.7")</f>
        <v>3.7</v>
      </c>
      <c r="G2671" s="4" t="str">
        <f>HYPERLINK("http://141.218.60.56/~jnz1568/getInfo.php?workbook=12_05.xlsx&amp;sheet=U0&amp;row=2671&amp;col=7&amp;number=0.00462&amp;sourceID=14","0.00462")</f>
        <v>0.00462</v>
      </c>
    </row>
    <row r="2672" spans="1:7">
      <c r="A2672" s="3"/>
      <c r="B2672" s="3"/>
      <c r="C2672" s="3"/>
      <c r="D2672" s="3"/>
      <c r="E2672" s="3">
        <v>9</v>
      </c>
      <c r="F2672" s="4" t="str">
        <f>HYPERLINK("http://141.218.60.56/~jnz1568/getInfo.php?workbook=12_05.xlsx&amp;sheet=U0&amp;row=2672&amp;col=6&amp;number=3.8&amp;sourceID=14","3.8")</f>
        <v>3.8</v>
      </c>
      <c r="G2672" s="4" t="str">
        <f>HYPERLINK("http://141.218.60.56/~jnz1568/getInfo.php?workbook=12_05.xlsx&amp;sheet=U0&amp;row=2672&amp;col=7&amp;number=0.00462&amp;sourceID=14","0.00462")</f>
        <v>0.00462</v>
      </c>
    </row>
    <row r="2673" spans="1:7">
      <c r="A2673" s="3"/>
      <c r="B2673" s="3"/>
      <c r="C2673" s="3"/>
      <c r="D2673" s="3"/>
      <c r="E2673" s="3">
        <v>10</v>
      </c>
      <c r="F2673" s="4" t="str">
        <f>HYPERLINK("http://141.218.60.56/~jnz1568/getInfo.php?workbook=12_05.xlsx&amp;sheet=U0&amp;row=2673&amp;col=6&amp;number=3.9&amp;sourceID=14","3.9")</f>
        <v>3.9</v>
      </c>
      <c r="G2673" s="4" t="str">
        <f>HYPERLINK("http://141.218.60.56/~jnz1568/getInfo.php?workbook=12_05.xlsx&amp;sheet=U0&amp;row=2673&amp;col=7&amp;number=0.00462&amp;sourceID=14","0.00462")</f>
        <v>0.00462</v>
      </c>
    </row>
    <row r="2674" spans="1:7">
      <c r="A2674" s="3"/>
      <c r="B2674" s="3"/>
      <c r="C2674" s="3"/>
      <c r="D2674" s="3"/>
      <c r="E2674" s="3">
        <v>11</v>
      </c>
      <c r="F2674" s="4" t="str">
        <f>HYPERLINK("http://141.218.60.56/~jnz1568/getInfo.php?workbook=12_05.xlsx&amp;sheet=U0&amp;row=2674&amp;col=6&amp;number=4&amp;sourceID=14","4")</f>
        <v>4</v>
      </c>
      <c r="G2674" s="4" t="str">
        <f>HYPERLINK("http://141.218.60.56/~jnz1568/getInfo.php?workbook=12_05.xlsx&amp;sheet=U0&amp;row=2674&amp;col=7&amp;number=0.00462&amp;sourceID=14","0.00462")</f>
        <v>0.00462</v>
      </c>
    </row>
    <row r="2675" spans="1:7">
      <c r="A2675" s="3"/>
      <c r="B2675" s="3"/>
      <c r="C2675" s="3"/>
      <c r="D2675" s="3"/>
      <c r="E2675" s="3">
        <v>12</v>
      </c>
      <c r="F2675" s="4" t="str">
        <f>HYPERLINK("http://141.218.60.56/~jnz1568/getInfo.php?workbook=12_05.xlsx&amp;sheet=U0&amp;row=2675&amp;col=6&amp;number=4.1&amp;sourceID=14","4.1")</f>
        <v>4.1</v>
      </c>
      <c r="G2675" s="4" t="str">
        <f>HYPERLINK("http://141.218.60.56/~jnz1568/getInfo.php?workbook=12_05.xlsx&amp;sheet=U0&amp;row=2675&amp;col=7&amp;number=0.00462&amp;sourceID=14","0.00462")</f>
        <v>0.00462</v>
      </c>
    </row>
    <row r="2676" spans="1:7">
      <c r="A2676" s="3"/>
      <c r="B2676" s="3"/>
      <c r="C2676" s="3"/>
      <c r="D2676" s="3"/>
      <c r="E2676" s="3">
        <v>13</v>
      </c>
      <c r="F2676" s="4" t="str">
        <f>HYPERLINK("http://141.218.60.56/~jnz1568/getInfo.php?workbook=12_05.xlsx&amp;sheet=U0&amp;row=2676&amp;col=6&amp;number=4.2&amp;sourceID=14","4.2")</f>
        <v>4.2</v>
      </c>
      <c r="G2676" s="4" t="str">
        <f>HYPERLINK("http://141.218.60.56/~jnz1568/getInfo.php?workbook=12_05.xlsx&amp;sheet=U0&amp;row=2676&amp;col=7&amp;number=0.00462&amp;sourceID=14","0.00462")</f>
        <v>0.00462</v>
      </c>
    </row>
    <row r="2677" spans="1:7">
      <c r="A2677" s="3"/>
      <c r="B2677" s="3"/>
      <c r="C2677" s="3"/>
      <c r="D2677" s="3"/>
      <c r="E2677" s="3">
        <v>14</v>
      </c>
      <c r="F2677" s="4" t="str">
        <f>HYPERLINK("http://141.218.60.56/~jnz1568/getInfo.php?workbook=12_05.xlsx&amp;sheet=U0&amp;row=2677&amp;col=6&amp;number=4.3&amp;sourceID=14","4.3")</f>
        <v>4.3</v>
      </c>
      <c r="G2677" s="4" t="str">
        <f>HYPERLINK("http://141.218.60.56/~jnz1568/getInfo.php?workbook=12_05.xlsx&amp;sheet=U0&amp;row=2677&amp;col=7&amp;number=0.00462&amp;sourceID=14","0.00462")</f>
        <v>0.00462</v>
      </c>
    </row>
    <row r="2678" spans="1:7">
      <c r="A2678" s="3"/>
      <c r="B2678" s="3"/>
      <c r="C2678" s="3"/>
      <c r="D2678" s="3"/>
      <c r="E2678" s="3">
        <v>15</v>
      </c>
      <c r="F2678" s="4" t="str">
        <f>HYPERLINK("http://141.218.60.56/~jnz1568/getInfo.php?workbook=12_05.xlsx&amp;sheet=U0&amp;row=2678&amp;col=6&amp;number=4.4&amp;sourceID=14","4.4")</f>
        <v>4.4</v>
      </c>
      <c r="G2678" s="4" t="str">
        <f>HYPERLINK("http://141.218.60.56/~jnz1568/getInfo.php?workbook=12_05.xlsx&amp;sheet=U0&amp;row=2678&amp;col=7&amp;number=0.00462&amp;sourceID=14","0.00462")</f>
        <v>0.00462</v>
      </c>
    </row>
    <row r="2679" spans="1:7">
      <c r="A2679" s="3"/>
      <c r="B2679" s="3"/>
      <c r="C2679" s="3"/>
      <c r="D2679" s="3"/>
      <c r="E2679" s="3">
        <v>16</v>
      </c>
      <c r="F2679" s="4" t="str">
        <f>HYPERLINK("http://141.218.60.56/~jnz1568/getInfo.php?workbook=12_05.xlsx&amp;sheet=U0&amp;row=2679&amp;col=6&amp;number=4.5&amp;sourceID=14","4.5")</f>
        <v>4.5</v>
      </c>
      <c r="G2679" s="4" t="str">
        <f>HYPERLINK("http://141.218.60.56/~jnz1568/getInfo.php?workbook=12_05.xlsx&amp;sheet=U0&amp;row=2679&amp;col=7&amp;number=0.00462&amp;sourceID=14","0.00462")</f>
        <v>0.00462</v>
      </c>
    </row>
    <row r="2680" spans="1:7">
      <c r="A2680" s="3"/>
      <c r="B2680" s="3"/>
      <c r="C2680" s="3"/>
      <c r="D2680" s="3"/>
      <c r="E2680" s="3">
        <v>17</v>
      </c>
      <c r="F2680" s="4" t="str">
        <f>HYPERLINK("http://141.218.60.56/~jnz1568/getInfo.php?workbook=12_05.xlsx&amp;sheet=U0&amp;row=2680&amp;col=6&amp;number=4.6&amp;sourceID=14","4.6")</f>
        <v>4.6</v>
      </c>
      <c r="G2680" s="4" t="str">
        <f>HYPERLINK("http://141.218.60.56/~jnz1568/getInfo.php?workbook=12_05.xlsx&amp;sheet=U0&amp;row=2680&amp;col=7&amp;number=0.00462&amp;sourceID=14","0.00462")</f>
        <v>0.00462</v>
      </c>
    </row>
    <row r="2681" spans="1:7">
      <c r="A2681" s="3"/>
      <c r="B2681" s="3"/>
      <c r="C2681" s="3"/>
      <c r="D2681" s="3"/>
      <c r="E2681" s="3">
        <v>18</v>
      </c>
      <c r="F2681" s="4" t="str">
        <f>HYPERLINK("http://141.218.60.56/~jnz1568/getInfo.php?workbook=12_05.xlsx&amp;sheet=U0&amp;row=2681&amp;col=6&amp;number=4.7&amp;sourceID=14","4.7")</f>
        <v>4.7</v>
      </c>
      <c r="G2681" s="4" t="str">
        <f>HYPERLINK("http://141.218.60.56/~jnz1568/getInfo.php?workbook=12_05.xlsx&amp;sheet=U0&amp;row=2681&amp;col=7&amp;number=0.00462&amp;sourceID=14","0.00462")</f>
        <v>0.00462</v>
      </c>
    </row>
    <row r="2682" spans="1:7">
      <c r="A2682" s="3"/>
      <c r="B2682" s="3"/>
      <c r="C2682" s="3"/>
      <c r="D2682" s="3"/>
      <c r="E2682" s="3">
        <v>19</v>
      </c>
      <c r="F2682" s="4" t="str">
        <f>HYPERLINK("http://141.218.60.56/~jnz1568/getInfo.php?workbook=12_05.xlsx&amp;sheet=U0&amp;row=2682&amp;col=6&amp;number=4.8&amp;sourceID=14","4.8")</f>
        <v>4.8</v>
      </c>
      <c r="G2682" s="4" t="str">
        <f>HYPERLINK("http://141.218.60.56/~jnz1568/getInfo.php?workbook=12_05.xlsx&amp;sheet=U0&amp;row=2682&amp;col=7&amp;number=0.00462&amp;sourceID=14","0.00462")</f>
        <v>0.00462</v>
      </c>
    </row>
    <row r="2683" spans="1:7">
      <c r="A2683" s="3"/>
      <c r="B2683" s="3"/>
      <c r="C2683" s="3"/>
      <c r="D2683" s="3"/>
      <c r="E2683" s="3">
        <v>20</v>
      </c>
      <c r="F2683" s="4" t="str">
        <f>HYPERLINK("http://141.218.60.56/~jnz1568/getInfo.php?workbook=12_05.xlsx&amp;sheet=U0&amp;row=2683&amp;col=6&amp;number=4.9&amp;sourceID=14","4.9")</f>
        <v>4.9</v>
      </c>
      <c r="G2683" s="4" t="str">
        <f>HYPERLINK("http://141.218.60.56/~jnz1568/getInfo.php?workbook=12_05.xlsx&amp;sheet=U0&amp;row=2683&amp;col=7&amp;number=0.00461&amp;sourceID=14","0.00461")</f>
        <v>0.00461</v>
      </c>
    </row>
    <row r="2684" spans="1:7">
      <c r="A2684" s="3">
        <v>12</v>
      </c>
      <c r="B2684" s="3">
        <v>5</v>
      </c>
      <c r="C2684" s="3">
        <v>1</v>
      </c>
      <c r="D2684" s="3">
        <v>95</v>
      </c>
      <c r="E2684" s="3">
        <v>1</v>
      </c>
      <c r="F2684" s="4" t="str">
        <f>HYPERLINK("http://141.218.60.56/~jnz1568/getInfo.php?workbook=12_05.xlsx&amp;sheet=U0&amp;row=2684&amp;col=6&amp;number=3&amp;sourceID=14","3")</f>
        <v>3</v>
      </c>
      <c r="G2684" s="4" t="str">
        <f>HYPERLINK("http://141.218.60.56/~jnz1568/getInfo.php?workbook=12_05.xlsx&amp;sheet=U0&amp;row=2684&amp;col=7&amp;number=0.0177&amp;sourceID=14","0.0177")</f>
        <v>0.0177</v>
      </c>
    </row>
    <row r="2685" spans="1:7">
      <c r="A2685" s="3"/>
      <c r="B2685" s="3"/>
      <c r="C2685" s="3"/>
      <c r="D2685" s="3"/>
      <c r="E2685" s="3">
        <v>2</v>
      </c>
      <c r="F2685" s="4" t="str">
        <f>HYPERLINK("http://141.218.60.56/~jnz1568/getInfo.php?workbook=12_05.xlsx&amp;sheet=U0&amp;row=2685&amp;col=6&amp;number=3.1&amp;sourceID=14","3.1")</f>
        <v>3.1</v>
      </c>
      <c r="G2685" s="4" t="str">
        <f>HYPERLINK("http://141.218.60.56/~jnz1568/getInfo.php?workbook=12_05.xlsx&amp;sheet=U0&amp;row=2685&amp;col=7&amp;number=0.0177&amp;sourceID=14","0.0177")</f>
        <v>0.0177</v>
      </c>
    </row>
    <row r="2686" spans="1:7">
      <c r="A2686" s="3"/>
      <c r="B2686" s="3"/>
      <c r="C2686" s="3"/>
      <c r="D2686" s="3"/>
      <c r="E2686" s="3">
        <v>3</v>
      </c>
      <c r="F2686" s="4" t="str">
        <f>HYPERLINK("http://141.218.60.56/~jnz1568/getInfo.php?workbook=12_05.xlsx&amp;sheet=U0&amp;row=2686&amp;col=6&amp;number=3.2&amp;sourceID=14","3.2")</f>
        <v>3.2</v>
      </c>
      <c r="G2686" s="4" t="str">
        <f>HYPERLINK("http://141.218.60.56/~jnz1568/getInfo.php?workbook=12_05.xlsx&amp;sheet=U0&amp;row=2686&amp;col=7&amp;number=0.0177&amp;sourceID=14","0.0177")</f>
        <v>0.0177</v>
      </c>
    </row>
    <row r="2687" spans="1:7">
      <c r="A2687" s="3"/>
      <c r="B2687" s="3"/>
      <c r="C2687" s="3"/>
      <c r="D2687" s="3"/>
      <c r="E2687" s="3">
        <v>4</v>
      </c>
      <c r="F2687" s="4" t="str">
        <f>HYPERLINK("http://141.218.60.56/~jnz1568/getInfo.php?workbook=12_05.xlsx&amp;sheet=U0&amp;row=2687&amp;col=6&amp;number=3.3&amp;sourceID=14","3.3")</f>
        <v>3.3</v>
      </c>
      <c r="G2687" s="4" t="str">
        <f>HYPERLINK("http://141.218.60.56/~jnz1568/getInfo.php?workbook=12_05.xlsx&amp;sheet=U0&amp;row=2687&amp;col=7&amp;number=0.0177&amp;sourceID=14","0.0177")</f>
        <v>0.0177</v>
      </c>
    </row>
    <row r="2688" spans="1:7">
      <c r="A2688" s="3"/>
      <c r="B2688" s="3"/>
      <c r="C2688" s="3"/>
      <c r="D2688" s="3"/>
      <c r="E2688" s="3">
        <v>5</v>
      </c>
      <c r="F2688" s="4" t="str">
        <f>HYPERLINK("http://141.218.60.56/~jnz1568/getInfo.php?workbook=12_05.xlsx&amp;sheet=U0&amp;row=2688&amp;col=6&amp;number=3.4&amp;sourceID=14","3.4")</f>
        <v>3.4</v>
      </c>
      <c r="G2688" s="4" t="str">
        <f>HYPERLINK("http://141.218.60.56/~jnz1568/getInfo.php?workbook=12_05.xlsx&amp;sheet=U0&amp;row=2688&amp;col=7&amp;number=0.0177&amp;sourceID=14","0.0177")</f>
        <v>0.0177</v>
      </c>
    </row>
    <row r="2689" spans="1:7">
      <c r="A2689" s="3"/>
      <c r="B2689" s="3"/>
      <c r="C2689" s="3"/>
      <c r="D2689" s="3"/>
      <c r="E2689" s="3">
        <v>6</v>
      </c>
      <c r="F2689" s="4" t="str">
        <f>HYPERLINK("http://141.218.60.56/~jnz1568/getInfo.php?workbook=12_05.xlsx&amp;sheet=U0&amp;row=2689&amp;col=6&amp;number=3.5&amp;sourceID=14","3.5")</f>
        <v>3.5</v>
      </c>
      <c r="G2689" s="4" t="str">
        <f>HYPERLINK("http://141.218.60.56/~jnz1568/getInfo.php?workbook=12_05.xlsx&amp;sheet=U0&amp;row=2689&amp;col=7&amp;number=0.0178&amp;sourceID=14","0.0178")</f>
        <v>0.0178</v>
      </c>
    </row>
    <row r="2690" spans="1:7">
      <c r="A2690" s="3"/>
      <c r="B2690" s="3"/>
      <c r="C2690" s="3"/>
      <c r="D2690" s="3"/>
      <c r="E2690" s="3">
        <v>7</v>
      </c>
      <c r="F2690" s="4" t="str">
        <f>HYPERLINK("http://141.218.60.56/~jnz1568/getInfo.php?workbook=12_05.xlsx&amp;sheet=U0&amp;row=2690&amp;col=6&amp;number=3.6&amp;sourceID=14","3.6")</f>
        <v>3.6</v>
      </c>
      <c r="G2690" s="4" t="str">
        <f>HYPERLINK("http://141.218.60.56/~jnz1568/getInfo.php?workbook=12_05.xlsx&amp;sheet=U0&amp;row=2690&amp;col=7&amp;number=0.0178&amp;sourceID=14","0.0178")</f>
        <v>0.0178</v>
      </c>
    </row>
    <row r="2691" spans="1:7">
      <c r="A2691" s="3"/>
      <c r="B2691" s="3"/>
      <c r="C2691" s="3"/>
      <c r="D2691" s="3"/>
      <c r="E2691" s="3">
        <v>8</v>
      </c>
      <c r="F2691" s="4" t="str">
        <f>HYPERLINK("http://141.218.60.56/~jnz1568/getInfo.php?workbook=12_05.xlsx&amp;sheet=U0&amp;row=2691&amp;col=6&amp;number=3.7&amp;sourceID=14","3.7")</f>
        <v>3.7</v>
      </c>
      <c r="G2691" s="4" t="str">
        <f>HYPERLINK("http://141.218.60.56/~jnz1568/getInfo.php?workbook=12_05.xlsx&amp;sheet=U0&amp;row=2691&amp;col=7&amp;number=0.0178&amp;sourceID=14","0.0178")</f>
        <v>0.0178</v>
      </c>
    </row>
    <row r="2692" spans="1:7">
      <c r="A2692" s="3"/>
      <c r="B2692" s="3"/>
      <c r="C2692" s="3"/>
      <c r="D2692" s="3"/>
      <c r="E2692" s="3">
        <v>9</v>
      </c>
      <c r="F2692" s="4" t="str">
        <f>HYPERLINK("http://141.218.60.56/~jnz1568/getInfo.php?workbook=12_05.xlsx&amp;sheet=U0&amp;row=2692&amp;col=6&amp;number=3.8&amp;sourceID=14","3.8")</f>
        <v>3.8</v>
      </c>
      <c r="G2692" s="4" t="str">
        <f>HYPERLINK("http://141.218.60.56/~jnz1568/getInfo.php?workbook=12_05.xlsx&amp;sheet=U0&amp;row=2692&amp;col=7&amp;number=0.0178&amp;sourceID=14","0.0178")</f>
        <v>0.0178</v>
      </c>
    </row>
    <row r="2693" spans="1:7">
      <c r="A2693" s="3"/>
      <c r="B2693" s="3"/>
      <c r="C2693" s="3"/>
      <c r="D2693" s="3"/>
      <c r="E2693" s="3">
        <v>10</v>
      </c>
      <c r="F2693" s="4" t="str">
        <f>HYPERLINK("http://141.218.60.56/~jnz1568/getInfo.php?workbook=12_05.xlsx&amp;sheet=U0&amp;row=2693&amp;col=6&amp;number=3.9&amp;sourceID=14","3.9")</f>
        <v>3.9</v>
      </c>
      <c r="G2693" s="4" t="str">
        <f>HYPERLINK("http://141.218.60.56/~jnz1568/getInfo.php?workbook=12_05.xlsx&amp;sheet=U0&amp;row=2693&amp;col=7&amp;number=0.0178&amp;sourceID=14","0.0178")</f>
        <v>0.0178</v>
      </c>
    </row>
    <row r="2694" spans="1:7">
      <c r="A2694" s="3"/>
      <c r="B2694" s="3"/>
      <c r="C2694" s="3"/>
      <c r="D2694" s="3"/>
      <c r="E2694" s="3">
        <v>11</v>
      </c>
      <c r="F2694" s="4" t="str">
        <f>HYPERLINK("http://141.218.60.56/~jnz1568/getInfo.php?workbook=12_05.xlsx&amp;sheet=U0&amp;row=2694&amp;col=6&amp;number=4&amp;sourceID=14","4")</f>
        <v>4</v>
      </c>
      <c r="G2694" s="4" t="str">
        <f>HYPERLINK("http://141.218.60.56/~jnz1568/getInfo.php?workbook=12_05.xlsx&amp;sheet=U0&amp;row=2694&amp;col=7&amp;number=0.0179&amp;sourceID=14","0.0179")</f>
        <v>0.0179</v>
      </c>
    </row>
    <row r="2695" spans="1:7">
      <c r="A2695" s="3"/>
      <c r="B2695" s="3"/>
      <c r="C2695" s="3"/>
      <c r="D2695" s="3"/>
      <c r="E2695" s="3">
        <v>12</v>
      </c>
      <c r="F2695" s="4" t="str">
        <f>HYPERLINK("http://141.218.60.56/~jnz1568/getInfo.php?workbook=12_05.xlsx&amp;sheet=U0&amp;row=2695&amp;col=6&amp;number=4.1&amp;sourceID=14","4.1")</f>
        <v>4.1</v>
      </c>
      <c r="G2695" s="4" t="str">
        <f>HYPERLINK("http://141.218.60.56/~jnz1568/getInfo.php?workbook=12_05.xlsx&amp;sheet=U0&amp;row=2695&amp;col=7&amp;number=0.0179&amp;sourceID=14","0.0179")</f>
        <v>0.0179</v>
      </c>
    </row>
    <row r="2696" spans="1:7">
      <c r="A2696" s="3"/>
      <c r="B2696" s="3"/>
      <c r="C2696" s="3"/>
      <c r="D2696" s="3"/>
      <c r="E2696" s="3">
        <v>13</v>
      </c>
      <c r="F2696" s="4" t="str">
        <f>HYPERLINK("http://141.218.60.56/~jnz1568/getInfo.php?workbook=12_05.xlsx&amp;sheet=U0&amp;row=2696&amp;col=6&amp;number=4.2&amp;sourceID=14","4.2")</f>
        <v>4.2</v>
      </c>
      <c r="G2696" s="4" t="str">
        <f>HYPERLINK("http://141.218.60.56/~jnz1568/getInfo.php?workbook=12_05.xlsx&amp;sheet=U0&amp;row=2696&amp;col=7&amp;number=0.0179&amp;sourceID=14","0.0179")</f>
        <v>0.0179</v>
      </c>
    </row>
    <row r="2697" spans="1:7">
      <c r="A2697" s="3"/>
      <c r="B2697" s="3"/>
      <c r="C2697" s="3"/>
      <c r="D2697" s="3"/>
      <c r="E2697" s="3">
        <v>14</v>
      </c>
      <c r="F2697" s="4" t="str">
        <f>HYPERLINK("http://141.218.60.56/~jnz1568/getInfo.php?workbook=12_05.xlsx&amp;sheet=U0&amp;row=2697&amp;col=6&amp;number=4.3&amp;sourceID=14","4.3")</f>
        <v>4.3</v>
      </c>
      <c r="G2697" s="4" t="str">
        <f>HYPERLINK("http://141.218.60.56/~jnz1568/getInfo.php?workbook=12_05.xlsx&amp;sheet=U0&amp;row=2697&amp;col=7&amp;number=0.018&amp;sourceID=14","0.018")</f>
        <v>0.018</v>
      </c>
    </row>
    <row r="2698" spans="1:7">
      <c r="A2698" s="3"/>
      <c r="B2698" s="3"/>
      <c r="C2698" s="3"/>
      <c r="D2698" s="3"/>
      <c r="E2698" s="3">
        <v>15</v>
      </c>
      <c r="F2698" s="4" t="str">
        <f>HYPERLINK("http://141.218.60.56/~jnz1568/getInfo.php?workbook=12_05.xlsx&amp;sheet=U0&amp;row=2698&amp;col=6&amp;number=4.4&amp;sourceID=14","4.4")</f>
        <v>4.4</v>
      </c>
      <c r="G2698" s="4" t="str">
        <f>HYPERLINK("http://141.218.60.56/~jnz1568/getInfo.php?workbook=12_05.xlsx&amp;sheet=U0&amp;row=2698&amp;col=7&amp;number=0.0181&amp;sourceID=14","0.0181")</f>
        <v>0.0181</v>
      </c>
    </row>
    <row r="2699" spans="1:7">
      <c r="A2699" s="3"/>
      <c r="B2699" s="3"/>
      <c r="C2699" s="3"/>
      <c r="D2699" s="3"/>
      <c r="E2699" s="3">
        <v>16</v>
      </c>
      <c r="F2699" s="4" t="str">
        <f>HYPERLINK("http://141.218.60.56/~jnz1568/getInfo.php?workbook=12_05.xlsx&amp;sheet=U0&amp;row=2699&amp;col=6&amp;number=4.5&amp;sourceID=14","4.5")</f>
        <v>4.5</v>
      </c>
      <c r="G2699" s="4" t="str">
        <f>HYPERLINK("http://141.218.60.56/~jnz1568/getInfo.php?workbook=12_05.xlsx&amp;sheet=U0&amp;row=2699&amp;col=7&amp;number=0.0182&amp;sourceID=14","0.0182")</f>
        <v>0.0182</v>
      </c>
    </row>
    <row r="2700" spans="1:7">
      <c r="A2700" s="3"/>
      <c r="B2700" s="3"/>
      <c r="C2700" s="3"/>
      <c r="D2700" s="3"/>
      <c r="E2700" s="3">
        <v>17</v>
      </c>
      <c r="F2700" s="4" t="str">
        <f>HYPERLINK("http://141.218.60.56/~jnz1568/getInfo.php?workbook=12_05.xlsx&amp;sheet=U0&amp;row=2700&amp;col=6&amp;number=4.6&amp;sourceID=14","4.6")</f>
        <v>4.6</v>
      </c>
      <c r="G2700" s="4" t="str">
        <f>HYPERLINK("http://141.218.60.56/~jnz1568/getInfo.php?workbook=12_05.xlsx&amp;sheet=U0&amp;row=2700&amp;col=7&amp;number=0.0183&amp;sourceID=14","0.0183")</f>
        <v>0.0183</v>
      </c>
    </row>
    <row r="2701" spans="1:7">
      <c r="A2701" s="3"/>
      <c r="B2701" s="3"/>
      <c r="C2701" s="3"/>
      <c r="D2701" s="3"/>
      <c r="E2701" s="3">
        <v>18</v>
      </c>
      <c r="F2701" s="4" t="str">
        <f>HYPERLINK("http://141.218.60.56/~jnz1568/getInfo.php?workbook=12_05.xlsx&amp;sheet=U0&amp;row=2701&amp;col=6&amp;number=4.7&amp;sourceID=14","4.7")</f>
        <v>4.7</v>
      </c>
      <c r="G2701" s="4" t="str">
        <f>HYPERLINK("http://141.218.60.56/~jnz1568/getInfo.php?workbook=12_05.xlsx&amp;sheet=U0&amp;row=2701&amp;col=7&amp;number=0.0185&amp;sourceID=14","0.0185")</f>
        <v>0.0185</v>
      </c>
    </row>
    <row r="2702" spans="1:7">
      <c r="A2702" s="3"/>
      <c r="B2702" s="3"/>
      <c r="C2702" s="3"/>
      <c r="D2702" s="3"/>
      <c r="E2702" s="3">
        <v>19</v>
      </c>
      <c r="F2702" s="4" t="str">
        <f>HYPERLINK("http://141.218.60.56/~jnz1568/getInfo.php?workbook=12_05.xlsx&amp;sheet=U0&amp;row=2702&amp;col=6&amp;number=4.8&amp;sourceID=14","4.8")</f>
        <v>4.8</v>
      </c>
      <c r="G2702" s="4" t="str">
        <f>HYPERLINK("http://141.218.60.56/~jnz1568/getInfo.php?workbook=12_05.xlsx&amp;sheet=U0&amp;row=2702&amp;col=7&amp;number=0.0186&amp;sourceID=14","0.0186")</f>
        <v>0.0186</v>
      </c>
    </row>
    <row r="2703" spans="1:7">
      <c r="A2703" s="3"/>
      <c r="B2703" s="3"/>
      <c r="C2703" s="3"/>
      <c r="D2703" s="3"/>
      <c r="E2703" s="3">
        <v>20</v>
      </c>
      <c r="F2703" s="4" t="str">
        <f>HYPERLINK("http://141.218.60.56/~jnz1568/getInfo.php?workbook=12_05.xlsx&amp;sheet=U0&amp;row=2703&amp;col=6&amp;number=4.9&amp;sourceID=14","4.9")</f>
        <v>4.9</v>
      </c>
      <c r="G2703" s="4" t="str">
        <f>HYPERLINK("http://141.218.60.56/~jnz1568/getInfo.php?workbook=12_05.xlsx&amp;sheet=U0&amp;row=2703&amp;col=7&amp;number=0.0189&amp;sourceID=14","0.0189")</f>
        <v>0.0189</v>
      </c>
    </row>
    <row r="2704" spans="1:7">
      <c r="A2704" s="3">
        <v>12</v>
      </c>
      <c r="B2704" s="3">
        <v>5</v>
      </c>
      <c r="C2704" s="3">
        <v>1</v>
      </c>
      <c r="D2704" s="3">
        <v>96</v>
      </c>
      <c r="E2704" s="3">
        <v>1</v>
      </c>
      <c r="F2704" s="4" t="str">
        <f>HYPERLINK("http://141.218.60.56/~jnz1568/getInfo.php?workbook=12_05.xlsx&amp;sheet=U0&amp;row=2704&amp;col=6&amp;number=3&amp;sourceID=14","3")</f>
        <v>3</v>
      </c>
      <c r="G2704" s="4" t="str">
        <f>HYPERLINK("http://141.218.60.56/~jnz1568/getInfo.php?workbook=12_05.xlsx&amp;sheet=U0&amp;row=2704&amp;col=7&amp;number=0.0103&amp;sourceID=14","0.0103")</f>
        <v>0.0103</v>
      </c>
    </row>
    <row r="2705" spans="1:7">
      <c r="A2705" s="3"/>
      <c r="B2705" s="3"/>
      <c r="C2705" s="3"/>
      <c r="D2705" s="3"/>
      <c r="E2705" s="3">
        <v>2</v>
      </c>
      <c r="F2705" s="4" t="str">
        <f>HYPERLINK("http://141.218.60.56/~jnz1568/getInfo.php?workbook=12_05.xlsx&amp;sheet=U0&amp;row=2705&amp;col=6&amp;number=3.1&amp;sourceID=14","3.1")</f>
        <v>3.1</v>
      </c>
      <c r="G2705" s="4" t="str">
        <f>HYPERLINK("http://141.218.60.56/~jnz1568/getInfo.php?workbook=12_05.xlsx&amp;sheet=U0&amp;row=2705&amp;col=7&amp;number=0.0103&amp;sourceID=14","0.0103")</f>
        <v>0.0103</v>
      </c>
    </row>
    <row r="2706" spans="1:7">
      <c r="A2706" s="3"/>
      <c r="B2706" s="3"/>
      <c r="C2706" s="3"/>
      <c r="D2706" s="3"/>
      <c r="E2706" s="3">
        <v>3</v>
      </c>
      <c r="F2706" s="4" t="str">
        <f>HYPERLINK("http://141.218.60.56/~jnz1568/getInfo.php?workbook=12_05.xlsx&amp;sheet=U0&amp;row=2706&amp;col=6&amp;number=3.2&amp;sourceID=14","3.2")</f>
        <v>3.2</v>
      </c>
      <c r="G2706" s="4" t="str">
        <f>HYPERLINK("http://141.218.60.56/~jnz1568/getInfo.php?workbook=12_05.xlsx&amp;sheet=U0&amp;row=2706&amp;col=7&amp;number=0.0103&amp;sourceID=14","0.0103")</f>
        <v>0.0103</v>
      </c>
    </row>
    <row r="2707" spans="1:7">
      <c r="A2707" s="3"/>
      <c r="B2707" s="3"/>
      <c r="C2707" s="3"/>
      <c r="D2707" s="3"/>
      <c r="E2707" s="3">
        <v>4</v>
      </c>
      <c r="F2707" s="4" t="str">
        <f>HYPERLINK("http://141.218.60.56/~jnz1568/getInfo.php?workbook=12_05.xlsx&amp;sheet=U0&amp;row=2707&amp;col=6&amp;number=3.3&amp;sourceID=14","3.3")</f>
        <v>3.3</v>
      </c>
      <c r="G2707" s="4" t="str">
        <f>HYPERLINK("http://141.218.60.56/~jnz1568/getInfo.php?workbook=12_05.xlsx&amp;sheet=U0&amp;row=2707&amp;col=7&amp;number=0.0103&amp;sourceID=14","0.0103")</f>
        <v>0.0103</v>
      </c>
    </row>
    <row r="2708" spans="1:7">
      <c r="A2708" s="3"/>
      <c r="B2708" s="3"/>
      <c r="C2708" s="3"/>
      <c r="D2708" s="3"/>
      <c r="E2708" s="3">
        <v>5</v>
      </c>
      <c r="F2708" s="4" t="str">
        <f>HYPERLINK("http://141.218.60.56/~jnz1568/getInfo.php?workbook=12_05.xlsx&amp;sheet=U0&amp;row=2708&amp;col=6&amp;number=3.4&amp;sourceID=14","3.4")</f>
        <v>3.4</v>
      </c>
      <c r="G2708" s="4" t="str">
        <f>HYPERLINK("http://141.218.60.56/~jnz1568/getInfo.php?workbook=12_05.xlsx&amp;sheet=U0&amp;row=2708&amp;col=7&amp;number=0.0103&amp;sourceID=14","0.0103")</f>
        <v>0.0103</v>
      </c>
    </row>
    <row r="2709" spans="1:7">
      <c r="A2709" s="3"/>
      <c r="B2709" s="3"/>
      <c r="C2709" s="3"/>
      <c r="D2709" s="3"/>
      <c r="E2709" s="3">
        <v>6</v>
      </c>
      <c r="F2709" s="4" t="str">
        <f>HYPERLINK("http://141.218.60.56/~jnz1568/getInfo.php?workbook=12_05.xlsx&amp;sheet=U0&amp;row=2709&amp;col=6&amp;number=3.5&amp;sourceID=14","3.5")</f>
        <v>3.5</v>
      </c>
      <c r="G2709" s="4" t="str">
        <f>HYPERLINK("http://141.218.60.56/~jnz1568/getInfo.php?workbook=12_05.xlsx&amp;sheet=U0&amp;row=2709&amp;col=7&amp;number=0.0103&amp;sourceID=14","0.0103")</f>
        <v>0.0103</v>
      </c>
    </row>
    <row r="2710" spans="1:7">
      <c r="A2710" s="3"/>
      <c r="B2710" s="3"/>
      <c r="C2710" s="3"/>
      <c r="D2710" s="3"/>
      <c r="E2710" s="3">
        <v>7</v>
      </c>
      <c r="F2710" s="4" t="str">
        <f>HYPERLINK("http://141.218.60.56/~jnz1568/getInfo.php?workbook=12_05.xlsx&amp;sheet=U0&amp;row=2710&amp;col=6&amp;number=3.6&amp;sourceID=14","3.6")</f>
        <v>3.6</v>
      </c>
      <c r="G2710" s="4" t="str">
        <f>HYPERLINK("http://141.218.60.56/~jnz1568/getInfo.php?workbook=12_05.xlsx&amp;sheet=U0&amp;row=2710&amp;col=7&amp;number=0.0103&amp;sourceID=14","0.0103")</f>
        <v>0.0103</v>
      </c>
    </row>
    <row r="2711" spans="1:7">
      <c r="A2711" s="3"/>
      <c r="B2711" s="3"/>
      <c r="C2711" s="3"/>
      <c r="D2711" s="3"/>
      <c r="E2711" s="3">
        <v>8</v>
      </c>
      <c r="F2711" s="4" t="str">
        <f>HYPERLINK("http://141.218.60.56/~jnz1568/getInfo.php?workbook=12_05.xlsx&amp;sheet=U0&amp;row=2711&amp;col=6&amp;number=3.7&amp;sourceID=14","3.7")</f>
        <v>3.7</v>
      </c>
      <c r="G2711" s="4" t="str">
        <f>HYPERLINK("http://141.218.60.56/~jnz1568/getInfo.php?workbook=12_05.xlsx&amp;sheet=U0&amp;row=2711&amp;col=7&amp;number=0.0103&amp;sourceID=14","0.0103")</f>
        <v>0.0103</v>
      </c>
    </row>
    <row r="2712" spans="1:7">
      <c r="A2712" s="3"/>
      <c r="B2712" s="3"/>
      <c r="C2712" s="3"/>
      <c r="D2712" s="3"/>
      <c r="E2712" s="3">
        <v>9</v>
      </c>
      <c r="F2712" s="4" t="str">
        <f>HYPERLINK("http://141.218.60.56/~jnz1568/getInfo.php?workbook=12_05.xlsx&amp;sheet=U0&amp;row=2712&amp;col=6&amp;number=3.8&amp;sourceID=14","3.8")</f>
        <v>3.8</v>
      </c>
      <c r="G2712" s="4" t="str">
        <f>HYPERLINK("http://141.218.60.56/~jnz1568/getInfo.php?workbook=12_05.xlsx&amp;sheet=U0&amp;row=2712&amp;col=7&amp;number=0.0103&amp;sourceID=14","0.0103")</f>
        <v>0.0103</v>
      </c>
    </row>
    <row r="2713" spans="1:7">
      <c r="A2713" s="3"/>
      <c r="B2713" s="3"/>
      <c r="C2713" s="3"/>
      <c r="D2713" s="3"/>
      <c r="E2713" s="3">
        <v>10</v>
      </c>
      <c r="F2713" s="4" t="str">
        <f>HYPERLINK("http://141.218.60.56/~jnz1568/getInfo.php?workbook=12_05.xlsx&amp;sheet=U0&amp;row=2713&amp;col=6&amp;number=3.9&amp;sourceID=14","3.9")</f>
        <v>3.9</v>
      </c>
      <c r="G2713" s="4" t="str">
        <f>HYPERLINK("http://141.218.60.56/~jnz1568/getInfo.php?workbook=12_05.xlsx&amp;sheet=U0&amp;row=2713&amp;col=7&amp;number=0.0103&amp;sourceID=14","0.0103")</f>
        <v>0.0103</v>
      </c>
    </row>
    <row r="2714" spans="1:7">
      <c r="A2714" s="3"/>
      <c r="B2714" s="3"/>
      <c r="C2714" s="3"/>
      <c r="D2714" s="3"/>
      <c r="E2714" s="3">
        <v>11</v>
      </c>
      <c r="F2714" s="4" t="str">
        <f>HYPERLINK("http://141.218.60.56/~jnz1568/getInfo.php?workbook=12_05.xlsx&amp;sheet=U0&amp;row=2714&amp;col=6&amp;number=4&amp;sourceID=14","4")</f>
        <v>4</v>
      </c>
      <c r="G2714" s="4" t="str">
        <f>HYPERLINK("http://141.218.60.56/~jnz1568/getInfo.php?workbook=12_05.xlsx&amp;sheet=U0&amp;row=2714&amp;col=7&amp;number=0.0104&amp;sourceID=14","0.0104")</f>
        <v>0.0104</v>
      </c>
    </row>
    <row r="2715" spans="1:7">
      <c r="A2715" s="3"/>
      <c r="B2715" s="3"/>
      <c r="C2715" s="3"/>
      <c r="D2715" s="3"/>
      <c r="E2715" s="3">
        <v>12</v>
      </c>
      <c r="F2715" s="4" t="str">
        <f>HYPERLINK("http://141.218.60.56/~jnz1568/getInfo.php?workbook=12_05.xlsx&amp;sheet=U0&amp;row=2715&amp;col=6&amp;number=4.1&amp;sourceID=14","4.1")</f>
        <v>4.1</v>
      </c>
      <c r="G2715" s="4" t="str">
        <f>HYPERLINK("http://141.218.60.56/~jnz1568/getInfo.php?workbook=12_05.xlsx&amp;sheet=U0&amp;row=2715&amp;col=7&amp;number=0.0104&amp;sourceID=14","0.0104")</f>
        <v>0.0104</v>
      </c>
    </row>
    <row r="2716" spans="1:7">
      <c r="A2716" s="3"/>
      <c r="B2716" s="3"/>
      <c r="C2716" s="3"/>
      <c r="D2716" s="3"/>
      <c r="E2716" s="3">
        <v>13</v>
      </c>
      <c r="F2716" s="4" t="str">
        <f>HYPERLINK("http://141.218.60.56/~jnz1568/getInfo.php?workbook=12_05.xlsx&amp;sheet=U0&amp;row=2716&amp;col=6&amp;number=4.2&amp;sourceID=14","4.2")</f>
        <v>4.2</v>
      </c>
      <c r="G2716" s="4" t="str">
        <f>HYPERLINK("http://141.218.60.56/~jnz1568/getInfo.php?workbook=12_05.xlsx&amp;sheet=U0&amp;row=2716&amp;col=7&amp;number=0.0104&amp;sourceID=14","0.0104")</f>
        <v>0.0104</v>
      </c>
    </row>
    <row r="2717" spans="1:7">
      <c r="A2717" s="3"/>
      <c r="B2717" s="3"/>
      <c r="C2717" s="3"/>
      <c r="D2717" s="3"/>
      <c r="E2717" s="3">
        <v>14</v>
      </c>
      <c r="F2717" s="4" t="str">
        <f>HYPERLINK("http://141.218.60.56/~jnz1568/getInfo.php?workbook=12_05.xlsx&amp;sheet=U0&amp;row=2717&amp;col=6&amp;number=4.3&amp;sourceID=14","4.3")</f>
        <v>4.3</v>
      </c>
      <c r="G2717" s="4" t="str">
        <f>HYPERLINK("http://141.218.60.56/~jnz1568/getInfo.php?workbook=12_05.xlsx&amp;sheet=U0&amp;row=2717&amp;col=7&amp;number=0.0104&amp;sourceID=14","0.0104")</f>
        <v>0.0104</v>
      </c>
    </row>
    <row r="2718" spans="1:7">
      <c r="A2718" s="3"/>
      <c r="B2718" s="3"/>
      <c r="C2718" s="3"/>
      <c r="D2718" s="3"/>
      <c r="E2718" s="3">
        <v>15</v>
      </c>
      <c r="F2718" s="4" t="str">
        <f>HYPERLINK("http://141.218.60.56/~jnz1568/getInfo.php?workbook=12_05.xlsx&amp;sheet=U0&amp;row=2718&amp;col=6&amp;number=4.4&amp;sourceID=14","4.4")</f>
        <v>4.4</v>
      </c>
      <c r="G2718" s="4" t="str">
        <f>HYPERLINK("http://141.218.60.56/~jnz1568/getInfo.php?workbook=12_05.xlsx&amp;sheet=U0&amp;row=2718&amp;col=7&amp;number=0.0104&amp;sourceID=14","0.0104")</f>
        <v>0.0104</v>
      </c>
    </row>
    <row r="2719" spans="1:7">
      <c r="A2719" s="3"/>
      <c r="B2719" s="3"/>
      <c r="C2719" s="3"/>
      <c r="D2719" s="3"/>
      <c r="E2719" s="3">
        <v>16</v>
      </c>
      <c r="F2719" s="4" t="str">
        <f>HYPERLINK("http://141.218.60.56/~jnz1568/getInfo.php?workbook=12_05.xlsx&amp;sheet=U0&amp;row=2719&amp;col=6&amp;number=4.5&amp;sourceID=14","4.5")</f>
        <v>4.5</v>
      </c>
      <c r="G2719" s="4" t="str">
        <f>HYPERLINK("http://141.218.60.56/~jnz1568/getInfo.php?workbook=12_05.xlsx&amp;sheet=U0&amp;row=2719&amp;col=7&amp;number=0.0105&amp;sourceID=14","0.0105")</f>
        <v>0.0105</v>
      </c>
    </row>
    <row r="2720" spans="1:7">
      <c r="A2720" s="3"/>
      <c r="B2720" s="3"/>
      <c r="C2720" s="3"/>
      <c r="D2720" s="3"/>
      <c r="E2720" s="3">
        <v>17</v>
      </c>
      <c r="F2720" s="4" t="str">
        <f>HYPERLINK("http://141.218.60.56/~jnz1568/getInfo.php?workbook=12_05.xlsx&amp;sheet=U0&amp;row=2720&amp;col=6&amp;number=4.6&amp;sourceID=14","4.6")</f>
        <v>4.6</v>
      </c>
      <c r="G2720" s="4" t="str">
        <f>HYPERLINK("http://141.218.60.56/~jnz1568/getInfo.php?workbook=12_05.xlsx&amp;sheet=U0&amp;row=2720&amp;col=7&amp;number=0.0105&amp;sourceID=14","0.0105")</f>
        <v>0.0105</v>
      </c>
    </row>
    <row r="2721" spans="1:7">
      <c r="A2721" s="3"/>
      <c r="B2721" s="3"/>
      <c r="C2721" s="3"/>
      <c r="D2721" s="3"/>
      <c r="E2721" s="3">
        <v>18</v>
      </c>
      <c r="F2721" s="4" t="str">
        <f>HYPERLINK("http://141.218.60.56/~jnz1568/getInfo.php?workbook=12_05.xlsx&amp;sheet=U0&amp;row=2721&amp;col=6&amp;number=4.7&amp;sourceID=14","4.7")</f>
        <v>4.7</v>
      </c>
      <c r="G2721" s="4" t="str">
        <f>HYPERLINK("http://141.218.60.56/~jnz1568/getInfo.php?workbook=12_05.xlsx&amp;sheet=U0&amp;row=2721&amp;col=7&amp;number=0.0106&amp;sourceID=14","0.0106")</f>
        <v>0.0106</v>
      </c>
    </row>
    <row r="2722" spans="1:7">
      <c r="A2722" s="3"/>
      <c r="B2722" s="3"/>
      <c r="C2722" s="3"/>
      <c r="D2722" s="3"/>
      <c r="E2722" s="3">
        <v>19</v>
      </c>
      <c r="F2722" s="4" t="str">
        <f>HYPERLINK("http://141.218.60.56/~jnz1568/getInfo.php?workbook=12_05.xlsx&amp;sheet=U0&amp;row=2722&amp;col=6&amp;number=4.8&amp;sourceID=14","4.8")</f>
        <v>4.8</v>
      </c>
      <c r="G2722" s="4" t="str">
        <f>HYPERLINK("http://141.218.60.56/~jnz1568/getInfo.php?workbook=12_05.xlsx&amp;sheet=U0&amp;row=2722&amp;col=7&amp;number=0.0107&amp;sourceID=14","0.0107")</f>
        <v>0.0107</v>
      </c>
    </row>
    <row r="2723" spans="1:7">
      <c r="A2723" s="3"/>
      <c r="B2723" s="3"/>
      <c r="C2723" s="3"/>
      <c r="D2723" s="3"/>
      <c r="E2723" s="3">
        <v>20</v>
      </c>
      <c r="F2723" s="4" t="str">
        <f>HYPERLINK("http://141.218.60.56/~jnz1568/getInfo.php?workbook=12_05.xlsx&amp;sheet=U0&amp;row=2723&amp;col=6&amp;number=4.9&amp;sourceID=14","4.9")</f>
        <v>4.9</v>
      </c>
      <c r="G2723" s="4" t="str">
        <f>HYPERLINK("http://141.218.60.56/~jnz1568/getInfo.php?workbook=12_05.xlsx&amp;sheet=U0&amp;row=2723&amp;col=7&amp;number=0.0108&amp;sourceID=14","0.0108")</f>
        <v>0.0108</v>
      </c>
    </row>
    <row r="2724" spans="1:7">
      <c r="A2724" s="3">
        <v>12</v>
      </c>
      <c r="B2724" s="3">
        <v>5</v>
      </c>
      <c r="C2724" s="3">
        <v>1</v>
      </c>
      <c r="D2724" s="3">
        <v>97</v>
      </c>
      <c r="E2724" s="3">
        <v>1</v>
      </c>
      <c r="F2724" s="4" t="str">
        <f>HYPERLINK("http://141.218.60.56/~jnz1568/getInfo.php?workbook=12_05.xlsx&amp;sheet=U0&amp;row=2724&amp;col=6&amp;number=3&amp;sourceID=14","3")</f>
        <v>3</v>
      </c>
      <c r="G2724" s="4" t="str">
        <f>HYPERLINK("http://141.218.60.56/~jnz1568/getInfo.php?workbook=12_05.xlsx&amp;sheet=U0&amp;row=2724&amp;col=7&amp;number=0.00735&amp;sourceID=14","0.00735")</f>
        <v>0.00735</v>
      </c>
    </row>
    <row r="2725" spans="1:7">
      <c r="A2725" s="3"/>
      <c r="B2725" s="3"/>
      <c r="C2725" s="3"/>
      <c r="D2725" s="3"/>
      <c r="E2725" s="3">
        <v>2</v>
      </c>
      <c r="F2725" s="4" t="str">
        <f>HYPERLINK("http://141.218.60.56/~jnz1568/getInfo.php?workbook=12_05.xlsx&amp;sheet=U0&amp;row=2725&amp;col=6&amp;number=3.1&amp;sourceID=14","3.1")</f>
        <v>3.1</v>
      </c>
      <c r="G2725" s="4" t="str">
        <f>HYPERLINK("http://141.218.60.56/~jnz1568/getInfo.php?workbook=12_05.xlsx&amp;sheet=U0&amp;row=2725&amp;col=7&amp;number=0.00735&amp;sourceID=14","0.00735")</f>
        <v>0.00735</v>
      </c>
    </row>
    <row r="2726" spans="1:7">
      <c r="A2726" s="3"/>
      <c r="B2726" s="3"/>
      <c r="C2726" s="3"/>
      <c r="D2726" s="3"/>
      <c r="E2726" s="3">
        <v>3</v>
      </c>
      <c r="F2726" s="4" t="str">
        <f>HYPERLINK("http://141.218.60.56/~jnz1568/getInfo.php?workbook=12_05.xlsx&amp;sheet=U0&amp;row=2726&amp;col=6&amp;number=3.2&amp;sourceID=14","3.2")</f>
        <v>3.2</v>
      </c>
      <c r="G2726" s="4" t="str">
        <f>HYPERLINK("http://141.218.60.56/~jnz1568/getInfo.php?workbook=12_05.xlsx&amp;sheet=U0&amp;row=2726&amp;col=7&amp;number=0.00735&amp;sourceID=14","0.00735")</f>
        <v>0.00735</v>
      </c>
    </row>
    <row r="2727" spans="1:7">
      <c r="A2727" s="3"/>
      <c r="B2727" s="3"/>
      <c r="C2727" s="3"/>
      <c r="D2727" s="3"/>
      <c r="E2727" s="3">
        <v>4</v>
      </c>
      <c r="F2727" s="4" t="str">
        <f>HYPERLINK("http://141.218.60.56/~jnz1568/getInfo.php?workbook=12_05.xlsx&amp;sheet=U0&amp;row=2727&amp;col=6&amp;number=3.3&amp;sourceID=14","3.3")</f>
        <v>3.3</v>
      </c>
      <c r="G2727" s="4" t="str">
        <f>HYPERLINK("http://141.218.60.56/~jnz1568/getInfo.php?workbook=12_05.xlsx&amp;sheet=U0&amp;row=2727&amp;col=7&amp;number=0.00735&amp;sourceID=14","0.00735")</f>
        <v>0.00735</v>
      </c>
    </row>
    <row r="2728" spans="1:7">
      <c r="A2728" s="3"/>
      <c r="B2728" s="3"/>
      <c r="C2728" s="3"/>
      <c r="D2728" s="3"/>
      <c r="E2728" s="3">
        <v>5</v>
      </c>
      <c r="F2728" s="4" t="str">
        <f>HYPERLINK("http://141.218.60.56/~jnz1568/getInfo.php?workbook=12_05.xlsx&amp;sheet=U0&amp;row=2728&amp;col=6&amp;number=3.4&amp;sourceID=14","3.4")</f>
        <v>3.4</v>
      </c>
      <c r="G2728" s="4" t="str">
        <f>HYPERLINK("http://141.218.60.56/~jnz1568/getInfo.php?workbook=12_05.xlsx&amp;sheet=U0&amp;row=2728&amp;col=7&amp;number=0.00735&amp;sourceID=14","0.00735")</f>
        <v>0.00735</v>
      </c>
    </row>
    <row r="2729" spans="1:7">
      <c r="A2729" s="3"/>
      <c r="B2729" s="3"/>
      <c r="C2729" s="3"/>
      <c r="D2729" s="3"/>
      <c r="E2729" s="3">
        <v>6</v>
      </c>
      <c r="F2729" s="4" t="str">
        <f>HYPERLINK("http://141.218.60.56/~jnz1568/getInfo.php?workbook=12_05.xlsx&amp;sheet=U0&amp;row=2729&amp;col=6&amp;number=3.5&amp;sourceID=14","3.5")</f>
        <v>3.5</v>
      </c>
      <c r="G2729" s="4" t="str">
        <f>HYPERLINK("http://141.218.60.56/~jnz1568/getInfo.php?workbook=12_05.xlsx&amp;sheet=U0&amp;row=2729&amp;col=7&amp;number=0.00735&amp;sourceID=14","0.00735")</f>
        <v>0.00735</v>
      </c>
    </row>
    <row r="2730" spans="1:7">
      <c r="A2730" s="3"/>
      <c r="B2730" s="3"/>
      <c r="C2730" s="3"/>
      <c r="D2730" s="3"/>
      <c r="E2730" s="3">
        <v>7</v>
      </c>
      <c r="F2730" s="4" t="str">
        <f>HYPERLINK("http://141.218.60.56/~jnz1568/getInfo.php?workbook=12_05.xlsx&amp;sheet=U0&amp;row=2730&amp;col=6&amp;number=3.6&amp;sourceID=14","3.6")</f>
        <v>3.6</v>
      </c>
      <c r="G2730" s="4" t="str">
        <f>HYPERLINK("http://141.218.60.56/~jnz1568/getInfo.php?workbook=12_05.xlsx&amp;sheet=U0&amp;row=2730&amp;col=7&amp;number=0.00736&amp;sourceID=14","0.00736")</f>
        <v>0.00736</v>
      </c>
    </row>
    <row r="2731" spans="1:7">
      <c r="A2731" s="3"/>
      <c r="B2731" s="3"/>
      <c r="C2731" s="3"/>
      <c r="D2731" s="3"/>
      <c r="E2731" s="3">
        <v>8</v>
      </c>
      <c r="F2731" s="4" t="str">
        <f>HYPERLINK("http://141.218.60.56/~jnz1568/getInfo.php?workbook=12_05.xlsx&amp;sheet=U0&amp;row=2731&amp;col=6&amp;number=3.7&amp;sourceID=14","3.7")</f>
        <v>3.7</v>
      </c>
      <c r="G2731" s="4" t="str">
        <f>HYPERLINK("http://141.218.60.56/~jnz1568/getInfo.php?workbook=12_05.xlsx&amp;sheet=U0&amp;row=2731&amp;col=7&amp;number=0.00736&amp;sourceID=14","0.00736")</f>
        <v>0.00736</v>
      </c>
    </row>
    <row r="2732" spans="1:7">
      <c r="A2732" s="3"/>
      <c r="B2732" s="3"/>
      <c r="C2732" s="3"/>
      <c r="D2732" s="3"/>
      <c r="E2732" s="3">
        <v>9</v>
      </c>
      <c r="F2732" s="4" t="str">
        <f>HYPERLINK("http://141.218.60.56/~jnz1568/getInfo.php?workbook=12_05.xlsx&amp;sheet=U0&amp;row=2732&amp;col=6&amp;number=3.8&amp;sourceID=14","3.8")</f>
        <v>3.8</v>
      </c>
      <c r="G2732" s="4" t="str">
        <f>HYPERLINK("http://141.218.60.56/~jnz1568/getInfo.php?workbook=12_05.xlsx&amp;sheet=U0&amp;row=2732&amp;col=7&amp;number=0.00736&amp;sourceID=14","0.00736")</f>
        <v>0.00736</v>
      </c>
    </row>
    <row r="2733" spans="1:7">
      <c r="A2733" s="3"/>
      <c r="B2733" s="3"/>
      <c r="C2733" s="3"/>
      <c r="D2733" s="3"/>
      <c r="E2733" s="3">
        <v>10</v>
      </c>
      <c r="F2733" s="4" t="str">
        <f>HYPERLINK("http://141.218.60.56/~jnz1568/getInfo.php?workbook=12_05.xlsx&amp;sheet=U0&amp;row=2733&amp;col=6&amp;number=3.9&amp;sourceID=14","3.9")</f>
        <v>3.9</v>
      </c>
      <c r="G2733" s="4" t="str">
        <f>HYPERLINK("http://141.218.60.56/~jnz1568/getInfo.php?workbook=12_05.xlsx&amp;sheet=U0&amp;row=2733&amp;col=7&amp;number=0.00737&amp;sourceID=14","0.00737")</f>
        <v>0.00737</v>
      </c>
    </row>
    <row r="2734" spans="1:7">
      <c r="A2734" s="3"/>
      <c r="B2734" s="3"/>
      <c r="C2734" s="3"/>
      <c r="D2734" s="3"/>
      <c r="E2734" s="3">
        <v>11</v>
      </c>
      <c r="F2734" s="4" t="str">
        <f>HYPERLINK("http://141.218.60.56/~jnz1568/getInfo.php?workbook=12_05.xlsx&amp;sheet=U0&amp;row=2734&amp;col=6&amp;number=4&amp;sourceID=14","4")</f>
        <v>4</v>
      </c>
      <c r="G2734" s="4" t="str">
        <f>HYPERLINK("http://141.218.60.56/~jnz1568/getInfo.php?workbook=12_05.xlsx&amp;sheet=U0&amp;row=2734&amp;col=7&amp;number=0.00737&amp;sourceID=14","0.00737")</f>
        <v>0.00737</v>
      </c>
    </row>
    <row r="2735" spans="1:7">
      <c r="A2735" s="3"/>
      <c r="B2735" s="3"/>
      <c r="C2735" s="3"/>
      <c r="D2735" s="3"/>
      <c r="E2735" s="3">
        <v>12</v>
      </c>
      <c r="F2735" s="4" t="str">
        <f>HYPERLINK("http://141.218.60.56/~jnz1568/getInfo.php?workbook=12_05.xlsx&amp;sheet=U0&amp;row=2735&amp;col=6&amp;number=4.1&amp;sourceID=14","4.1")</f>
        <v>4.1</v>
      </c>
      <c r="G2735" s="4" t="str">
        <f>HYPERLINK("http://141.218.60.56/~jnz1568/getInfo.php?workbook=12_05.xlsx&amp;sheet=U0&amp;row=2735&amp;col=7&amp;number=0.00738&amp;sourceID=14","0.00738")</f>
        <v>0.00738</v>
      </c>
    </row>
    <row r="2736" spans="1:7">
      <c r="A2736" s="3"/>
      <c r="B2736" s="3"/>
      <c r="C2736" s="3"/>
      <c r="D2736" s="3"/>
      <c r="E2736" s="3">
        <v>13</v>
      </c>
      <c r="F2736" s="4" t="str">
        <f>HYPERLINK("http://141.218.60.56/~jnz1568/getInfo.php?workbook=12_05.xlsx&amp;sheet=U0&amp;row=2736&amp;col=6&amp;number=4.2&amp;sourceID=14","4.2")</f>
        <v>4.2</v>
      </c>
      <c r="G2736" s="4" t="str">
        <f>HYPERLINK("http://141.218.60.56/~jnz1568/getInfo.php?workbook=12_05.xlsx&amp;sheet=U0&amp;row=2736&amp;col=7&amp;number=0.00739&amp;sourceID=14","0.00739")</f>
        <v>0.00739</v>
      </c>
    </row>
    <row r="2737" spans="1:7">
      <c r="A2737" s="3"/>
      <c r="B2737" s="3"/>
      <c r="C2737" s="3"/>
      <c r="D2737" s="3"/>
      <c r="E2737" s="3">
        <v>14</v>
      </c>
      <c r="F2737" s="4" t="str">
        <f>HYPERLINK("http://141.218.60.56/~jnz1568/getInfo.php?workbook=12_05.xlsx&amp;sheet=U0&amp;row=2737&amp;col=6&amp;number=4.3&amp;sourceID=14","4.3")</f>
        <v>4.3</v>
      </c>
      <c r="G2737" s="4" t="str">
        <f>HYPERLINK("http://141.218.60.56/~jnz1568/getInfo.php?workbook=12_05.xlsx&amp;sheet=U0&amp;row=2737&amp;col=7&amp;number=0.0074&amp;sourceID=14","0.0074")</f>
        <v>0.0074</v>
      </c>
    </row>
    <row r="2738" spans="1:7">
      <c r="A2738" s="3"/>
      <c r="B2738" s="3"/>
      <c r="C2738" s="3"/>
      <c r="D2738" s="3"/>
      <c r="E2738" s="3">
        <v>15</v>
      </c>
      <c r="F2738" s="4" t="str">
        <f>HYPERLINK("http://141.218.60.56/~jnz1568/getInfo.php?workbook=12_05.xlsx&amp;sheet=U0&amp;row=2738&amp;col=6&amp;number=4.4&amp;sourceID=14","4.4")</f>
        <v>4.4</v>
      </c>
      <c r="G2738" s="4" t="str">
        <f>HYPERLINK("http://141.218.60.56/~jnz1568/getInfo.php?workbook=12_05.xlsx&amp;sheet=U0&amp;row=2738&amp;col=7&amp;number=0.00741&amp;sourceID=14","0.00741")</f>
        <v>0.00741</v>
      </c>
    </row>
    <row r="2739" spans="1:7">
      <c r="A2739" s="3"/>
      <c r="B2739" s="3"/>
      <c r="C2739" s="3"/>
      <c r="D2739" s="3"/>
      <c r="E2739" s="3">
        <v>16</v>
      </c>
      <c r="F2739" s="4" t="str">
        <f>HYPERLINK("http://141.218.60.56/~jnz1568/getInfo.php?workbook=12_05.xlsx&amp;sheet=U0&amp;row=2739&amp;col=6&amp;number=4.5&amp;sourceID=14","4.5")</f>
        <v>4.5</v>
      </c>
      <c r="G2739" s="4" t="str">
        <f>HYPERLINK("http://141.218.60.56/~jnz1568/getInfo.php?workbook=12_05.xlsx&amp;sheet=U0&amp;row=2739&amp;col=7&amp;number=0.00743&amp;sourceID=14","0.00743")</f>
        <v>0.00743</v>
      </c>
    </row>
    <row r="2740" spans="1:7">
      <c r="A2740" s="3"/>
      <c r="B2740" s="3"/>
      <c r="C2740" s="3"/>
      <c r="D2740" s="3"/>
      <c r="E2740" s="3">
        <v>17</v>
      </c>
      <c r="F2740" s="4" t="str">
        <f>HYPERLINK("http://141.218.60.56/~jnz1568/getInfo.php?workbook=12_05.xlsx&amp;sheet=U0&amp;row=2740&amp;col=6&amp;number=4.6&amp;sourceID=14","4.6")</f>
        <v>4.6</v>
      </c>
      <c r="G2740" s="4" t="str">
        <f>HYPERLINK("http://141.218.60.56/~jnz1568/getInfo.php?workbook=12_05.xlsx&amp;sheet=U0&amp;row=2740&amp;col=7&amp;number=0.00745&amp;sourceID=14","0.00745")</f>
        <v>0.00745</v>
      </c>
    </row>
    <row r="2741" spans="1:7">
      <c r="A2741" s="3"/>
      <c r="B2741" s="3"/>
      <c r="C2741" s="3"/>
      <c r="D2741" s="3"/>
      <c r="E2741" s="3">
        <v>18</v>
      </c>
      <c r="F2741" s="4" t="str">
        <f>HYPERLINK("http://141.218.60.56/~jnz1568/getInfo.php?workbook=12_05.xlsx&amp;sheet=U0&amp;row=2741&amp;col=6&amp;number=4.7&amp;sourceID=14","4.7")</f>
        <v>4.7</v>
      </c>
      <c r="G2741" s="4" t="str">
        <f>HYPERLINK("http://141.218.60.56/~jnz1568/getInfo.php?workbook=12_05.xlsx&amp;sheet=U0&amp;row=2741&amp;col=7&amp;number=0.00748&amp;sourceID=14","0.00748")</f>
        <v>0.00748</v>
      </c>
    </row>
    <row r="2742" spans="1:7">
      <c r="A2742" s="3"/>
      <c r="B2742" s="3"/>
      <c r="C2742" s="3"/>
      <c r="D2742" s="3"/>
      <c r="E2742" s="3">
        <v>19</v>
      </c>
      <c r="F2742" s="4" t="str">
        <f>HYPERLINK("http://141.218.60.56/~jnz1568/getInfo.php?workbook=12_05.xlsx&amp;sheet=U0&amp;row=2742&amp;col=6&amp;number=4.8&amp;sourceID=14","4.8")</f>
        <v>4.8</v>
      </c>
      <c r="G2742" s="4" t="str">
        <f>HYPERLINK("http://141.218.60.56/~jnz1568/getInfo.php?workbook=12_05.xlsx&amp;sheet=U0&amp;row=2742&amp;col=7&amp;number=0.00751&amp;sourceID=14","0.00751")</f>
        <v>0.00751</v>
      </c>
    </row>
    <row r="2743" spans="1:7">
      <c r="A2743" s="3"/>
      <c r="B2743" s="3"/>
      <c r="C2743" s="3"/>
      <c r="D2743" s="3"/>
      <c r="E2743" s="3">
        <v>20</v>
      </c>
      <c r="F2743" s="4" t="str">
        <f>HYPERLINK("http://141.218.60.56/~jnz1568/getInfo.php?workbook=12_05.xlsx&amp;sheet=U0&amp;row=2743&amp;col=6&amp;number=4.9&amp;sourceID=14","4.9")</f>
        <v>4.9</v>
      </c>
      <c r="G2743" s="4" t="str">
        <f>HYPERLINK("http://141.218.60.56/~jnz1568/getInfo.php?workbook=12_05.xlsx&amp;sheet=U0&amp;row=2743&amp;col=7&amp;number=0.00755&amp;sourceID=14","0.00755")</f>
        <v>0.00755</v>
      </c>
    </row>
    <row r="2744" spans="1:7">
      <c r="A2744" s="3">
        <v>12</v>
      </c>
      <c r="B2744" s="3">
        <v>5</v>
      </c>
      <c r="C2744" s="3">
        <v>1</v>
      </c>
      <c r="D2744" s="3">
        <v>98</v>
      </c>
      <c r="E2744" s="3">
        <v>1</v>
      </c>
      <c r="F2744" s="4" t="str">
        <f>HYPERLINK("http://141.218.60.56/~jnz1568/getInfo.php?workbook=12_05.xlsx&amp;sheet=U0&amp;row=2744&amp;col=6&amp;number=3&amp;sourceID=14","3")</f>
        <v>3</v>
      </c>
      <c r="G2744" s="4" t="str">
        <f>HYPERLINK("http://141.218.60.56/~jnz1568/getInfo.php?workbook=12_05.xlsx&amp;sheet=U0&amp;row=2744&amp;col=7&amp;number=0.000302&amp;sourceID=14","0.000302")</f>
        <v>0.000302</v>
      </c>
    </row>
    <row r="2745" spans="1:7">
      <c r="A2745" s="3"/>
      <c r="B2745" s="3"/>
      <c r="C2745" s="3"/>
      <c r="D2745" s="3"/>
      <c r="E2745" s="3">
        <v>2</v>
      </c>
      <c r="F2745" s="4" t="str">
        <f>HYPERLINK("http://141.218.60.56/~jnz1568/getInfo.php?workbook=12_05.xlsx&amp;sheet=U0&amp;row=2745&amp;col=6&amp;number=3.1&amp;sourceID=14","3.1")</f>
        <v>3.1</v>
      </c>
      <c r="G2745" s="4" t="str">
        <f>HYPERLINK("http://141.218.60.56/~jnz1568/getInfo.php?workbook=12_05.xlsx&amp;sheet=U0&amp;row=2745&amp;col=7&amp;number=0.000301&amp;sourceID=14","0.000301")</f>
        <v>0.000301</v>
      </c>
    </row>
    <row r="2746" spans="1:7">
      <c r="A2746" s="3"/>
      <c r="B2746" s="3"/>
      <c r="C2746" s="3"/>
      <c r="D2746" s="3"/>
      <c r="E2746" s="3">
        <v>3</v>
      </c>
      <c r="F2746" s="4" t="str">
        <f>HYPERLINK("http://141.218.60.56/~jnz1568/getInfo.php?workbook=12_05.xlsx&amp;sheet=U0&amp;row=2746&amp;col=6&amp;number=3.2&amp;sourceID=14","3.2")</f>
        <v>3.2</v>
      </c>
      <c r="G2746" s="4" t="str">
        <f>HYPERLINK("http://141.218.60.56/~jnz1568/getInfo.php?workbook=12_05.xlsx&amp;sheet=U0&amp;row=2746&amp;col=7&amp;number=0.000301&amp;sourceID=14","0.000301")</f>
        <v>0.000301</v>
      </c>
    </row>
    <row r="2747" spans="1:7">
      <c r="A2747" s="3"/>
      <c r="B2747" s="3"/>
      <c r="C2747" s="3"/>
      <c r="D2747" s="3"/>
      <c r="E2747" s="3">
        <v>4</v>
      </c>
      <c r="F2747" s="4" t="str">
        <f>HYPERLINK("http://141.218.60.56/~jnz1568/getInfo.php?workbook=12_05.xlsx&amp;sheet=U0&amp;row=2747&amp;col=6&amp;number=3.3&amp;sourceID=14","3.3")</f>
        <v>3.3</v>
      </c>
      <c r="G2747" s="4" t="str">
        <f>HYPERLINK("http://141.218.60.56/~jnz1568/getInfo.php?workbook=12_05.xlsx&amp;sheet=U0&amp;row=2747&amp;col=7&amp;number=0.000301&amp;sourceID=14","0.000301")</f>
        <v>0.000301</v>
      </c>
    </row>
    <row r="2748" spans="1:7">
      <c r="A2748" s="3"/>
      <c r="B2748" s="3"/>
      <c r="C2748" s="3"/>
      <c r="D2748" s="3"/>
      <c r="E2748" s="3">
        <v>5</v>
      </c>
      <c r="F2748" s="4" t="str">
        <f>HYPERLINK("http://141.218.60.56/~jnz1568/getInfo.php?workbook=12_05.xlsx&amp;sheet=U0&amp;row=2748&amp;col=6&amp;number=3.4&amp;sourceID=14","3.4")</f>
        <v>3.4</v>
      </c>
      <c r="G2748" s="4" t="str">
        <f>HYPERLINK("http://141.218.60.56/~jnz1568/getInfo.php?workbook=12_05.xlsx&amp;sheet=U0&amp;row=2748&amp;col=7&amp;number=0.000301&amp;sourceID=14","0.000301")</f>
        <v>0.000301</v>
      </c>
    </row>
    <row r="2749" spans="1:7">
      <c r="A2749" s="3"/>
      <c r="B2749" s="3"/>
      <c r="C2749" s="3"/>
      <c r="D2749" s="3"/>
      <c r="E2749" s="3">
        <v>6</v>
      </c>
      <c r="F2749" s="4" t="str">
        <f>HYPERLINK("http://141.218.60.56/~jnz1568/getInfo.php?workbook=12_05.xlsx&amp;sheet=U0&amp;row=2749&amp;col=6&amp;number=3.5&amp;sourceID=14","3.5")</f>
        <v>3.5</v>
      </c>
      <c r="G2749" s="4" t="str">
        <f>HYPERLINK("http://141.218.60.56/~jnz1568/getInfo.php?workbook=12_05.xlsx&amp;sheet=U0&amp;row=2749&amp;col=7&amp;number=0.000301&amp;sourceID=14","0.000301")</f>
        <v>0.000301</v>
      </c>
    </row>
    <row r="2750" spans="1:7">
      <c r="A2750" s="3"/>
      <c r="B2750" s="3"/>
      <c r="C2750" s="3"/>
      <c r="D2750" s="3"/>
      <c r="E2750" s="3">
        <v>7</v>
      </c>
      <c r="F2750" s="4" t="str">
        <f>HYPERLINK("http://141.218.60.56/~jnz1568/getInfo.php?workbook=12_05.xlsx&amp;sheet=U0&amp;row=2750&amp;col=6&amp;number=3.6&amp;sourceID=14","3.6")</f>
        <v>3.6</v>
      </c>
      <c r="G2750" s="4" t="str">
        <f>HYPERLINK("http://141.218.60.56/~jnz1568/getInfo.php?workbook=12_05.xlsx&amp;sheet=U0&amp;row=2750&amp;col=7&amp;number=0.000301&amp;sourceID=14","0.000301")</f>
        <v>0.000301</v>
      </c>
    </row>
    <row r="2751" spans="1:7">
      <c r="A2751" s="3"/>
      <c r="B2751" s="3"/>
      <c r="C2751" s="3"/>
      <c r="D2751" s="3"/>
      <c r="E2751" s="3">
        <v>8</v>
      </c>
      <c r="F2751" s="4" t="str">
        <f>HYPERLINK("http://141.218.60.56/~jnz1568/getInfo.php?workbook=12_05.xlsx&amp;sheet=U0&amp;row=2751&amp;col=6&amp;number=3.7&amp;sourceID=14","3.7")</f>
        <v>3.7</v>
      </c>
      <c r="G2751" s="4" t="str">
        <f>HYPERLINK("http://141.218.60.56/~jnz1568/getInfo.php?workbook=12_05.xlsx&amp;sheet=U0&amp;row=2751&amp;col=7&amp;number=0.000301&amp;sourceID=14","0.000301")</f>
        <v>0.000301</v>
      </c>
    </row>
    <row r="2752" spans="1:7">
      <c r="A2752" s="3"/>
      <c r="B2752" s="3"/>
      <c r="C2752" s="3"/>
      <c r="D2752" s="3"/>
      <c r="E2752" s="3">
        <v>9</v>
      </c>
      <c r="F2752" s="4" t="str">
        <f>HYPERLINK("http://141.218.60.56/~jnz1568/getInfo.php?workbook=12_05.xlsx&amp;sheet=U0&amp;row=2752&amp;col=6&amp;number=3.8&amp;sourceID=14","3.8")</f>
        <v>3.8</v>
      </c>
      <c r="G2752" s="4" t="str">
        <f>HYPERLINK("http://141.218.60.56/~jnz1568/getInfo.php?workbook=12_05.xlsx&amp;sheet=U0&amp;row=2752&amp;col=7&amp;number=0.0003&amp;sourceID=14","0.0003")</f>
        <v>0.0003</v>
      </c>
    </row>
    <row r="2753" spans="1:7">
      <c r="A2753" s="3"/>
      <c r="B2753" s="3"/>
      <c r="C2753" s="3"/>
      <c r="D2753" s="3"/>
      <c r="E2753" s="3">
        <v>10</v>
      </c>
      <c r="F2753" s="4" t="str">
        <f>HYPERLINK("http://141.218.60.56/~jnz1568/getInfo.php?workbook=12_05.xlsx&amp;sheet=U0&amp;row=2753&amp;col=6&amp;number=3.9&amp;sourceID=14","3.9")</f>
        <v>3.9</v>
      </c>
      <c r="G2753" s="4" t="str">
        <f>HYPERLINK("http://141.218.60.56/~jnz1568/getInfo.php?workbook=12_05.xlsx&amp;sheet=U0&amp;row=2753&amp;col=7&amp;number=0.0003&amp;sourceID=14","0.0003")</f>
        <v>0.0003</v>
      </c>
    </row>
    <row r="2754" spans="1:7">
      <c r="A2754" s="3"/>
      <c r="B2754" s="3"/>
      <c r="C2754" s="3"/>
      <c r="D2754" s="3"/>
      <c r="E2754" s="3">
        <v>11</v>
      </c>
      <c r="F2754" s="4" t="str">
        <f>HYPERLINK("http://141.218.60.56/~jnz1568/getInfo.php?workbook=12_05.xlsx&amp;sheet=U0&amp;row=2754&amp;col=6&amp;number=4&amp;sourceID=14","4")</f>
        <v>4</v>
      </c>
      <c r="G2754" s="4" t="str">
        <f>HYPERLINK("http://141.218.60.56/~jnz1568/getInfo.php?workbook=12_05.xlsx&amp;sheet=U0&amp;row=2754&amp;col=7&amp;number=0.000299&amp;sourceID=14","0.000299")</f>
        <v>0.000299</v>
      </c>
    </row>
    <row r="2755" spans="1:7">
      <c r="A2755" s="3"/>
      <c r="B2755" s="3"/>
      <c r="C2755" s="3"/>
      <c r="D2755" s="3"/>
      <c r="E2755" s="3">
        <v>12</v>
      </c>
      <c r="F2755" s="4" t="str">
        <f>HYPERLINK("http://141.218.60.56/~jnz1568/getInfo.php?workbook=12_05.xlsx&amp;sheet=U0&amp;row=2755&amp;col=6&amp;number=4.1&amp;sourceID=14","4.1")</f>
        <v>4.1</v>
      </c>
      <c r="G2755" s="4" t="str">
        <f>HYPERLINK("http://141.218.60.56/~jnz1568/getInfo.php?workbook=12_05.xlsx&amp;sheet=U0&amp;row=2755&amp;col=7&amp;number=0.000299&amp;sourceID=14","0.000299")</f>
        <v>0.000299</v>
      </c>
    </row>
    <row r="2756" spans="1:7">
      <c r="A2756" s="3"/>
      <c r="B2756" s="3"/>
      <c r="C2756" s="3"/>
      <c r="D2756" s="3"/>
      <c r="E2756" s="3">
        <v>13</v>
      </c>
      <c r="F2756" s="4" t="str">
        <f>HYPERLINK("http://141.218.60.56/~jnz1568/getInfo.php?workbook=12_05.xlsx&amp;sheet=U0&amp;row=2756&amp;col=6&amp;number=4.2&amp;sourceID=14","4.2")</f>
        <v>4.2</v>
      </c>
      <c r="G2756" s="4" t="str">
        <f>HYPERLINK("http://141.218.60.56/~jnz1568/getInfo.php?workbook=12_05.xlsx&amp;sheet=U0&amp;row=2756&amp;col=7&amp;number=0.000298&amp;sourceID=14","0.000298")</f>
        <v>0.000298</v>
      </c>
    </row>
    <row r="2757" spans="1:7">
      <c r="A2757" s="3"/>
      <c r="B2757" s="3"/>
      <c r="C2757" s="3"/>
      <c r="D2757" s="3"/>
      <c r="E2757" s="3">
        <v>14</v>
      </c>
      <c r="F2757" s="4" t="str">
        <f>HYPERLINK("http://141.218.60.56/~jnz1568/getInfo.php?workbook=12_05.xlsx&amp;sheet=U0&amp;row=2757&amp;col=6&amp;number=4.3&amp;sourceID=14","4.3")</f>
        <v>4.3</v>
      </c>
      <c r="G2757" s="4" t="str">
        <f>HYPERLINK("http://141.218.60.56/~jnz1568/getInfo.php?workbook=12_05.xlsx&amp;sheet=U0&amp;row=2757&amp;col=7&amp;number=0.000297&amp;sourceID=14","0.000297")</f>
        <v>0.000297</v>
      </c>
    </row>
    <row r="2758" spans="1:7">
      <c r="A2758" s="3"/>
      <c r="B2758" s="3"/>
      <c r="C2758" s="3"/>
      <c r="D2758" s="3"/>
      <c r="E2758" s="3">
        <v>15</v>
      </c>
      <c r="F2758" s="4" t="str">
        <f>HYPERLINK("http://141.218.60.56/~jnz1568/getInfo.php?workbook=12_05.xlsx&amp;sheet=U0&amp;row=2758&amp;col=6&amp;number=4.4&amp;sourceID=14","4.4")</f>
        <v>4.4</v>
      </c>
      <c r="G2758" s="4" t="str">
        <f>HYPERLINK("http://141.218.60.56/~jnz1568/getInfo.php?workbook=12_05.xlsx&amp;sheet=U0&amp;row=2758&amp;col=7&amp;number=0.000296&amp;sourceID=14","0.000296")</f>
        <v>0.000296</v>
      </c>
    </row>
    <row r="2759" spans="1:7">
      <c r="A2759" s="3"/>
      <c r="B2759" s="3"/>
      <c r="C2759" s="3"/>
      <c r="D2759" s="3"/>
      <c r="E2759" s="3">
        <v>16</v>
      </c>
      <c r="F2759" s="4" t="str">
        <f>HYPERLINK("http://141.218.60.56/~jnz1568/getInfo.php?workbook=12_05.xlsx&amp;sheet=U0&amp;row=2759&amp;col=6&amp;number=4.5&amp;sourceID=14","4.5")</f>
        <v>4.5</v>
      </c>
      <c r="G2759" s="4" t="str">
        <f>HYPERLINK("http://141.218.60.56/~jnz1568/getInfo.php?workbook=12_05.xlsx&amp;sheet=U0&amp;row=2759&amp;col=7&amp;number=0.000294&amp;sourceID=14","0.000294")</f>
        <v>0.000294</v>
      </c>
    </row>
    <row r="2760" spans="1:7">
      <c r="A2760" s="3"/>
      <c r="B2760" s="3"/>
      <c r="C2760" s="3"/>
      <c r="D2760" s="3"/>
      <c r="E2760" s="3">
        <v>17</v>
      </c>
      <c r="F2760" s="4" t="str">
        <f>HYPERLINK("http://141.218.60.56/~jnz1568/getInfo.php?workbook=12_05.xlsx&amp;sheet=U0&amp;row=2760&amp;col=6&amp;number=4.6&amp;sourceID=14","4.6")</f>
        <v>4.6</v>
      </c>
      <c r="G2760" s="4" t="str">
        <f>HYPERLINK("http://141.218.60.56/~jnz1568/getInfo.php?workbook=12_05.xlsx&amp;sheet=U0&amp;row=2760&amp;col=7&amp;number=0.000292&amp;sourceID=14","0.000292")</f>
        <v>0.000292</v>
      </c>
    </row>
    <row r="2761" spans="1:7">
      <c r="A2761" s="3"/>
      <c r="B2761" s="3"/>
      <c r="C2761" s="3"/>
      <c r="D2761" s="3"/>
      <c r="E2761" s="3">
        <v>18</v>
      </c>
      <c r="F2761" s="4" t="str">
        <f>HYPERLINK("http://141.218.60.56/~jnz1568/getInfo.php?workbook=12_05.xlsx&amp;sheet=U0&amp;row=2761&amp;col=6&amp;number=4.7&amp;sourceID=14","4.7")</f>
        <v>4.7</v>
      </c>
      <c r="G2761" s="4" t="str">
        <f>HYPERLINK("http://141.218.60.56/~jnz1568/getInfo.php?workbook=12_05.xlsx&amp;sheet=U0&amp;row=2761&amp;col=7&amp;number=0.00029&amp;sourceID=14","0.00029")</f>
        <v>0.00029</v>
      </c>
    </row>
    <row r="2762" spans="1:7">
      <c r="A2762" s="3"/>
      <c r="B2762" s="3"/>
      <c r="C2762" s="3"/>
      <c r="D2762" s="3"/>
      <c r="E2762" s="3">
        <v>19</v>
      </c>
      <c r="F2762" s="4" t="str">
        <f>HYPERLINK("http://141.218.60.56/~jnz1568/getInfo.php?workbook=12_05.xlsx&amp;sheet=U0&amp;row=2762&amp;col=6&amp;number=4.8&amp;sourceID=14","4.8")</f>
        <v>4.8</v>
      </c>
      <c r="G2762" s="4" t="str">
        <f>HYPERLINK("http://141.218.60.56/~jnz1568/getInfo.php?workbook=12_05.xlsx&amp;sheet=U0&amp;row=2762&amp;col=7&amp;number=0.000287&amp;sourceID=14","0.000287")</f>
        <v>0.000287</v>
      </c>
    </row>
    <row r="2763" spans="1:7">
      <c r="A2763" s="3"/>
      <c r="B2763" s="3"/>
      <c r="C2763" s="3"/>
      <c r="D2763" s="3"/>
      <c r="E2763" s="3">
        <v>20</v>
      </c>
      <c r="F2763" s="4" t="str">
        <f>HYPERLINK("http://141.218.60.56/~jnz1568/getInfo.php?workbook=12_05.xlsx&amp;sheet=U0&amp;row=2763&amp;col=6&amp;number=4.9&amp;sourceID=14","4.9")</f>
        <v>4.9</v>
      </c>
      <c r="G2763" s="4" t="str">
        <f>HYPERLINK("http://141.218.60.56/~jnz1568/getInfo.php?workbook=12_05.xlsx&amp;sheet=U0&amp;row=2763&amp;col=7&amp;number=0.000283&amp;sourceID=14","0.000283")</f>
        <v>0.000283</v>
      </c>
    </row>
    <row r="2764" spans="1:7">
      <c r="A2764" s="3">
        <v>12</v>
      </c>
      <c r="B2764" s="3">
        <v>5</v>
      </c>
      <c r="C2764" s="3">
        <v>1</v>
      </c>
      <c r="D2764" s="3">
        <v>99</v>
      </c>
      <c r="E2764" s="3">
        <v>1</v>
      </c>
      <c r="F2764" s="4" t="str">
        <f>HYPERLINK("http://141.218.60.56/~jnz1568/getInfo.php?workbook=12_05.xlsx&amp;sheet=U0&amp;row=2764&amp;col=6&amp;number=3&amp;sourceID=14","3")</f>
        <v>3</v>
      </c>
      <c r="G2764" s="4" t="str">
        <f>HYPERLINK("http://141.218.60.56/~jnz1568/getInfo.php?workbook=12_05.xlsx&amp;sheet=U0&amp;row=2764&amp;col=7&amp;number=0.000172&amp;sourceID=14","0.000172")</f>
        <v>0.000172</v>
      </c>
    </row>
    <row r="2765" spans="1:7">
      <c r="A2765" s="3"/>
      <c r="B2765" s="3"/>
      <c r="C2765" s="3"/>
      <c r="D2765" s="3"/>
      <c r="E2765" s="3">
        <v>2</v>
      </c>
      <c r="F2765" s="4" t="str">
        <f>HYPERLINK("http://141.218.60.56/~jnz1568/getInfo.php?workbook=12_05.xlsx&amp;sheet=U0&amp;row=2765&amp;col=6&amp;number=3.1&amp;sourceID=14","3.1")</f>
        <v>3.1</v>
      </c>
      <c r="G2765" s="4" t="str">
        <f>HYPERLINK("http://141.218.60.56/~jnz1568/getInfo.php?workbook=12_05.xlsx&amp;sheet=U0&amp;row=2765&amp;col=7&amp;number=0.000172&amp;sourceID=14","0.000172")</f>
        <v>0.000172</v>
      </c>
    </row>
    <row r="2766" spans="1:7">
      <c r="A2766" s="3"/>
      <c r="B2766" s="3"/>
      <c r="C2766" s="3"/>
      <c r="D2766" s="3"/>
      <c r="E2766" s="3">
        <v>3</v>
      </c>
      <c r="F2766" s="4" t="str">
        <f>HYPERLINK("http://141.218.60.56/~jnz1568/getInfo.php?workbook=12_05.xlsx&amp;sheet=U0&amp;row=2766&amp;col=6&amp;number=3.2&amp;sourceID=14","3.2")</f>
        <v>3.2</v>
      </c>
      <c r="G2766" s="4" t="str">
        <f>HYPERLINK("http://141.218.60.56/~jnz1568/getInfo.php?workbook=12_05.xlsx&amp;sheet=U0&amp;row=2766&amp;col=7&amp;number=0.000171&amp;sourceID=14","0.000171")</f>
        <v>0.000171</v>
      </c>
    </row>
    <row r="2767" spans="1:7">
      <c r="A2767" s="3"/>
      <c r="B2767" s="3"/>
      <c r="C2767" s="3"/>
      <c r="D2767" s="3"/>
      <c r="E2767" s="3">
        <v>4</v>
      </c>
      <c r="F2767" s="4" t="str">
        <f>HYPERLINK("http://141.218.60.56/~jnz1568/getInfo.php?workbook=12_05.xlsx&amp;sheet=U0&amp;row=2767&amp;col=6&amp;number=3.3&amp;sourceID=14","3.3")</f>
        <v>3.3</v>
      </c>
      <c r="G2767" s="4" t="str">
        <f>HYPERLINK("http://141.218.60.56/~jnz1568/getInfo.php?workbook=12_05.xlsx&amp;sheet=U0&amp;row=2767&amp;col=7&amp;number=0.000171&amp;sourceID=14","0.000171")</f>
        <v>0.000171</v>
      </c>
    </row>
    <row r="2768" spans="1:7">
      <c r="A2768" s="3"/>
      <c r="B2768" s="3"/>
      <c r="C2768" s="3"/>
      <c r="D2768" s="3"/>
      <c r="E2768" s="3">
        <v>5</v>
      </c>
      <c r="F2768" s="4" t="str">
        <f>HYPERLINK("http://141.218.60.56/~jnz1568/getInfo.php?workbook=12_05.xlsx&amp;sheet=U0&amp;row=2768&amp;col=6&amp;number=3.4&amp;sourceID=14","3.4")</f>
        <v>3.4</v>
      </c>
      <c r="G2768" s="4" t="str">
        <f>HYPERLINK("http://141.218.60.56/~jnz1568/getInfo.php?workbook=12_05.xlsx&amp;sheet=U0&amp;row=2768&amp;col=7&amp;number=0.000171&amp;sourceID=14","0.000171")</f>
        <v>0.000171</v>
      </c>
    </row>
    <row r="2769" spans="1:7">
      <c r="A2769" s="3"/>
      <c r="B2769" s="3"/>
      <c r="C2769" s="3"/>
      <c r="D2769" s="3"/>
      <c r="E2769" s="3">
        <v>6</v>
      </c>
      <c r="F2769" s="4" t="str">
        <f>HYPERLINK("http://141.218.60.56/~jnz1568/getInfo.php?workbook=12_05.xlsx&amp;sheet=U0&amp;row=2769&amp;col=6&amp;number=3.5&amp;sourceID=14","3.5")</f>
        <v>3.5</v>
      </c>
      <c r="G2769" s="4" t="str">
        <f>HYPERLINK("http://141.218.60.56/~jnz1568/getInfo.php?workbook=12_05.xlsx&amp;sheet=U0&amp;row=2769&amp;col=7&amp;number=0.000171&amp;sourceID=14","0.000171")</f>
        <v>0.000171</v>
      </c>
    </row>
    <row r="2770" spans="1:7">
      <c r="A2770" s="3"/>
      <c r="B2770" s="3"/>
      <c r="C2770" s="3"/>
      <c r="D2770" s="3"/>
      <c r="E2770" s="3">
        <v>7</v>
      </c>
      <c r="F2770" s="4" t="str">
        <f>HYPERLINK("http://141.218.60.56/~jnz1568/getInfo.php?workbook=12_05.xlsx&amp;sheet=U0&amp;row=2770&amp;col=6&amp;number=3.6&amp;sourceID=14","3.6")</f>
        <v>3.6</v>
      </c>
      <c r="G2770" s="4" t="str">
        <f>HYPERLINK("http://141.218.60.56/~jnz1568/getInfo.php?workbook=12_05.xlsx&amp;sheet=U0&amp;row=2770&amp;col=7&amp;number=0.000171&amp;sourceID=14","0.000171")</f>
        <v>0.000171</v>
      </c>
    </row>
    <row r="2771" spans="1:7">
      <c r="A2771" s="3"/>
      <c r="B2771" s="3"/>
      <c r="C2771" s="3"/>
      <c r="D2771" s="3"/>
      <c r="E2771" s="3">
        <v>8</v>
      </c>
      <c r="F2771" s="4" t="str">
        <f>HYPERLINK("http://141.218.60.56/~jnz1568/getInfo.php?workbook=12_05.xlsx&amp;sheet=U0&amp;row=2771&amp;col=6&amp;number=3.7&amp;sourceID=14","3.7")</f>
        <v>3.7</v>
      </c>
      <c r="G2771" s="4" t="str">
        <f>HYPERLINK("http://141.218.60.56/~jnz1568/getInfo.php?workbook=12_05.xlsx&amp;sheet=U0&amp;row=2771&amp;col=7&amp;number=0.000171&amp;sourceID=14","0.000171")</f>
        <v>0.000171</v>
      </c>
    </row>
    <row r="2772" spans="1:7">
      <c r="A2772" s="3"/>
      <c r="B2772" s="3"/>
      <c r="C2772" s="3"/>
      <c r="D2772" s="3"/>
      <c r="E2772" s="3">
        <v>9</v>
      </c>
      <c r="F2772" s="4" t="str">
        <f>HYPERLINK("http://141.218.60.56/~jnz1568/getInfo.php?workbook=12_05.xlsx&amp;sheet=U0&amp;row=2772&amp;col=6&amp;number=3.8&amp;sourceID=14","3.8")</f>
        <v>3.8</v>
      </c>
      <c r="G2772" s="4" t="str">
        <f>HYPERLINK("http://141.218.60.56/~jnz1568/getInfo.php?workbook=12_05.xlsx&amp;sheet=U0&amp;row=2772&amp;col=7&amp;number=0.000171&amp;sourceID=14","0.000171")</f>
        <v>0.000171</v>
      </c>
    </row>
    <row r="2773" spans="1:7">
      <c r="A2773" s="3"/>
      <c r="B2773" s="3"/>
      <c r="C2773" s="3"/>
      <c r="D2773" s="3"/>
      <c r="E2773" s="3">
        <v>10</v>
      </c>
      <c r="F2773" s="4" t="str">
        <f>HYPERLINK("http://141.218.60.56/~jnz1568/getInfo.php?workbook=12_05.xlsx&amp;sheet=U0&amp;row=2773&amp;col=6&amp;number=3.9&amp;sourceID=14","3.9")</f>
        <v>3.9</v>
      </c>
      <c r="G2773" s="4" t="str">
        <f>HYPERLINK("http://141.218.60.56/~jnz1568/getInfo.php?workbook=12_05.xlsx&amp;sheet=U0&amp;row=2773&amp;col=7&amp;number=0.000171&amp;sourceID=14","0.000171")</f>
        <v>0.000171</v>
      </c>
    </row>
    <row r="2774" spans="1:7">
      <c r="A2774" s="3"/>
      <c r="B2774" s="3"/>
      <c r="C2774" s="3"/>
      <c r="D2774" s="3"/>
      <c r="E2774" s="3">
        <v>11</v>
      </c>
      <c r="F2774" s="4" t="str">
        <f>HYPERLINK("http://141.218.60.56/~jnz1568/getInfo.php?workbook=12_05.xlsx&amp;sheet=U0&amp;row=2774&amp;col=6&amp;number=4&amp;sourceID=14","4")</f>
        <v>4</v>
      </c>
      <c r="G2774" s="4" t="str">
        <f>HYPERLINK("http://141.218.60.56/~jnz1568/getInfo.php?workbook=12_05.xlsx&amp;sheet=U0&amp;row=2774&amp;col=7&amp;number=0.00017&amp;sourceID=14","0.00017")</f>
        <v>0.00017</v>
      </c>
    </row>
    <row r="2775" spans="1:7">
      <c r="A2775" s="3"/>
      <c r="B2775" s="3"/>
      <c r="C2775" s="3"/>
      <c r="D2775" s="3"/>
      <c r="E2775" s="3">
        <v>12</v>
      </c>
      <c r="F2775" s="4" t="str">
        <f>HYPERLINK("http://141.218.60.56/~jnz1568/getInfo.php?workbook=12_05.xlsx&amp;sheet=U0&amp;row=2775&amp;col=6&amp;number=4.1&amp;sourceID=14","4.1")</f>
        <v>4.1</v>
      </c>
      <c r="G2775" s="4" t="str">
        <f>HYPERLINK("http://141.218.60.56/~jnz1568/getInfo.php?workbook=12_05.xlsx&amp;sheet=U0&amp;row=2775&amp;col=7&amp;number=0.00017&amp;sourceID=14","0.00017")</f>
        <v>0.00017</v>
      </c>
    </row>
    <row r="2776" spans="1:7">
      <c r="A2776" s="3"/>
      <c r="B2776" s="3"/>
      <c r="C2776" s="3"/>
      <c r="D2776" s="3"/>
      <c r="E2776" s="3">
        <v>13</v>
      </c>
      <c r="F2776" s="4" t="str">
        <f>HYPERLINK("http://141.218.60.56/~jnz1568/getInfo.php?workbook=12_05.xlsx&amp;sheet=U0&amp;row=2776&amp;col=6&amp;number=4.2&amp;sourceID=14","4.2")</f>
        <v>4.2</v>
      </c>
      <c r="G2776" s="4" t="str">
        <f>HYPERLINK("http://141.218.60.56/~jnz1568/getInfo.php?workbook=12_05.xlsx&amp;sheet=U0&amp;row=2776&amp;col=7&amp;number=0.00017&amp;sourceID=14","0.00017")</f>
        <v>0.00017</v>
      </c>
    </row>
    <row r="2777" spans="1:7">
      <c r="A2777" s="3"/>
      <c r="B2777" s="3"/>
      <c r="C2777" s="3"/>
      <c r="D2777" s="3"/>
      <c r="E2777" s="3">
        <v>14</v>
      </c>
      <c r="F2777" s="4" t="str">
        <f>HYPERLINK("http://141.218.60.56/~jnz1568/getInfo.php?workbook=12_05.xlsx&amp;sheet=U0&amp;row=2777&amp;col=6&amp;number=4.3&amp;sourceID=14","4.3")</f>
        <v>4.3</v>
      </c>
      <c r="G2777" s="4" t="str">
        <f>HYPERLINK("http://141.218.60.56/~jnz1568/getInfo.php?workbook=12_05.xlsx&amp;sheet=U0&amp;row=2777&amp;col=7&amp;number=0.000169&amp;sourceID=14","0.000169")</f>
        <v>0.000169</v>
      </c>
    </row>
    <row r="2778" spans="1:7">
      <c r="A2778" s="3"/>
      <c r="B2778" s="3"/>
      <c r="C2778" s="3"/>
      <c r="D2778" s="3"/>
      <c r="E2778" s="3">
        <v>15</v>
      </c>
      <c r="F2778" s="4" t="str">
        <f>HYPERLINK("http://141.218.60.56/~jnz1568/getInfo.php?workbook=12_05.xlsx&amp;sheet=U0&amp;row=2778&amp;col=6&amp;number=4.4&amp;sourceID=14","4.4")</f>
        <v>4.4</v>
      </c>
      <c r="G2778" s="4" t="str">
        <f>HYPERLINK("http://141.218.60.56/~jnz1568/getInfo.php?workbook=12_05.xlsx&amp;sheet=U0&amp;row=2778&amp;col=7&amp;number=0.000168&amp;sourceID=14","0.000168")</f>
        <v>0.000168</v>
      </c>
    </row>
    <row r="2779" spans="1:7">
      <c r="A2779" s="3"/>
      <c r="B2779" s="3"/>
      <c r="C2779" s="3"/>
      <c r="D2779" s="3"/>
      <c r="E2779" s="3">
        <v>16</v>
      </c>
      <c r="F2779" s="4" t="str">
        <f>HYPERLINK("http://141.218.60.56/~jnz1568/getInfo.php?workbook=12_05.xlsx&amp;sheet=U0&amp;row=2779&amp;col=6&amp;number=4.5&amp;sourceID=14","4.5")</f>
        <v>4.5</v>
      </c>
      <c r="G2779" s="4" t="str">
        <f>HYPERLINK("http://141.218.60.56/~jnz1568/getInfo.php?workbook=12_05.xlsx&amp;sheet=U0&amp;row=2779&amp;col=7&amp;number=0.000167&amp;sourceID=14","0.000167")</f>
        <v>0.000167</v>
      </c>
    </row>
    <row r="2780" spans="1:7">
      <c r="A2780" s="3"/>
      <c r="B2780" s="3"/>
      <c r="C2780" s="3"/>
      <c r="D2780" s="3"/>
      <c r="E2780" s="3">
        <v>17</v>
      </c>
      <c r="F2780" s="4" t="str">
        <f>HYPERLINK("http://141.218.60.56/~jnz1568/getInfo.php?workbook=12_05.xlsx&amp;sheet=U0&amp;row=2780&amp;col=6&amp;number=4.6&amp;sourceID=14","4.6")</f>
        <v>4.6</v>
      </c>
      <c r="G2780" s="4" t="str">
        <f>HYPERLINK("http://141.218.60.56/~jnz1568/getInfo.php?workbook=12_05.xlsx&amp;sheet=U0&amp;row=2780&amp;col=7&amp;number=0.000166&amp;sourceID=14","0.000166")</f>
        <v>0.000166</v>
      </c>
    </row>
    <row r="2781" spans="1:7">
      <c r="A2781" s="3"/>
      <c r="B2781" s="3"/>
      <c r="C2781" s="3"/>
      <c r="D2781" s="3"/>
      <c r="E2781" s="3">
        <v>18</v>
      </c>
      <c r="F2781" s="4" t="str">
        <f>HYPERLINK("http://141.218.60.56/~jnz1568/getInfo.php?workbook=12_05.xlsx&amp;sheet=U0&amp;row=2781&amp;col=6&amp;number=4.7&amp;sourceID=14","4.7")</f>
        <v>4.7</v>
      </c>
      <c r="G2781" s="4" t="str">
        <f>HYPERLINK("http://141.218.60.56/~jnz1568/getInfo.php?workbook=12_05.xlsx&amp;sheet=U0&amp;row=2781&amp;col=7&amp;number=0.000165&amp;sourceID=14","0.000165")</f>
        <v>0.000165</v>
      </c>
    </row>
    <row r="2782" spans="1:7">
      <c r="A2782" s="3"/>
      <c r="B2782" s="3"/>
      <c r="C2782" s="3"/>
      <c r="D2782" s="3"/>
      <c r="E2782" s="3">
        <v>19</v>
      </c>
      <c r="F2782" s="4" t="str">
        <f>HYPERLINK("http://141.218.60.56/~jnz1568/getInfo.php?workbook=12_05.xlsx&amp;sheet=U0&amp;row=2782&amp;col=6&amp;number=4.8&amp;sourceID=14","4.8")</f>
        <v>4.8</v>
      </c>
      <c r="G2782" s="4" t="str">
        <f>HYPERLINK("http://141.218.60.56/~jnz1568/getInfo.php?workbook=12_05.xlsx&amp;sheet=U0&amp;row=2782&amp;col=7&amp;number=0.000163&amp;sourceID=14","0.000163")</f>
        <v>0.000163</v>
      </c>
    </row>
    <row r="2783" spans="1:7">
      <c r="A2783" s="3"/>
      <c r="B2783" s="3"/>
      <c r="C2783" s="3"/>
      <c r="D2783" s="3"/>
      <c r="E2783" s="3">
        <v>20</v>
      </c>
      <c r="F2783" s="4" t="str">
        <f>HYPERLINK("http://141.218.60.56/~jnz1568/getInfo.php?workbook=12_05.xlsx&amp;sheet=U0&amp;row=2783&amp;col=6&amp;number=4.9&amp;sourceID=14","4.9")</f>
        <v>4.9</v>
      </c>
      <c r="G2783" s="4" t="str">
        <f>HYPERLINK("http://141.218.60.56/~jnz1568/getInfo.php?workbook=12_05.xlsx&amp;sheet=U0&amp;row=2783&amp;col=7&amp;number=0.000161&amp;sourceID=14","0.000161")</f>
        <v>0.000161</v>
      </c>
    </row>
    <row r="2784" spans="1:7">
      <c r="A2784" s="3">
        <v>12</v>
      </c>
      <c r="B2784" s="3">
        <v>5</v>
      </c>
      <c r="C2784" s="3">
        <v>1</v>
      </c>
      <c r="D2784" s="3">
        <v>100</v>
      </c>
      <c r="E2784" s="3">
        <v>1</v>
      </c>
      <c r="F2784" s="4" t="str">
        <f>HYPERLINK("http://141.218.60.56/~jnz1568/getInfo.php?workbook=12_05.xlsx&amp;sheet=U0&amp;row=2784&amp;col=6&amp;number=3&amp;sourceID=14","3")</f>
        <v>3</v>
      </c>
      <c r="G2784" s="4" t="str">
        <f>HYPERLINK("http://141.218.60.56/~jnz1568/getInfo.php?workbook=12_05.xlsx&amp;sheet=U0&amp;row=2784&amp;col=7&amp;number=0.000184&amp;sourceID=14","0.000184")</f>
        <v>0.000184</v>
      </c>
    </row>
    <row r="2785" spans="1:7">
      <c r="A2785" s="3"/>
      <c r="B2785" s="3"/>
      <c r="C2785" s="3"/>
      <c r="D2785" s="3"/>
      <c r="E2785" s="3">
        <v>2</v>
      </c>
      <c r="F2785" s="4" t="str">
        <f>HYPERLINK("http://141.218.60.56/~jnz1568/getInfo.php?workbook=12_05.xlsx&amp;sheet=U0&amp;row=2785&amp;col=6&amp;number=3.1&amp;sourceID=14","3.1")</f>
        <v>3.1</v>
      </c>
      <c r="G2785" s="4" t="str">
        <f>HYPERLINK("http://141.218.60.56/~jnz1568/getInfo.php?workbook=12_05.xlsx&amp;sheet=U0&amp;row=2785&amp;col=7&amp;number=0.000184&amp;sourceID=14","0.000184")</f>
        <v>0.000184</v>
      </c>
    </row>
    <row r="2786" spans="1:7">
      <c r="A2786" s="3"/>
      <c r="B2786" s="3"/>
      <c r="C2786" s="3"/>
      <c r="D2786" s="3"/>
      <c r="E2786" s="3">
        <v>3</v>
      </c>
      <c r="F2786" s="4" t="str">
        <f>HYPERLINK("http://141.218.60.56/~jnz1568/getInfo.php?workbook=12_05.xlsx&amp;sheet=U0&amp;row=2786&amp;col=6&amp;number=3.2&amp;sourceID=14","3.2")</f>
        <v>3.2</v>
      </c>
      <c r="G2786" s="4" t="str">
        <f>HYPERLINK("http://141.218.60.56/~jnz1568/getInfo.php?workbook=12_05.xlsx&amp;sheet=U0&amp;row=2786&amp;col=7&amp;number=0.000184&amp;sourceID=14","0.000184")</f>
        <v>0.000184</v>
      </c>
    </row>
    <row r="2787" spans="1:7">
      <c r="A2787" s="3"/>
      <c r="B2787" s="3"/>
      <c r="C2787" s="3"/>
      <c r="D2787" s="3"/>
      <c r="E2787" s="3">
        <v>4</v>
      </c>
      <c r="F2787" s="4" t="str">
        <f>HYPERLINK("http://141.218.60.56/~jnz1568/getInfo.php?workbook=12_05.xlsx&amp;sheet=U0&amp;row=2787&amp;col=6&amp;number=3.3&amp;sourceID=14","3.3")</f>
        <v>3.3</v>
      </c>
      <c r="G2787" s="4" t="str">
        <f>HYPERLINK("http://141.218.60.56/~jnz1568/getInfo.php?workbook=12_05.xlsx&amp;sheet=U0&amp;row=2787&amp;col=7&amp;number=0.000184&amp;sourceID=14","0.000184")</f>
        <v>0.000184</v>
      </c>
    </row>
    <row r="2788" spans="1:7">
      <c r="A2788" s="3"/>
      <c r="B2788" s="3"/>
      <c r="C2788" s="3"/>
      <c r="D2788" s="3"/>
      <c r="E2788" s="3">
        <v>5</v>
      </c>
      <c r="F2788" s="4" t="str">
        <f>HYPERLINK("http://141.218.60.56/~jnz1568/getInfo.php?workbook=12_05.xlsx&amp;sheet=U0&amp;row=2788&amp;col=6&amp;number=3.4&amp;sourceID=14","3.4")</f>
        <v>3.4</v>
      </c>
      <c r="G2788" s="4" t="str">
        <f>HYPERLINK("http://141.218.60.56/~jnz1568/getInfo.php?workbook=12_05.xlsx&amp;sheet=U0&amp;row=2788&amp;col=7&amp;number=0.000184&amp;sourceID=14","0.000184")</f>
        <v>0.000184</v>
      </c>
    </row>
    <row r="2789" spans="1:7">
      <c r="A2789" s="3"/>
      <c r="B2789" s="3"/>
      <c r="C2789" s="3"/>
      <c r="D2789" s="3"/>
      <c r="E2789" s="3">
        <v>6</v>
      </c>
      <c r="F2789" s="4" t="str">
        <f>HYPERLINK("http://141.218.60.56/~jnz1568/getInfo.php?workbook=12_05.xlsx&amp;sheet=U0&amp;row=2789&amp;col=6&amp;number=3.5&amp;sourceID=14","3.5")</f>
        <v>3.5</v>
      </c>
      <c r="G2789" s="4" t="str">
        <f>HYPERLINK("http://141.218.60.56/~jnz1568/getInfo.php?workbook=12_05.xlsx&amp;sheet=U0&amp;row=2789&amp;col=7&amp;number=0.000183&amp;sourceID=14","0.000183")</f>
        <v>0.000183</v>
      </c>
    </row>
    <row r="2790" spans="1:7">
      <c r="A2790" s="3"/>
      <c r="B2790" s="3"/>
      <c r="C2790" s="3"/>
      <c r="D2790" s="3"/>
      <c r="E2790" s="3">
        <v>7</v>
      </c>
      <c r="F2790" s="4" t="str">
        <f>HYPERLINK("http://141.218.60.56/~jnz1568/getInfo.php?workbook=12_05.xlsx&amp;sheet=U0&amp;row=2790&amp;col=6&amp;number=3.6&amp;sourceID=14","3.6")</f>
        <v>3.6</v>
      </c>
      <c r="G2790" s="4" t="str">
        <f>HYPERLINK("http://141.218.60.56/~jnz1568/getInfo.php?workbook=12_05.xlsx&amp;sheet=U0&amp;row=2790&amp;col=7&amp;number=0.000183&amp;sourceID=14","0.000183")</f>
        <v>0.000183</v>
      </c>
    </row>
    <row r="2791" spans="1:7">
      <c r="A2791" s="3"/>
      <c r="B2791" s="3"/>
      <c r="C2791" s="3"/>
      <c r="D2791" s="3"/>
      <c r="E2791" s="3">
        <v>8</v>
      </c>
      <c r="F2791" s="4" t="str">
        <f>HYPERLINK("http://141.218.60.56/~jnz1568/getInfo.php?workbook=12_05.xlsx&amp;sheet=U0&amp;row=2791&amp;col=6&amp;number=3.7&amp;sourceID=14","3.7")</f>
        <v>3.7</v>
      </c>
      <c r="G2791" s="4" t="str">
        <f>HYPERLINK("http://141.218.60.56/~jnz1568/getInfo.php?workbook=12_05.xlsx&amp;sheet=U0&amp;row=2791&amp;col=7&amp;number=0.000183&amp;sourceID=14","0.000183")</f>
        <v>0.000183</v>
      </c>
    </row>
    <row r="2792" spans="1:7">
      <c r="A2792" s="3"/>
      <c r="B2792" s="3"/>
      <c r="C2792" s="3"/>
      <c r="D2792" s="3"/>
      <c r="E2792" s="3">
        <v>9</v>
      </c>
      <c r="F2792" s="4" t="str">
        <f>HYPERLINK("http://141.218.60.56/~jnz1568/getInfo.php?workbook=12_05.xlsx&amp;sheet=U0&amp;row=2792&amp;col=6&amp;number=3.8&amp;sourceID=14","3.8")</f>
        <v>3.8</v>
      </c>
      <c r="G2792" s="4" t="str">
        <f>HYPERLINK("http://141.218.60.56/~jnz1568/getInfo.php?workbook=12_05.xlsx&amp;sheet=U0&amp;row=2792&amp;col=7&amp;number=0.000183&amp;sourceID=14","0.000183")</f>
        <v>0.000183</v>
      </c>
    </row>
    <row r="2793" spans="1:7">
      <c r="A2793" s="3"/>
      <c r="B2793" s="3"/>
      <c r="C2793" s="3"/>
      <c r="D2793" s="3"/>
      <c r="E2793" s="3">
        <v>10</v>
      </c>
      <c r="F2793" s="4" t="str">
        <f>HYPERLINK("http://141.218.60.56/~jnz1568/getInfo.php?workbook=12_05.xlsx&amp;sheet=U0&amp;row=2793&amp;col=6&amp;number=3.9&amp;sourceID=14","3.9")</f>
        <v>3.9</v>
      </c>
      <c r="G2793" s="4" t="str">
        <f>HYPERLINK("http://141.218.60.56/~jnz1568/getInfo.php?workbook=12_05.xlsx&amp;sheet=U0&amp;row=2793&amp;col=7&amp;number=0.000183&amp;sourceID=14","0.000183")</f>
        <v>0.000183</v>
      </c>
    </row>
    <row r="2794" spans="1:7">
      <c r="A2794" s="3"/>
      <c r="B2794" s="3"/>
      <c r="C2794" s="3"/>
      <c r="D2794" s="3"/>
      <c r="E2794" s="3">
        <v>11</v>
      </c>
      <c r="F2794" s="4" t="str">
        <f>HYPERLINK("http://141.218.60.56/~jnz1568/getInfo.php?workbook=12_05.xlsx&amp;sheet=U0&amp;row=2794&amp;col=6&amp;number=4&amp;sourceID=14","4")</f>
        <v>4</v>
      </c>
      <c r="G2794" s="4" t="str">
        <f>HYPERLINK("http://141.218.60.56/~jnz1568/getInfo.php?workbook=12_05.xlsx&amp;sheet=U0&amp;row=2794&amp;col=7&amp;number=0.000182&amp;sourceID=14","0.000182")</f>
        <v>0.000182</v>
      </c>
    </row>
    <row r="2795" spans="1:7">
      <c r="A2795" s="3"/>
      <c r="B2795" s="3"/>
      <c r="C2795" s="3"/>
      <c r="D2795" s="3"/>
      <c r="E2795" s="3">
        <v>12</v>
      </c>
      <c r="F2795" s="4" t="str">
        <f>HYPERLINK("http://141.218.60.56/~jnz1568/getInfo.php?workbook=12_05.xlsx&amp;sheet=U0&amp;row=2795&amp;col=6&amp;number=4.1&amp;sourceID=14","4.1")</f>
        <v>4.1</v>
      </c>
      <c r="G2795" s="4" t="str">
        <f>HYPERLINK("http://141.218.60.56/~jnz1568/getInfo.php?workbook=12_05.xlsx&amp;sheet=U0&amp;row=2795&amp;col=7&amp;number=0.000182&amp;sourceID=14","0.000182")</f>
        <v>0.000182</v>
      </c>
    </row>
    <row r="2796" spans="1:7">
      <c r="A2796" s="3"/>
      <c r="B2796" s="3"/>
      <c r="C2796" s="3"/>
      <c r="D2796" s="3"/>
      <c r="E2796" s="3">
        <v>13</v>
      </c>
      <c r="F2796" s="4" t="str">
        <f>HYPERLINK("http://141.218.60.56/~jnz1568/getInfo.php?workbook=12_05.xlsx&amp;sheet=U0&amp;row=2796&amp;col=6&amp;number=4.2&amp;sourceID=14","4.2")</f>
        <v>4.2</v>
      </c>
      <c r="G2796" s="4" t="str">
        <f>HYPERLINK("http://141.218.60.56/~jnz1568/getInfo.php?workbook=12_05.xlsx&amp;sheet=U0&amp;row=2796&amp;col=7&amp;number=0.000182&amp;sourceID=14","0.000182")</f>
        <v>0.000182</v>
      </c>
    </row>
    <row r="2797" spans="1:7">
      <c r="A2797" s="3"/>
      <c r="B2797" s="3"/>
      <c r="C2797" s="3"/>
      <c r="D2797" s="3"/>
      <c r="E2797" s="3">
        <v>14</v>
      </c>
      <c r="F2797" s="4" t="str">
        <f>HYPERLINK("http://141.218.60.56/~jnz1568/getInfo.php?workbook=12_05.xlsx&amp;sheet=U0&amp;row=2797&amp;col=6&amp;number=4.3&amp;sourceID=14","4.3")</f>
        <v>4.3</v>
      </c>
      <c r="G2797" s="4" t="str">
        <f>HYPERLINK("http://141.218.60.56/~jnz1568/getInfo.php?workbook=12_05.xlsx&amp;sheet=U0&amp;row=2797&amp;col=7&amp;number=0.000181&amp;sourceID=14","0.000181")</f>
        <v>0.000181</v>
      </c>
    </row>
    <row r="2798" spans="1:7">
      <c r="A2798" s="3"/>
      <c r="B2798" s="3"/>
      <c r="C2798" s="3"/>
      <c r="D2798" s="3"/>
      <c r="E2798" s="3">
        <v>15</v>
      </c>
      <c r="F2798" s="4" t="str">
        <f>HYPERLINK("http://141.218.60.56/~jnz1568/getInfo.php?workbook=12_05.xlsx&amp;sheet=U0&amp;row=2798&amp;col=6&amp;number=4.4&amp;sourceID=14","4.4")</f>
        <v>4.4</v>
      </c>
      <c r="G2798" s="4" t="str">
        <f>HYPERLINK("http://141.218.60.56/~jnz1568/getInfo.php?workbook=12_05.xlsx&amp;sheet=U0&amp;row=2798&amp;col=7&amp;number=0.00018&amp;sourceID=14","0.00018")</f>
        <v>0.00018</v>
      </c>
    </row>
    <row r="2799" spans="1:7">
      <c r="A2799" s="3"/>
      <c r="B2799" s="3"/>
      <c r="C2799" s="3"/>
      <c r="D2799" s="3"/>
      <c r="E2799" s="3">
        <v>16</v>
      </c>
      <c r="F2799" s="4" t="str">
        <f>HYPERLINK("http://141.218.60.56/~jnz1568/getInfo.php?workbook=12_05.xlsx&amp;sheet=U0&amp;row=2799&amp;col=6&amp;number=4.5&amp;sourceID=14","4.5")</f>
        <v>4.5</v>
      </c>
      <c r="G2799" s="4" t="str">
        <f>HYPERLINK("http://141.218.60.56/~jnz1568/getInfo.php?workbook=12_05.xlsx&amp;sheet=U0&amp;row=2799&amp;col=7&amp;number=0.000179&amp;sourceID=14","0.000179")</f>
        <v>0.000179</v>
      </c>
    </row>
    <row r="2800" spans="1:7">
      <c r="A2800" s="3"/>
      <c r="B2800" s="3"/>
      <c r="C2800" s="3"/>
      <c r="D2800" s="3"/>
      <c r="E2800" s="3">
        <v>17</v>
      </c>
      <c r="F2800" s="4" t="str">
        <f>HYPERLINK("http://141.218.60.56/~jnz1568/getInfo.php?workbook=12_05.xlsx&amp;sheet=U0&amp;row=2800&amp;col=6&amp;number=4.6&amp;sourceID=14","4.6")</f>
        <v>4.6</v>
      </c>
      <c r="G2800" s="4" t="str">
        <f>HYPERLINK("http://141.218.60.56/~jnz1568/getInfo.php?workbook=12_05.xlsx&amp;sheet=U0&amp;row=2800&amp;col=7&amp;number=0.000178&amp;sourceID=14","0.000178")</f>
        <v>0.000178</v>
      </c>
    </row>
    <row r="2801" spans="1:7">
      <c r="A2801" s="3"/>
      <c r="B2801" s="3"/>
      <c r="C2801" s="3"/>
      <c r="D2801" s="3"/>
      <c r="E2801" s="3">
        <v>18</v>
      </c>
      <c r="F2801" s="4" t="str">
        <f>HYPERLINK("http://141.218.60.56/~jnz1568/getInfo.php?workbook=12_05.xlsx&amp;sheet=U0&amp;row=2801&amp;col=6&amp;number=4.7&amp;sourceID=14","4.7")</f>
        <v>4.7</v>
      </c>
      <c r="G2801" s="4" t="str">
        <f>HYPERLINK("http://141.218.60.56/~jnz1568/getInfo.php?workbook=12_05.xlsx&amp;sheet=U0&amp;row=2801&amp;col=7&amp;number=0.000177&amp;sourceID=14","0.000177")</f>
        <v>0.000177</v>
      </c>
    </row>
    <row r="2802" spans="1:7">
      <c r="A2802" s="3"/>
      <c r="B2802" s="3"/>
      <c r="C2802" s="3"/>
      <c r="D2802" s="3"/>
      <c r="E2802" s="3">
        <v>19</v>
      </c>
      <c r="F2802" s="4" t="str">
        <f>HYPERLINK("http://141.218.60.56/~jnz1568/getInfo.php?workbook=12_05.xlsx&amp;sheet=U0&amp;row=2802&amp;col=6&amp;number=4.8&amp;sourceID=14","4.8")</f>
        <v>4.8</v>
      </c>
      <c r="G2802" s="4" t="str">
        <f>HYPERLINK("http://141.218.60.56/~jnz1568/getInfo.php?workbook=12_05.xlsx&amp;sheet=U0&amp;row=2802&amp;col=7&amp;number=0.000175&amp;sourceID=14","0.000175")</f>
        <v>0.000175</v>
      </c>
    </row>
    <row r="2803" spans="1:7">
      <c r="A2803" s="3"/>
      <c r="B2803" s="3"/>
      <c r="C2803" s="3"/>
      <c r="D2803" s="3"/>
      <c r="E2803" s="3">
        <v>20</v>
      </c>
      <c r="F2803" s="4" t="str">
        <f>HYPERLINK("http://141.218.60.56/~jnz1568/getInfo.php?workbook=12_05.xlsx&amp;sheet=U0&amp;row=2803&amp;col=6&amp;number=4.9&amp;sourceID=14","4.9")</f>
        <v>4.9</v>
      </c>
      <c r="G2803" s="4" t="str">
        <f>HYPERLINK("http://141.218.60.56/~jnz1568/getInfo.php?workbook=12_05.xlsx&amp;sheet=U0&amp;row=2803&amp;col=7&amp;number=0.000173&amp;sourceID=14","0.000173")</f>
        <v>0.000173</v>
      </c>
    </row>
    <row r="2804" spans="1:7">
      <c r="A2804" s="3">
        <v>12</v>
      </c>
      <c r="B2804" s="3">
        <v>5</v>
      </c>
      <c r="C2804" s="3">
        <v>1</v>
      </c>
      <c r="D2804" s="3">
        <v>101</v>
      </c>
      <c r="E2804" s="3">
        <v>1</v>
      </c>
      <c r="F2804" s="4" t="str">
        <f>HYPERLINK("http://141.218.60.56/~jnz1568/getInfo.php?workbook=12_05.xlsx&amp;sheet=U0&amp;row=2804&amp;col=6&amp;number=3&amp;sourceID=14","3")</f>
        <v>3</v>
      </c>
      <c r="G2804" s="4" t="str">
        <f>HYPERLINK("http://141.218.60.56/~jnz1568/getInfo.php?workbook=12_05.xlsx&amp;sheet=U0&amp;row=2804&amp;col=7&amp;number=9.52e-05&amp;sourceID=14","9.52e-05")</f>
        <v>9.52e-05</v>
      </c>
    </row>
    <row r="2805" spans="1:7">
      <c r="A2805" s="3"/>
      <c r="B2805" s="3"/>
      <c r="C2805" s="3"/>
      <c r="D2805" s="3"/>
      <c r="E2805" s="3">
        <v>2</v>
      </c>
      <c r="F2805" s="4" t="str">
        <f>HYPERLINK("http://141.218.60.56/~jnz1568/getInfo.php?workbook=12_05.xlsx&amp;sheet=U0&amp;row=2805&amp;col=6&amp;number=3.1&amp;sourceID=14","3.1")</f>
        <v>3.1</v>
      </c>
      <c r="G2805" s="4" t="str">
        <f>HYPERLINK("http://141.218.60.56/~jnz1568/getInfo.php?workbook=12_05.xlsx&amp;sheet=U0&amp;row=2805&amp;col=7&amp;number=9.52e-05&amp;sourceID=14","9.52e-05")</f>
        <v>9.52e-05</v>
      </c>
    </row>
    <row r="2806" spans="1:7">
      <c r="A2806" s="3"/>
      <c r="B2806" s="3"/>
      <c r="C2806" s="3"/>
      <c r="D2806" s="3"/>
      <c r="E2806" s="3">
        <v>3</v>
      </c>
      <c r="F2806" s="4" t="str">
        <f>HYPERLINK("http://141.218.60.56/~jnz1568/getInfo.php?workbook=12_05.xlsx&amp;sheet=U0&amp;row=2806&amp;col=6&amp;number=3.2&amp;sourceID=14","3.2")</f>
        <v>3.2</v>
      </c>
      <c r="G2806" s="4" t="str">
        <f>HYPERLINK("http://141.218.60.56/~jnz1568/getInfo.php?workbook=12_05.xlsx&amp;sheet=U0&amp;row=2806&amp;col=7&amp;number=9.51e-05&amp;sourceID=14","9.51e-05")</f>
        <v>9.51e-05</v>
      </c>
    </row>
    <row r="2807" spans="1:7">
      <c r="A2807" s="3"/>
      <c r="B2807" s="3"/>
      <c r="C2807" s="3"/>
      <c r="D2807" s="3"/>
      <c r="E2807" s="3">
        <v>4</v>
      </c>
      <c r="F2807" s="4" t="str">
        <f>HYPERLINK("http://141.218.60.56/~jnz1568/getInfo.php?workbook=12_05.xlsx&amp;sheet=U0&amp;row=2807&amp;col=6&amp;number=3.3&amp;sourceID=14","3.3")</f>
        <v>3.3</v>
      </c>
      <c r="G2807" s="4" t="str">
        <f>HYPERLINK("http://141.218.60.56/~jnz1568/getInfo.php?workbook=12_05.xlsx&amp;sheet=U0&amp;row=2807&amp;col=7&amp;number=9.51e-05&amp;sourceID=14","9.51e-05")</f>
        <v>9.51e-05</v>
      </c>
    </row>
    <row r="2808" spans="1:7">
      <c r="A2808" s="3"/>
      <c r="B2808" s="3"/>
      <c r="C2808" s="3"/>
      <c r="D2808" s="3"/>
      <c r="E2808" s="3">
        <v>5</v>
      </c>
      <c r="F2808" s="4" t="str">
        <f>HYPERLINK("http://141.218.60.56/~jnz1568/getInfo.php?workbook=12_05.xlsx&amp;sheet=U0&amp;row=2808&amp;col=6&amp;number=3.4&amp;sourceID=14","3.4")</f>
        <v>3.4</v>
      </c>
      <c r="G2808" s="4" t="str">
        <f>HYPERLINK("http://141.218.60.56/~jnz1568/getInfo.php?workbook=12_05.xlsx&amp;sheet=U0&amp;row=2808&amp;col=7&amp;number=9.51e-05&amp;sourceID=14","9.51e-05")</f>
        <v>9.51e-05</v>
      </c>
    </row>
    <row r="2809" spans="1:7">
      <c r="A2809" s="3"/>
      <c r="B2809" s="3"/>
      <c r="C2809" s="3"/>
      <c r="D2809" s="3"/>
      <c r="E2809" s="3">
        <v>6</v>
      </c>
      <c r="F2809" s="4" t="str">
        <f>HYPERLINK("http://141.218.60.56/~jnz1568/getInfo.php?workbook=12_05.xlsx&amp;sheet=U0&amp;row=2809&amp;col=6&amp;number=3.5&amp;sourceID=14","3.5")</f>
        <v>3.5</v>
      </c>
      <c r="G2809" s="4" t="str">
        <f>HYPERLINK("http://141.218.60.56/~jnz1568/getInfo.php?workbook=12_05.xlsx&amp;sheet=U0&amp;row=2809&amp;col=7&amp;number=9.5e-05&amp;sourceID=14","9.5e-05")</f>
        <v>9.5e-05</v>
      </c>
    </row>
    <row r="2810" spans="1:7">
      <c r="A2810" s="3"/>
      <c r="B2810" s="3"/>
      <c r="C2810" s="3"/>
      <c r="D2810" s="3"/>
      <c r="E2810" s="3">
        <v>7</v>
      </c>
      <c r="F2810" s="4" t="str">
        <f>HYPERLINK("http://141.218.60.56/~jnz1568/getInfo.php?workbook=12_05.xlsx&amp;sheet=U0&amp;row=2810&amp;col=6&amp;number=3.6&amp;sourceID=14","3.6")</f>
        <v>3.6</v>
      </c>
      <c r="G2810" s="4" t="str">
        <f>HYPERLINK("http://141.218.60.56/~jnz1568/getInfo.php?workbook=12_05.xlsx&amp;sheet=U0&amp;row=2810&amp;col=7&amp;number=9.49e-05&amp;sourceID=14","9.49e-05")</f>
        <v>9.49e-05</v>
      </c>
    </row>
    <row r="2811" spans="1:7">
      <c r="A2811" s="3"/>
      <c r="B2811" s="3"/>
      <c r="C2811" s="3"/>
      <c r="D2811" s="3"/>
      <c r="E2811" s="3">
        <v>8</v>
      </c>
      <c r="F2811" s="4" t="str">
        <f>HYPERLINK("http://141.218.60.56/~jnz1568/getInfo.php?workbook=12_05.xlsx&amp;sheet=U0&amp;row=2811&amp;col=6&amp;number=3.7&amp;sourceID=14","3.7")</f>
        <v>3.7</v>
      </c>
      <c r="G2811" s="4" t="str">
        <f>HYPERLINK("http://141.218.60.56/~jnz1568/getInfo.php?workbook=12_05.xlsx&amp;sheet=U0&amp;row=2811&amp;col=7&amp;number=9.48e-05&amp;sourceID=14","9.48e-05")</f>
        <v>9.48e-05</v>
      </c>
    </row>
    <row r="2812" spans="1:7">
      <c r="A2812" s="3"/>
      <c r="B2812" s="3"/>
      <c r="C2812" s="3"/>
      <c r="D2812" s="3"/>
      <c r="E2812" s="3">
        <v>9</v>
      </c>
      <c r="F2812" s="4" t="str">
        <f>HYPERLINK("http://141.218.60.56/~jnz1568/getInfo.php?workbook=12_05.xlsx&amp;sheet=U0&amp;row=2812&amp;col=6&amp;number=3.8&amp;sourceID=14","3.8")</f>
        <v>3.8</v>
      </c>
      <c r="G2812" s="4" t="str">
        <f>HYPERLINK("http://141.218.60.56/~jnz1568/getInfo.php?workbook=12_05.xlsx&amp;sheet=U0&amp;row=2812&amp;col=7&amp;number=9.47e-05&amp;sourceID=14","9.47e-05")</f>
        <v>9.47e-05</v>
      </c>
    </row>
    <row r="2813" spans="1:7">
      <c r="A2813" s="3"/>
      <c r="B2813" s="3"/>
      <c r="C2813" s="3"/>
      <c r="D2813" s="3"/>
      <c r="E2813" s="3">
        <v>10</v>
      </c>
      <c r="F2813" s="4" t="str">
        <f>HYPERLINK("http://141.218.60.56/~jnz1568/getInfo.php?workbook=12_05.xlsx&amp;sheet=U0&amp;row=2813&amp;col=6&amp;number=3.9&amp;sourceID=14","3.9")</f>
        <v>3.9</v>
      </c>
      <c r="G2813" s="4" t="str">
        <f>HYPERLINK("http://141.218.60.56/~jnz1568/getInfo.php?workbook=12_05.xlsx&amp;sheet=U0&amp;row=2813&amp;col=7&amp;number=9.46e-05&amp;sourceID=14","9.46e-05")</f>
        <v>9.46e-05</v>
      </c>
    </row>
    <row r="2814" spans="1:7">
      <c r="A2814" s="3"/>
      <c r="B2814" s="3"/>
      <c r="C2814" s="3"/>
      <c r="D2814" s="3"/>
      <c r="E2814" s="3">
        <v>11</v>
      </c>
      <c r="F2814" s="4" t="str">
        <f>HYPERLINK("http://141.218.60.56/~jnz1568/getInfo.php?workbook=12_05.xlsx&amp;sheet=U0&amp;row=2814&amp;col=6&amp;number=4&amp;sourceID=14","4")</f>
        <v>4</v>
      </c>
      <c r="G2814" s="4" t="str">
        <f>HYPERLINK("http://141.218.60.56/~jnz1568/getInfo.php?workbook=12_05.xlsx&amp;sheet=U0&amp;row=2814&amp;col=7&amp;number=9.44e-05&amp;sourceID=14","9.44e-05")</f>
        <v>9.44e-05</v>
      </c>
    </row>
    <row r="2815" spans="1:7">
      <c r="A2815" s="3"/>
      <c r="B2815" s="3"/>
      <c r="C2815" s="3"/>
      <c r="D2815" s="3"/>
      <c r="E2815" s="3">
        <v>12</v>
      </c>
      <c r="F2815" s="4" t="str">
        <f>HYPERLINK("http://141.218.60.56/~jnz1568/getInfo.php?workbook=12_05.xlsx&amp;sheet=U0&amp;row=2815&amp;col=6&amp;number=4.1&amp;sourceID=14","4.1")</f>
        <v>4.1</v>
      </c>
      <c r="G2815" s="4" t="str">
        <f>HYPERLINK("http://141.218.60.56/~jnz1568/getInfo.php?workbook=12_05.xlsx&amp;sheet=U0&amp;row=2815&amp;col=7&amp;number=9.42e-05&amp;sourceID=14","9.42e-05")</f>
        <v>9.42e-05</v>
      </c>
    </row>
    <row r="2816" spans="1:7">
      <c r="A2816" s="3"/>
      <c r="B2816" s="3"/>
      <c r="C2816" s="3"/>
      <c r="D2816" s="3"/>
      <c r="E2816" s="3">
        <v>13</v>
      </c>
      <c r="F2816" s="4" t="str">
        <f>HYPERLINK("http://141.218.60.56/~jnz1568/getInfo.php?workbook=12_05.xlsx&amp;sheet=U0&amp;row=2816&amp;col=6&amp;number=4.2&amp;sourceID=14","4.2")</f>
        <v>4.2</v>
      </c>
      <c r="G2816" s="4" t="str">
        <f>HYPERLINK("http://141.218.60.56/~jnz1568/getInfo.php?workbook=12_05.xlsx&amp;sheet=U0&amp;row=2816&amp;col=7&amp;number=9.39e-05&amp;sourceID=14","9.39e-05")</f>
        <v>9.39e-05</v>
      </c>
    </row>
    <row r="2817" spans="1:7">
      <c r="A2817" s="3"/>
      <c r="B2817" s="3"/>
      <c r="C2817" s="3"/>
      <c r="D2817" s="3"/>
      <c r="E2817" s="3">
        <v>14</v>
      </c>
      <c r="F2817" s="4" t="str">
        <f>HYPERLINK("http://141.218.60.56/~jnz1568/getInfo.php?workbook=12_05.xlsx&amp;sheet=U0&amp;row=2817&amp;col=6&amp;number=4.3&amp;sourceID=14","4.3")</f>
        <v>4.3</v>
      </c>
      <c r="G2817" s="4" t="str">
        <f>HYPERLINK("http://141.218.60.56/~jnz1568/getInfo.php?workbook=12_05.xlsx&amp;sheet=U0&amp;row=2817&amp;col=7&amp;number=9.35e-05&amp;sourceID=14","9.35e-05")</f>
        <v>9.35e-05</v>
      </c>
    </row>
    <row r="2818" spans="1:7">
      <c r="A2818" s="3"/>
      <c r="B2818" s="3"/>
      <c r="C2818" s="3"/>
      <c r="D2818" s="3"/>
      <c r="E2818" s="3">
        <v>15</v>
      </c>
      <c r="F2818" s="4" t="str">
        <f>HYPERLINK("http://141.218.60.56/~jnz1568/getInfo.php?workbook=12_05.xlsx&amp;sheet=U0&amp;row=2818&amp;col=6&amp;number=4.4&amp;sourceID=14","4.4")</f>
        <v>4.4</v>
      </c>
      <c r="G2818" s="4" t="str">
        <f>HYPERLINK("http://141.218.60.56/~jnz1568/getInfo.php?workbook=12_05.xlsx&amp;sheet=U0&amp;row=2818&amp;col=7&amp;number=9.31e-05&amp;sourceID=14","9.31e-05")</f>
        <v>9.31e-05</v>
      </c>
    </row>
    <row r="2819" spans="1:7">
      <c r="A2819" s="3"/>
      <c r="B2819" s="3"/>
      <c r="C2819" s="3"/>
      <c r="D2819" s="3"/>
      <c r="E2819" s="3">
        <v>16</v>
      </c>
      <c r="F2819" s="4" t="str">
        <f>HYPERLINK("http://141.218.60.56/~jnz1568/getInfo.php?workbook=12_05.xlsx&amp;sheet=U0&amp;row=2819&amp;col=6&amp;number=4.5&amp;sourceID=14","4.5")</f>
        <v>4.5</v>
      </c>
      <c r="G2819" s="4" t="str">
        <f>HYPERLINK("http://141.218.60.56/~jnz1568/getInfo.php?workbook=12_05.xlsx&amp;sheet=U0&amp;row=2819&amp;col=7&amp;number=9.25e-05&amp;sourceID=14","9.25e-05")</f>
        <v>9.25e-05</v>
      </c>
    </row>
    <row r="2820" spans="1:7">
      <c r="A2820" s="3"/>
      <c r="B2820" s="3"/>
      <c r="C2820" s="3"/>
      <c r="D2820" s="3"/>
      <c r="E2820" s="3">
        <v>17</v>
      </c>
      <c r="F2820" s="4" t="str">
        <f>HYPERLINK("http://141.218.60.56/~jnz1568/getInfo.php?workbook=12_05.xlsx&amp;sheet=U0&amp;row=2820&amp;col=6&amp;number=4.6&amp;sourceID=14","4.6")</f>
        <v>4.6</v>
      </c>
      <c r="G2820" s="4" t="str">
        <f>HYPERLINK("http://141.218.60.56/~jnz1568/getInfo.php?workbook=12_05.xlsx&amp;sheet=U0&amp;row=2820&amp;col=7&amp;number=9.19e-05&amp;sourceID=14","9.19e-05")</f>
        <v>9.19e-05</v>
      </c>
    </row>
    <row r="2821" spans="1:7">
      <c r="A2821" s="3"/>
      <c r="B2821" s="3"/>
      <c r="C2821" s="3"/>
      <c r="D2821" s="3"/>
      <c r="E2821" s="3">
        <v>18</v>
      </c>
      <c r="F2821" s="4" t="str">
        <f>HYPERLINK("http://141.218.60.56/~jnz1568/getInfo.php?workbook=12_05.xlsx&amp;sheet=U0&amp;row=2821&amp;col=6&amp;number=4.7&amp;sourceID=14","4.7")</f>
        <v>4.7</v>
      </c>
      <c r="G2821" s="4" t="str">
        <f>HYPERLINK("http://141.218.60.56/~jnz1568/getInfo.php?workbook=12_05.xlsx&amp;sheet=U0&amp;row=2821&amp;col=7&amp;number=9.1e-05&amp;sourceID=14","9.1e-05")</f>
        <v>9.1e-05</v>
      </c>
    </row>
    <row r="2822" spans="1:7">
      <c r="A2822" s="3"/>
      <c r="B2822" s="3"/>
      <c r="C2822" s="3"/>
      <c r="D2822" s="3"/>
      <c r="E2822" s="3">
        <v>19</v>
      </c>
      <c r="F2822" s="4" t="str">
        <f>HYPERLINK("http://141.218.60.56/~jnz1568/getInfo.php?workbook=12_05.xlsx&amp;sheet=U0&amp;row=2822&amp;col=6&amp;number=4.8&amp;sourceID=14","4.8")</f>
        <v>4.8</v>
      </c>
      <c r="G2822" s="4" t="str">
        <f>HYPERLINK("http://141.218.60.56/~jnz1568/getInfo.php?workbook=12_05.xlsx&amp;sheet=U0&amp;row=2822&amp;col=7&amp;number=8.99e-05&amp;sourceID=14","8.99e-05")</f>
        <v>8.99e-05</v>
      </c>
    </row>
    <row r="2823" spans="1:7">
      <c r="A2823" s="3"/>
      <c r="B2823" s="3"/>
      <c r="C2823" s="3"/>
      <c r="D2823" s="3"/>
      <c r="E2823" s="3">
        <v>20</v>
      </c>
      <c r="F2823" s="4" t="str">
        <f>HYPERLINK("http://141.218.60.56/~jnz1568/getInfo.php?workbook=12_05.xlsx&amp;sheet=U0&amp;row=2823&amp;col=6&amp;number=4.9&amp;sourceID=14","4.9")</f>
        <v>4.9</v>
      </c>
      <c r="G2823" s="4" t="str">
        <f>HYPERLINK("http://141.218.60.56/~jnz1568/getInfo.php?workbook=12_05.xlsx&amp;sheet=U0&amp;row=2823&amp;col=7&amp;number=8.86e-05&amp;sourceID=14","8.86e-05")</f>
        <v>8.86e-05</v>
      </c>
    </row>
    <row r="2824" spans="1:7">
      <c r="A2824" s="3">
        <v>12</v>
      </c>
      <c r="B2824" s="3">
        <v>5</v>
      </c>
      <c r="C2824" s="3">
        <v>1</v>
      </c>
      <c r="D2824" s="3">
        <v>102</v>
      </c>
      <c r="E2824" s="3">
        <v>1</v>
      </c>
      <c r="F2824" s="4" t="str">
        <f>HYPERLINK("http://141.218.60.56/~jnz1568/getInfo.php?workbook=12_05.xlsx&amp;sheet=U0&amp;row=2824&amp;col=6&amp;number=3&amp;sourceID=14","3")</f>
        <v>3</v>
      </c>
      <c r="G2824" s="4" t="str">
        <f>HYPERLINK("http://141.218.60.56/~jnz1568/getInfo.php?workbook=12_05.xlsx&amp;sheet=U0&amp;row=2824&amp;col=7&amp;number=0.000105&amp;sourceID=14","0.000105")</f>
        <v>0.000105</v>
      </c>
    </row>
    <row r="2825" spans="1:7">
      <c r="A2825" s="3"/>
      <c r="B2825" s="3"/>
      <c r="C2825" s="3"/>
      <c r="D2825" s="3"/>
      <c r="E2825" s="3">
        <v>2</v>
      </c>
      <c r="F2825" s="4" t="str">
        <f>HYPERLINK("http://141.218.60.56/~jnz1568/getInfo.php?workbook=12_05.xlsx&amp;sheet=U0&amp;row=2825&amp;col=6&amp;number=3.1&amp;sourceID=14","3.1")</f>
        <v>3.1</v>
      </c>
      <c r="G2825" s="4" t="str">
        <f>HYPERLINK("http://141.218.60.56/~jnz1568/getInfo.php?workbook=12_05.xlsx&amp;sheet=U0&amp;row=2825&amp;col=7&amp;number=0.000105&amp;sourceID=14","0.000105")</f>
        <v>0.000105</v>
      </c>
    </row>
    <row r="2826" spans="1:7">
      <c r="A2826" s="3"/>
      <c r="B2826" s="3"/>
      <c r="C2826" s="3"/>
      <c r="D2826" s="3"/>
      <c r="E2826" s="3">
        <v>3</v>
      </c>
      <c r="F2826" s="4" t="str">
        <f>HYPERLINK("http://141.218.60.56/~jnz1568/getInfo.php?workbook=12_05.xlsx&amp;sheet=U0&amp;row=2826&amp;col=6&amp;number=3.2&amp;sourceID=14","3.2")</f>
        <v>3.2</v>
      </c>
      <c r="G2826" s="4" t="str">
        <f>HYPERLINK("http://141.218.60.56/~jnz1568/getInfo.php?workbook=12_05.xlsx&amp;sheet=U0&amp;row=2826&amp;col=7&amp;number=0.000105&amp;sourceID=14","0.000105")</f>
        <v>0.000105</v>
      </c>
    </row>
    <row r="2827" spans="1:7">
      <c r="A2827" s="3"/>
      <c r="B2827" s="3"/>
      <c r="C2827" s="3"/>
      <c r="D2827" s="3"/>
      <c r="E2827" s="3">
        <v>4</v>
      </c>
      <c r="F2827" s="4" t="str">
        <f>HYPERLINK("http://141.218.60.56/~jnz1568/getInfo.php?workbook=12_05.xlsx&amp;sheet=U0&amp;row=2827&amp;col=6&amp;number=3.3&amp;sourceID=14","3.3")</f>
        <v>3.3</v>
      </c>
      <c r="G2827" s="4" t="str">
        <f>HYPERLINK("http://141.218.60.56/~jnz1568/getInfo.php?workbook=12_05.xlsx&amp;sheet=U0&amp;row=2827&amp;col=7&amp;number=0.000105&amp;sourceID=14","0.000105")</f>
        <v>0.000105</v>
      </c>
    </row>
    <row r="2828" spans="1:7">
      <c r="A2828" s="3"/>
      <c r="B2828" s="3"/>
      <c r="C2828" s="3"/>
      <c r="D2828" s="3"/>
      <c r="E2828" s="3">
        <v>5</v>
      </c>
      <c r="F2828" s="4" t="str">
        <f>HYPERLINK("http://141.218.60.56/~jnz1568/getInfo.php?workbook=12_05.xlsx&amp;sheet=U0&amp;row=2828&amp;col=6&amp;number=3.4&amp;sourceID=14","3.4")</f>
        <v>3.4</v>
      </c>
      <c r="G2828" s="4" t="str">
        <f>HYPERLINK("http://141.218.60.56/~jnz1568/getInfo.php?workbook=12_05.xlsx&amp;sheet=U0&amp;row=2828&amp;col=7&amp;number=0.000105&amp;sourceID=14","0.000105")</f>
        <v>0.000105</v>
      </c>
    </row>
    <row r="2829" spans="1:7">
      <c r="A2829" s="3"/>
      <c r="B2829" s="3"/>
      <c r="C2829" s="3"/>
      <c r="D2829" s="3"/>
      <c r="E2829" s="3">
        <v>6</v>
      </c>
      <c r="F2829" s="4" t="str">
        <f>HYPERLINK("http://141.218.60.56/~jnz1568/getInfo.php?workbook=12_05.xlsx&amp;sheet=U0&amp;row=2829&amp;col=6&amp;number=3.5&amp;sourceID=14","3.5")</f>
        <v>3.5</v>
      </c>
      <c r="G2829" s="4" t="str">
        <f>HYPERLINK("http://141.218.60.56/~jnz1568/getInfo.php?workbook=12_05.xlsx&amp;sheet=U0&amp;row=2829&amp;col=7&amp;number=0.000105&amp;sourceID=14","0.000105")</f>
        <v>0.000105</v>
      </c>
    </row>
    <row r="2830" spans="1:7">
      <c r="A2830" s="3"/>
      <c r="B2830" s="3"/>
      <c r="C2830" s="3"/>
      <c r="D2830" s="3"/>
      <c r="E2830" s="3">
        <v>7</v>
      </c>
      <c r="F2830" s="4" t="str">
        <f>HYPERLINK("http://141.218.60.56/~jnz1568/getInfo.php?workbook=12_05.xlsx&amp;sheet=U0&amp;row=2830&amp;col=6&amp;number=3.6&amp;sourceID=14","3.6")</f>
        <v>3.6</v>
      </c>
      <c r="G2830" s="4" t="str">
        <f>HYPERLINK("http://141.218.60.56/~jnz1568/getInfo.php?workbook=12_05.xlsx&amp;sheet=U0&amp;row=2830&amp;col=7&amp;number=0.000105&amp;sourceID=14","0.000105")</f>
        <v>0.000105</v>
      </c>
    </row>
    <row r="2831" spans="1:7">
      <c r="A2831" s="3"/>
      <c r="B2831" s="3"/>
      <c r="C2831" s="3"/>
      <c r="D2831" s="3"/>
      <c r="E2831" s="3">
        <v>8</v>
      </c>
      <c r="F2831" s="4" t="str">
        <f>HYPERLINK("http://141.218.60.56/~jnz1568/getInfo.php?workbook=12_05.xlsx&amp;sheet=U0&amp;row=2831&amp;col=6&amp;number=3.7&amp;sourceID=14","3.7")</f>
        <v>3.7</v>
      </c>
      <c r="G2831" s="4" t="str">
        <f>HYPERLINK("http://141.218.60.56/~jnz1568/getInfo.php?workbook=12_05.xlsx&amp;sheet=U0&amp;row=2831&amp;col=7&amp;number=0.000105&amp;sourceID=14","0.000105")</f>
        <v>0.000105</v>
      </c>
    </row>
    <row r="2832" spans="1:7">
      <c r="A2832" s="3"/>
      <c r="B2832" s="3"/>
      <c r="C2832" s="3"/>
      <c r="D2832" s="3"/>
      <c r="E2832" s="3">
        <v>9</v>
      </c>
      <c r="F2832" s="4" t="str">
        <f>HYPERLINK("http://141.218.60.56/~jnz1568/getInfo.php?workbook=12_05.xlsx&amp;sheet=U0&amp;row=2832&amp;col=6&amp;number=3.8&amp;sourceID=14","3.8")</f>
        <v>3.8</v>
      </c>
      <c r="G2832" s="4" t="str">
        <f>HYPERLINK("http://141.218.60.56/~jnz1568/getInfo.php?workbook=12_05.xlsx&amp;sheet=U0&amp;row=2832&amp;col=7&amp;number=0.000105&amp;sourceID=14","0.000105")</f>
        <v>0.000105</v>
      </c>
    </row>
    <row r="2833" spans="1:7">
      <c r="A2833" s="3"/>
      <c r="B2833" s="3"/>
      <c r="C2833" s="3"/>
      <c r="D2833" s="3"/>
      <c r="E2833" s="3">
        <v>10</v>
      </c>
      <c r="F2833" s="4" t="str">
        <f>HYPERLINK("http://141.218.60.56/~jnz1568/getInfo.php?workbook=12_05.xlsx&amp;sheet=U0&amp;row=2833&amp;col=6&amp;number=3.9&amp;sourceID=14","3.9")</f>
        <v>3.9</v>
      </c>
      <c r="G2833" s="4" t="str">
        <f>HYPERLINK("http://141.218.60.56/~jnz1568/getInfo.php?workbook=12_05.xlsx&amp;sheet=U0&amp;row=2833&amp;col=7&amp;number=0.000105&amp;sourceID=14","0.000105")</f>
        <v>0.000105</v>
      </c>
    </row>
    <row r="2834" spans="1:7">
      <c r="A2834" s="3"/>
      <c r="B2834" s="3"/>
      <c r="C2834" s="3"/>
      <c r="D2834" s="3"/>
      <c r="E2834" s="3">
        <v>11</v>
      </c>
      <c r="F2834" s="4" t="str">
        <f>HYPERLINK("http://141.218.60.56/~jnz1568/getInfo.php?workbook=12_05.xlsx&amp;sheet=U0&amp;row=2834&amp;col=6&amp;number=4&amp;sourceID=14","4")</f>
        <v>4</v>
      </c>
      <c r="G2834" s="4" t="str">
        <f>HYPERLINK("http://141.218.60.56/~jnz1568/getInfo.php?workbook=12_05.xlsx&amp;sheet=U0&amp;row=2834&amp;col=7&amp;number=0.000105&amp;sourceID=14","0.000105")</f>
        <v>0.000105</v>
      </c>
    </row>
    <row r="2835" spans="1:7">
      <c r="A2835" s="3"/>
      <c r="B2835" s="3"/>
      <c r="C2835" s="3"/>
      <c r="D2835" s="3"/>
      <c r="E2835" s="3">
        <v>12</v>
      </c>
      <c r="F2835" s="4" t="str">
        <f>HYPERLINK("http://141.218.60.56/~jnz1568/getInfo.php?workbook=12_05.xlsx&amp;sheet=U0&amp;row=2835&amp;col=6&amp;number=4.1&amp;sourceID=14","4.1")</f>
        <v>4.1</v>
      </c>
      <c r="G2835" s="4" t="str">
        <f>HYPERLINK("http://141.218.60.56/~jnz1568/getInfo.php?workbook=12_05.xlsx&amp;sheet=U0&amp;row=2835&amp;col=7&amp;number=0.000105&amp;sourceID=14","0.000105")</f>
        <v>0.000105</v>
      </c>
    </row>
    <row r="2836" spans="1:7">
      <c r="A2836" s="3"/>
      <c r="B2836" s="3"/>
      <c r="C2836" s="3"/>
      <c r="D2836" s="3"/>
      <c r="E2836" s="3">
        <v>13</v>
      </c>
      <c r="F2836" s="4" t="str">
        <f>HYPERLINK("http://141.218.60.56/~jnz1568/getInfo.php?workbook=12_05.xlsx&amp;sheet=U0&amp;row=2836&amp;col=6&amp;number=4.2&amp;sourceID=14","4.2")</f>
        <v>4.2</v>
      </c>
      <c r="G2836" s="4" t="str">
        <f>HYPERLINK("http://141.218.60.56/~jnz1568/getInfo.php?workbook=12_05.xlsx&amp;sheet=U0&amp;row=2836&amp;col=7&amp;number=0.000105&amp;sourceID=14","0.000105")</f>
        <v>0.000105</v>
      </c>
    </row>
    <row r="2837" spans="1:7">
      <c r="A2837" s="3"/>
      <c r="B2837" s="3"/>
      <c r="C2837" s="3"/>
      <c r="D2837" s="3"/>
      <c r="E2837" s="3">
        <v>14</v>
      </c>
      <c r="F2837" s="4" t="str">
        <f>HYPERLINK("http://141.218.60.56/~jnz1568/getInfo.php?workbook=12_05.xlsx&amp;sheet=U0&amp;row=2837&amp;col=6&amp;number=4.3&amp;sourceID=14","4.3")</f>
        <v>4.3</v>
      </c>
      <c r="G2837" s="4" t="str">
        <f>HYPERLINK("http://141.218.60.56/~jnz1568/getInfo.php?workbook=12_05.xlsx&amp;sheet=U0&amp;row=2837&amp;col=7&amp;number=0.000105&amp;sourceID=14","0.000105")</f>
        <v>0.000105</v>
      </c>
    </row>
    <row r="2838" spans="1:7">
      <c r="A2838" s="3"/>
      <c r="B2838" s="3"/>
      <c r="C2838" s="3"/>
      <c r="D2838" s="3"/>
      <c r="E2838" s="3">
        <v>15</v>
      </c>
      <c r="F2838" s="4" t="str">
        <f>HYPERLINK("http://141.218.60.56/~jnz1568/getInfo.php?workbook=12_05.xlsx&amp;sheet=U0&amp;row=2838&amp;col=6&amp;number=4.4&amp;sourceID=14","4.4")</f>
        <v>4.4</v>
      </c>
      <c r="G2838" s="4" t="str">
        <f>HYPERLINK("http://141.218.60.56/~jnz1568/getInfo.php?workbook=12_05.xlsx&amp;sheet=U0&amp;row=2838&amp;col=7&amp;number=0.000105&amp;sourceID=14","0.000105")</f>
        <v>0.000105</v>
      </c>
    </row>
    <row r="2839" spans="1:7">
      <c r="A2839" s="3"/>
      <c r="B2839" s="3"/>
      <c r="C2839" s="3"/>
      <c r="D2839" s="3"/>
      <c r="E2839" s="3">
        <v>16</v>
      </c>
      <c r="F2839" s="4" t="str">
        <f>HYPERLINK("http://141.218.60.56/~jnz1568/getInfo.php?workbook=12_05.xlsx&amp;sheet=U0&amp;row=2839&amp;col=6&amp;number=4.5&amp;sourceID=14","4.5")</f>
        <v>4.5</v>
      </c>
      <c r="G2839" s="4" t="str">
        <f>HYPERLINK("http://141.218.60.56/~jnz1568/getInfo.php?workbook=12_05.xlsx&amp;sheet=U0&amp;row=2839&amp;col=7&amp;number=0.000105&amp;sourceID=14","0.000105")</f>
        <v>0.000105</v>
      </c>
    </row>
    <row r="2840" spans="1:7">
      <c r="A2840" s="3"/>
      <c r="B2840" s="3"/>
      <c r="C2840" s="3"/>
      <c r="D2840" s="3"/>
      <c r="E2840" s="3">
        <v>17</v>
      </c>
      <c r="F2840" s="4" t="str">
        <f>HYPERLINK("http://141.218.60.56/~jnz1568/getInfo.php?workbook=12_05.xlsx&amp;sheet=U0&amp;row=2840&amp;col=6&amp;number=4.6&amp;sourceID=14","4.6")</f>
        <v>4.6</v>
      </c>
      <c r="G2840" s="4" t="str">
        <f>HYPERLINK("http://141.218.60.56/~jnz1568/getInfo.php?workbook=12_05.xlsx&amp;sheet=U0&amp;row=2840&amp;col=7&amp;number=0.000105&amp;sourceID=14","0.000105")</f>
        <v>0.000105</v>
      </c>
    </row>
    <row r="2841" spans="1:7">
      <c r="A2841" s="3"/>
      <c r="B2841" s="3"/>
      <c r="C2841" s="3"/>
      <c r="D2841" s="3"/>
      <c r="E2841" s="3">
        <v>18</v>
      </c>
      <c r="F2841" s="4" t="str">
        <f>HYPERLINK("http://141.218.60.56/~jnz1568/getInfo.php?workbook=12_05.xlsx&amp;sheet=U0&amp;row=2841&amp;col=6&amp;number=4.7&amp;sourceID=14","4.7")</f>
        <v>4.7</v>
      </c>
      <c r="G2841" s="4" t="str">
        <f>HYPERLINK("http://141.218.60.56/~jnz1568/getInfo.php?workbook=12_05.xlsx&amp;sheet=U0&amp;row=2841&amp;col=7&amp;number=0.000104&amp;sourceID=14","0.000104")</f>
        <v>0.000104</v>
      </c>
    </row>
    <row r="2842" spans="1:7">
      <c r="A2842" s="3"/>
      <c r="B2842" s="3"/>
      <c r="C2842" s="3"/>
      <c r="D2842" s="3"/>
      <c r="E2842" s="3">
        <v>19</v>
      </c>
      <c r="F2842" s="4" t="str">
        <f>HYPERLINK("http://141.218.60.56/~jnz1568/getInfo.php?workbook=12_05.xlsx&amp;sheet=U0&amp;row=2842&amp;col=6&amp;number=4.8&amp;sourceID=14","4.8")</f>
        <v>4.8</v>
      </c>
      <c r="G2842" s="4" t="str">
        <f>HYPERLINK("http://141.218.60.56/~jnz1568/getInfo.php?workbook=12_05.xlsx&amp;sheet=U0&amp;row=2842&amp;col=7&amp;number=0.000104&amp;sourceID=14","0.000104")</f>
        <v>0.000104</v>
      </c>
    </row>
    <row r="2843" spans="1:7">
      <c r="A2843" s="3"/>
      <c r="B2843" s="3"/>
      <c r="C2843" s="3"/>
      <c r="D2843" s="3"/>
      <c r="E2843" s="3">
        <v>20</v>
      </c>
      <c r="F2843" s="4" t="str">
        <f>HYPERLINK("http://141.218.60.56/~jnz1568/getInfo.php?workbook=12_05.xlsx&amp;sheet=U0&amp;row=2843&amp;col=6&amp;number=4.9&amp;sourceID=14","4.9")</f>
        <v>4.9</v>
      </c>
      <c r="G2843" s="4" t="str">
        <f>HYPERLINK("http://141.218.60.56/~jnz1568/getInfo.php?workbook=12_05.xlsx&amp;sheet=U0&amp;row=2843&amp;col=7&amp;number=0.000104&amp;sourceID=14","0.000104")</f>
        <v>0.000104</v>
      </c>
    </row>
    <row r="2844" spans="1:7">
      <c r="A2844" s="3">
        <v>12</v>
      </c>
      <c r="B2844" s="3">
        <v>5</v>
      </c>
      <c r="C2844" s="3">
        <v>1</v>
      </c>
      <c r="D2844" s="3">
        <v>103</v>
      </c>
      <c r="E2844" s="3">
        <v>1</v>
      </c>
      <c r="F2844" s="4" t="str">
        <f>HYPERLINK("http://141.218.60.56/~jnz1568/getInfo.php?workbook=12_05.xlsx&amp;sheet=U0&amp;row=2844&amp;col=6&amp;number=3&amp;sourceID=14","3")</f>
        <v>3</v>
      </c>
      <c r="G2844" s="4" t="str">
        <f>HYPERLINK("http://141.218.60.56/~jnz1568/getInfo.php?workbook=12_05.xlsx&amp;sheet=U0&amp;row=2844&amp;col=7&amp;number=0.000158&amp;sourceID=14","0.000158")</f>
        <v>0.000158</v>
      </c>
    </row>
    <row r="2845" spans="1:7">
      <c r="A2845" s="3"/>
      <c r="B2845" s="3"/>
      <c r="C2845" s="3"/>
      <c r="D2845" s="3"/>
      <c r="E2845" s="3">
        <v>2</v>
      </c>
      <c r="F2845" s="4" t="str">
        <f>HYPERLINK("http://141.218.60.56/~jnz1568/getInfo.php?workbook=12_05.xlsx&amp;sheet=U0&amp;row=2845&amp;col=6&amp;number=3.1&amp;sourceID=14","3.1")</f>
        <v>3.1</v>
      </c>
      <c r="G2845" s="4" t="str">
        <f>HYPERLINK("http://141.218.60.56/~jnz1568/getInfo.php?workbook=12_05.xlsx&amp;sheet=U0&amp;row=2845&amp;col=7&amp;number=0.000158&amp;sourceID=14","0.000158")</f>
        <v>0.000158</v>
      </c>
    </row>
    <row r="2846" spans="1:7">
      <c r="A2846" s="3"/>
      <c r="B2846" s="3"/>
      <c r="C2846" s="3"/>
      <c r="D2846" s="3"/>
      <c r="E2846" s="3">
        <v>3</v>
      </c>
      <c r="F2846" s="4" t="str">
        <f>HYPERLINK("http://141.218.60.56/~jnz1568/getInfo.php?workbook=12_05.xlsx&amp;sheet=U0&amp;row=2846&amp;col=6&amp;number=3.2&amp;sourceID=14","3.2")</f>
        <v>3.2</v>
      </c>
      <c r="G2846" s="4" t="str">
        <f>HYPERLINK("http://141.218.60.56/~jnz1568/getInfo.php?workbook=12_05.xlsx&amp;sheet=U0&amp;row=2846&amp;col=7&amp;number=0.000158&amp;sourceID=14","0.000158")</f>
        <v>0.000158</v>
      </c>
    </row>
    <row r="2847" spans="1:7">
      <c r="A2847" s="3"/>
      <c r="B2847" s="3"/>
      <c r="C2847" s="3"/>
      <c r="D2847" s="3"/>
      <c r="E2847" s="3">
        <v>4</v>
      </c>
      <c r="F2847" s="4" t="str">
        <f>HYPERLINK("http://141.218.60.56/~jnz1568/getInfo.php?workbook=12_05.xlsx&amp;sheet=U0&amp;row=2847&amp;col=6&amp;number=3.3&amp;sourceID=14","3.3")</f>
        <v>3.3</v>
      </c>
      <c r="G2847" s="4" t="str">
        <f>HYPERLINK("http://141.218.60.56/~jnz1568/getInfo.php?workbook=12_05.xlsx&amp;sheet=U0&amp;row=2847&amp;col=7&amp;number=0.000158&amp;sourceID=14","0.000158")</f>
        <v>0.000158</v>
      </c>
    </row>
    <row r="2848" spans="1:7">
      <c r="A2848" s="3"/>
      <c r="B2848" s="3"/>
      <c r="C2848" s="3"/>
      <c r="D2848" s="3"/>
      <c r="E2848" s="3">
        <v>5</v>
      </c>
      <c r="F2848" s="4" t="str">
        <f>HYPERLINK("http://141.218.60.56/~jnz1568/getInfo.php?workbook=12_05.xlsx&amp;sheet=U0&amp;row=2848&amp;col=6&amp;number=3.4&amp;sourceID=14","3.4")</f>
        <v>3.4</v>
      </c>
      <c r="G2848" s="4" t="str">
        <f>HYPERLINK("http://141.218.60.56/~jnz1568/getInfo.php?workbook=12_05.xlsx&amp;sheet=U0&amp;row=2848&amp;col=7&amp;number=0.000158&amp;sourceID=14","0.000158")</f>
        <v>0.000158</v>
      </c>
    </row>
    <row r="2849" spans="1:7">
      <c r="A2849" s="3"/>
      <c r="B2849" s="3"/>
      <c r="C2849" s="3"/>
      <c r="D2849" s="3"/>
      <c r="E2849" s="3">
        <v>6</v>
      </c>
      <c r="F2849" s="4" t="str">
        <f>HYPERLINK("http://141.218.60.56/~jnz1568/getInfo.php?workbook=12_05.xlsx&amp;sheet=U0&amp;row=2849&amp;col=6&amp;number=3.5&amp;sourceID=14","3.5")</f>
        <v>3.5</v>
      </c>
      <c r="G2849" s="4" t="str">
        <f>HYPERLINK("http://141.218.60.56/~jnz1568/getInfo.php?workbook=12_05.xlsx&amp;sheet=U0&amp;row=2849&amp;col=7&amp;number=0.000158&amp;sourceID=14","0.000158")</f>
        <v>0.000158</v>
      </c>
    </row>
    <row r="2850" spans="1:7">
      <c r="A2850" s="3"/>
      <c r="B2850" s="3"/>
      <c r="C2850" s="3"/>
      <c r="D2850" s="3"/>
      <c r="E2850" s="3">
        <v>7</v>
      </c>
      <c r="F2850" s="4" t="str">
        <f>HYPERLINK("http://141.218.60.56/~jnz1568/getInfo.php?workbook=12_05.xlsx&amp;sheet=U0&amp;row=2850&amp;col=6&amp;number=3.6&amp;sourceID=14","3.6")</f>
        <v>3.6</v>
      </c>
      <c r="G2850" s="4" t="str">
        <f>HYPERLINK("http://141.218.60.56/~jnz1568/getInfo.php?workbook=12_05.xlsx&amp;sheet=U0&amp;row=2850&amp;col=7&amp;number=0.000158&amp;sourceID=14","0.000158")</f>
        <v>0.000158</v>
      </c>
    </row>
    <row r="2851" spans="1:7">
      <c r="A2851" s="3"/>
      <c r="B2851" s="3"/>
      <c r="C2851" s="3"/>
      <c r="D2851" s="3"/>
      <c r="E2851" s="3">
        <v>8</v>
      </c>
      <c r="F2851" s="4" t="str">
        <f>HYPERLINK("http://141.218.60.56/~jnz1568/getInfo.php?workbook=12_05.xlsx&amp;sheet=U0&amp;row=2851&amp;col=6&amp;number=3.7&amp;sourceID=14","3.7")</f>
        <v>3.7</v>
      </c>
      <c r="G2851" s="4" t="str">
        <f>HYPERLINK("http://141.218.60.56/~jnz1568/getInfo.php?workbook=12_05.xlsx&amp;sheet=U0&amp;row=2851&amp;col=7&amp;number=0.000159&amp;sourceID=14","0.000159")</f>
        <v>0.000159</v>
      </c>
    </row>
    <row r="2852" spans="1:7">
      <c r="A2852" s="3"/>
      <c r="B2852" s="3"/>
      <c r="C2852" s="3"/>
      <c r="D2852" s="3"/>
      <c r="E2852" s="3">
        <v>9</v>
      </c>
      <c r="F2852" s="4" t="str">
        <f>HYPERLINK("http://141.218.60.56/~jnz1568/getInfo.php?workbook=12_05.xlsx&amp;sheet=U0&amp;row=2852&amp;col=6&amp;number=3.8&amp;sourceID=14","3.8")</f>
        <v>3.8</v>
      </c>
      <c r="G2852" s="4" t="str">
        <f>HYPERLINK("http://141.218.60.56/~jnz1568/getInfo.php?workbook=12_05.xlsx&amp;sheet=U0&amp;row=2852&amp;col=7&amp;number=0.000159&amp;sourceID=14","0.000159")</f>
        <v>0.000159</v>
      </c>
    </row>
    <row r="2853" spans="1:7">
      <c r="A2853" s="3"/>
      <c r="B2853" s="3"/>
      <c r="C2853" s="3"/>
      <c r="D2853" s="3"/>
      <c r="E2853" s="3">
        <v>10</v>
      </c>
      <c r="F2853" s="4" t="str">
        <f>HYPERLINK("http://141.218.60.56/~jnz1568/getInfo.php?workbook=12_05.xlsx&amp;sheet=U0&amp;row=2853&amp;col=6&amp;number=3.9&amp;sourceID=14","3.9")</f>
        <v>3.9</v>
      </c>
      <c r="G2853" s="4" t="str">
        <f>HYPERLINK("http://141.218.60.56/~jnz1568/getInfo.php?workbook=12_05.xlsx&amp;sheet=U0&amp;row=2853&amp;col=7&amp;number=0.000159&amp;sourceID=14","0.000159")</f>
        <v>0.000159</v>
      </c>
    </row>
    <row r="2854" spans="1:7">
      <c r="A2854" s="3"/>
      <c r="B2854" s="3"/>
      <c r="C2854" s="3"/>
      <c r="D2854" s="3"/>
      <c r="E2854" s="3">
        <v>11</v>
      </c>
      <c r="F2854" s="4" t="str">
        <f>HYPERLINK("http://141.218.60.56/~jnz1568/getInfo.php?workbook=12_05.xlsx&amp;sheet=U0&amp;row=2854&amp;col=6&amp;number=4&amp;sourceID=14","4")</f>
        <v>4</v>
      </c>
      <c r="G2854" s="4" t="str">
        <f>HYPERLINK("http://141.218.60.56/~jnz1568/getInfo.php?workbook=12_05.xlsx&amp;sheet=U0&amp;row=2854&amp;col=7&amp;number=0.000159&amp;sourceID=14","0.000159")</f>
        <v>0.000159</v>
      </c>
    </row>
    <row r="2855" spans="1:7">
      <c r="A2855" s="3"/>
      <c r="B2855" s="3"/>
      <c r="C2855" s="3"/>
      <c r="D2855" s="3"/>
      <c r="E2855" s="3">
        <v>12</v>
      </c>
      <c r="F2855" s="4" t="str">
        <f>HYPERLINK("http://141.218.60.56/~jnz1568/getInfo.php?workbook=12_05.xlsx&amp;sheet=U0&amp;row=2855&amp;col=6&amp;number=4.1&amp;sourceID=14","4.1")</f>
        <v>4.1</v>
      </c>
      <c r="G2855" s="4" t="str">
        <f>HYPERLINK("http://141.218.60.56/~jnz1568/getInfo.php?workbook=12_05.xlsx&amp;sheet=U0&amp;row=2855&amp;col=7&amp;number=0.000159&amp;sourceID=14","0.000159")</f>
        <v>0.000159</v>
      </c>
    </row>
    <row r="2856" spans="1:7">
      <c r="A2856" s="3"/>
      <c r="B2856" s="3"/>
      <c r="C2856" s="3"/>
      <c r="D2856" s="3"/>
      <c r="E2856" s="3">
        <v>13</v>
      </c>
      <c r="F2856" s="4" t="str">
        <f>HYPERLINK("http://141.218.60.56/~jnz1568/getInfo.php?workbook=12_05.xlsx&amp;sheet=U0&amp;row=2856&amp;col=6&amp;number=4.2&amp;sourceID=14","4.2")</f>
        <v>4.2</v>
      </c>
      <c r="G2856" s="4" t="str">
        <f>HYPERLINK("http://141.218.60.56/~jnz1568/getInfo.php?workbook=12_05.xlsx&amp;sheet=U0&amp;row=2856&amp;col=7&amp;number=0.000159&amp;sourceID=14","0.000159")</f>
        <v>0.000159</v>
      </c>
    </row>
    <row r="2857" spans="1:7">
      <c r="A2857" s="3"/>
      <c r="B2857" s="3"/>
      <c r="C2857" s="3"/>
      <c r="D2857" s="3"/>
      <c r="E2857" s="3">
        <v>14</v>
      </c>
      <c r="F2857" s="4" t="str">
        <f>HYPERLINK("http://141.218.60.56/~jnz1568/getInfo.php?workbook=12_05.xlsx&amp;sheet=U0&amp;row=2857&amp;col=6&amp;number=4.3&amp;sourceID=14","4.3")</f>
        <v>4.3</v>
      </c>
      <c r="G2857" s="4" t="str">
        <f>HYPERLINK("http://141.218.60.56/~jnz1568/getInfo.php?workbook=12_05.xlsx&amp;sheet=U0&amp;row=2857&amp;col=7&amp;number=0.000159&amp;sourceID=14","0.000159")</f>
        <v>0.000159</v>
      </c>
    </row>
    <row r="2858" spans="1:7">
      <c r="A2858" s="3"/>
      <c r="B2858" s="3"/>
      <c r="C2858" s="3"/>
      <c r="D2858" s="3"/>
      <c r="E2858" s="3">
        <v>15</v>
      </c>
      <c r="F2858" s="4" t="str">
        <f>HYPERLINK("http://141.218.60.56/~jnz1568/getInfo.php?workbook=12_05.xlsx&amp;sheet=U0&amp;row=2858&amp;col=6&amp;number=4.4&amp;sourceID=14","4.4")</f>
        <v>4.4</v>
      </c>
      <c r="G2858" s="4" t="str">
        <f>HYPERLINK("http://141.218.60.56/~jnz1568/getInfo.php?workbook=12_05.xlsx&amp;sheet=U0&amp;row=2858&amp;col=7&amp;number=0.000159&amp;sourceID=14","0.000159")</f>
        <v>0.000159</v>
      </c>
    </row>
    <row r="2859" spans="1:7">
      <c r="A2859" s="3"/>
      <c r="B2859" s="3"/>
      <c r="C2859" s="3"/>
      <c r="D2859" s="3"/>
      <c r="E2859" s="3">
        <v>16</v>
      </c>
      <c r="F2859" s="4" t="str">
        <f>HYPERLINK("http://141.218.60.56/~jnz1568/getInfo.php?workbook=12_05.xlsx&amp;sheet=U0&amp;row=2859&amp;col=6&amp;number=4.5&amp;sourceID=14","4.5")</f>
        <v>4.5</v>
      </c>
      <c r="G2859" s="4" t="str">
        <f>HYPERLINK("http://141.218.60.56/~jnz1568/getInfo.php?workbook=12_05.xlsx&amp;sheet=U0&amp;row=2859&amp;col=7&amp;number=0.00016&amp;sourceID=14","0.00016")</f>
        <v>0.00016</v>
      </c>
    </row>
    <row r="2860" spans="1:7">
      <c r="A2860" s="3"/>
      <c r="B2860" s="3"/>
      <c r="C2860" s="3"/>
      <c r="D2860" s="3"/>
      <c r="E2860" s="3">
        <v>17</v>
      </c>
      <c r="F2860" s="4" t="str">
        <f>HYPERLINK("http://141.218.60.56/~jnz1568/getInfo.php?workbook=12_05.xlsx&amp;sheet=U0&amp;row=2860&amp;col=6&amp;number=4.6&amp;sourceID=14","4.6")</f>
        <v>4.6</v>
      </c>
      <c r="G2860" s="4" t="str">
        <f>HYPERLINK("http://141.218.60.56/~jnz1568/getInfo.php?workbook=12_05.xlsx&amp;sheet=U0&amp;row=2860&amp;col=7&amp;number=0.00016&amp;sourceID=14","0.00016")</f>
        <v>0.00016</v>
      </c>
    </row>
    <row r="2861" spans="1:7">
      <c r="A2861" s="3"/>
      <c r="B2861" s="3"/>
      <c r="C2861" s="3"/>
      <c r="D2861" s="3"/>
      <c r="E2861" s="3">
        <v>18</v>
      </c>
      <c r="F2861" s="4" t="str">
        <f>HYPERLINK("http://141.218.60.56/~jnz1568/getInfo.php?workbook=12_05.xlsx&amp;sheet=U0&amp;row=2861&amp;col=6&amp;number=4.7&amp;sourceID=14","4.7")</f>
        <v>4.7</v>
      </c>
      <c r="G2861" s="4" t="str">
        <f>HYPERLINK("http://141.218.60.56/~jnz1568/getInfo.php?workbook=12_05.xlsx&amp;sheet=U0&amp;row=2861&amp;col=7&amp;number=0.00016&amp;sourceID=14","0.00016")</f>
        <v>0.00016</v>
      </c>
    </row>
    <row r="2862" spans="1:7">
      <c r="A2862" s="3"/>
      <c r="B2862" s="3"/>
      <c r="C2862" s="3"/>
      <c r="D2862" s="3"/>
      <c r="E2862" s="3">
        <v>19</v>
      </c>
      <c r="F2862" s="4" t="str">
        <f>HYPERLINK("http://141.218.60.56/~jnz1568/getInfo.php?workbook=12_05.xlsx&amp;sheet=U0&amp;row=2862&amp;col=6&amp;number=4.8&amp;sourceID=14","4.8")</f>
        <v>4.8</v>
      </c>
      <c r="G2862" s="4" t="str">
        <f>HYPERLINK("http://141.218.60.56/~jnz1568/getInfo.php?workbook=12_05.xlsx&amp;sheet=U0&amp;row=2862&amp;col=7&amp;number=0.000161&amp;sourceID=14","0.000161")</f>
        <v>0.000161</v>
      </c>
    </row>
    <row r="2863" spans="1:7">
      <c r="A2863" s="3"/>
      <c r="B2863" s="3"/>
      <c r="C2863" s="3"/>
      <c r="D2863" s="3"/>
      <c r="E2863" s="3">
        <v>20</v>
      </c>
      <c r="F2863" s="4" t="str">
        <f>HYPERLINK("http://141.218.60.56/~jnz1568/getInfo.php?workbook=12_05.xlsx&amp;sheet=U0&amp;row=2863&amp;col=6&amp;number=4.9&amp;sourceID=14","4.9")</f>
        <v>4.9</v>
      </c>
      <c r="G2863" s="4" t="str">
        <f>HYPERLINK("http://141.218.60.56/~jnz1568/getInfo.php?workbook=12_05.xlsx&amp;sheet=U0&amp;row=2863&amp;col=7&amp;number=0.000162&amp;sourceID=14","0.000162")</f>
        <v>0.000162</v>
      </c>
    </row>
    <row r="2864" spans="1:7">
      <c r="A2864" s="3">
        <v>12</v>
      </c>
      <c r="B2864" s="3">
        <v>5</v>
      </c>
      <c r="C2864" s="3">
        <v>1</v>
      </c>
      <c r="D2864" s="3">
        <v>104</v>
      </c>
      <c r="E2864" s="3">
        <v>1</v>
      </c>
      <c r="F2864" s="4" t="str">
        <f>HYPERLINK("http://141.218.60.56/~jnz1568/getInfo.php?workbook=12_05.xlsx&amp;sheet=U0&amp;row=2864&amp;col=6&amp;number=3&amp;sourceID=14","3")</f>
        <v>3</v>
      </c>
      <c r="G2864" s="4" t="str">
        <f>HYPERLINK("http://141.218.60.56/~jnz1568/getInfo.php?workbook=12_05.xlsx&amp;sheet=U0&amp;row=2864&amp;col=7&amp;number=7.09e-05&amp;sourceID=14","7.09e-05")</f>
        <v>7.09e-05</v>
      </c>
    </row>
    <row r="2865" spans="1:7">
      <c r="A2865" s="3"/>
      <c r="B2865" s="3"/>
      <c r="C2865" s="3"/>
      <c r="D2865" s="3"/>
      <c r="E2865" s="3">
        <v>2</v>
      </c>
      <c r="F2865" s="4" t="str">
        <f>HYPERLINK("http://141.218.60.56/~jnz1568/getInfo.php?workbook=12_05.xlsx&amp;sheet=U0&amp;row=2865&amp;col=6&amp;number=3.1&amp;sourceID=14","3.1")</f>
        <v>3.1</v>
      </c>
      <c r="G2865" s="4" t="str">
        <f>HYPERLINK("http://141.218.60.56/~jnz1568/getInfo.php?workbook=12_05.xlsx&amp;sheet=U0&amp;row=2865&amp;col=7&amp;number=7.09e-05&amp;sourceID=14","7.09e-05")</f>
        <v>7.09e-05</v>
      </c>
    </row>
    <row r="2866" spans="1:7">
      <c r="A2866" s="3"/>
      <c r="B2866" s="3"/>
      <c r="C2866" s="3"/>
      <c r="D2866" s="3"/>
      <c r="E2866" s="3">
        <v>3</v>
      </c>
      <c r="F2866" s="4" t="str">
        <f>HYPERLINK("http://141.218.60.56/~jnz1568/getInfo.php?workbook=12_05.xlsx&amp;sheet=U0&amp;row=2866&amp;col=6&amp;number=3.2&amp;sourceID=14","3.2")</f>
        <v>3.2</v>
      </c>
      <c r="G2866" s="4" t="str">
        <f>HYPERLINK("http://141.218.60.56/~jnz1568/getInfo.php?workbook=12_05.xlsx&amp;sheet=U0&amp;row=2866&amp;col=7&amp;number=7.09e-05&amp;sourceID=14","7.09e-05")</f>
        <v>7.09e-05</v>
      </c>
    </row>
    <row r="2867" spans="1:7">
      <c r="A2867" s="3"/>
      <c r="B2867" s="3"/>
      <c r="C2867" s="3"/>
      <c r="D2867" s="3"/>
      <c r="E2867" s="3">
        <v>4</v>
      </c>
      <c r="F2867" s="4" t="str">
        <f>HYPERLINK("http://141.218.60.56/~jnz1568/getInfo.php?workbook=12_05.xlsx&amp;sheet=U0&amp;row=2867&amp;col=6&amp;number=3.3&amp;sourceID=14","3.3")</f>
        <v>3.3</v>
      </c>
      <c r="G2867" s="4" t="str">
        <f>HYPERLINK("http://141.218.60.56/~jnz1568/getInfo.php?workbook=12_05.xlsx&amp;sheet=U0&amp;row=2867&amp;col=7&amp;number=7.09e-05&amp;sourceID=14","7.09e-05")</f>
        <v>7.09e-05</v>
      </c>
    </row>
    <row r="2868" spans="1:7">
      <c r="A2868" s="3"/>
      <c r="B2868" s="3"/>
      <c r="C2868" s="3"/>
      <c r="D2868" s="3"/>
      <c r="E2868" s="3">
        <v>5</v>
      </c>
      <c r="F2868" s="4" t="str">
        <f>HYPERLINK("http://141.218.60.56/~jnz1568/getInfo.php?workbook=12_05.xlsx&amp;sheet=U0&amp;row=2868&amp;col=6&amp;number=3.4&amp;sourceID=14","3.4")</f>
        <v>3.4</v>
      </c>
      <c r="G2868" s="4" t="str">
        <f>HYPERLINK("http://141.218.60.56/~jnz1568/getInfo.php?workbook=12_05.xlsx&amp;sheet=U0&amp;row=2868&amp;col=7&amp;number=7.09e-05&amp;sourceID=14","7.09e-05")</f>
        <v>7.09e-05</v>
      </c>
    </row>
    <row r="2869" spans="1:7">
      <c r="A2869" s="3"/>
      <c r="B2869" s="3"/>
      <c r="C2869" s="3"/>
      <c r="D2869" s="3"/>
      <c r="E2869" s="3">
        <v>6</v>
      </c>
      <c r="F2869" s="4" t="str">
        <f>HYPERLINK("http://141.218.60.56/~jnz1568/getInfo.php?workbook=12_05.xlsx&amp;sheet=U0&amp;row=2869&amp;col=6&amp;number=3.5&amp;sourceID=14","3.5")</f>
        <v>3.5</v>
      </c>
      <c r="G2869" s="4" t="str">
        <f>HYPERLINK("http://141.218.60.56/~jnz1568/getInfo.php?workbook=12_05.xlsx&amp;sheet=U0&amp;row=2869&amp;col=7&amp;number=7.08e-05&amp;sourceID=14","7.08e-05")</f>
        <v>7.08e-05</v>
      </c>
    </row>
    <row r="2870" spans="1:7">
      <c r="A2870" s="3"/>
      <c r="B2870" s="3"/>
      <c r="C2870" s="3"/>
      <c r="D2870" s="3"/>
      <c r="E2870" s="3">
        <v>7</v>
      </c>
      <c r="F2870" s="4" t="str">
        <f>HYPERLINK("http://141.218.60.56/~jnz1568/getInfo.php?workbook=12_05.xlsx&amp;sheet=U0&amp;row=2870&amp;col=6&amp;number=3.6&amp;sourceID=14","3.6")</f>
        <v>3.6</v>
      </c>
      <c r="G2870" s="4" t="str">
        <f>HYPERLINK("http://141.218.60.56/~jnz1568/getInfo.php?workbook=12_05.xlsx&amp;sheet=U0&amp;row=2870&amp;col=7&amp;number=7.08e-05&amp;sourceID=14","7.08e-05")</f>
        <v>7.08e-05</v>
      </c>
    </row>
    <row r="2871" spans="1:7">
      <c r="A2871" s="3"/>
      <c r="B2871" s="3"/>
      <c r="C2871" s="3"/>
      <c r="D2871" s="3"/>
      <c r="E2871" s="3">
        <v>8</v>
      </c>
      <c r="F2871" s="4" t="str">
        <f>HYPERLINK("http://141.218.60.56/~jnz1568/getInfo.php?workbook=12_05.xlsx&amp;sheet=U0&amp;row=2871&amp;col=6&amp;number=3.7&amp;sourceID=14","3.7")</f>
        <v>3.7</v>
      </c>
      <c r="G2871" s="4" t="str">
        <f>HYPERLINK("http://141.218.60.56/~jnz1568/getInfo.php?workbook=12_05.xlsx&amp;sheet=U0&amp;row=2871&amp;col=7&amp;number=7.07e-05&amp;sourceID=14","7.07e-05")</f>
        <v>7.07e-05</v>
      </c>
    </row>
    <row r="2872" spans="1:7">
      <c r="A2872" s="3"/>
      <c r="B2872" s="3"/>
      <c r="C2872" s="3"/>
      <c r="D2872" s="3"/>
      <c r="E2872" s="3">
        <v>9</v>
      </c>
      <c r="F2872" s="4" t="str">
        <f>HYPERLINK("http://141.218.60.56/~jnz1568/getInfo.php?workbook=12_05.xlsx&amp;sheet=U0&amp;row=2872&amp;col=6&amp;number=3.8&amp;sourceID=14","3.8")</f>
        <v>3.8</v>
      </c>
      <c r="G2872" s="4" t="str">
        <f>HYPERLINK("http://141.218.60.56/~jnz1568/getInfo.php?workbook=12_05.xlsx&amp;sheet=U0&amp;row=2872&amp;col=7&amp;number=7.07e-05&amp;sourceID=14","7.07e-05")</f>
        <v>7.07e-05</v>
      </c>
    </row>
    <row r="2873" spans="1:7">
      <c r="A2873" s="3"/>
      <c r="B2873" s="3"/>
      <c r="C2873" s="3"/>
      <c r="D2873" s="3"/>
      <c r="E2873" s="3">
        <v>10</v>
      </c>
      <c r="F2873" s="4" t="str">
        <f>HYPERLINK("http://141.218.60.56/~jnz1568/getInfo.php?workbook=12_05.xlsx&amp;sheet=U0&amp;row=2873&amp;col=6&amp;number=3.9&amp;sourceID=14","3.9")</f>
        <v>3.9</v>
      </c>
      <c r="G2873" s="4" t="str">
        <f>HYPERLINK("http://141.218.60.56/~jnz1568/getInfo.php?workbook=12_05.xlsx&amp;sheet=U0&amp;row=2873&amp;col=7&amp;number=7.06e-05&amp;sourceID=14","7.06e-05")</f>
        <v>7.06e-05</v>
      </c>
    </row>
    <row r="2874" spans="1:7">
      <c r="A2874" s="3"/>
      <c r="B2874" s="3"/>
      <c r="C2874" s="3"/>
      <c r="D2874" s="3"/>
      <c r="E2874" s="3">
        <v>11</v>
      </c>
      <c r="F2874" s="4" t="str">
        <f>HYPERLINK("http://141.218.60.56/~jnz1568/getInfo.php?workbook=12_05.xlsx&amp;sheet=U0&amp;row=2874&amp;col=6&amp;number=4&amp;sourceID=14","4")</f>
        <v>4</v>
      </c>
      <c r="G2874" s="4" t="str">
        <f>HYPERLINK("http://141.218.60.56/~jnz1568/getInfo.php?workbook=12_05.xlsx&amp;sheet=U0&amp;row=2874&amp;col=7&amp;number=7.05e-05&amp;sourceID=14","7.05e-05")</f>
        <v>7.05e-05</v>
      </c>
    </row>
    <row r="2875" spans="1:7">
      <c r="A2875" s="3"/>
      <c r="B2875" s="3"/>
      <c r="C2875" s="3"/>
      <c r="D2875" s="3"/>
      <c r="E2875" s="3">
        <v>12</v>
      </c>
      <c r="F2875" s="4" t="str">
        <f>HYPERLINK("http://141.218.60.56/~jnz1568/getInfo.php?workbook=12_05.xlsx&amp;sheet=U0&amp;row=2875&amp;col=6&amp;number=4.1&amp;sourceID=14","4.1")</f>
        <v>4.1</v>
      </c>
      <c r="G2875" s="4" t="str">
        <f>HYPERLINK("http://141.218.60.56/~jnz1568/getInfo.php?workbook=12_05.xlsx&amp;sheet=U0&amp;row=2875&amp;col=7&amp;number=7.03e-05&amp;sourceID=14","7.03e-05")</f>
        <v>7.03e-05</v>
      </c>
    </row>
    <row r="2876" spans="1:7">
      <c r="A2876" s="3"/>
      <c r="B2876" s="3"/>
      <c r="C2876" s="3"/>
      <c r="D2876" s="3"/>
      <c r="E2876" s="3">
        <v>13</v>
      </c>
      <c r="F2876" s="4" t="str">
        <f>HYPERLINK("http://141.218.60.56/~jnz1568/getInfo.php?workbook=12_05.xlsx&amp;sheet=U0&amp;row=2876&amp;col=6&amp;number=4.2&amp;sourceID=14","4.2")</f>
        <v>4.2</v>
      </c>
      <c r="G2876" s="4" t="str">
        <f>HYPERLINK("http://141.218.60.56/~jnz1568/getInfo.php?workbook=12_05.xlsx&amp;sheet=U0&amp;row=2876&amp;col=7&amp;number=7.01e-05&amp;sourceID=14","7.01e-05")</f>
        <v>7.01e-05</v>
      </c>
    </row>
    <row r="2877" spans="1:7">
      <c r="A2877" s="3"/>
      <c r="B2877" s="3"/>
      <c r="C2877" s="3"/>
      <c r="D2877" s="3"/>
      <c r="E2877" s="3">
        <v>14</v>
      </c>
      <c r="F2877" s="4" t="str">
        <f>HYPERLINK("http://141.218.60.56/~jnz1568/getInfo.php?workbook=12_05.xlsx&amp;sheet=U0&amp;row=2877&amp;col=6&amp;number=4.3&amp;sourceID=14","4.3")</f>
        <v>4.3</v>
      </c>
      <c r="G2877" s="4" t="str">
        <f>HYPERLINK("http://141.218.60.56/~jnz1568/getInfo.php?workbook=12_05.xlsx&amp;sheet=U0&amp;row=2877&amp;col=7&amp;number=6.99e-05&amp;sourceID=14","6.99e-05")</f>
        <v>6.99e-05</v>
      </c>
    </row>
    <row r="2878" spans="1:7">
      <c r="A2878" s="3"/>
      <c r="B2878" s="3"/>
      <c r="C2878" s="3"/>
      <c r="D2878" s="3"/>
      <c r="E2878" s="3">
        <v>15</v>
      </c>
      <c r="F2878" s="4" t="str">
        <f>HYPERLINK("http://141.218.60.56/~jnz1568/getInfo.php?workbook=12_05.xlsx&amp;sheet=U0&amp;row=2878&amp;col=6&amp;number=4.4&amp;sourceID=14","4.4")</f>
        <v>4.4</v>
      </c>
      <c r="G2878" s="4" t="str">
        <f>HYPERLINK("http://141.218.60.56/~jnz1568/getInfo.php?workbook=12_05.xlsx&amp;sheet=U0&amp;row=2878&amp;col=7&amp;number=6.96e-05&amp;sourceID=14","6.96e-05")</f>
        <v>6.96e-05</v>
      </c>
    </row>
    <row r="2879" spans="1:7">
      <c r="A2879" s="3"/>
      <c r="B2879" s="3"/>
      <c r="C2879" s="3"/>
      <c r="D2879" s="3"/>
      <c r="E2879" s="3">
        <v>16</v>
      </c>
      <c r="F2879" s="4" t="str">
        <f>HYPERLINK("http://141.218.60.56/~jnz1568/getInfo.php?workbook=12_05.xlsx&amp;sheet=U0&amp;row=2879&amp;col=6&amp;number=4.5&amp;sourceID=14","4.5")</f>
        <v>4.5</v>
      </c>
      <c r="G2879" s="4" t="str">
        <f>HYPERLINK("http://141.218.60.56/~jnz1568/getInfo.php?workbook=12_05.xlsx&amp;sheet=U0&amp;row=2879&amp;col=7&amp;number=6.93e-05&amp;sourceID=14","6.93e-05")</f>
        <v>6.93e-05</v>
      </c>
    </row>
    <row r="2880" spans="1:7">
      <c r="A2880" s="3"/>
      <c r="B2880" s="3"/>
      <c r="C2880" s="3"/>
      <c r="D2880" s="3"/>
      <c r="E2880" s="3">
        <v>17</v>
      </c>
      <c r="F2880" s="4" t="str">
        <f>HYPERLINK("http://141.218.60.56/~jnz1568/getInfo.php?workbook=12_05.xlsx&amp;sheet=U0&amp;row=2880&amp;col=6&amp;number=4.6&amp;sourceID=14","4.6")</f>
        <v>4.6</v>
      </c>
      <c r="G2880" s="4" t="str">
        <f>HYPERLINK("http://141.218.60.56/~jnz1568/getInfo.php?workbook=12_05.xlsx&amp;sheet=U0&amp;row=2880&amp;col=7&amp;number=6.89e-05&amp;sourceID=14","6.89e-05")</f>
        <v>6.89e-05</v>
      </c>
    </row>
    <row r="2881" spans="1:7">
      <c r="A2881" s="3"/>
      <c r="B2881" s="3"/>
      <c r="C2881" s="3"/>
      <c r="D2881" s="3"/>
      <c r="E2881" s="3">
        <v>18</v>
      </c>
      <c r="F2881" s="4" t="str">
        <f>HYPERLINK("http://141.218.60.56/~jnz1568/getInfo.php?workbook=12_05.xlsx&amp;sheet=U0&amp;row=2881&amp;col=6&amp;number=4.7&amp;sourceID=14","4.7")</f>
        <v>4.7</v>
      </c>
      <c r="G2881" s="4" t="str">
        <f>HYPERLINK("http://141.218.60.56/~jnz1568/getInfo.php?workbook=12_05.xlsx&amp;sheet=U0&amp;row=2881&amp;col=7&amp;number=6.83e-05&amp;sourceID=14","6.83e-05")</f>
        <v>6.83e-05</v>
      </c>
    </row>
    <row r="2882" spans="1:7">
      <c r="A2882" s="3"/>
      <c r="B2882" s="3"/>
      <c r="C2882" s="3"/>
      <c r="D2882" s="3"/>
      <c r="E2882" s="3">
        <v>19</v>
      </c>
      <c r="F2882" s="4" t="str">
        <f>HYPERLINK("http://141.218.60.56/~jnz1568/getInfo.php?workbook=12_05.xlsx&amp;sheet=U0&amp;row=2882&amp;col=6&amp;number=4.8&amp;sourceID=14","4.8")</f>
        <v>4.8</v>
      </c>
      <c r="G2882" s="4" t="str">
        <f>HYPERLINK("http://141.218.60.56/~jnz1568/getInfo.php?workbook=12_05.xlsx&amp;sheet=U0&amp;row=2882&amp;col=7&amp;number=6.77e-05&amp;sourceID=14","6.77e-05")</f>
        <v>6.77e-05</v>
      </c>
    </row>
    <row r="2883" spans="1:7">
      <c r="A2883" s="3"/>
      <c r="B2883" s="3"/>
      <c r="C2883" s="3"/>
      <c r="D2883" s="3"/>
      <c r="E2883" s="3">
        <v>20</v>
      </c>
      <c r="F2883" s="4" t="str">
        <f>HYPERLINK("http://141.218.60.56/~jnz1568/getInfo.php?workbook=12_05.xlsx&amp;sheet=U0&amp;row=2883&amp;col=6&amp;number=4.9&amp;sourceID=14","4.9")</f>
        <v>4.9</v>
      </c>
      <c r="G2883" s="4" t="str">
        <f>HYPERLINK("http://141.218.60.56/~jnz1568/getInfo.php?workbook=12_05.xlsx&amp;sheet=U0&amp;row=2883&amp;col=7&amp;number=6.68e-05&amp;sourceID=14","6.68e-05")</f>
        <v>6.68e-05</v>
      </c>
    </row>
    <row r="2884" spans="1:7">
      <c r="A2884" s="3">
        <v>12</v>
      </c>
      <c r="B2884" s="3">
        <v>5</v>
      </c>
      <c r="C2884" s="3">
        <v>1</v>
      </c>
      <c r="D2884" s="3">
        <v>105</v>
      </c>
      <c r="E2884" s="3">
        <v>1</v>
      </c>
      <c r="F2884" s="4" t="str">
        <f>HYPERLINK("http://141.218.60.56/~jnz1568/getInfo.php?workbook=12_05.xlsx&amp;sheet=U0&amp;row=2884&amp;col=6&amp;number=3&amp;sourceID=14","3")</f>
        <v>3</v>
      </c>
      <c r="G2884" s="4" t="str">
        <f>HYPERLINK("http://141.218.60.56/~jnz1568/getInfo.php?workbook=12_05.xlsx&amp;sheet=U0&amp;row=2884&amp;col=7&amp;number=0.000239&amp;sourceID=14","0.000239")</f>
        <v>0.000239</v>
      </c>
    </row>
    <row r="2885" spans="1:7">
      <c r="A2885" s="3"/>
      <c r="B2885" s="3"/>
      <c r="C2885" s="3"/>
      <c r="D2885" s="3"/>
      <c r="E2885" s="3">
        <v>2</v>
      </c>
      <c r="F2885" s="4" t="str">
        <f>HYPERLINK("http://141.218.60.56/~jnz1568/getInfo.php?workbook=12_05.xlsx&amp;sheet=U0&amp;row=2885&amp;col=6&amp;number=3.1&amp;sourceID=14","3.1")</f>
        <v>3.1</v>
      </c>
      <c r="G2885" s="4" t="str">
        <f>HYPERLINK("http://141.218.60.56/~jnz1568/getInfo.php?workbook=12_05.xlsx&amp;sheet=U0&amp;row=2885&amp;col=7&amp;number=0.000239&amp;sourceID=14","0.000239")</f>
        <v>0.000239</v>
      </c>
    </row>
    <row r="2886" spans="1:7">
      <c r="A2886" s="3"/>
      <c r="B2886" s="3"/>
      <c r="C2886" s="3"/>
      <c r="D2886" s="3"/>
      <c r="E2886" s="3">
        <v>3</v>
      </c>
      <c r="F2886" s="4" t="str">
        <f>HYPERLINK("http://141.218.60.56/~jnz1568/getInfo.php?workbook=12_05.xlsx&amp;sheet=U0&amp;row=2886&amp;col=6&amp;number=3.2&amp;sourceID=14","3.2")</f>
        <v>3.2</v>
      </c>
      <c r="G2886" s="4" t="str">
        <f>HYPERLINK("http://141.218.60.56/~jnz1568/getInfo.php?workbook=12_05.xlsx&amp;sheet=U0&amp;row=2886&amp;col=7&amp;number=0.000239&amp;sourceID=14","0.000239")</f>
        <v>0.000239</v>
      </c>
    </row>
    <row r="2887" spans="1:7">
      <c r="A2887" s="3"/>
      <c r="B2887" s="3"/>
      <c r="C2887" s="3"/>
      <c r="D2887" s="3"/>
      <c r="E2887" s="3">
        <v>4</v>
      </c>
      <c r="F2887" s="4" t="str">
        <f>HYPERLINK("http://141.218.60.56/~jnz1568/getInfo.php?workbook=12_05.xlsx&amp;sheet=U0&amp;row=2887&amp;col=6&amp;number=3.3&amp;sourceID=14","3.3")</f>
        <v>3.3</v>
      </c>
      <c r="G2887" s="4" t="str">
        <f>HYPERLINK("http://141.218.60.56/~jnz1568/getInfo.php?workbook=12_05.xlsx&amp;sheet=U0&amp;row=2887&amp;col=7&amp;number=0.000239&amp;sourceID=14","0.000239")</f>
        <v>0.000239</v>
      </c>
    </row>
    <row r="2888" spans="1:7">
      <c r="A2888" s="3"/>
      <c r="B2888" s="3"/>
      <c r="C2888" s="3"/>
      <c r="D2888" s="3"/>
      <c r="E2888" s="3">
        <v>5</v>
      </c>
      <c r="F2888" s="4" t="str">
        <f>HYPERLINK("http://141.218.60.56/~jnz1568/getInfo.php?workbook=12_05.xlsx&amp;sheet=U0&amp;row=2888&amp;col=6&amp;number=3.4&amp;sourceID=14","3.4")</f>
        <v>3.4</v>
      </c>
      <c r="G2888" s="4" t="str">
        <f>HYPERLINK("http://141.218.60.56/~jnz1568/getInfo.php?workbook=12_05.xlsx&amp;sheet=U0&amp;row=2888&amp;col=7&amp;number=0.000239&amp;sourceID=14","0.000239")</f>
        <v>0.000239</v>
      </c>
    </row>
    <row r="2889" spans="1:7">
      <c r="A2889" s="3"/>
      <c r="B2889" s="3"/>
      <c r="C2889" s="3"/>
      <c r="D2889" s="3"/>
      <c r="E2889" s="3">
        <v>6</v>
      </c>
      <c r="F2889" s="4" t="str">
        <f>HYPERLINK("http://141.218.60.56/~jnz1568/getInfo.php?workbook=12_05.xlsx&amp;sheet=U0&amp;row=2889&amp;col=6&amp;number=3.5&amp;sourceID=14","3.5")</f>
        <v>3.5</v>
      </c>
      <c r="G2889" s="4" t="str">
        <f>HYPERLINK("http://141.218.60.56/~jnz1568/getInfo.php?workbook=12_05.xlsx&amp;sheet=U0&amp;row=2889&amp;col=7&amp;number=0.000239&amp;sourceID=14","0.000239")</f>
        <v>0.000239</v>
      </c>
    </row>
    <row r="2890" spans="1:7">
      <c r="A2890" s="3"/>
      <c r="B2890" s="3"/>
      <c r="C2890" s="3"/>
      <c r="D2890" s="3"/>
      <c r="E2890" s="3">
        <v>7</v>
      </c>
      <c r="F2890" s="4" t="str">
        <f>HYPERLINK("http://141.218.60.56/~jnz1568/getInfo.php?workbook=12_05.xlsx&amp;sheet=U0&amp;row=2890&amp;col=6&amp;number=3.6&amp;sourceID=14","3.6")</f>
        <v>3.6</v>
      </c>
      <c r="G2890" s="4" t="str">
        <f>HYPERLINK("http://141.218.60.56/~jnz1568/getInfo.php?workbook=12_05.xlsx&amp;sheet=U0&amp;row=2890&amp;col=7&amp;number=0.000238&amp;sourceID=14","0.000238")</f>
        <v>0.000238</v>
      </c>
    </row>
    <row r="2891" spans="1:7">
      <c r="A2891" s="3"/>
      <c r="B2891" s="3"/>
      <c r="C2891" s="3"/>
      <c r="D2891" s="3"/>
      <c r="E2891" s="3">
        <v>8</v>
      </c>
      <c r="F2891" s="4" t="str">
        <f>HYPERLINK("http://141.218.60.56/~jnz1568/getInfo.php?workbook=12_05.xlsx&amp;sheet=U0&amp;row=2891&amp;col=6&amp;number=3.7&amp;sourceID=14","3.7")</f>
        <v>3.7</v>
      </c>
      <c r="G2891" s="4" t="str">
        <f>HYPERLINK("http://141.218.60.56/~jnz1568/getInfo.php?workbook=12_05.xlsx&amp;sheet=U0&amp;row=2891&amp;col=7&amp;number=0.000238&amp;sourceID=14","0.000238")</f>
        <v>0.000238</v>
      </c>
    </row>
    <row r="2892" spans="1:7">
      <c r="A2892" s="3"/>
      <c r="B2892" s="3"/>
      <c r="C2892" s="3"/>
      <c r="D2892" s="3"/>
      <c r="E2892" s="3">
        <v>9</v>
      </c>
      <c r="F2892" s="4" t="str">
        <f>HYPERLINK("http://141.218.60.56/~jnz1568/getInfo.php?workbook=12_05.xlsx&amp;sheet=U0&amp;row=2892&amp;col=6&amp;number=3.8&amp;sourceID=14","3.8")</f>
        <v>3.8</v>
      </c>
      <c r="G2892" s="4" t="str">
        <f>HYPERLINK("http://141.218.60.56/~jnz1568/getInfo.php?workbook=12_05.xlsx&amp;sheet=U0&amp;row=2892&amp;col=7&amp;number=0.000238&amp;sourceID=14","0.000238")</f>
        <v>0.000238</v>
      </c>
    </row>
    <row r="2893" spans="1:7">
      <c r="A2893" s="3"/>
      <c r="B2893" s="3"/>
      <c r="C2893" s="3"/>
      <c r="D2893" s="3"/>
      <c r="E2893" s="3">
        <v>10</v>
      </c>
      <c r="F2893" s="4" t="str">
        <f>HYPERLINK("http://141.218.60.56/~jnz1568/getInfo.php?workbook=12_05.xlsx&amp;sheet=U0&amp;row=2893&amp;col=6&amp;number=3.9&amp;sourceID=14","3.9")</f>
        <v>3.9</v>
      </c>
      <c r="G2893" s="4" t="str">
        <f>HYPERLINK("http://141.218.60.56/~jnz1568/getInfo.php?workbook=12_05.xlsx&amp;sheet=U0&amp;row=2893&amp;col=7&amp;number=0.000238&amp;sourceID=14","0.000238")</f>
        <v>0.000238</v>
      </c>
    </row>
    <row r="2894" spans="1:7">
      <c r="A2894" s="3"/>
      <c r="B2894" s="3"/>
      <c r="C2894" s="3"/>
      <c r="D2894" s="3"/>
      <c r="E2894" s="3">
        <v>11</v>
      </c>
      <c r="F2894" s="4" t="str">
        <f>HYPERLINK("http://141.218.60.56/~jnz1568/getInfo.php?workbook=12_05.xlsx&amp;sheet=U0&amp;row=2894&amp;col=6&amp;number=4&amp;sourceID=14","4")</f>
        <v>4</v>
      </c>
      <c r="G2894" s="4" t="str">
        <f>HYPERLINK("http://141.218.60.56/~jnz1568/getInfo.php?workbook=12_05.xlsx&amp;sheet=U0&amp;row=2894&amp;col=7&amp;number=0.000238&amp;sourceID=14","0.000238")</f>
        <v>0.000238</v>
      </c>
    </row>
    <row r="2895" spans="1:7">
      <c r="A2895" s="3"/>
      <c r="B2895" s="3"/>
      <c r="C2895" s="3"/>
      <c r="D2895" s="3"/>
      <c r="E2895" s="3">
        <v>12</v>
      </c>
      <c r="F2895" s="4" t="str">
        <f>HYPERLINK("http://141.218.60.56/~jnz1568/getInfo.php?workbook=12_05.xlsx&amp;sheet=U0&amp;row=2895&amp;col=6&amp;number=4.1&amp;sourceID=14","4.1")</f>
        <v>4.1</v>
      </c>
      <c r="G2895" s="4" t="str">
        <f>HYPERLINK("http://141.218.60.56/~jnz1568/getInfo.php?workbook=12_05.xlsx&amp;sheet=U0&amp;row=2895&amp;col=7&amp;number=0.000237&amp;sourceID=14","0.000237")</f>
        <v>0.000237</v>
      </c>
    </row>
    <row r="2896" spans="1:7">
      <c r="A2896" s="3"/>
      <c r="B2896" s="3"/>
      <c r="C2896" s="3"/>
      <c r="D2896" s="3"/>
      <c r="E2896" s="3">
        <v>13</v>
      </c>
      <c r="F2896" s="4" t="str">
        <f>HYPERLINK("http://141.218.60.56/~jnz1568/getInfo.php?workbook=12_05.xlsx&amp;sheet=U0&amp;row=2896&amp;col=6&amp;number=4.2&amp;sourceID=14","4.2")</f>
        <v>4.2</v>
      </c>
      <c r="G2896" s="4" t="str">
        <f>HYPERLINK("http://141.218.60.56/~jnz1568/getInfo.php?workbook=12_05.xlsx&amp;sheet=U0&amp;row=2896&amp;col=7&amp;number=0.000237&amp;sourceID=14","0.000237")</f>
        <v>0.000237</v>
      </c>
    </row>
    <row r="2897" spans="1:7">
      <c r="A2897" s="3"/>
      <c r="B2897" s="3"/>
      <c r="C2897" s="3"/>
      <c r="D2897" s="3"/>
      <c r="E2897" s="3">
        <v>14</v>
      </c>
      <c r="F2897" s="4" t="str">
        <f>HYPERLINK("http://141.218.60.56/~jnz1568/getInfo.php?workbook=12_05.xlsx&amp;sheet=U0&amp;row=2897&amp;col=6&amp;number=4.3&amp;sourceID=14","4.3")</f>
        <v>4.3</v>
      </c>
      <c r="G2897" s="4" t="str">
        <f>HYPERLINK("http://141.218.60.56/~jnz1568/getInfo.php?workbook=12_05.xlsx&amp;sheet=U0&amp;row=2897&amp;col=7&amp;number=0.000237&amp;sourceID=14","0.000237")</f>
        <v>0.000237</v>
      </c>
    </row>
    <row r="2898" spans="1:7">
      <c r="A2898" s="3"/>
      <c r="B2898" s="3"/>
      <c r="C2898" s="3"/>
      <c r="D2898" s="3"/>
      <c r="E2898" s="3">
        <v>15</v>
      </c>
      <c r="F2898" s="4" t="str">
        <f>HYPERLINK("http://141.218.60.56/~jnz1568/getInfo.php?workbook=12_05.xlsx&amp;sheet=U0&amp;row=2898&amp;col=6&amp;number=4.4&amp;sourceID=14","4.4")</f>
        <v>4.4</v>
      </c>
      <c r="G2898" s="4" t="str">
        <f>HYPERLINK("http://141.218.60.56/~jnz1568/getInfo.php?workbook=12_05.xlsx&amp;sheet=U0&amp;row=2898&amp;col=7&amp;number=0.000236&amp;sourceID=14","0.000236")</f>
        <v>0.000236</v>
      </c>
    </row>
    <row r="2899" spans="1:7">
      <c r="A2899" s="3"/>
      <c r="B2899" s="3"/>
      <c r="C2899" s="3"/>
      <c r="D2899" s="3"/>
      <c r="E2899" s="3">
        <v>16</v>
      </c>
      <c r="F2899" s="4" t="str">
        <f>HYPERLINK("http://141.218.60.56/~jnz1568/getInfo.php?workbook=12_05.xlsx&amp;sheet=U0&amp;row=2899&amp;col=6&amp;number=4.5&amp;sourceID=14","4.5")</f>
        <v>4.5</v>
      </c>
      <c r="G2899" s="4" t="str">
        <f>HYPERLINK("http://141.218.60.56/~jnz1568/getInfo.php?workbook=12_05.xlsx&amp;sheet=U0&amp;row=2899&amp;col=7&amp;number=0.000235&amp;sourceID=14","0.000235")</f>
        <v>0.000235</v>
      </c>
    </row>
    <row r="2900" spans="1:7">
      <c r="A2900" s="3"/>
      <c r="B2900" s="3"/>
      <c r="C2900" s="3"/>
      <c r="D2900" s="3"/>
      <c r="E2900" s="3">
        <v>17</v>
      </c>
      <c r="F2900" s="4" t="str">
        <f>HYPERLINK("http://141.218.60.56/~jnz1568/getInfo.php?workbook=12_05.xlsx&amp;sheet=U0&amp;row=2900&amp;col=6&amp;number=4.6&amp;sourceID=14","4.6")</f>
        <v>4.6</v>
      </c>
      <c r="G2900" s="4" t="str">
        <f>HYPERLINK("http://141.218.60.56/~jnz1568/getInfo.php?workbook=12_05.xlsx&amp;sheet=U0&amp;row=2900&amp;col=7&amp;number=0.000234&amp;sourceID=14","0.000234")</f>
        <v>0.000234</v>
      </c>
    </row>
    <row r="2901" spans="1:7">
      <c r="A2901" s="3"/>
      <c r="B2901" s="3"/>
      <c r="C2901" s="3"/>
      <c r="D2901" s="3"/>
      <c r="E2901" s="3">
        <v>18</v>
      </c>
      <c r="F2901" s="4" t="str">
        <f>HYPERLINK("http://141.218.60.56/~jnz1568/getInfo.php?workbook=12_05.xlsx&amp;sheet=U0&amp;row=2901&amp;col=6&amp;number=4.7&amp;sourceID=14","4.7")</f>
        <v>4.7</v>
      </c>
      <c r="G2901" s="4" t="str">
        <f>HYPERLINK("http://141.218.60.56/~jnz1568/getInfo.php?workbook=12_05.xlsx&amp;sheet=U0&amp;row=2901&amp;col=7&amp;number=0.000233&amp;sourceID=14","0.000233")</f>
        <v>0.000233</v>
      </c>
    </row>
    <row r="2902" spans="1:7">
      <c r="A2902" s="3"/>
      <c r="B2902" s="3"/>
      <c r="C2902" s="3"/>
      <c r="D2902" s="3"/>
      <c r="E2902" s="3">
        <v>19</v>
      </c>
      <c r="F2902" s="4" t="str">
        <f>HYPERLINK("http://141.218.60.56/~jnz1568/getInfo.php?workbook=12_05.xlsx&amp;sheet=U0&amp;row=2902&amp;col=6&amp;number=4.8&amp;sourceID=14","4.8")</f>
        <v>4.8</v>
      </c>
      <c r="G2902" s="4" t="str">
        <f>HYPERLINK("http://141.218.60.56/~jnz1568/getInfo.php?workbook=12_05.xlsx&amp;sheet=U0&amp;row=2902&amp;col=7&amp;number=0.000232&amp;sourceID=14","0.000232")</f>
        <v>0.000232</v>
      </c>
    </row>
    <row r="2903" spans="1:7">
      <c r="A2903" s="3"/>
      <c r="B2903" s="3"/>
      <c r="C2903" s="3"/>
      <c r="D2903" s="3"/>
      <c r="E2903" s="3">
        <v>20</v>
      </c>
      <c r="F2903" s="4" t="str">
        <f>HYPERLINK("http://141.218.60.56/~jnz1568/getInfo.php?workbook=12_05.xlsx&amp;sheet=U0&amp;row=2903&amp;col=6&amp;number=4.9&amp;sourceID=14","4.9")</f>
        <v>4.9</v>
      </c>
      <c r="G2903" s="4" t="str">
        <f>HYPERLINK("http://141.218.60.56/~jnz1568/getInfo.php?workbook=12_05.xlsx&amp;sheet=U0&amp;row=2903&amp;col=7&amp;number=0.00023&amp;sourceID=14","0.00023")</f>
        <v>0.00023</v>
      </c>
    </row>
    <row r="2904" spans="1:7">
      <c r="A2904" s="3">
        <v>12</v>
      </c>
      <c r="B2904" s="3">
        <v>5</v>
      </c>
      <c r="C2904" s="3">
        <v>1</v>
      </c>
      <c r="D2904" s="3">
        <v>107</v>
      </c>
      <c r="E2904" s="3">
        <v>1</v>
      </c>
      <c r="F2904" s="4" t="str">
        <f>HYPERLINK("http://141.218.60.56/~jnz1568/getInfo.php?workbook=12_05.xlsx&amp;sheet=U0&amp;row=2904&amp;col=6&amp;number=3&amp;sourceID=14","3")</f>
        <v>3</v>
      </c>
      <c r="G2904" s="4" t="str">
        <f>HYPERLINK("http://141.218.60.56/~jnz1568/getInfo.php?workbook=12_05.xlsx&amp;sheet=U0&amp;row=2904&amp;col=7&amp;number=0.0135&amp;sourceID=14","0.0135")</f>
        <v>0.0135</v>
      </c>
    </row>
    <row r="2905" spans="1:7">
      <c r="A2905" s="3"/>
      <c r="B2905" s="3"/>
      <c r="C2905" s="3"/>
      <c r="D2905" s="3"/>
      <c r="E2905" s="3">
        <v>2</v>
      </c>
      <c r="F2905" s="4" t="str">
        <f>HYPERLINK("http://141.218.60.56/~jnz1568/getInfo.php?workbook=12_05.xlsx&amp;sheet=U0&amp;row=2905&amp;col=6&amp;number=3.1&amp;sourceID=14","3.1")</f>
        <v>3.1</v>
      </c>
      <c r="G2905" s="4" t="str">
        <f>HYPERLINK("http://141.218.60.56/~jnz1568/getInfo.php?workbook=12_05.xlsx&amp;sheet=U0&amp;row=2905&amp;col=7&amp;number=0.0135&amp;sourceID=14","0.0135")</f>
        <v>0.0135</v>
      </c>
    </row>
    <row r="2906" spans="1:7">
      <c r="A2906" s="3"/>
      <c r="B2906" s="3"/>
      <c r="C2906" s="3"/>
      <c r="D2906" s="3"/>
      <c r="E2906" s="3">
        <v>3</v>
      </c>
      <c r="F2906" s="4" t="str">
        <f>HYPERLINK("http://141.218.60.56/~jnz1568/getInfo.php?workbook=12_05.xlsx&amp;sheet=U0&amp;row=2906&amp;col=6&amp;number=3.2&amp;sourceID=14","3.2")</f>
        <v>3.2</v>
      </c>
      <c r="G2906" s="4" t="str">
        <f>HYPERLINK("http://141.218.60.56/~jnz1568/getInfo.php?workbook=12_05.xlsx&amp;sheet=U0&amp;row=2906&amp;col=7&amp;number=0.0135&amp;sourceID=14","0.0135")</f>
        <v>0.0135</v>
      </c>
    </row>
    <row r="2907" spans="1:7">
      <c r="A2907" s="3"/>
      <c r="B2907" s="3"/>
      <c r="C2907" s="3"/>
      <c r="D2907" s="3"/>
      <c r="E2907" s="3">
        <v>4</v>
      </c>
      <c r="F2907" s="4" t="str">
        <f>HYPERLINK("http://141.218.60.56/~jnz1568/getInfo.php?workbook=12_05.xlsx&amp;sheet=U0&amp;row=2907&amp;col=6&amp;number=3.3&amp;sourceID=14","3.3")</f>
        <v>3.3</v>
      </c>
      <c r="G2907" s="4" t="str">
        <f>HYPERLINK("http://141.218.60.56/~jnz1568/getInfo.php?workbook=12_05.xlsx&amp;sheet=U0&amp;row=2907&amp;col=7&amp;number=0.0135&amp;sourceID=14","0.0135")</f>
        <v>0.0135</v>
      </c>
    </row>
    <row r="2908" spans="1:7">
      <c r="A2908" s="3"/>
      <c r="B2908" s="3"/>
      <c r="C2908" s="3"/>
      <c r="D2908" s="3"/>
      <c r="E2908" s="3">
        <v>5</v>
      </c>
      <c r="F2908" s="4" t="str">
        <f>HYPERLINK("http://141.218.60.56/~jnz1568/getInfo.php?workbook=12_05.xlsx&amp;sheet=U0&amp;row=2908&amp;col=6&amp;number=3.4&amp;sourceID=14","3.4")</f>
        <v>3.4</v>
      </c>
      <c r="G2908" s="4" t="str">
        <f>HYPERLINK("http://141.218.60.56/~jnz1568/getInfo.php?workbook=12_05.xlsx&amp;sheet=U0&amp;row=2908&amp;col=7&amp;number=0.0135&amp;sourceID=14","0.0135")</f>
        <v>0.0135</v>
      </c>
    </row>
    <row r="2909" spans="1:7">
      <c r="A2909" s="3"/>
      <c r="B2909" s="3"/>
      <c r="C2909" s="3"/>
      <c r="D2909" s="3"/>
      <c r="E2909" s="3">
        <v>6</v>
      </c>
      <c r="F2909" s="4" t="str">
        <f>HYPERLINK("http://141.218.60.56/~jnz1568/getInfo.php?workbook=12_05.xlsx&amp;sheet=U0&amp;row=2909&amp;col=6&amp;number=3.5&amp;sourceID=14","3.5")</f>
        <v>3.5</v>
      </c>
      <c r="G2909" s="4" t="str">
        <f>HYPERLINK("http://141.218.60.56/~jnz1568/getInfo.php?workbook=12_05.xlsx&amp;sheet=U0&amp;row=2909&amp;col=7&amp;number=0.0135&amp;sourceID=14","0.0135")</f>
        <v>0.0135</v>
      </c>
    </row>
    <row r="2910" spans="1:7">
      <c r="A2910" s="3"/>
      <c r="B2910" s="3"/>
      <c r="C2910" s="3"/>
      <c r="D2910" s="3"/>
      <c r="E2910" s="3">
        <v>7</v>
      </c>
      <c r="F2910" s="4" t="str">
        <f>HYPERLINK("http://141.218.60.56/~jnz1568/getInfo.php?workbook=12_05.xlsx&amp;sheet=U0&amp;row=2910&amp;col=6&amp;number=3.6&amp;sourceID=14","3.6")</f>
        <v>3.6</v>
      </c>
      <c r="G2910" s="4" t="str">
        <f>HYPERLINK("http://141.218.60.56/~jnz1568/getInfo.php?workbook=12_05.xlsx&amp;sheet=U0&amp;row=2910&amp;col=7&amp;number=0.0135&amp;sourceID=14","0.0135")</f>
        <v>0.0135</v>
      </c>
    </row>
    <row r="2911" spans="1:7">
      <c r="A2911" s="3"/>
      <c r="B2911" s="3"/>
      <c r="C2911" s="3"/>
      <c r="D2911" s="3"/>
      <c r="E2911" s="3">
        <v>8</v>
      </c>
      <c r="F2911" s="4" t="str">
        <f>HYPERLINK("http://141.218.60.56/~jnz1568/getInfo.php?workbook=12_05.xlsx&amp;sheet=U0&amp;row=2911&amp;col=6&amp;number=3.7&amp;sourceID=14","3.7")</f>
        <v>3.7</v>
      </c>
      <c r="G2911" s="4" t="str">
        <f>HYPERLINK("http://141.218.60.56/~jnz1568/getInfo.php?workbook=12_05.xlsx&amp;sheet=U0&amp;row=2911&amp;col=7&amp;number=0.0135&amp;sourceID=14","0.0135")</f>
        <v>0.0135</v>
      </c>
    </row>
    <row r="2912" spans="1:7">
      <c r="A2912" s="3"/>
      <c r="B2912" s="3"/>
      <c r="C2912" s="3"/>
      <c r="D2912" s="3"/>
      <c r="E2912" s="3">
        <v>9</v>
      </c>
      <c r="F2912" s="4" t="str">
        <f>HYPERLINK("http://141.218.60.56/~jnz1568/getInfo.php?workbook=12_05.xlsx&amp;sheet=U0&amp;row=2912&amp;col=6&amp;number=3.8&amp;sourceID=14","3.8")</f>
        <v>3.8</v>
      </c>
      <c r="G2912" s="4" t="str">
        <f>HYPERLINK("http://141.218.60.56/~jnz1568/getInfo.php?workbook=12_05.xlsx&amp;sheet=U0&amp;row=2912&amp;col=7&amp;number=0.0134&amp;sourceID=14","0.0134")</f>
        <v>0.0134</v>
      </c>
    </row>
    <row r="2913" spans="1:7">
      <c r="A2913" s="3"/>
      <c r="B2913" s="3"/>
      <c r="C2913" s="3"/>
      <c r="D2913" s="3"/>
      <c r="E2913" s="3">
        <v>10</v>
      </c>
      <c r="F2913" s="4" t="str">
        <f>HYPERLINK("http://141.218.60.56/~jnz1568/getInfo.php?workbook=12_05.xlsx&amp;sheet=U0&amp;row=2913&amp;col=6&amp;number=3.9&amp;sourceID=14","3.9")</f>
        <v>3.9</v>
      </c>
      <c r="G2913" s="4" t="str">
        <f>HYPERLINK("http://141.218.60.56/~jnz1568/getInfo.php?workbook=12_05.xlsx&amp;sheet=U0&amp;row=2913&amp;col=7&amp;number=0.0134&amp;sourceID=14","0.0134")</f>
        <v>0.0134</v>
      </c>
    </row>
    <row r="2914" spans="1:7">
      <c r="A2914" s="3"/>
      <c r="B2914" s="3"/>
      <c r="C2914" s="3"/>
      <c r="D2914" s="3"/>
      <c r="E2914" s="3">
        <v>11</v>
      </c>
      <c r="F2914" s="4" t="str">
        <f>HYPERLINK("http://141.218.60.56/~jnz1568/getInfo.php?workbook=12_05.xlsx&amp;sheet=U0&amp;row=2914&amp;col=6&amp;number=4&amp;sourceID=14","4")</f>
        <v>4</v>
      </c>
      <c r="G2914" s="4" t="str">
        <f>HYPERLINK("http://141.218.60.56/~jnz1568/getInfo.php?workbook=12_05.xlsx&amp;sheet=U0&amp;row=2914&amp;col=7&amp;number=0.0134&amp;sourceID=14","0.0134")</f>
        <v>0.0134</v>
      </c>
    </row>
    <row r="2915" spans="1:7">
      <c r="A2915" s="3"/>
      <c r="B2915" s="3"/>
      <c r="C2915" s="3"/>
      <c r="D2915" s="3"/>
      <c r="E2915" s="3">
        <v>12</v>
      </c>
      <c r="F2915" s="4" t="str">
        <f>HYPERLINK("http://141.218.60.56/~jnz1568/getInfo.php?workbook=12_05.xlsx&amp;sheet=U0&amp;row=2915&amp;col=6&amp;number=4.1&amp;sourceID=14","4.1")</f>
        <v>4.1</v>
      </c>
      <c r="G2915" s="4" t="str">
        <f>HYPERLINK("http://141.218.60.56/~jnz1568/getInfo.php?workbook=12_05.xlsx&amp;sheet=U0&amp;row=2915&amp;col=7&amp;number=0.0134&amp;sourceID=14","0.0134")</f>
        <v>0.0134</v>
      </c>
    </row>
    <row r="2916" spans="1:7">
      <c r="A2916" s="3"/>
      <c r="B2916" s="3"/>
      <c r="C2916" s="3"/>
      <c r="D2916" s="3"/>
      <c r="E2916" s="3">
        <v>13</v>
      </c>
      <c r="F2916" s="4" t="str">
        <f>HYPERLINK("http://141.218.60.56/~jnz1568/getInfo.php?workbook=12_05.xlsx&amp;sheet=U0&amp;row=2916&amp;col=6&amp;number=4.2&amp;sourceID=14","4.2")</f>
        <v>4.2</v>
      </c>
      <c r="G2916" s="4" t="str">
        <f>HYPERLINK("http://141.218.60.56/~jnz1568/getInfo.php?workbook=12_05.xlsx&amp;sheet=U0&amp;row=2916&amp;col=7&amp;number=0.0133&amp;sourceID=14","0.0133")</f>
        <v>0.0133</v>
      </c>
    </row>
    <row r="2917" spans="1:7">
      <c r="A2917" s="3"/>
      <c r="B2917" s="3"/>
      <c r="C2917" s="3"/>
      <c r="D2917" s="3"/>
      <c r="E2917" s="3">
        <v>14</v>
      </c>
      <c r="F2917" s="4" t="str">
        <f>HYPERLINK("http://141.218.60.56/~jnz1568/getInfo.php?workbook=12_05.xlsx&amp;sheet=U0&amp;row=2917&amp;col=6&amp;number=4.3&amp;sourceID=14","4.3")</f>
        <v>4.3</v>
      </c>
      <c r="G2917" s="4" t="str">
        <f>HYPERLINK("http://141.218.60.56/~jnz1568/getInfo.php?workbook=12_05.xlsx&amp;sheet=U0&amp;row=2917&amp;col=7&amp;number=0.0133&amp;sourceID=14","0.0133")</f>
        <v>0.0133</v>
      </c>
    </row>
    <row r="2918" spans="1:7">
      <c r="A2918" s="3"/>
      <c r="B2918" s="3"/>
      <c r="C2918" s="3"/>
      <c r="D2918" s="3"/>
      <c r="E2918" s="3">
        <v>15</v>
      </c>
      <c r="F2918" s="4" t="str">
        <f>HYPERLINK("http://141.218.60.56/~jnz1568/getInfo.php?workbook=12_05.xlsx&amp;sheet=U0&amp;row=2918&amp;col=6&amp;number=4.4&amp;sourceID=14","4.4")</f>
        <v>4.4</v>
      </c>
      <c r="G2918" s="4" t="str">
        <f>HYPERLINK("http://141.218.60.56/~jnz1568/getInfo.php?workbook=12_05.xlsx&amp;sheet=U0&amp;row=2918&amp;col=7&amp;number=0.0132&amp;sourceID=14","0.0132")</f>
        <v>0.0132</v>
      </c>
    </row>
    <row r="2919" spans="1:7">
      <c r="A2919" s="3"/>
      <c r="B2919" s="3"/>
      <c r="C2919" s="3"/>
      <c r="D2919" s="3"/>
      <c r="E2919" s="3">
        <v>16</v>
      </c>
      <c r="F2919" s="4" t="str">
        <f>HYPERLINK("http://141.218.60.56/~jnz1568/getInfo.php?workbook=12_05.xlsx&amp;sheet=U0&amp;row=2919&amp;col=6&amp;number=4.5&amp;sourceID=14","4.5")</f>
        <v>4.5</v>
      </c>
      <c r="G2919" s="4" t="str">
        <f>HYPERLINK("http://141.218.60.56/~jnz1568/getInfo.php?workbook=12_05.xlsx&amp;sheet=U0&amp;row=2919&amp;col=7&amp;number=0.0131&amp;sourceID=14","0.0131")</f>
        <v>0.0131</v>
      </c>
    </row>
    <row r="2920" spans="1:7">
      <c r="A2920" s="3"/>
      <c r="B2920" s="3"/>
      <c r="C2920" s="3"/>
      <c r="D2920" s="3"/>
      <c r="E2920" s="3">
        <v>17</v>
      </c>
      <c r="F2920" s="4" t="str">
        <f>HYPERLINK("http://141.218.60.56/~jnz1568/getInfo.php?workbook=12_05.xlsx&amp;sheet=U0&amp;row=2920&amp;col=6&amp;number=4.6&amp;sourceID=14","4.6")</f>
        <v>4.6</v>
      </c>
      <c r="G2920" s="4" t="str">
        <f>HYPERLINK("http://141.218.60.56/~jnz1568/getInfo.php?workbook=12_05.xlsx&amp;sheet=U0&amp;row=2920&amp;col=7&amp;number=0.013&amp;sourceID=14","0.013")</f>
        <v>0.013</v>
      </c>
    </row>
    <row r="2921" spans="1:7">
      <c r="A2921" s="3"/>
      <c r="B2921" s="3"/>
      <c r="C2921" s="3"/>
      <c r="D2921" s="3"/>
      <c r="E2921" s="3">
        <v>18</v>
      </c>
      <c r="F2921" s="4" t="str">
        <f>HYPERLINK("http://141.218.60.56/~jnz1568/getInfo.php?workbook=12_05.xlsx&amp;sheet=U0&amp;row=2921&amp;col=6&amp;number=4.7&amp;sourceID=14","4.7")</f>
        <v>4.7</v>
      </c>
      <c r="G2921" s="4" t="str">
        <f>HYPERLINK("http://141.218.60.56/~jnz1568/getInfo.php?workbook=12_05.xlsx&amp;sheet=U0&amp;row=2921&amp;col=7&amp;number=0.0129&amp;sourceID=14","0.0129")</f>
        <v>0.0129</v>
      </c>
    </row>
    <row r="2922" spans="1:7">
      <c r="A2922" s="3"/>
      <c r="B2922" s="3"/>
      <c r="C2922" s="3"/>
      <c r="D2922" s="3"/>
      <c r="E2922" s="3">
        <v>19</v>
      </c>
      <c r="F2922" s="4" t="str">
        <f>HYPERLINK("http://141.218.60.56/~jnz1568/getInfo.php?workbook=12_05.xlsx&amp;sheet=U0&amp;row=2922&amp;col=6&amp;number=4.8&amp;sourceID=14","4.8")</f>
        <v>4.8</v>
      </c>
      <c r="G2922" s="4" t="str">
        <f>HYPERLINK("http://141.218.60.56/~jnz1568/getInfo.php?workbook=12_05.xlsx&amp;sheet=U0&amp;row=2922&amp;col=7&amp;number=0.0128&amp;sourceID=14","0.0128")</f>
        <v>0.0128</v>
      </c>
    </row>
    <row r="2923" spans="1:7">
      <c r="A2923" s="3"/>
      <c r="B2923" s="3"/>
      <c r="C2923" s="3"/>
      <c r="D2923" s="3"/>
      <c r="E2923" s="3">
        <v>20</v>
      </c>
      <c r="F2923" s="4" t="str">
        <f>HYPERLINK("http://141.218.60.56/~jnz1568/getInfo.php?workbook=12_05.xlsx&amp;sheet=U0&amp;row=2923&amp;col=6&amp;number=4.9&amp;sourceID=14","4.9")</f>
        <v>4.9</v>
      </c>
      <c r="G2923" s="4" t="str">
        <f>HYPERLINK("http://141.218.60.56/~jnz1568/getInfo.php?workbook=12_05.xlsx&amp;sheet=U0&amp;row=2923&amp;col=7&amp;number=0.0126&amp;sourceID=14","0.0126")</f>
        <v>0.0126</v>
      </c>
    </row>
    <row r="2924" spans="1:7">
      <c r="A2924" s="3">
        <v>12</v>
      </c>
      <c r="B2924" s="3">
        <v>5</v>
      </c>
      <c r="C2924" s="3">
        <v>1</v>
      </c>
      <c r="D2924" s="3">
        <v>108</v>
      </c>
      <c r="E2924" s="3">
        <v>1</v>
      </c>
      <c r="F2924" s="4" t="str">
        <f>HYPERLINK("http://141.218.60.56/~jnz1568/getInfo.php?workbook=12_05.xlsx&amp;sheet=U0&amp;row=2924&amp;col=6&amp;number=3&amp;sourceID=14","3")</f>
        <v>3</v>
      </c>
      <c r="G2924" s="4" t="str">
        <f>HYPERLINK("http://141.218.60.56/~jnz1568/getInfo.php?workbook=12_05.xlsx&amp;sheet=U0&amp;row=2924&amp;col=7&amp;number=0.0115&amp;sourceID=14","0.0115")</f>
        <v>0.0115</v>
      </c>
    </row>
    <row r="2925" spans="1:7">
      <c r="A2925" s="3"/>
      <c r="B2925" s="3"/>
      <c r="C2925" s="3"/>
      <c r="D2925" s="3"/>
      <c r="E2925" s="3">
        <v>2</v>
      </c>
      <c r="F2925" s="4" t="str">
        <f>HYPERLINK("http://141.218.60.56/~jnz1568/getInfo.php?workbook=12_05.xlsx&amp;sheet=U0&amp;row=2925&amp;col=6&amp;number=3.1&amp;sourceID=14","3.1")</f>
        <v>3.1</v>
      </c>
      <c r="G2925" s="4" t="str">
        <f>HYPERLINK("http://141.218.60.56/~jnz1568/getInfo.php?workbook=12_05.xlsx&amp;sheet=U0&amp;row=2925&amp;col=7&amp;number=0.0115&amp;sourceID=14","0.0115")</f>
        <v>0.0115</v>
      </c>
    </row>
    <row r="2926" spans="1:7">
      <c r="A2926" s="3"/>
      <c r="B2926" s="3"/>
      <c r="C2926" s="3"/>
      <c r="D2926" s="3"/>
      <c r="E2926" s="3">
        <v>3</v>
      </c>
      <c r="F2926" s="4" t="str">
        <f>HYPERLINK("http://141.218.60.56/~jnz1568/getInfo.php?workbook=12_05.xlsx&amp;sheet=U0&amp;row=2926&amp;col=6&amp;number=3.2&amp;sourceID=14","3.2")</f>
        <v>3.2</v>
      </c>
      <c r="G2926" s="4" t="str">
        <f>HYPERLINK("http://141.218.60.56/~jnz1568/getInfo.php?workbook=12_05.xlsx&amp;sheet=U0&amp;row=2926&amp;col=7&amp;number=0.0115&amp;sourceID=14","0.0115")</f>
        <v>0.0115</v>
      </c>
    </row>
    <row r="2927" spans="1:7">
      <c r="A2927" s="3"/>
      <c r="B2927" s="3"/>
      <c r="C2927" s="3"/>
      <c r="D2927" s="3"/>
      <c r="E2927" s="3">
        <v>4</v>
      </c>
      <c r="F2927" s="4" t="str">
        <f>HYPERLINK("http://141.218.60.56/~jnz1568/getInfo.php?workbook=12_05.xlsx&amp;sheet=U0&amp;row=2927&amp;col=6&amp;number=3.3&amp;sourceID=14","3.3")</f>
        <v>3.3</v>
      </c>
      <c r="G2927" s="4" t="str">
        <f>HYPERLINK("http://141.218.60.56/~jnz1568/getInfo.php?workbook=12_05.xlsx&amp;sheet=U0&amp;row=2927&amp;col=7&amp;number=0.0115&amp;sourceID=14","0.0115")</f>
        <v>0.0115</v>
      </c>
    </row>
    <row r="2928" spans="1:7">
      <c r="A2928" s="3"/>
      <c r="B2928" s="3"/>
      <c r="C2928" s="3"/>
      <c r="D2928" s="3"/>
      <c r="E2928" s="3">
        <v>5</v>
      </c>
      <c r="F2928" s="4" t="str">
        <f>HYPERLINK("http://141.218.60.56/~jnz1568/getInfo.php?workbook=12_05.xlsx&amp;sheet=U0&amp;row=2928&amp;col=6&amp;number=3.4&amp;sourceID=14","3.4")</f>
        <v>3.4</v>
      </c>
      <c r="G2928" s="4" t="str">
        <f>HYPERLINK("http://141.218.60.56/~jnz1568/getInfo.php?workbook=12_05.xlsx&amp;sheet=U0&amp;row=2928&amp;col=7&amp;number=0.0115&amp;sourceID=14","0.0115")</f>
        <v>0.0115</v>
      </c>
    </row>
    <row r="2929" spans="1:7">
      <c r="A2929" s="3"/>
      <c r="B2929" s="3"/>
      <c r="C2929" s="3"/>
      <c r="D2929" s="3"/>
      <c r="E2929" s="3">
        <v>6</v>
      </c>
      <c r="F2929" s="4" t="str">
        <f>HYPERLINK("http://141.218.60.56/~jnz1568/getInfo.php?workbook=12_05.xlsx&amp;sheet=U0&amp;row=2929&amp;col=6&amp;number=3.5&amp;sourceID=14","3.5")</f>
        <v>3.5</v>
      </c>
      <c r="G2929" s="4" t="str">
        <f>HYPERLINK("http://141.218.60.56/~jnz1568/getInfo.php?workbook=12_05.xlsx&amp;sheet=U0&amp;row=2929&amp;col=7&amp;number=0.0115&amp;sourceID=14","0.0115")</f>
        <v>0.0115</v>
      </c>
    </row>
    <row r="2930" spans="1:7">
      <c r="A2930" s="3"/>
      <c r="B2930" s="3"/>
      <c r="C2930" s="3"/>
      <c r="D2930" s="3"/>
      <c r="E2930" s="3">
        <v>7</v>
      </c>
      <c r="F2930" s="4" t="str">
        <f>HYPERLINK("http://141.218.60.56/~jnz1568/getInfo.php?workbook=12_05.xlsx&amp;sheet=U0&amp;row=2930&amp;col=6&amp;number=3.6&amp;sourceID=14","3.6")</f>
        <v>3.6</v>
      </c>
      <c r="G2930" s="4" t="str">
        <f>HYPERLINK("http://141.218.60.56/~jnz1568/getInfo.php?workbook=12_05.xlsx&amp;sheet=U0&amp;row=2930&amp;col=7&amp;number=0.0115&amp;sourceID=14","0.0115")</f>
        <v>0.0115</v>
      </c>
    </row>
    <row r="2931" spans="1:7">
      <c r="A2931" s="3"/>
      <c r="B2931" s="3"/>
      <c r="C2931" s="3"/>
      <c r="D2931" s="3"/>
      <c r="E2931" s="3">
        <v>8</v>
      </c>
      <c r="F2931" s="4" t="str">
        <f>HYPERLINK("http://141.218.60.56/~jnz1568/getInfo.php?workbook=12_05.xlsx&amp;sheet=U0&amp;row=2931&amp;col=6&amp;number=3.7&amp;sourceID=14","3.7")</f>
        <v>3.7</v>
      </c>
      <c r="G2931" s="4" t="str">
        <f>HYPERLINK("http://141.218.60.56/~jnz1568/getInfo.php?workbook=12_05.xlsx&amp;sheet=U0&amp;row=2931&amp;col=7&amp;number=0.0115&amp;sourceID=14","0.0115")</f>
        <v>0.0115</v>
      </c>
    </row>
    <row r="2932" spans="1:7">
      <c r="A2932" s="3"/>
      <c r="B2932" s="3"/>
      <c r="C2932" s="3"/>
      <c r="D2932" s="3"/>
      <c r="E2932" s="3">
        <v>9</v>
      </c>
      <c r="F2932" s="4" t="str">
        <f>HYPERLINK("http://141.218.60.56/~jnz1568/getInfo.php?workbook=12_05.xlsx&amp;sheet=U0&amp;row=2932&amp;col=6&amp;number=3.8&amp;sourceID=14","3.8")</f>
        <v>3.8</v>
      </c>
      <c r="G2932" s="4" t="str">
        <f>HYPERLINK("http://141.218.60.56/~jnz1568/getInfo.php?workbook=12_05.xlsx&amp;sheet=U0&amp;row=2932&amp;col=7&amp;number=0.0115&amp;sourceID=14","0.0115")</f>
        <v>0.0115</v>
      </c>
    </row>
    <row r="2933" spans="1:7">
      <c r="A2933" s="3"/>
      <c r="B2933" s="3"/>
      <c r="C2933" s="3"/>
      <c r="D2933" s="3"/>
      <c r="E2933" s="3">
        <v>10</v>
      </c>
      <c r="F2933" s="4" t="str">
        <f>HYPERLINK("http://141.218.60.56/~jnz1568/getInfo.php?workbook=12_05.xlsx&amp;sheet=U0&amp;row=2933&amp;col=6&amp;number=3.9&amp;sourceID=14","3.9")</f>
        <v>3.9</v>
      </c>
      <c r="G2933" s="4" t="str">
        <f>HYPERLINK("http://141.218.60.56/~jnz1568/getInfo.php?workbook=12_05.xlsx&amp;sheet=U0&amp;row=2933&amp;col=7&amp;number=0.0115&amp;sourceID=14","0.0115")</f>
        <v>0.0115</v>
      </c>
    </row>
    <row r="2934" spans="1:7">
      <c r="A2934" s="3"/>
      <c r="B2934" s="3"/>
      <c r="C2934" s="3"/>
      <c r="D2934" s="3"/>
      <c r="E2934" s="3">
        <v>11</v>
      </c>
      <c r="F2934" s="4" t="str">
        <f>HYPERLINK("http://141.218.60.56/~jnz1568/getInfo.php?workbook=12_05.xlsx&amp;sheet=U0&amp;row=2934&amp;col=6&amp;number=4&amp;sourceID=14","4")</f>
        <v>4</v>
      </c>
      <c r="G2934" s="4" t="str">
        <f>HYPERLINK("http://141.218.60.56/~jnz1568/getInfo.php?workbook=12_05.xlsx&amp;sheet=U0&amp;row=2934&amp;col=7&amp;number=0.0115&amp;sourceID=14","0.0115")</f>
        <v>0.0115</v>
      </c>
    </row>
    <row r="2935" spans="1:7">
      <c r="A2935" s="3"/>
      <c r="B2935" s="3"/>
      <c r="C2935" s="3"/>
      <c r="D2935" s="3"/>
      <c r="E2935" s="3">
        <v>12</v>
      </c>
      <c r="F2935" s="4" t="str">
        <f>HYPERLINK("http://141.218.60.56/~jnz1568/getInfo.php?workbook=12_05.xlsx&amp;sheet=U0&amp;row=2935&amp;col=6&amp;number=4.1&amp;sourceID=14","4.1")</f>
        <v>4.1</v>
      </c>
      <c r="G2935" s="4" t="str">
        <f>HYPERLINK("http://141.218.60.56/~jnz1568/getInfo.php?workbook=12_05.xlsx&amp;sheet=U0&amp;row=2935&amp;col=7&amp;number=0.0114&amp;sourceID=14","0.0114")</f>
        <v>0.0114</v>
      </c>
    </row>
    <row r="2936" spans="1:7">
      <c r="A2936" s="3"/>
      <c r="B2936" s="3"/>
      <c r="C2936" s="3"/>
      <c r="D2936" s="3"/>
      <c r="E2936" s="3">
        <v>13</v>
      </c>
      <c r="F2936" s="4" t="str">
        <f>HYPERLINK("http://141.218.60.56/~jnz1568/getInfo.php?workbook=12_05.xlsx&amp;sheet=U0&amp;row=2936&amp;col=6&amp;number=4.2&amp;sourceID=14","4.2")</f>
        <v>4.2</v>
      </c>
      <c r="G2936" s="4" t="str">
        <f>HYPERLINK("http://141.218.60.56/~jnz1568/getInfo.php?workbook=12_05.xlsx&amp;sheet=U0&amp;row=2936&amp;col=7&amp;number=0.0114&amp;sourceID=14","0.0114")</f>
        <v>0.0114</v>
      </c>
    </row>
    <row r="2937" spans="1:7">
      <c r="A2937" s="3"/>
      <c r="B2937" s="3"/>
      <c r="C2937" s="3"/>
      <c r="D2937" s="3"/>
      <c r="E2937" s="3">
        <v>14</v>
      </c>
      <c r="F2937" s="4" t="str">
        <f>HYPERLINK("http://141.218.60.56/~jnz1568/getInfo.php?workbook=12_05.xlsx&amp;sheet=U0&amp;row=2937&amp;col=6&amp;number=4.3&amp;sourceID=14","4.3")</f>
        <v>4.3</v>
      </c>
      <c r="G2937" s="4" t="str">
        <f>HYPERLINK("http://141.218.60.56/~jnz1568/getInfo.php?workbook=12_05.xlsx&amp;sheet=U0&amp;row=2937&amp;col=7&amp;number=0.0114&amp;sourceID=14","0.0114")</f>
        <v>0.0114</v>
      </c>
    </row>
    <row r="2938" spans="1:7">
      <c r="A2938" s="3"/>
      <c r="B2938" s="3"/>
      <c r="C2938" s="3"/>
      <c r="D2938" s="3"/>
      <c r="E2938" s="3">
        <v>15</v>
      </c>
      <c r="F2938" s="4" t="str">
        <f>HYPERLINK("http://141.218.60.56/~jnz1568/getInfo.php?workbook=12_05.xlsx&amp;sheet=U0&amp;row=2938&amp;col=6&amp;number=4.4&amp;sourceID=14","4.4")</f>
        <v>4.4</v>
      </c>
      <c r="G2938" s="4" t="str">
        <f>HYPERLINK("http://141.218.60.56/~jnz1568/getInfo.php?workbook=12_05.xlsx&amp;sheet=U0&amp;row=2938&amp;col=7&amp;number=0.0113&amp;sourceID=14","0.0113")</f>
        <v>0.0113</v>
      </c>
    </row>
    <row r="2939" spans="1:7">
      <c r="A2939" s="3"/>
      <c r="B2939" s="3"/>
      <c r="C2939" s="3"/>
      <c r="D2939" s="3"/>
      <c r="E2939" s="3">
        <v>16</v>
      </c>
      <c r="F2939" s="4" t="str">
        <f>HYPERLINK("http://141.218.60.56/~jnz1568/getInfo.php?workbook=12_05.xlsx&amp;sheet=U0&amp;row=2939&amp;col=6&amp;number=4.5&amp;sourceID=14","4.5")</f>
        <v>4.5</v>
      </c>
      <c r="G2939" s="4" t="str">
        <f>HYPERLINK("http://141.218.60.56/~jnz1568/getInfo.php?workbook=12_05.xlsx&amp;sheet=U0&amp;row=2939&amp;col=7&amp;number=0.0113&amp;sourceID=14","0.0113")</f>
        <v>0.0113</v>
      </c>
    </row>
    <row r="2940" spans="1:7">
      <c r="A2940" s="3"/>
      <c r="B2940" s="3"/>
      <c r="C2940" s="3"/>
      <c r="D2940" s="3"/>
      <c r="E2940" s="3">
        <v>17</v>
      </c>
      <c r="F2940" s="4" t="str">
        <f>HYPERLINK("http://141.218.60.56/~jnz1568/getInfo.php?workbook=12_05.xlsx&amp;sheet=U0&amp;row=2940&amp;col=6&amp;number=4.6&amp;sourceID=14","4.6")</f>
        <v>4.6</v>
      </c>
      <c r="G2940" s="4" t="str">
        <f>HYPERLINK("http://141.218.60.56/~jnz1568/getInfo.php?workbook=12_05.xlsx&amp;sheet=U0&amp;row=2940&amp;col=7&amp;number=0.0112&amp;sourceID=14","0.0112")</f>
        <v>0.0112</v>
      </c>
    </row>
    <row r="2941" spans="1:7">
      <c r="A2941" s="3"/>
      <c r="B2941" s="3"/>
      <c r="C2941" s="3"/>
      <c r="D2941" s="3"/>
      <c r="E2941" s="3">
        <v>18</v>
      </c>
      <c r="F2941" s="4" t="str">
        <f>HYPERLINK("http://141.218.60.56/~jnz1568/getInfo.php?workbook=12_05.xlsx&amp;sheet=U0&amp;row=2941&amp;col=6&amp;number=4.7&amp;sourceID=14","4.7")</f>
        <v>4.7</v>
      </c>
      <c r="G2941" s="4" t="str">
        <f>HYPERLINK("http://141.218.60.56/~jnz1568/getInfo.php?workbook=12_05.xlsx&amp;sheet=U0&amp;row=2941&amp;col=7&amp;number=0.0111&amp;sourceID=14","0.0111")</f>
        <v>0.0111</v>
      </c>
    </row>
    <row r="2942" spans="1:7">
      <c r="A2942" s="3"/>
      <c r="B2942" s="3"/>
      <c r="C2942" s="3"/>
      <c r="D2942" s="3"/>
      <c r="E2942" s="3">
        <v>19</v>
      </c>
      <c r="F2942" s="4" t="str">
        <f>HYPERLINK("http://141.218.60.56/~jnz1568/getInfo.php?workbook=12_05.xlsx&amp;sheet=U0&amp;row=2942&amp;col=6&amp;number=4.8&amp;sourceID=14","4.8")</f>
        <v>4.8</v>
      </c>
      <c r="G2942" s="4" t="str">
        <f>HYPERLINK("http://141.218.60.56/~jnz1568/getInfo.php?workbook=12_05.xlsx&amp;sheet=U0&amp;row=2942&amp;col=7&amp;number=0.011&amp;sourceID=14","0.011")</f>
        <v>0.011</v>
      </c>
    </row>
    <row r="2943" spans="1:7">
      <c r="A2943" s="3"/>
      <c r="B2943" s="3"/>
      <c r="C2943" s="3"/>
      <c r="D2943" s="3"/>
      <c r="E2943" s="3">
        <v>20</v>
      </c>
      <c r="F2943" s="4" t="str">
        <f>HYPERLINK("http://141.218.60.56/~jnz1568/getInfo.php?workbook=12_05.xlsx&amp;sheet=U0&amp;row=2943&amp;col=6&amp;number=4.9&amp;sourceID=14","4.9")</f>
        <v>4.9</v>
      </c>
      <c r="G2943" s="4" t="str">
        <f>HYPERLINK("http://141.218.60.56/~jnz1568/getInfo.php?workbook=12_05.xlsx&amp;sheet=U0&amp;row=2943&amp;col=7&amp;number=0.0108&amp;sourceID=14","0.0108")</f>
        <v>0.0108</v>
      </c>
    </row>
    <row r="2944" spans="1:7">
      <c r="A2944" s="3">
        <v>12</v>
      </c>
      <c r="B2944" s="3">
        <v>5</v>
      </c>
      <c r="C2944" s="3">
        <v>1</v>
      </c>
      <c r="D2944" s="3">
        <v>109</v>
      </c>
      <c r="E2944" s="3">
        <v>1</v>
      </c>
      <c r="F2944" s="4" t="str">
        <f>HYPERLINK("http://141.218.60.56/~jnz1568/getInfo.php?workbook=12_05.xlsx&amp;sheet=U0&amp;row=2944&amp;col=6&amp;number=3&amp;sourceID=14","3")</f>
        <v>3</v>
      </c>
      <c r="G2944" s="4" t="str">
        <f>HYPERLINK("http://141.218.60.56/~jnz1568/getInfo.php?workbook=12_05.xlsx&amp;sheet=U0&amp;row=2944&amp;col=7&amp;number=0.0141&amp;sourceID=14","0.0141")</f>
        <v>0.0141</v>
      </c>
    </row>
    <row r="2945" spans="1:7">
      <c r="A2945" s="3"/>
      <c r="B2945" s="3"/>
      <c r="C2945" s="3"/>
      <c r="D2945" s="3"/>
      <c r="E2945" s="3">
        <v>2</v>
      </c>
      <c r="F2945" s="4" t="str">
        <f>HYPERLINK("http://141.218.60.56/~jnz1568/getInfo.php?workbook=12_05.xlsx&amp;sheet=U0&amp;row=2945&amp;col=6&amp;number=3.1&amp;sourceID=14","3.1")</f>
        <v>3.1</v>
      </c>
      <c r="G2945" s="4" t="str">
        <f>HYPERLINK("http://141.218.60.56/~jnz1568/getInfo.php?workbook=12_05.xlsx&amp;sheet=U0&amp;row=2945&amp;col=7&amp;number=0.0141&amp;sourceID=14","0.0141")</f>
        <v>0.0141</v>
      </c>
    </row>
    <row r="2946" spans="1:7">
      <c r="A2946" s="3"/>
      <c r="B2946" s="3"/>
      <c r="C2946" s="3"/>
      <c r="D2946" s="3"/>
      <c r="E2946" s="3">
        <v>3</v>
      </c>
      <c r="F2946" s="4" t="str">
        <f>HYPERLINK("http://141.218.60.56/~jnz1568/getInfo.php?workbook=12_05.xlsx&amp;sheet=U0&amp;row=2946&amp;col=6&amp;number=3.2&amp;sourceID=14","3.2")</f>
        <v>3.2</v>
      </c>
      <c r="G2946" s="4" t="str">
        <f>HYPERLINK("http://141.218.60.56/~jnz1568/getInfo.php?workbook=12_05.xlsx&amp;sheet=U0&amp;row=2946&amp;col=7&amp;number=0.0141&amp;sourceID=14","0.0141")</f>
        <v>0.0141</v>
      </c>
    </row>
    <row r="2947" spans="1:7">
      <c r="A2947" s="3"/>
      <c r="B2947" s="3"/>
      <c r="C2947" s="3"/>
      <c r="D2947" s="3"/>
      <c r="E2947" s="3">
        <v>4</v>
      </c>
      <c r="F2947" s="4" t="str">
        <f>HYPERLINK("http://141.218.60.56/~jnz1568/getInfo.php?workbook=12_05.xlsx&amp;sheet=U0&amp;row=2947&amp;col=6&amp;number=3.3&amp;sourceID=14","3.3")</f>
        <v>3.3</v>
      </c>
      <c r="G2947" s="4" t="str">
        <f>HYPERLINK("http://141.218.60.56/~jnz1568/getInfo.php?workbook=12_05.xlsx&amp;sheet=U0&amp;row=2947&amp;col=7&amp;number=0.0141&amp;sourceID=14","0.0141")</f>
        <v>0.0141</v>
      </c>
    </row>
    <row r="2948" spans="1:7">
      <c r="A2948" s="3"/>
      <c r="B2948" s="3"/>
      <c r="C2948" s="3"/>
      <c r="D2948" s="3"/>
      <c r="E2948" s="3">
        <v>5</v>
      </c>
      <c r="F2948" s="4" t="str">
        <f>HYPERLINK("http://141.218.60.56/~jnz1568/getInfo.php?workbook=12_05.xlsx&amp;sheet=U0&amp;row=2948&amp;col=6&amp;number=3.4&amp;sourceID=14","3.4")</f>
        <v>3.4</v>
      </c>
      <c r="G2948" s="4" t="str">
        <f>HYPERLINK("http://141.218.60.56/~jnz1568/getInfo.php?workbook=12_05.xlsx&amp;sheet=U0&amp;row=2948&amp;col=7&amp;number=0.0141&amp;sourceID=14","0.0141")</f>
        <v>0.0141</v>
      </c>
    </row>
    <row r="2949" spans="1:7">
      <c r="A2949" s="3"/>
      <c r="B2949" s="3"/>
      <c r="C2949" s="3"/>
      <c r="D2949" s="3"/>
      <c r="E2949" s="3">
        <v>6</v>
      </c>
      <c r="F2949" s="4" t="str">
        <f>HYPERLINK("http://141.218.60.56/~jnz1568/getInfo.php?workbook=12_05.xlsx&amp;sheet=U0&amp;row=2949&amp;col=6&amp;number=3.5&amp;sourceID=14","3.5")</f>
        <v>3.5</v>
      </c>
      <c r="G2949" s="4" t="str">
        <f>HYPERLINK("http://141.218.60.56/~jnz1568/getInfo.php?workbook=12_05.xlsx&amp;sheet=U0&amp;row=2949&amp;col=7&amp;number=0.0141&amp;sourceID=14","0.0141")</f>
        <v>0.0141</v>
      </c>
    </row>
    <row r="2950" spans="1:7">
      <c r="A2950" s="3"/>
      <c r="B2950" s="3"/>
      <c r="C2950" s="3"/>
      <c r="D2950" s="3"/>
      <c r="E2950" s="3">
        <v>7</v>
      </c>
      <c r="F2950" s="4" t="str">
        <f>HYPERLINK("http://141.218.60.56/~jnz1568/getInfo.php?workbook=12_05.xlsx&amp;sheet=U0&amp;row=2950&amp;col=6&amp;number=3.6&amp;sourceID=14","3.6")</f>
        <v>3.6</v>
      </c>
      <c r="G2950" s="4" t="str">
        <f>HYPERLINK("http://141.218.60.56/~jnz1568/getInfo.php?workbook=12_05.xlsx&amp;sheet=U0&amp;row=2950&amp;col=7&amp;number=0.0141&amp;sourceID=14","0.0141")</f>
        <v>0.0141</v>
      </c>
    </row>
    <row r="2951" spans="1:7">
      <c r="A2951" s="3"/>
      <c r="B2951" s="3"/>
      <c r="C2951" s="3"/>
      <c r="D2951" s="3"/>
      <c r="E2951" s="3">
        <v>8</v>
      </c>
      <c r="F2951" s="4" t="str">
        <f>HYPERLINK("http://141.218.60.56/~jnz1568/getInfo.php?workbook=12_05.xlsx&amp;sheet=U0&amp;row=2951&amp;col=6&amp;number=3.7&amp;sourceID=14","3.7")</f>
        <v>3.7</v>
      </c>
      <c r="G2951" s="4" t="str">
        <f>HYPERLINK("http://141.218.60.56/~jnz1568/getInfo.php?workbook=12_05.xlsx&amp;sheet=U0&amp;row=2951&amp;col=7&amp;number=0.0141&amp;sourceID=14","0.0141")</f>
        <v>0.0141</v>
      </c>
    </row>
    <row r="2952" spans="1:7">
      <c r="A2952" s="3"/>
      <c r="B2952" s="3"/>
      <c r="C2952" s="3"/>
      <c r="D2952" s="3"/>
      <c r="E2952" s="3">
        <v>9</v>
      </c>
      <c r="F2952" s="4" t="str">
        <f>HYPERLINK("http://141.218.60.56/~jnz1568/getInfo.php?workbook=12_05.xlsx&amp;sheet=U0&amp;row=2952&amp;col=6&amp;number=3.8&amp;sourceID=14","3.8")</f>
        <v>3.8</v>
      </c>
      <c r="G2952" s="4" t="str">
        <f>HYPERLINK("http://141.218.60.56/~jnz1568/getInfo.php?workbook=12_05.xlsx&amp;sheet=U0&amp;row=2952&amp;col=7&amp;number=0.0142&amp;sourceID=14","0.0142")</f>
        <v>0.0142</v>
      </c>
    </row>
    <row r="2953" spans="1:7">
      <c r="A2953" s="3"/>
      <c r="B2953" s="3"/>
      <c r="C2953" s="3"/>
      <c r="D2953" s="3"/>
      <c r="E2953" s="3">
        <v>10</v>
      </c>
      <c r="F2953" s="4" t="str">
        <f>HYPERLINK("http://141.218.60.56/~jnz1568/getInfo.php?workbook=12_05.xlsx&amp;sheet=U0&amp;row=2953&amp;col=6&amp;number=3.9&amp;sourceID=14","3.9")</f>
        <v>3.9</v>
      </c>
      <c r="G2953" s="4" t="str">
        <f>HYPERLINK("http://141.218.60.56/~jnz1568/getInfo.php?workbook=12_05.xlsx&amp;sheet=U0&amp;row=2953&amp;col=7&amp;number=0.0142&amp;sourceID=14","0.0142")</f>
        <v>0.0142</v>
      </c>
    </row>
    <row r="2954" spans="1:7">
      <c r="A2954" s="3"/>
      <c r="B2954" s="3"/>
      <c r="C2954" s="3"/>
      <c r="D2954" s="3"/>
      <c r="E2954" s="3">
        <v>11</v>
      </c>
      <c r="F2954" s="4" t="str">
        <f>HYPERLINK("http://141.218.60.56/~jnz1568/getInfo.php?workbook=12_05.xlsx&amp;sheet=U0&amp;row=2954&amp;col=6&amp;number=4&amp;sourceID=14","4")</f>
        <v>4</v>
      </c>
      <c r="G2954" s="4" t="str">
        <f>HYPERLINK("http://141.218.60.56/~jnz1568/getInfo.php?workbook=12_05.xlsx&amp;sheet=U0&amp;row=2954&amp;col=7&amp;number=0.0142&amp;sourceID=14","0.0142")</f>
        <v>0.0142</v>
      </c>
    </row>
    <row r="2955" spans="1:7">
      <c r="A2955" s="3"/>
      <c r="B2955" s="3"/>
      <c r="C2955" s="3"/>
      <c r="D2955" s="3"/>
      <c r="E2955" s="3">
        <v>12</v>
      </c>
      <c r="F2955" s="4" t="str">
        <f>HYPERLINK("http://141.218.60.56/~jnz1568/getInfo.php?workbook=12_05.xlsx&amp;sheet=U0&amp;row=2955&amp;col=6&amp;number=4.1&amp;sourceID=14","4.1")</f>
        <v>4.1</v>
      </c>
      <c r="G2955" s="4" t="str">
        <f>HYPERLINK("http://141.218.60.56/~jnz1568/getInfo.php?workbook=12_05.xlsx&amp;sheet=U0&amp;row=2955&amp;col=7&amp;number=0.0142&amp;sourceID=14","0.0142")</f>
        <v>0.0142</v>
      </c>
    </row>
    <row r="2956" spans="1:7">
      <c r="A2956" s="3"/>
      <c r="B2956" s="3"/>
      <c r="C2956" s="3"/>
      <c r="D2956" s="3"/>
      <c r="E2956" s="3">
        <v>13</v>
      </c>
      <c r="F2956" s="4" t="str">
        <f>HYPERLINK("http://141.218.60.56/~jnz1568/getInfo.php?workbook=12_05.xlsx&amp;sheet=U0&amp;row=2956&amp;col=6&amp;number=4.2&amp;sourceID=14","4.2")</f>
        <v>4.2</v>
      </c>
      <c r="G2956" s="4" t="str">
        <f>HYPERLINK("http://141.218.60.56/~jnz1568/getInfo.php?workbook=12_05.xlsx&amp;sheet=U0&amp;row=2956&amp;col=7&amp;number=0.0142&amp;sourceID=14","0.0142")</f>
        <v>0.0142</v>
      </c>
    </row>
    <row r="2957" spans="1:7">
      <c r="A2957" s="3"/>
      <c r="B2957" s="3"/>
      <c r="C2957" s="3"/>
      <c r="D2957" s="3"/>
      <c r="E2957" s="3">
        <v>14</v>
      </c>
      <c r="F2957" s="4" t="str">
        <f>HYPERLINK("http://141.218.60.56/~jnz1568/getInfo.php?workbook=12_05.xlsx&amp;sheet=U0&amp;row=2957&amp;col=6&amp;number=4.3&amp;sourceID=14","4.3")</f>
        <v>4.3</v>
      </c>
      <c r="G2957" s="4" t="str">
        <f>HYPERLINK("http://141.218.60.56/~jnz1568/getInfo.php?workbook=12_05.xlsx&amp;sheet=U0&amp;row=2957&amp;col=7&amp;number=0.0143&amp;sourceID=14","0.0143")</f>
        <v>0.0143</v>
      </c>
    </row>
    <row r="2958" spans="1:7">
      <c r="A2958" s="3"/>
      <c r="B2958" s="3"/>
      <c r="C2958" s="3"/>
      <c r="D2958" s="3"/>
      <c r="E2958" s="3">
        <v>15</v>
      </c>
      <c r="F2958" s="4" t="str">
        <f>HYPERLINK("http://141.218.60.56/~jnz1568/getInfo.php?workbook=12_05.xlsx&amp;sheet=U0&amp;row=2958&amp;col=6&amp;number=4.4&amp;sourceID=14","4.4")</f>
        <v>4.4</v>
      </c>
      <c r="G2958" s="4" t="str">
        <f>HYPERLINK("http://141.218.60.56/~jnz1568/getInfo.php?workbook=12_05.xlsx&amp;sheet=U0&amp;row=2958&amp;col=7&amp;number=0.0143&amp;sourceID=14","0.0143")</f>
        <v>0.0143</v>
      </c>
    </row>
    <row r="2959" spans="1:7">
      <c r="A2959" s="3"/>
      <c r="B2959" s="3"/>
      <c r="C2959" s="3"/>
      <c r="D2959" s="3"/>
      <c r="E2959" s="3">
        <v>16</v>
      </c>
      <c r="F2959" s="4" t="str">
        <f>HYPERLINK("http://141.218.60.56/~jnz1568/getInfo.php?workbook=12_05.xlsx&amp;sheet=U0&amp;row=2959&amp;col=6&amp;number=4.5&amp;sourceID=14","4.5")</f>
        <v>4.5</v>
      </c>
      <c r="G2959" s="4" t="str">
        <f>HYPERLINK("http://141.218.60.56/~jnz1568/getInfo.php?workbook=12_05.xlsx&amp;sheet=U0&amp;row=2959&amp;col=7&amp;number=0.0144&amp;sourceID=14","0.0144")</f>
        <v>0.0144</v>
      </c>
    </row>
    <row r="2960" spans="1:7">
      <c r="A2960" s="3"/>
      <c r="B2960" s="3"/>
      <c r="C2960" s="3"/>
      <c r="D2960" s="3"/>
      <c r="E2960" s="3">
        <v>17</v>
      </c>
      <c r="F2960" s="4" t="str">
        <f>HYPERLINK("http://141.218.60.56/~jnz1568/getInfo.php?workbook=12_05.xlsx&amp;sheet=U0&amp;row=2960&amp;col=6&amp;number=4.6&amp;sourceID=14","4.6")</f>
        <v>4.6</v>
      </c>
      <c r="G2960" s="4" t="str">
        <f>HYPERLINK("http://141.218.60.56/~jnz1568/getInfo.php?workbook=12_05.xlsx&amp;sheet=U0&amp;row=2960&amp;col=7&amp;number=0.0145&amp;sourceID=14","0.0145")</f>
        <v>0.0145</v>
      </c>
    </row>
    <row r="2961" spans="1:7">
      <c r="A2961" s="3"/>
      <c r="B2961" s="3"/>
      <c r="C2961" s="3"/>
      <c r="D2961" s="3"/>
      <c r="E2961" s="3">
        <v>18</v>
      </c>
      <c r="F2961" s="4" t="str">
        <f>HYPERLINK("http://141.218.60.56/~jnz1568/getInfo.php?workbook=12_05.xlsx&amp;sheet=U0&amp;row=2961&amp;col=6&amp;number=4.7&amp;sourceID=14","4.7")</f>
        <v>4.7</v>
      </c>
      <c r="G2961" s="4" t="str">
        <f>HYPERLINK("http://141.218.60.56/~jnz1568/getInfo.php?workbook=12_05.xlsx&amp;sheet=U0&amp;row=2961&amp;col=7&amp;number=0.0146&amp;sourceID=14","0.0146")</f>
        <v>0.0146</v>
      </c>
    </row>
    <row r="2962" spans="1:7">
      <c r="A2962" s="3"/>
      <c r="B2962" s="3"/>
      <c r="C2962" s="3"/>
      <c r="D2962" s="3"/>
      <c r="E2962" s="3">
        <v>19</v>
      </c>
      <c r="F2962" s="4" t="str">
        <f>HYPERLINK("http://141.218.60.56/~jnz1568/getInfo.php?workbook=12_05.xlsx&amp;sheet=U0&amp;row=2962&amp;col=6&amp;number=4.8&amp;sourceID=14","4.8")</f>
        <v>4.8</v>
      </c>
      <c r="G2962" s="4" t="str">
        <f>HYPERLINK("http://141.218.60.56/~jnz1568/getInfo.php?workbook=12_05.xlsx&amp;sheet=U0&amp;row=2962&amp;col=7&amp;number=0.0147&amp;sourceID=14","0.0147")</f>
        <v>0.0147</v>
      </c>
    </row>
    <row r="2963" spans="1:7">
      <c r="A2963" s="3"/>
      <c r="B2963" s="3"/>
      <c r="C2963" s="3"/>
      <c r="D2963" s="3"/>
      <c r="E2963" s="3">
        <v>20</v>
      </c>
      <c r="F2963" s="4" t="str">
        <f>HYPERLINK("http://141.218.60.56/~jnz1568/getInfo.php?workbook=12_05.xlsx&amp;sheet=U0&amp;row=2963&amp;col=6&amp;number=4.9&amp;sourceID=14","4.9")</f>
        <v>4.9</v>
      </c>
      <c r="G2963" s="4" t="str">
        <f>HYPERLINK("http://141.218.60.56/~jnz1568/getInfo.php?workbook=12_05.xlsx&amp;sheet=U0&amp;row=2963&amp;col=7&amp;number=0.0148&amp;sourceID=14","0.0148")</f>
        <v>0.0148</v>
      </c>
    </row>
    <row r="2964" spans="1:7">
      <c r="A2964" s="3">
        <v>12</v>
      </c>
      <c r="B2964" s="3">
        <v>5</v>
      </c>
      <c r="C2964" s="3">
        <v>1</v>
      </c>
      <c r="D2964" s="3">
        <v>110</v>
      </c>
      <c r="E2964" s="3">
        <v>1</v>
      </c>
      <c r="F2964" s="4" t="str">
        <f>HYPERLINK("http://141.218.60.56/~jnz1568/getInfo.php?workbook=12_05.xlsx&amp;sheet=U0&amp;row=2964&amp;col=6&amp;number=3&amp;sourceID=14","3")</f>
        <v>3</v>
      </c>
      <c r="G2964" s="4" t="str">
        <f>HYPERLINK("http://141.218.60.56/~jnz1568/getInfo.php?workbook=12_05.xlsx&amp;sheet=U0&amp;row=2964&amp;col=7&amp;number=0.00666&amp;sourceID=14","0.00666")</f>
        <v>0.00666</v>
      </c>
    </row>
    <row r="2965" spans="1:7">
      <c r="A2965" s="3"/>
      <c r="B2965" s="3"/>
      <c r="C2965" s="3"/>
      <c r="D2965" s="3"/>
      <c r="E2965" s="3">
        <v>2</v>
      </c>
      <c r="F2965" s="4" t="str">
        <f>HYPERLINK("http://141.218.60.56/~jnz1568/getInfo.php?workbook=12_05.xlsx&amp;sheet=U0&amp;row=2965&amp;col=6&amp;number=3.1&amp;sourceID=14","3.1")</f>
        <v>3.1</v>
      </c>
      <c r="G2965" s="4" t="str">
        <f>HYPERLINK("http://141.218.60.56/~jnz1568/getInfo.php?workbook=12_05.xlsx&amp;sheet=U0&amp;row=2965&amp;col=7&amp;number=0.00666&amp;sourceID=14","0.00666")</f>
        <v>0.00666</v>
      </c>
    </row>
    <row r="2966" spans="1:7">
      <c r="A2966" s="3"/>
      <c r="B2966" s="3"/>
      <c r="C2966" s="3"/>
      <c r="D2966" s="3"/>
      <c r="E2966" s="3">
        <v>3</v>
      </c>
      <c r="F2966" s="4" t="str">
        <f>HYPERLINK("http://141.218.60.56/~jnz1568/getInfo.php?workbook=12_05.xlsx&amp;sheet=U0&amp;row=2966&amp;col=6&amp;number=3.2&amp;sourceID=14","3.2")</f>
        <v>3.2</v>
      </c>
      <c r="G2966" s="4" t="str">
        <f>HYPERLINK("http://141.218.60.56/~jnz1568/getInfo.php?workbook=12_05.xlsx&amp;sheet=U0&amp;row=2966&amp;col=7&amp;number=0.00666&amp;sourceID=14","0.00666")</f>
        <v>0.00666</v>
      </c>
    </row>
    <row r="2967" spans="1:7">
      <c r="A2967" s="3"/>
      <c r="B2967" s="3"/>
      <c r="C2967" s="3"/>
      <c r="D2967" s="3"/>
      <c r="E2967" s="3">
        <v>4</v>
      </c>
      <c r="F2967" s="4" t="str">
        <f>HYPERLINK("http://141.218.60.56/~jnz1568/getInfo.php?workbook=12_05.xlsx&amp;sheet=U0&amp;row=2967&amp;col=6&amp;number=3.3&amp;sourceID=14","3.3")</f>
        <v>3.3</v>
      </c>
      <c r="G2967" s="4" t="str">
        <f>HYPERLINK("http://141.218.60.56/~jnz1568/getInfo.php?workbook=12_05.xlsx&amp;sheet=U0&amp;row=2967&amp;col=7&amp;number=0.00665&amp;sourceID=14","0.00665")</f>
        <v>0.00665</v>
      </c>
    </row>
    <row r="2968" spans="1:7">
      <c r="A2968" s="3"/>
      <c r="B2968" s="3"/>
      <c r="C2968" s="3"/>
      <c r="D2968" s="3"/>
      <c r="E2968" s="3">
        <v>5</v>
      </c>
      <c r="F2968" s="4" t="str">
        <f>HYPERLINK("http://141.218.60.56/~jnz1568/getInfo.php?workbook=12_05.xlsx&amp;sheet=U0&amp;row=2968&amp;col=6&amp;number=3.4&amp;sourceID=14","3.4")</f>
        <v>3.4</v>
      </c>
      <c r="G2968" s="4" t="str">
        <f>HYPERLINK("http://141.218.60.56/~jnz1568/getInfo.php?workbook=12_05.xlsx&amp;sheet=U0&amp;row=2968&amp;col=7&amp;number=0.00665&amp;sourceID=14","0.00665")</f>
        <v>0.00665</v>
      </c>
    </row>
    <row r="2969" spans="1:7">
      <c r="A2969" s="3"/>
      <c r="B2969" s="3"/>
      <c r="C2969" s="3"/>
      <c r="D2969" s="3"/>
      <c r="E2969" s="3">
        <v>6</v>
      </c>
      <c r="F2969" s="4" t="str">
        <f>HYPERLINK("http://141.218.60.56/~jnz1568/getInfo.php?workbook=12_05.xlsx&amp;sheet=U0&amp;row=2969&amp;col=6&amp;number=3.5&amp;sourceID=14","3.5")</f>
        <v>3.5</v>
      </c>
      <c r="G2969" s="4" t="str">
        <f>HYPERLINK("http://141.218.60.56/~jnz1568/getInfo.php?workbook=12_05.xlsx&amp;sheet=U0&amp;row=2969&amp;col=7&amp;number=0.00665&amp;sourceID=14","0.00665")</f>
        <v>0.00665</v>
      </c>
    </row>
    <row r="2970" spans="1:7">
      <c r="A2970" s="3"/>
      <c r="B2970" s="3"/>
      <c r="C2970" s="3"/>
      <c r="D2970" s="3"/>
      <c r="E2970" s="3">
        <v>7</v>
      </c>
      <c r="F2970" s="4" t="str">
        <f>HYPERLINK("http://141.218.60.56/~jnz1568/getInfo.php?workbook=12_05.xlsx&amp;sheet=U0&amp;row=2970&amp;col=6&amp;number=3.6&amp;sourceID=14","3.6")</f>
        <v>3.6</v>
      </c>
      <c r="G2970" s="4" t="str">
        <f>HYPERLINK("http://141.218.60.56/~jnz1568/getInfo.php?workbook=12_05.xlsx&amp;sheet=U0&amp;row=2970&amp;col=7&amp;number=0.00664&amp;sourceID=14","0.00664")</f>
        <v>0.00664</v>
      </c>
    </row>
    <row r="2971" spans="1:7">
      <c r="A2971" s="3"/>
      <c r="B2971" s="3"/>
      <c r="C2971" s="3"/>
      <c r="D2971" s="3"/>
      <c r="E2971" s="3">
        <v>8</v>
      </c>
      <c r="F2971" s="4" t="str">
        <f>HYPERLINK("http://141.218.60.56/~jnz1568/getInfo.php?workbook=12_05.xlsx&amp;sheet=U0&amp;row=2971&amp;col=6&amp;number=3.7&amp;sourceID=14","3.7")</f>
        <v>3.7</v>
      </c>
      <c r="G2971" s="4" t="str">
        <f>HYPERLINK("http://141.218.60.56/~jnz1568/getInfo.php?workbook=12_05.xlsx&amp;sheet=U0&amp;row=2971&amp;col=7&amp;number=0.00664&amp;sourceID=14","0.00664")</f>
        <v>0.00664</v>
      </c>
    </row>
    <row r="2972" spans="1:7">
      <c r="A2972" s="3"/>
      <c r="B2972" s="3"/>
      <c r="C2972" s="3"/>
      <c r="D2972" s="3"/>
      <c r="E2972" s="3">
        <v>9</v>
      </c>
      <c r="F2972" s="4" t="str">
        <f>HYPERLINK("http://141.218.60.56/~jnz1568/getInfo.php?workbook=12_05.xlsx&amp;sheet=U0&amp;row=2972&amp;col=6&amp;number=3.8&amp;sourceID=14","3.8")</f>
        <v>3.8</v>
      </c>
      <c r="G2972" s="4" t="str">
        <f>HYPERLINK("http://141.218.60.56/~jnz1568/getInfo.php?workbook=12_05.xlsx&amp;sheet=U0&amp;row=2972&amp;col=7&amp;number=0.00663&amp;sourceID=14","0.00663")</f>
        <v>0.00663</v>
      </c>
    </row>
    <row r="2973" spans="1:7">
      <c r="A2973" s="3"/>
      <c r="B2973" s="3"/>
      <c r="C2973" s="3"/>
      <c r="D2973" s="3"/>
      <c r="E2973" s="3">
        <v>10</v>
      </c>
      <c r="F2973" s="4" t="str">
        <f>HYPERLINK("http://141.218.60.56/~jnz1568/getInfo.php?workbook=12_05.xlsx&amp;sheet=U0&amp;row=2973&amp;col=6&amp;number=3.9&amp;sourceID=14","3.9")</f>
        <v>3.9</v>
      </c>
      <c r="G2973" s="4" t="str">
        <f>HYPERLINK("http://141.218.60.56/~jnz1568/getInfo.php?workbook=12_05.xlsx&amp;sheet=U0&amp;row=2973&amp;col=7&amp;number=0.00662&amp;sourceID=14","0.00662")</f>
        <v>0.00662</v>
      </c>
    </row>
    <row r="2974" spans="1:7">
      <c r="A2974" s="3"/>
      <c r="B2974" s="3"/>
      <c r="C2974" s="3"/>
      <c r="D2974" s="3"/>
      <c r="E2974" s="3">
        <v>11</v>
      </c>
      <c r="F2974" s="4" t="str">
        <f>HYPERLINK("http://141.218.60.56/~jnz1568/getInfo.php?workbook=12_05.xlsx&amp;sheet=U0&amp;row=2974&amp;col=6&amp;number=4&amp;sourceID=14","4")</f>
        <v>4</v>
      </c>
      <c r="G2974" s="4" t="str">
        <f>HYPERLINK("http://141.218.60.56/~jnz1568/getInfo.php?workbook=12_05.xlsx&amp;sheet=U0&amp;row=2974&amp;col=7&amp;number=0.00661&amp;sourceID=14","0.00661")</f>
        <v>0.00661</v>
      </c>
    </row>
    <row r="2975" spans="1:7">
      <c r="A2975" s="3"/>
      <c r="B2975" s="3"/>
      <c r="C2975" s="3"/>
      <c r="D2975" s="3"/>
      <c r="E2975" s="3">
        <v>12</v>
      </c>
      <c r="F2975" s="4" t="str">
        <f>HYPERLINK("http://141.218.60.56/~jnz1568/getInfo.php?workbook=12_05.xlsx&amp;sheet=U0&amp;row=2975&amp;col=6&amp;number=4.1&amp;sourceID=14","4.1")</f>
        <v>4.1</v>
      </c>
      <c r="G2975" s="4" t="str">
        <f>HYPERLINK("http://141.218.60.56/~jnz1568/getInfo.php?workbook=12_05.xlsx&amp;sheet=U0&amp;row=2975&amp;col=7&amp;number=0.00659&amp;sourceID=14","0.00659")</f>
        <v>0.00659</v>
      </c>
    </row>
    <row r="2976" spans="1:7">
      <c r="A2976" s="3"/>
      <c r="B2976" s="3"/>
      <c r="C2976" s="3"/>
      <c r="D2976" s="3"/>
      <c r="E2976" s="3">
        <v>13</v>
      </c>
      <c r="F2976" s="4" t="str">
        <f>HYPERLINK("http://141.218.60.56/~jnz1568/getInfo.php?workbook=12_05.xlsx&amp;sheet=U0&amp;row=2976&amp;col=6&amp;number=4.2&amp;sourceID=14","4.2")</f>
        <v>4.2</v>
      </c>
      <c r="G2976" s="4" t="str">
        <f>HYPERLINK("http://141.218.60.56/~jnz1568/getInfo.php?workbook=12_05.xlsx&amp;sheet=U0&amp;row=2976&amp;col=7&amp;number=0.00658&amp;sourceID=14","0.00658")</f>
        <v>0.00658</v>
      </c>
    </row>
    <row r="2977" spans="1:7">
      <c r="A2977" s="3"/>
      <c r="B2977" s="3"/>
      <c r="C2977" s="3"/>
      <c r="D2977" s="3"/>
      <c r="E2977" s="3">
        <v>14</v>
      </c>
      <c r="F2977" s="4" t="str">
        <f>HYPERLINK("http://141.218.60.56/~jnz1568/getInfo.php?workbook=12_05.xlsx&amp;sheet=U0&amp;row=2977&amp;col=6&amp;number=4.3&amp;sourceID=14","4.3")</f>
        <v>4.3</v>
      </c>
      <c r="G2977" s="4" t="str">
        <f>HYPERLINK("http://141.218.60.56/~jnz1568/getInfo.php?workbook=12_05.xlsx&amp;sheet=U0&amp;row=2977&amp;col=7&amp;number=0.00655&amp;sourceID=14","0.00655")</f>
        <v>0.00655</v>
      </c>
    </row>
    <row r="2978" spans="1:7">
      <c r="A2978" s="3"/>
      <c r="B2978" s="3"/>
      <c r="C2978" s="3"/>
      <c r="D2978" s="3"/>
      <c r="E2978" s="3">
        <v>15</v>
      </c>
      <c r="F2978" s="4" t="str">
        <f>HYPERLINK("http://141.218.60.56/~jnz1568/getInfo.php?workbook=12_05.xlsx&amp;sheet=U0&amp;row=2978&amp;col=6&amp;number=4.4&amp;sourceID=14","4.4")</f>
        <v>4.4</v>
      </c>
      <c r="G2978" s="4" t="str">
        <f>HYPERLINK("http://141.218.60.56/~jnz1568/getInfo.php?workbook=12_05.xlsx&amp;sheet=U0&amp;row=2978&amp;col=7&amp;number=0.00653&amp;sourceID=14","0.00653")</f>
        <v>0.00653</v>
      </c>
    </row>
    <row r="2979" spans="1:7">
      <c r="A2979" s="3"/>
      <c r="B2979" s="3"/>
      <c r="C2979" s="3"/>
      <c r="D2979" s="3"/>
      <c r="E2979" s="3">
        <v>16</v>
      </c>
      <c r="F2979" s="4" t="str">
        <f>HYPERLINK("http://141.218.60.56/~jnz1568/getInfo.php?workbook=12_05.xlsx&amp;sheet=U0&amp;row=2979&amp;col=6&amp;number=4.5&amp;sourceID=14","4.5")</f>
        <v>4.5</v>
      </c>
      <c r="G2979" s="4" t="str">
        <f>HYPERLINK("http://141.218.60.56/~jnz1568/getInfo.php?workbook=12_05.xlsx&amp;sheet=U0&amp;row=2979&amp;col=7&amp;number=0.00649&amp;sourceID=14","0.00649")</f>
        <v>0.00649</v>
      </c>
    </row>
    <row r="2980" spans="1:7">
      <c r="A2980" s="3"/>
      <c r="B2980" s="3"/>
      <c r="C2980" s="3"/>
      <c r="D2980" s="3"/>
      <c r="E2980" s="3">
        <v>17</v>
      </c>
      <c r="F2980" s="4" t="str">
        <f>HYPERLINK("http://141.218.60.56/~jnz1568/getInfo.php?workbook=12_05.xlsx&amp;sheet=U0&amp;row=2980&amp;col=6&amp;number=4.6&amp;sourceID=14","4.6")</f>
        <v>4.6</v>
      </c>
      <c r="G2980" s="4" t="str">
        <f>HYPERLINK("http://141.218.60.56/~jnz1568/getInfo.php?workbook=12_05.xlsx&amp;sheet=U0&amp;row=2980&amp;col=7&amp;number=0.00645&amp;sourceID=14","0.00645")</f>
        <v>0.00645</v>
      </c>
    </row>
    <row r="2981" spans="1:7">
      <c r="A2981" s="3"/>
      <c r="B2981" s="3"/>
      <c r="C2981" s="3"/>
      <c r="D2981" s="3"/>
      <c r="E2981" s="3">
        <v>18</v>
      </c>
      <c r="F2981" s="4" t="str">
        <f>HYPERLINK("http://141.218.60.56/~jnz1568/getInfo.php?workbook=12_05.xlsx&amp;sheet=U0&amp;row=2981&amp;col=6&amp;number=4.7&amp;sourceID=14","4.7")</f>
        <v>4.7</v>
      </c>
      <c r="G2981" s="4" t="str">
        <f>HYPERLINK("http://141.218.60.56/~jnz1568/getInfo.php?workbook=12_05.xlsx&amp;sheet=U0&amp;row=2981&amp;col=7&amp;number=0.00639&amp;sourceID=14","0.00639")</f>
        <v>0.00639</v>
      </c>
    </row>
    <row r="2982" spans="1:7">
      <c r="A2982" s="3"/>
      <c r="B2982" s="3"/>
      <c r="C2982" s="3"/>
      <c r="D2982" s="3"/>
      <c r="E2982" s="3">
        <v>19</v>
      </c>
      <c r="F2982" s="4" t="str">
        <f>HYPERLINK("http://141.218.60.56/~jnz1568/getInfo.php?workbook=12_05.xlsx&amp;sheet=U0&amp;row=2982&amp;col=6&amp;number=4.8&amp;sourceID=14","4.8")</f>
        <v>4.8</v>
      </c>
      <c r="G2982" s="4" t="str">
        <f>HYPERLINK("http://141.218.60.56/~jnz1568/getInfo.php?workbook=12_05.xlsx&amp;sheet=U0&amp;row=2982&amp;col=7&amp;number=0.00632&amp;sourceID=14","0.00632")</f>
        <v>0.00632</v>
      </c>
    </row>
    <row r="2983" spans="1:7">
      <c r="A2983" s="3"/>
      <c r="B2983" s="3"/>
      <c r="C2983" s="3"/>
      <c r="D2983" s="3"/>
      <c r="E2983" s="3">
        <v>20</v>
      </c>
      <c r="F2983" s="4" t="str">
        <f>HYPERLINK("http://141.218.60.56/~jnz1568/getInfo.php?workbook=12_05.xlsx&amp;sheet=U0&amp;row=2983&amp;col=6&amp;number=4.9&amp;sourceID=14","4.9")</f>
        <v>4.9</v>
      </c>
      <c r="G2983" s="4" t="str">
        <f>HYPERLINK("http://141.218.60.56/~jnz1568/getInfo.php?workbook=12_05.xlsx&amp;sheet=U0&amp;row=2983&amp;col=7&amp;number=0.00624&amp;sourceID=14","0.00624")</f>
        <v>0.00624</v>
      </c>
    </row>
    <row r="2984" spans="1:7">
      <c r="A2984" s="3">
        <v>12</v>
      </c>
      <c r="B2984" s="3">
        <v>5</v>
      </c>
      <c r="C2984" s="3">
        <v>1</v>
      </c>
      <c r="D2984" s="3">
        <v>111</v>
      </c>
      <c r="E2984" s="3">
        <v>1</v>
      </c>
      <c r="F2984" s="4" t="str">
        <f>HYPERLINK("http://141.218.60.56/~jnz1568/getInfo.php?workbook=12_05.xlsx&amp;sheet=U0&amp;row=2984&amp;col=6&amp;number=3&amp;sourceID=14","3")</f>
        <v>3</v>
      </c>
      <c r="G2984" s="4" t="str">
        <f>HYPERLINK("http://141.218.60.56/~jnz1568/getInfo.php?workbook=12_05.xlsx&amp;sheet=U0&amp;row=2984&amp;col=7&amp;number=0.0494&amp;sourceID=14","0.0494")</f>
        <v>0.0494</v>
      </c>
    </row>
    <row r="2985" spans="1:7">
      <c r="A2985" s="3"/>
      <c r="B2985" s="3"/>
      <c r="C2985" s="3"/>
      <c r="D2985" s="3"/>
      <c r="E2985" s="3">
        <v>2</v>
      </c>
      <c r="F2985" s="4" t="str">
        <f>HYPERLINK("http://141.218.60.56/~jnz1568/getInfo.php?workbook=12_05.xlsx&amp;sheet=U0&amp;row=2985&amp;col=6&amp;number=3.1&amp;sourceID=14","3.1")</f>
        <v>3.1</v>
      </c>
      <c r="G2985" s="4" t="str">
        <f>HYPERLINK("http://141.218.60.56/~jnz1568/getInfo.php?workbook=12_05.xlsx&amp;sheet=U0&amp;row=2985&amp;col=7&amp;number=0.0494&amp;sourceID=14","0.0494")</f>
        <v>0.0494</v>
      </c>
    </row>
    <row r="2986" spans="1:7">
      <c r="A2986" s="3"/>
      <c r="B2986" s="3"/>
      <c r="C2986" s="3"/>
      <c r="D2986" s="3"/>
      <c r="E2986" s="3">
        <v>3</v>
      </c>
      <c r="F2986" s="4" t="str">
        <f>HYPERLINK("http://141.218.60.56/~jnz1568/getInfo.php?workbook=12_05.xlsx&amp;sheet=U0&amp;row=2986&amp;col=6&amp;number=3.2&amp;sourceID=14","3.2")</f>
        <v>3.2</v>
      </c>
      <c r="G2986" s="4" t="str">
        <f>HYPERLINK("http://141.218.60.56/~jnz1568/getInfo.php?workbook=12_05.xlsx&amp;sheet=U0&amp;row=2986&amp;col=7&amp;number=0.0494&amp;sourceID=14","0.0494")</f>
        <v>0.0494</v>
      </c>
    </row>
    <row r="2987" spans="1:7">
      <c r="A2987" s="3"/>
      <c r="B2987" s="3"/>
      <c r="C2987" s="3"/>
      <c r="D2987" s="3"/>
      <c r="E2987" s="3">
        <v>4</v>
      </c>
      <c r="F2987" s="4" t="str">
        <f>HYPERLINK("http://141.218.60.56/~jnz1568/getInfo.php?workbook=12_05.xlsx&amp;sheet=U0&amp;row=2987&amp;col=6&amp;number=3.3&amp;sourceID=14","3.3")</f>
        <v>3.3</v>
      </c>
      <c r="G2987" s="4" t="str">
        <f>HYPERLINK("http://141.218.60.56/~jnz1568/getInfo.php?workbook=12_05.xlsx&amp;sheet=U0&amp;row=2987&amp;col=7&amp;number=0.0495&amp;sourceID=14","0.0495")</f>
        <v>0.0495</v>
      </c>
    </row>
    <row r="2988" spans="1:7">
      <c r="A2988" s="3"/>
      <c r="B2988" s="3"/>
      <c r="C2988" s="3"/>
      <c r="D2988" s="3"/>
      <c r="E2988" s="3">
        <v>5</v>
      </c>
      <c r="F2988" s="4" t="str">
        <f>HYPERLINK("http://141.218.60.56/~jnz1568/getInfo.php?workbook=12_05.xlsx&amp;sheet=U0&amp;row=2988&amp;col=6&amp;number=3.4&amp;sourceID=14","3.4")</f>
        <v>3.4</v>
      </c>
      <c r="G2988" s="4" t="str">
        <f>HYPERLINK("http://141.218.60.56/~jnz1568/getInfo.php?workbook=12_05.xlsx&amp;sheet=U0&amp;row=2988&amp;col=7&amp;number=0.0495&amp;sourceID=14","0.0495")</f>
        <v>0.0495</v>
      </c>
    </row>
    <row r="2989" spans="1:7">
      <c r="A2989" s="3"/>
      <c r="B2989" s="3"/>
      <c r="C2989" s="3"/>
      <c r="D2989" s="3"/>
      <c r="E2989" s="3">
        <v>6</v>
      </c>
      <c r="F2989" s="4" t="str">
        <f>HYPERLINK("http://141.218.60.56/~jnz1568/getInfo.php?workbook=12_05.xlsx&amp;sheet=U0&amp;row=2989&amp;col=6&amp;number=3.5&amp;sourceID=14","3.5")</f>
        <v>3.5</v>
      </c>
      <c r="G2989" s="4" t="str">
        <f>HYPERLINK("http://141.218.60.56/~jnz1568/getInfo.php?workbook=12_05.xlsx&amp;sheet=U0&amp;row=2989&amp;col=7&amp;number=0.0495&amp;sourceID=14","0.0495")</f>
        <v>0.0495</v>
      </c>
    </row>
    <row r="2990" spans="1:7">
      <c r="A2990" s="3"/>
      <c r="B2990" s="3"/>
      <c r="C2990" s="3"/>
      <c r="D2990" s="3"/>
      <c r="E2990" s="3">
        <v>7</v>
      </c>
      <c r="F2990" s="4" t="str">
        <f>HYPERLINK("http://141.218.60.56/~jnz1568/getInfo.php?workbook=12_05.xlsx&amp;sheet=U0&amp;row=2990&amp;col=6&amp;number=3.6&amp;sourceID=14","3.6")</f>
        <v>3.6</v>
      </c>
      <c r="G2990" s="4" t="str">
        <f>HYPERLINK("http://141.218.60.56/~jnz1568/getInfo.php?workbook=12_05.xlsx&amp;sheet=U0&amp;row=2990&amp;col=7&amp;number=0.0496&amp;sourceID=14","0.0496")</f>
        <v>0.0496</v>
      </c>
    </row>
    <row r="2991" spans="1:7">
      <c r="A2991" s="3"/>
      <c r="B2991" s="3"/>
      <c r="C2991" s="3"/>
      <c r="D2991" s="3"/>
      <c r="E2991" s="3">
        <v>8</v>
      </c>
      <c r="F2991" s="4" t="str">
        <f>HYPERLINK("http://141.218.60.56/~jnz1568/getInfo.php?workbook=12_05.xlsx&amp;sheet=U0&amp;row=2991&amp;col=6&amp;number=3.7&amp;sourceID=14","3.7")</f>
        <v>3.7</v>
      </c>
      <c r="G2991" s="4" t="str">
        <f>HYPERLINK("http://141.218.60.56/~jnz1568/getInfo.php?workbook=12_05.xlsx&amp;sheet=U0&amp;row=2991&amp;col=7&amp;number=0.0496&amp;sourceID=14","0.0496")</f>
        <v>0.0496</v>
      </c>
    </row>
    <row r="2992" spans="1:7">
      <c r="A2992" s="3"/>
      <c r="B2992" s="3"/>
      <c r="C2992" s="3"/>
      <c r="D2992" s="3"/>
      <c r="E2992" s="3">
        <v>9</v>
      </c>
      <c r="F2992" s="4" t="str">
        <f>HYPERLINK("http://141.218.60.56/~jnz1568/getInfo.php?workbook=12_05.xlsx&amp;sheet=U0&amp;row=2992&amp;col=6&amp;number=3.8&amp;sourceID=14","3.8")</f>
        <v>3.8</v>
      </c>
      <c r="G2992" s="4" t="str">
        <f>HYPERLINK("http://141.218.60.56/~jnz1568/getInfo.php?workbook=12_05.xlsx&amp;sheet=U0&amp;row=2992&amp;col=7&amp;number=0.0497&amp;sourceID=14","0.0497")</f>
        <v>0.0497</v>
      </c>
    </row>
    <row r="2993" spans="1:7">
      <c r="A2993" s="3"/>
      <c r="B2993" s="3"/>
      <c r="C2993" s="3"/>
      <c r="D2993" s="3"/>
      <c r="E2993" s="3">
        <v>10</v>
      </c>
      <c r="F2993" s="4" t="str">
        <f>HYPERLINK("http://141.218.60.56/~jnz1568/getInfo.php?workbook=12_05.xlsx&amp;sheet=U0&amp;row=2993&amp;col=6&amp;number=3.9&amp;sourceID=14","3.9")</f>
        <v>3.9</v>
      </c>
      <c r="G2993" s="4" t="str">
        <f>HYPERLINK("http://141.218.60.56/~jnz1568/getInfo.php?workbook=12_05.xlsx&amp;sheet=U0&amp;row=2993&amp;col=7&amp;number=0.0497&amp;sourceID=14","0.0497")</f>
        <v>0.0497</v>
      </c>
    </row>
    <row r="2994" spans="1:7">
      <c r="A2994" s="3"/>
      <c r="B2994" s="3"/>
      <c r="C2994" s="3"/>
      <c r="D2994" s="3"/>
      <c r="E2994" s="3">
        <v>11</v>
      </c>
      <c r="F2994" s="4" t="str">
        <f>HYPERLINK("http://141.218.60.56/~jnz1568/getInfo.php?workbook=12_05.xlsx&amp;sheet=U0&amp;row=2994&amp;col=6&amp;number=4&amp;sourceID=14","4")</f>
        <v>4</v>
      </c>
      <c r="G2994" s="4" t="str">
        <f>HYPERLINK("http://141.218.60.56/~jnz1568/getInfo.php?workbook=12_05.xlsx&amp;sheet=U0&amp;row=2994&amp;col=7&amp;number=0.0498&amp;sourceID=14","0.0498")</f>
        <v>0.0498</v>
      </c>
    </row>
    <row r="2995" spans="1:7">
      <c r="A2995" s="3"/>
      <c r="B2995" s="3"/>
      <c r="C2995" s="3"/>
      <c r="D2995" s="3"/>
      <c r="E2995" s="3">
        <v>12</v>
      </c>
      <c r="F2995" s="4" t="str">
        <f>HYPERLINK("http://141.218.60.56/~jnz1568/getInfo.php?workbook=12_05.xlsx&amp;sheet=U0&amp;row=2995&amp;col=6&amp;number=4.1&amp;sourceID=14","4.1")</f>
        <v>4.1</v>
      </c>
      <c r="G2995" s="4" t="str">
        <f>HYPERLINK("http://141.218.60.56/~jnz1568/getInfo.php?workbook=12_05.xlsx&amp;sheet=U0&amp;row=2995&amp;col=7&amp;number=0.0499&amp;sourceID=14","0.0499")</f>
        <v>0.0499</v>
      </c>
    </row>
    <row r="2996" spans="1:7">
      <c r="A2996" s="3"/>
      <c r="B2996" s="3"/>
      <c r="C2996" s="3"/>
      <c r="D2996" s="3"/>
      <c r="E2996" s="3">
        <v>13</v>
      </c>
      <c r="F2996" s="4" t="str">
        <f>HYPERLINK("http://141.218.60.56/~jnz1568/getInfo.php?workbook=12_05.xlsx&amp;sheet=U0&amp;row=2996&amp;col=6&amp;number=4.2&amp;sourceID=14","4.2")</f>
        <v>4.2</v>
      </c>
      <c r="G2996" s="4" t="str">
        <f>HYPERLINK("http://141.218.60.56/~jnz1568/getInfo.php?workbook=12_05.xlsx&amp;sheet=U0&amp;row=2996&amp;col=7&amp;number=0.0501&amp;sourceID=14","0.0501")</f>
        <v>0.0501</v>
      </c>
    </row>
    <row r="2997" spans="1:7">
      <c r="A2997" s="3"/>
      <c r="B2997" s="3"/>
      <c r="C2997" s="3"/>
      <c r="D2997" s="3"/>
      <c r="E2997" s="3">
        <v>14</v>
      </c>
      <c r="F2997" s="4" t="str">
        <f>HYPERLINK("http://141.218.60.56/~jnz1568/getInfo.php?workbook=12_05.xlsx&amp;sheet=U0&amp;row=2997&amp;col=6&amp;number=4.3&amp;sourceID=14","4.3")</f>
        <v>4.3</v>
      </c>
      <c r="G2997" s="4" t="str">
        <f>HYPERLINK("http://141.218.60.56/~jnz1568/getInfo.php?workbook=12_05.xlsx&amp;sheet=U0&amp;row=2997&amp;col=7&amp;number=0.0503&amp;sourceID=14","0.0503")</f>
        <v>0.0503</v>
      </c>
    </row>
    <row r="2998" spans="1:7">
      <c r="A2998" s="3"/>
      <c r="B2998" s="3"/>
      <c r="C2998" s="3"/>
      <c r="D2998" s="3"/>
      <c r="E2998" s="3">
        <v>15</v>
      </c>
      <c r="F2998" s="4" t="str">
        <f>HYPERLINK("http://141.218.60.56/~jnz1568/getInfo.php?workbook=12_05.xlsx&amp;sheet=U0&amp;row=2998&amp;col=6&amp;number=4.4&amp;sourceID=14","4.4")</f>
        <v>4.4</v>
      </c>
      <c r="G2998" s="4" t="str">
        <f>HYPERLINK("http://141.218.60.56/~jnz1568/getInfo.php?workbook=12_05.xlsx&amp;sheet=U0&amp;row=2998&amp;col=7&amp;number=0.0505&amp;sourceID=14","0.0505")</f>
        <v>0.0505</v>
      </c>
    </row>
    <row r="2999" spans="1:7">
      <c r="A2999" s="3"/>
      <c r="B2999" s="3"/>
      <c r="C2999" s="3"/>
      <c r="D2999" s="3"/>
      <c r="E2999" s="3">
        <v>16</v>
      </c>
      <c r="F2999" s="4" t="str">
        <f>HYPERLINK("http://141.218.60.56/~jnz1568/getInfo.php?workbook=12_05.xlsx&amp;sheet=U0&amp;row=2999&amp;col=6&amp;number=4.5&amp;sourceID=14","4.5")</f>
        <v>4.5</v>
      </c>
      <c r="G2999" s="4" t="str">
        <f>HYPERLINK("http://141.218.60.56/~jnz1568/getInfo.php?workbook=12_05.xlsx&amp;sheet=U0&amp;row=2999&amp;col=7&amp;number=0.0508&amp;sourceID=14","0.0508")</f>
        <v>0.0508</v>
      </c>
    </row>
    <row r="3000" spans="1:7">
      <c r="A3000" s="3"/>
      <c r="B3000" s="3"/>
      <c r="C3000" s="3"/>
      <c r="D3000" s="3"/>
      <c r="E3000" s="3">
        <v>17</v>
      </c>
      <c r="F3000" s="4" t="str">
        <f>HYPERLINK("http://141.218.60.56/~jnz1568/getInfo.php?workbook=12_05.xlsx&amp;sheet=U0&amp;row=3000&amp;col=6&amp;number=4.6&amp;sourceID=14","4.6")</f>
        <v>4.6</v>
      </c>
      <c r="G3000" s="4" t="str">
        <f>HYPERLINK("http://141.218.60.56/~jnz1568/getInfo.php?workbook=12_05.xlsx&amp;sheet=U0&amp;row=3000&amp;col=7&amp;number=0.0512&amp;sourceID=14","0.0512")</f>
        <v>0.0512</v>
      </c>
    </row>
    <row r="3001" spans="1:7">
      <c r="A3001" s="3"/>
      <c r="B3001" s="3"/>
      <c r="C3001" s="3"/>
      <c r="D3001" s="3"/>
      <c r="E3001" s="3">
        <v>18</v>
      </c>
      <c r="F3001" s="4" t="str">
        <f>HYPERLINK("http://141.218.60.56/~jnz1568/getInfo.php?workbook=12_05.xlsx&amp;sheet=U0&amp;row=3001&amp;col=6&amp;number=4.7&amp;sourceID=14","4.7")</f>
        <v>4.7</v>
      </c>
      <c r="G3001" s="4" t="str">
        <f>HYPERLINK("http://141.218.60.56/~jnz1568/getInfo.php?workbook=12_05.xlsx&amp;sheet=U0&amp;row=3001&amp;col=7&amp;number=0.0516&amp;sourceID=14","0.0516")</f>
        <v>0.0516</v>
      </c>
    </row>
    <row r="3002" spans="1:7">
      <c r="A3002" s="3"/>
      <c r="B3002" s="3"/>
      <c r="C3002" s="3"/>
      <c r="D3002" s="3"/>
      <c r="E3002" s="3">
        <v>19</v>
      </c>
      <c r="F3002" s="4" t="str">
        <f>HYPERLINK("http://141.218.60.56/~jnz1568/getInfo.php?workbook=12_05.xlsx&amp;sheet=U0&amp;row=3002&amp;col=6&amp;number=4.8&amp;sourceID=14","4.8")</f>
        <v>4.8</v>
      </c>
      <c r="G3002" s="4" t="str">
        <f>HYPERLINK("http://141.218.60.56/~jnz1568/getInfo.php?workbook=12_05.xlsx&amp;sheet=U0&amp;row=3002&amp;col=7&amp;number=0.0522&amp;sourceID=14","0.0522")</f>
        <v>0.0522</v>
      </c>
    </row>
    <row r="3003" spans="1:7">
      <c r="A3003" s="3"/>
      <c r="B3003" s="3"/>
      <c r="C3003" s="3"/>
      <c r="D3003" s="3"/>
      <c r="E3003" s="3">
        <v>20</v>
      </c>
      <c r="F3003" s="4" t="str">
        <f>HYPERLINK("http://141.218.60.56/~jnz1568/getInfo.php?workbook=12_05.xlsx&amp;sheet=U0&amp;row=3003&amp;col=6&amp;number=4.9&amp;sourceID=14","4.9")</f>
        <v>4.9</v>
      </c>
      <c r="G3003" s="4" t="str">
        <f>HYPERLINK("http://141.218.60.56/~jnz1568/getInfo.php?workbook=12_05.xlsx&amp;sheet=U0&amp;row=3003&amp;col=7&amp;number=0.0529&amp;sourceID=14","0.0529")</f>
        <v>0.0529</v>
      </c>
    </row>
    <row r="3004" spans="1:7">
      <c r="A3004" s="3">
        <v>12</v>
      </c>
      <c r="B3004" s="3">
        <v>5</v>
      </c>
      <c r="C3004" s="3">
        <v>1</v>
      </c>
      <c r="D3004" s="3">
        <v>112</v>
      </c>
      <c r="E3004" s="3">
        <v>1</v>
      </c>
      <c r="F3004" s="4" t="str">
        <f>HYPERLINK("http://141.218.60.56/~jnz1568/getInfo.php?workbook=12_05.xlsx&amp;sheet=U0&amp;row=3004&amp;col=6&amp;number=3&amp;sourceID=14","3")</f>
        <v>3</v>
      </c>
      <c r="G3004" s="4" t="str">
        <f>HYPERLINK("http://141.218.60.56/~jnz1568/getInfo.php?workbook=12_05.xlsx&amp;sheet=U0&amp;row=3004&amp;col=7&amp;number=0.0113&amp;sourceID=14","0.0113")</f>
        <v>0.0113</v>
      </c>
    </row>
    <row r="3005" spans="1:7">
      <c r="A3005" s="3"/>
      <c r="B3005" s="3"/>
      <c r="C3005" s="3"/>
      <c r="D3005" s="3"/>
      <c r="E3005" s="3">
        <v>2</v>
      </c>
      <c r="F3005" s="4" t="str">
        <f>HYPERLINK("http://141.218.60.56/~jnz1568/getInfo.php?workbook=12_05.xlsx&amp;sheet=U0&amp;row=3005&amp;col=6&amp;number=3.1&amp;sourceID=14","3.1")</f>
        <v>3.1</v>
      </c>
      <c r="G3005" s="4" t="str">
        <f>HYPERLINK("http://141.218.60.56/~jnz1568/getInfo.php?workbook=12_05.xlsx&amp;sheet=U0&amp;row=3005&amp;col=7&amp;number=0.0113&amp;sourceID=14","0.0113")</f>
        <v>0.0113</v>
      </c>
    </row>
    <row r="3006" spans="1:7">
      <c r="A3006" s="3"/>
      <c r="B3006" s="3"/>
      <c r="C3006" s="3"/>
      <c r="D3006" s="3"/>
      <c r="E3006" s="3">
        <v>3</v>
      </c>
      <c r="F3006" s="4" t="str">
        <f>HYPERLINK("http://141.218.60.56/~jnz1568/getInfo.php?workbook=12_05.xlsx&amp;sheet=U0&amp;row=3006&amp;col=6&amp;number=3.2&amp;sourceID=14","3.2")</f>
        <v>3.2</v>
      </c>
      <c r="G3006" s="4" t="str">
        <f>HYPERLINK("http://141.218.60.56/~jnz1568/getInfo.php?workbook=12_05.xlsx&amp;sheet=U0&amp;row=3006&amp;col=7&amp;number=0.0113&amp;sourceID=14","0.0113")</f>
        <v>0.0113</v>
      </c>
    </row>
    <row r="3007" spans="1:7">
      <c r="A3007" s="3"/>
      <c r="B3007" s="3"/>
      <c r="C3007" s="3"/>
      <c r="D3007" s="3"/>
      <c r="E3007" s="3">
        <v>4</v>
      </c>
      <c r="F3007" s="4" t="str">
        <f>HYPERLINK("http://141.218.60.56/~jnz1568/getInfo.php?workbook=12_05.xlsx&amp;sheet=U0&amp;row=3007&amp;col=6&amp;number=3.3&amp;sourceID=14","3.3")</f>
        <v>3.3</v>
      </c>
      <c r="G3007" s="4" t="str">
        <f>HYPERLINK("http://141.218.60.56/~jnz1568/getInfo.php?workbook=12_05.xlsx&amp;sheet=U0&amp;row=3007&amp;col=7&amp;number=0.0114&amp;sourceID=14","0.0114")</f>
        <v>0.0114</v>
      </c>
    </row>
    <row r="3008" spans="1:7">
      <c r="A3008" s="3"/>
      <c r="B3008" s="3"/>
      <c r="C3008" s="3"/>
      <c r="D3008" s="3"/>
      <c r="E3008" s="3">
        <v>5</v>
      </c>
      <c r="F3008" s="4" t="str">
        <f>HYPERLINK("http://141.218.60.56/~jnz1568/getInfo.php?workbook=12_05.xlsx&amp;sheet=U0&amp;row=3008&amp;col=6&amp;number=3.4&amp;sourceID=14","3.4")</f>
        <v>3.4</v>
      </c>
      <c r="G3008" s="4" t="str">
        <f>HYPERLINK("http://141.218.60.56/~jnz1568/getInfo.php?workbook=12_05.xlsx&amp;sheet=U0&amp;row=3008&amp;col=7&amp;number=0.0114&amp;sourceID=14","0.0114")</f>
        <v>0.0114</v>
      </c>
    </row>
    <row r="3009" spans="1:7">
      <c r="A3009" s="3"/>
      <c r="B3009" s="3"/>
      <c r="C3009" s="3"/>
      <c r="D3009" s="3"/>
      <c r="E3009" s="3">
        <v>6</v>
      </c>
      <c r="F3009" s="4" t="str">
        <f>HYPERLINK("http://141.218.60.56/~jnz1568/getInfo.php?workbook=12_05.xlsx&amp;sheet=U0&amp;row=3009&amp;col=6&amp;number=3.5&amp;sourceID=14","3.5")</f>
        <v>3.5</v>
      </c>
      <c r="G3009" s="4" t="str">
        <f>HYPERLINK("http://141.218.60.56/~jnz1568/getInfo.php?workbook=12_05.xlsx&amp;sheet=U0&amp;row=3009&amp;col=7&amp;number=0.0114&amp;sourceID=14","0.0114")</f>
        <v>0.0114</v>
      </c>
    </row>
    <row r="3010" spans="1:7">
      <c r="A3010" s="3"/>
      <c r="B3010" s="3"/>
      <c r="C3010" s="3"/>
      <c r="D3010" s="3"/>
      <c r="E3010" s="3">
        <v>7</v>
      </c>
      <c r="F3010" s="4" t="str">
        <f>HYPERLINK("http://141.218.60.56/~jnz1568/getInfo.php?workbook=12_05.xlsx&amp;sheet=U0&amp;row=3010&amp;col=6&amp;number=3.6&amp;sourceID=14","3.6")</f>
        <v>3.6</v>
      </c>
      <c r="G3010" s="4" t="str">
        <f>HYPERLINK("http://141.218.60.56/~jnz1568/getInfo.php?workbook=12_05.xlsx&amp;sheet=U0&amp;row=3010&amp;col=7&amp;number=0.0114&amp;sourceID=14","0.0114")</f>
        <v>0.0114</v>
      </c>
    </row>
    <row r="3011" spans="1:7">
      <c r="A3011" s="3"/>
      <c r="B3011" s="3"/>
      <c r="C3011" s="3"/>
      <c r="D3011" s="3"/>
      <c r="E3011" s="3">
        <v>8</v>
      </c>
      <c r="F3011" s="4" t="str">
        <f>HYPERLINK("http://141.218.60.56/~jnz1568/getInfo.php?workbook=12_05.xlsx&amp;sheet=U0&amp;row=3011&amp;col=6&amp;number=3.7&amp;sourceID=14","3.7")</f>
        <v>3.7</v>
      </c>
      <c r="G3011" s="4" t="str">
        <f>HYPERLINK("http://141.218.60.56/~jnz1568/getInfo.php?workbook=12_05.xlsx&amp;sheet=U0&amp;row=3011&amp;col=7&amp;number=0.0114&amp;sourceID=14","0.0114")</f>
        <v>0.0114</v>
      </c>
    </row>
    <row r="3012" spans="1:7">
      <c r="A3012" s="3"/>
      <c r="B3012" s="3"/>
      <c r="C3012" s="3"/>
      <c r="D3012" s="3"/>
      <c r="E3012" s="3">
        <v>9</v>
      </c>
      <c r="F3012" s="4" t="str">
        <f>HYPERLINK("http://141.218.60.56/~jnz1568/getInfo.php?workbook=12_05.xlsx&amp;sheet=U0&amp;row=3012&amp;col=6&amp;number=3.8&amp;sourceID=14","3.8")</f>
        <v>3.8</v>
      </c>
      <c r="G3012" s="4" t="str">
        <f>HYPERLINK("http://141.218.60.56/~jnz1568/getInfo.php?workbook=12_05.xlsx&amp;sheet=U0&amp;row=3012&amp;col=7&amp;number=0.0114&amp;sourceID=14","0.0114")</f>
        <v>0.0114</v>
      </c>
    </row>
    <row r="3013" spans="1:7">
      <c r="A3013" s="3"/>
      <c r="B3013" s="3"/>
      <c r="C3013" s="3"/>
      <c r="D3013" s="3"/>
      <c r="E3013" s="3">
        <v>10</v>
      </c>
      <c r="F3013" s="4" t="str">
        <f>HYPERLINK("http://141.218.60.56/~jnz1568/getInfo.php?workbook=12_05.xlsx&amp;sheet=U0&amp;row=3013&amp;col=6&amp;number=3.9&amp;sourceID=14","3.9")</f>
        <v>3.9</v>
      </c>
      <c r="G3013" s="4" t="str">
        <f>HYPERLINK("http://141.218.60.56/~jnz1568/getInfo.php?workbook=12_05.xlsx&amp;sheet=U0&amp;row=3013&amp;col=7&amp;number=0.0114&amp;sourceID=14","0.0114")</f>
        <v>0.0114</v>
      </c>
    </row>
    <row r="3014" spans="1:7">
      <c r="A3014" s="3"/>
      <c r="B3014" s="3"/>
      <c r="C3014" s="3"/>
      <c r="D3014" s="3"/>
      <c r="E3014" s="3">
        <v>11</v>
      </c>
      <c r="F3014" s="4" t="str">
        <f>HYPERLINK("http://141.218.60.56/~jnz1568/getInfo.php?workbook=12_05.xlsx&amp;sheet=U0&amp;row=3014&amp;col=6&amp;number=4&amp;sourceID=14","4")</f>
        <v>4</v>
      </c>
      <c r="G3014" s="4" t="str">
        <f>HYPERLINK("http://141.218.60.56/~jnz1568/getInfo.php?workbook=12_05.xlsx&amp;sheet=U0&amp;row=3014&amp;col=7&amp;number=0.0114&amp;sourceID=14","0.0114")</f>
        <v>0.0114</v>
      </c>
    </row>
    <row r="3015" spans="1:7">
      <c r="A3015" s="3"/>
      <c r="B3015" s="3"/>
      <c r="C3015" s="3"/>
      <c r="D3015" s="3"/>
      <c r="E3015" s="3">
        <v>12</v>
      </c>
      <c r="F3015" s="4" t="str">
        <f>HYPERLINK("http://141.218.60.56/~jnz1568/getInfo.php?workbook=12_05.xlsx&amp;sheet=U0&amp;row=3015&amp;col=6&amp;number=4.1&amp;sourceID=14","4.1")</f>
        <v>4.1</v>
      </c>
      <c r="G3015" s="4" t="str">
        <f>HYPERLINK("http://141.218.60.56/~jnz1568/getInfo.php?workbook=12_05.xlsx&amp;sheet=U0&amp;row=3015&amp;col=7&amp;number=0.0114&amp;sourceID=14","0.0114")</f>
        <v>0.0114</v>
      </c>
    </row>
    <row r="3016" spans="1:7">
      <c r="A3016" s="3"/>
      <c r="B3016" s="3"/>
      <c r="C3016" s="3"/>
      <c r="D3016" s="3"/>
      <c r="E3016" s="3">
        <v>13</v>
      </c>
      <c r="F3016" s="4" t="str">
        <f>HYPERLINK("http://141.218.60.56/~jnz1568/getInfo.php?workbook=12_05.xlsx&amp;sheet=U0&amp;row=3016&amp;col=6&amp;number=4.2&amp;sourceID=14","4.2")</f>
        <v>4.2</v>
      </c>
      <c r="G3016" s="4" t="str">
        <f>HYPERLINK("http://141.218.60.56/~jnz1568/getInfo.php?workbook=12_05.xlsx&amp;sheet=U0&amp;row=3016&amp;col=7&amp;number=0.0114&amp;sourceID=14","0.0114")</f>
        <v>0.0114</v>
      </c>
    </row>
    <row r="3017" spans="1:7">
      <c r="A3017" s="3"/>
      <c r="B3017" s="3"/>
      <c r="C3017" s="3"/>
      <c r="D3017" s="3"/>
      <c r="E3017" s="3">
        <v>14</v>
      </c>
      <c r="F3017" s="4" t="str">
        <f>HYPERLINK("http://141.218.60.56/~jnz1568/getInfo.php?workbook=12_05.xlsx&amp;sheet=U0&amp;row=3017&amp;col=6&amp;number=4.3&amp;sourceID=14","4.3")</f>
        <v>4.3</v>
      </c>
      <c r="G3017" s="4" t="str">
        <f>HYPERLINK("http://141.218.60.56/~jnz1568/getInfo.php?workbook=12_05.xlsx&amp;sheet=U0&amp;row=3017&amp;col=7&amp;number=0.0115&amp;sourceID=14","0.0115")</f>
        <v>0.0115</v>
      </c>
    </row>
    <row r="3018" spans="1:7">
      <c r="A3018" s="3"/>
      <c r="B3018" s="3"/>
      <c r="C3018" s="3"/>
      <c r="D3018" s="3"/>
      <c r="E3018" s="3">
        <v>15</v>
      </c>
      <c r="F3018" s="4" t="str">
        <f>HYPERLINK("http://141.218.60.56/~jnz1568/getInfo.php?workbook=12_05.xlsx&amp;sheet=U0&amp;row=3018&amp;col=6&amp;number=4.4&amp;sourceID=14","4.4")</f>
        <v>4.4</v>
      </c>
      <c r="G3018" s="4" t="str">
        <f>HYPERLINK("http://141.218.60.56/~jnz1568/getInfo.php?workbook=12_05.xlsx&amp;sheet=U0&amp;row=3018&amp;col=7&amp;number=0.0115&amp;sourceID=14","0.0115")</f>
        <v>0.0115</v>
      </c>
    </row>
    <row r="3019" spans="1:7">
      <c r="A3019" s="3"/>
      <c r="B3019" s="3"/>
      <c r="C3019" s="3"/>
      <c r="D3019" s="3"/>
      <c r="E3019" s="3">
        <v>16</v>
      </c>
      <c r="F3019" s="4" t="str">
        <f>HYPERLINK("http://141.218.60.56/~jnz1568/getInfo.php?workbook=12_05.xlsx&amp;sheet=U0&amp;row=3019&amp;col=6&amp;number=4.5&amp;sourceID=14","4.5")</f>
        <v>4.5</v>
      </c>
      <c r="G3019" s="4" t="str">
        <f>HYPERLINK("http://141.218.60.56/~jnz1568/getInfo.php?workbook=12_05.xlsx&amp;sheet=U0&amp;row=3019&amp;col=7&amp;number=0.0115&amp;sourceID=14","0.0115")</f>
        <v>0.0115</v>
      </c>
    </row>
    <row r="3020" spans="1:7">
      <c r="A3020" s="3"/>
      <c r="B3020" s="3"/>
      <c r="C3020" s="3"/>
      <c r="D3020" s="3"/>
      <c r="E3020" s="3">
        <v>17</v>
      </c>
      <c r="F3020" s="4" t="str">
        <f>HYPERLINK("http://141.218.60.56/~jnz1568/getInfo.php?workbook=12_05.xlsx&amp;sheet=U0&amp;row=3020&amp;col=6&amp;number=4.6&amp;sourceID=14","4.6")</f>
        <v>4.6</v>
      </c>
      <c r="G3020" s="4" t="str">
        <f>HYPERLINK("http://141.218.60.56/~jnz1568/getInfo.php?workbook=12_05.xlsx&amp;sheet=U0&amp;row=3020&amp;col=7&amp;number=0.0116&amp;sourceID=14","0.0116")</f>
        <v>0.0116</v>
      </c>
    </row>
    <row r="3021" spans="1:7">
      <c r="A3021" s="3"/>
      <c r="B3021" s="3"/>
      <c r="C3021" s="3"/>
      <c r="D3021" s="3"/>
      <c r="E3021" s="3">
        <v>18</v>
      </c>
      <c r="F3021" s="4" t="str">
        <f>HYPERLINK("http://141.218.60.56/~jnz1568/getInfo.php?workbook=12_05.xlsx&amp;sheet=U0&amp;row=3021&amp;col=6&amp;number=4.7&amp;sourceID=14","4.7")</f>
        <v>4.7</v>
      </c>
      <c r="G3021" s="4" t="str">
        <f>HYPERLINK("http://141.218.60.56/~jnz1568/getInfo.php?workbook=12_05.xlsx&amp;sheet=U0&amp;row=3021&amp;col=7&amp;number=0.0116&amp;sourceID=14","0.0116")</f>
        <v>0.0116</v>
      </c>
    </row>
    <row r="3022" spans="1:7">
      <c r="A3022" s="3"/>
      <c r="B3022" s="3"/>
      <c r="C3022" s="3"/>
      <c r="D3022" s="3"/>
      <c r="E3022" s="3">
        <v>19</v>
      </c>
      <c r="F3022" s="4" t="str">
        <f>HYPERLINK("http://141.218.60.56/~jnz1568/getInfo.php?workbook=12_05.xlsx&amp;sheet=U0&amp;row=3022&amp;col=6&amp;number=4.8&amp;sourceID=14","4.8")</f>
        <v>4.8</v>
      </c>
      <c r="G3022" s="4" t="str">
        <f>HYPERLINK("http://141.218.60.56/~jnz1568/getInfo.php?workbook=12_05.xlsx&amp;sheet=U0&amp;row=3022&amp;col=7&amp;number=0.0117&amp;sourceID=14","0.0117")</f>
        <v>0.0117</v>
      </c>
    </row>
    <row r="3023" spans="1:7">
      <c r="A3023" s="3"/>
      <c r="B3023" s="3"/>
      <c r="C3023" s="3"/>
      <c r="D3023" s="3"/>
      <c r="E3023" s="3">
        <v>20</v>
      </c>
      <c r="F3023" s="4" t="str">
        <f>HYPERLINK("http://141.218.60.56/~jnz1568/getInfo.php?workbook=12_05.xlsx&amp;sheet=U0&amp;row=3023&amp;col=6&amp;number=4.9&amp;sourceID=14","4.9")</f>
        <v>4.9</v>
      </c>
      <c r="G3023" s="4" t="str">
        <f>HYPERLINK("http://141.218.60.56/~jnz1568/getInfo.php?workbook=12_05.xlsx&amp;sheet=U0&amp;row=3023&amp;col=7&amp;number=0.0118&amp;sourceID=14","0.0118")</f>
        <v>0.0118</v>
      </c>
    </row>
    <row r="3024" spans="1:7">
      <c r="A3024" s="3">
        <v>12</v>
      </c>
      <c r="B3024" s="3">
        <v>5</v>
      </c>
      <c r="C3024" s="3">
        <v>1</v>
      </c>
      <c r="D3024" s="3">
        <v>113</v>
      </c>
      <c r="E3024" s="3">
        <v>1</v>
      </c>
      <c r="F3024" s="4" t="str">
        <f>HYPERLINK("http://141.218.60.56/~jnz1568/getInfo.php?workbook=12_05.xlsx&amp;sheet=U0&amp;row=3024&amp;col=6&amp;number=3&amp;sourceID=14","3")</f>
        <v>3</v>
      </c>
      <c r="G3024" s="4" t="str">
        <f>HYPERLINK("http://141.218.60.56/~jnz1568/getInfo.php?workbook=12_05.xlsx&amp;sheet=U0&amp;row=3024&amp;col=7&amp;number=0.00987&amp;sourceID=14","0.00987")</f>
        <v>0.00987</v>
      </c>
    </row>
    <row r="3025" spans="1:7">
      <c r="A3025" s="3"/>
      <c r="B3025" s="3"/>
      <c r="C3025" s="3"/>
      <c r="D3025" s="3"/>
      <c r="E3025" s="3">
        <v>2</v>
      </c>
      <c r="F3025" s="4" t="str">
        <f>HYPERLINK("http://141.218.60.56/~jnz1568/getInfo.php?workbook=12_05.xlsx&amp;sheet=U0&amp;row=3025&amp;col=6&amp;number=3.1&amp;sourceID=14","3.1")</f>
        <v>3.1</v>
      </c>
      <c r="G3025" s="4" t="str">
        <f>HYPERLINK("http://141.218.60.56/~jnz1568/getInfo.php?workbook=12_05.xlsx&amp;sheet=U0&amp;row=3025&amp;col=7&amp;number=0.00987&amp;sourceID=14","0.00987")</f>
        <v>0.00987</v>
      </c>
    </row>
    <row r="3026" spans="1:7">
      <c r="A3026" s="3"/>
      <c r="B3026" s="3"/>
      <c r="C3026" s="3"/>
      <c r="D3026" s="3"/>
      <c r="E3026" s="3">
        <v>3</v>
      </c>
      <c r="F3026" s="4" t="str">
        <f>HYPERLINK("http://141.218.60.56/~jnz1568/getInfo.php?workbook=12_05.xlsx&amp;sheet=U0&amp;row=3026&amp;col=6&amp;number=3.2&amp;sourceID=14","3.2")</f>
        <v>3.2</v>
      </c>
      <c r="G3026" s="4" t="str">
        <f>HYPERLINK("http://141.218.60.56/~jnz1568/getInfo.php?workbook=12_05.xlsx&amp;sheet=U0&amp;row=3026&amp;col=7&amp;number=0.00987&amp;sourceID=14","0.00987")</f>
        <v>0.00987</v>
      </c>
    </row>
    <row r="3027" spans="1:7">
      <c r="A3027" s="3"/>
      <c r="B3027" s="3"/>
      <c r="C3027" s="3"/>
      <c r="D3027" s="3"/>
      <c r="E3027" s="3">
        <v>4</v>
      </c>
      <c r="F3027" s="4" t="str">
        <f>HYPERLINK("http://141.218.60.56/~jnz1568/getInfo.php?workbook=12_05.xlsx&amp;sheet=U0&amp;row=3027&amp;col=6&amp;number=3.3&amp;sourceID=14","3.3")</f>
        <v>3.3</v>
      </c>
      <c r="G3027" s="4" t="str">
        <f>HYPERLINK("http://141.218.60.56/~jnz1568/getInfo.php?workbook=12_05.xlsx&amp;sheet=U0&amp;row=3027&amp;col=7&amp;number=0.00987&amp;sourceID=14","0.00987")</f>
        <v>0.00987</v>
      </c>
    </row>
    <row r="3028" spans="1:7">
      <c r="A3028" s="3"/>
      <c r="B3028" s="3"/>
      <c r="C3028" s="3"/>
      <c r="D3028" s="3"/>
      <c r="E3028" s="3">
        <v>5</v>
      </c>
      <c r="F3028" s="4" t="str">
        <f>HYPERLINK("http://141.218.60.56/~jnz1568/getInfo.php?workbook=12_05.xlsx&amp;sheet=U0&amp;row=3028&amp;col=6&amp;number=3.4&amp;sourceID=14","3.4")</f>
        <v>3.4</v>
      </c>
      <c r="G3028" s="4" t="str">
        <f>HYPERLINK("http://141.218.60.56/~jnz1568/getInfo.php?workbook=12_05.xlsx&amp;sheet=U0&amp;row=3028&amp;col=7&amp;number=0.00987&amp;sourceID=14","0.00987")</f>
        <v>0.00987</v>
      </c>
    </row>
    <row r="3029" spans="1:7">
      <c r="A3029" s="3"/>
      <c r="B3029" s="3"/>
      <c r="C3029" s="3"/>
      <c r="D3029" s="3"/>
      <c r="E3029" s="3">
        <v>6</v>
      </c>
      <c r="F3029" s="4" t="str">
        <f>HYPERLINK("http://141.218.60.56/~jnz1568/getInfo.php?workbook=12_05.xlsx&amp;sheet=U0&amp;row=3029&amp;col=6&amp;number=3.5&amp;sourceID=14","3.5")</f>
        <v>3.5</v>
      </c>
      <c r="G3029" s="4" t="str">
        <f>HYPERLINK("http://141.218.60.56/~jnz1568/getInfo.php?workbook=12_05.xlsx&amp;sheet=U0&amp;row=3029&amp;col=7&amp;number=0.00987&amp;sourceID=14","0.00987")</f>
        <v>0.00987</v>
      </c>
    </row>
    <row r="3030" spans="1:7">
      <c r="A3030" s="3"/>
      <c r="B3030" s="3"/>
      <c r="C3030" s="3"/>
      <c r="D3030" s="3"/>
      <c r="E3030" s="3">
        <v>7</v>
      </c>
      <c r="F3030" s="4" t="str">
        <f>HYPERLINK("http://141.218.60.56/~jnz1568/getInfo.php?workbook=12_05.xlsx&amp;sheet=U0&amp;row=3030&amp;col=6&amp;number=3.6&amp;sourceID=14","3.6")</f>
        <v>3.6</v>
      </c>
      <c r="G3030" s="4" t="str">
        <f>HYPERLINK("http://141.218.60.56/~jnz1568/getInfo.php?workbook=12_05.xlsx&amp;sheet=U0&amp;row=3030&amp;col=7&amp;number=0.00987&amp;sourceID=14","0.00987")</f>
        <v>0.00987</v>
      </c>
    </row>
    <row r="3031" spans="1:7">
      <c r="A3031" s="3"/>
      <c r="B3031" s="3"/>
      <c r="C3031" s="3"/>
      <c r="D3031" s="3"/>
      <c r="E3031" s="3">
        <v>8</v>
      </c>
      <c r="F3031" s="4" t="str">
        <f>HYPERLINK("http://141.218.60.56/~jnz1568/getInfo.php?workbook=12_05.xlsx&amp;sheet=U0&amp;row=3031&amp;col=6&amp;number=3.7&amp;sourceID=14","3.7")</f>
        <v>3.7</v>
      </c>
      <c r="G3031" s="4" t="str">
        <f>HYPERLINK("http://141.218.60.56/~jnz1568/getInfo.php?workbook=12_05.xlsx&amp;sheet=U0&amp;row=3031&amp;col=7&amp;number=0.00987&amp;sourceID=14","0.00987")</f>
        <v>0.00987</v>
      </c>
    </row>
    <row r="3032" spans="1:7">
      <c r="A3032" s="3"/>
      <c r="B3032" s="3"/>
      <c r="C3032" s="3"/>
      <c r="D3032" s="3"/>
      <c r="E3032" s="3">
        <v>9</v>
      </c>
      <c r="F3032" s="4" t="str">
        <f>HYPERLINK("http://141.218.60.56/~jnz1568/getInfo.php?workbook=12_05.xlsx&amp;sheet=U0&amp;row=3032&amp;col=6&amp;number=3.8&amp;sourceID=14","3.8")</f>
        <v>3.8</v>
      </c>
      <c r="G3032" s="4" t="str">
        <f>HYPERLINK("http://141.218.60.56/~jnz1568/getInfo.php?workbook=12_05.xlsx&amp;sheet=U0&amp;row=3032&amp;col=7&amp;number=0.00988&amp;sourceID=14","0.00988")</f>
        <v>0.00988</v>
      </c>
    </row>
    <row r="3033" spans="1:7">
      <c r="A3033" s="3"/>
      <c r="B3033" s="3"/>
      <c r="C3033" s="3"/>
      <c r="D3033" s="3"/>
      <c r="E3033" s="3">
        <v>10</v>
      </c>
      <c r="F3033" s="4" t="str">
        <f>HYPERLINK("http://141.218.60.56/~jnz1568/getInfo.php?workbook=12_05.xlsx&amp;sheet=U0&amp;row=3033&amp;col=6&amp;number=3.9&amp;sourceID=14","3.9")</f>
        <v>3.9</v>
      </c>
      <c r="G3033" s="4" t="str">
        <f>HYPERLINK("http://141.218.60.56/~jnz1568/getInfo.php?workbook=12_05.xlsx&amp;sheet=U0&amp;row=3033&amp;col=7&amp;number=0.00988&amp;sourceID=14","0.00988")</f>
        <v>0.00988</v>
      </c>
    </row>
    <row r="3034" spans="1:7">
      <c r="A3034" s="3"/>
      <c r="B3034" s="3"/>
      <c r="C3034" s="3"/>
      <c r="D3034" s="3"/>
      <c r="E3034" s="3">
        <v>11</v>
      </c>
      <c r="F3034" s="4" t="str">
        <f>HYPERLINK("http://141.218.60.56/~jnz1568/getInfo.php?workbook=12_05.xlsx&amp;sheet=U0&amp;row=3034&amp;col=6&amp;number=4&amp;sourceID=14","4")</f>
        <v>4</v>
      </c>
      <c r="G3034" s="4" t="str">
        <f>HYPERLINK("http://141.218.60.56/~jnz1568/getInfo.php?workbook=12_05.xlsx&amp;sheet=U0&amp;row=3034&amp;col=7&amp;number=0.00988&amp;sourceID=14","0.00988")</f>
        <v>0.00988</v>
      </c>
    </row>
    <row r="3035" spans="1:7">
      <c r="A3035" s="3"/>
      <c r="B3035" s="3"/>
      <c r="C3035" s="3"/>
      <c r="D3035" s="3"/>
      <c r="E3035" s="3">
        <v>12</v>
      </c>
      <c r="F3035" s="4" t="str">
        <f>HYPERLINK("http://141.218.60.56/~jnz1568/getInfo.php?workbook=12_05.xlsx&amp;sheet=U0&amp;row=3035&amp;col=6&amp;number=4.1&amp;sourceID=14","4.1")</f>
        <v>4.1</v>
      </c>
      <c r="G3035" s="4" t="str">
        <f>HYPERLINK("http://141.218.60.56/~jnz1568/getInfo.php?workbook=12_05.xlsx&amp;sheet=U0&amp;row=3035&amp;col=7&amp;number=0.00989&amp;sourceID=14","0.00989")</f>
        <v>0.00989</v>
      </c>
    </row>
    <row r="3036" spans="1:7">
      <c r="A3036" s="3"/>
      <c r="B3036" s="3"/>
      <c r="C3036" s="3"/>
      <c r="D3036" s="3"/>
      <c r="E3036" s="3">
        <v>13</v>
      </c>
      <c r="F3036" s="4" t="str">
        <f>HYPERLINK("http://141.218.60.56/~jnz1568/getInfo.php?workbook=12_05.xlsx&amp;sheet=U0&amp;row=3036&amp;col=6&amp;number=4.2&amp;sourceID=14","4.2")</f>
        <v>4.2</v>
      </c>
      <c r="G3036" s="4" t="str">
        <f>HYPERLINK("http://141.218.60.56/~jnz1568/getInfo.php?workbook=12_05.xlsx&amp;sheet=U0&amp;row=3036&amp;col=7&amp;number=0.00989&amp;sourceID=14","0.00989")</f>
        <v>0.00989</v>
      </c>
    </row>
    <row r="3037" spans="1:7">
      <c r="A3037" s="3"/>
      <c r="B3037" s="3"/>
      <c r="C3037" s="3"/>
      <c r="D3037" s="3"/>
      <c r="E3037" s="3">
        <v>14</v>
      </c>
      <c r="F3037" s="4" t="str">
        <f>HYPERLINK("http://141.218.60.56/~jnz1568/getInfo.php?workbook=12_05.xlsx&amp;sheet=U0&amp;row=3037&amp;col=6&amp;number=4.3&amp;sourceID=14","4.3")</f>
        <v>4.3</v>
      </c>
      <c r="G3037" s="4" t="str">
        <f>HYPERLINK("http://141.218.60.56/~jnz1568/getInfo.php?workbook=12_05.xlsx&amp;sheet=U0&amp;row=3037&amp;col=7&amp;number=0.0099&amp;sourceID=14","0.0099")</f>
        <v>0.0099</v>
      </c>
    </row>
    <row r="3038" spans="1:7">
      <c r="A3038" s="3"/>
      <c r="B3038" s="3"/>
      <c r="C3038" s="3"/>
      <c r="D3038" s="3"/>
      <c r="E3038" s="3">
        <v>15</v>
      </c>
      <c r="F3038" s="4" t="str">
        <f>HYPERLINK("http://141.218.60.56/~jnz1568/getInfo.php?workbook=12_05.xlsx&amp;sheet=U0&amp;row=3038&amp;col=6&amp;number=4.4&amp;sourceID=14","4.4")</f>
        <v>4.4</v>
      </c>
      <c r="G3038" s="4" t="str">
        <f>HYPERLINK("http://141.218.60.56/~jnz1568/getInfo.php?workbook=12_05.xlsx&amp;sheet=U0&amp;row=3038&amp;col=7&amp;number=0.00991&amp;sourceID=14","0.00991")</f>
        <v>0.00991</v>
      </c>
    </row>
    <row r="3039" spans="1:7">
      <c r="A3039" s="3"/>
      <c r="B3039" s="3"/>
      <c r="C3039" s="3"/>
      <c r="D3039" s="3"/>
      <c r="E3039" s="3">
        <v>16</v>
      </c>
      <c r="F3039" s="4" t="str">
        <f>HYPERLINK("http://141.218.60.56/~jnz1568/getInfo.php?workbook=12_05.xlsx&amp;sheet=U0&amp;row=3039&amp;col=6&amp;number=4.5&amp;sourceID=14","4.5")</f>
        <v>4.5</v>
      </c>
      <c r="G3039" s="4" t="str">
        <f>HYPERLINK("http://141.218.60.56/~jnz1568/getInfo.php?workbook=12_05.xlsx&amp;sheet=U0&amp;row=3039&amp;col=7&amp;number=0.00992&amp;sourceID=14","0.00992")</f>
        <v>0.00992</v>
      </c>
    </row>
    <row r="3040" spans="1:7">
      <c r="A3040" s="3"/>
      <c r="B3040" s="3"/>
      <c r="C3040" s="3"/>
      <c r="D3040" s="3"/>
      <c r="E3040" s="3">
        <v>17</v>
      </c>
      <c r="F3040" s="4" t="str">
        <f>HYPERLINK("http://141.218.60.56/~jnz1568/getInfo.php?workbook=12_05.xlsx&amp;sheet=U0&amp;row=3040&amp;col=6&amp;number=4.6&amp;sourceID=14","4.6")</f>
        <v>4.6</v>
      </c>
      <c r="G3040" s="4" t="str">
        <f>HYPERLINK("http://141.218.60.56/~jnz1568/getInfo.php?workbook=12_05.xlsx&amp;sheet=U0&amp;row=3040&amp;col=7&amp;number=0.00993&amp;sourceID=14","0.00993")</f>
        <v>0.00993</v>
      </c>
    </row>
    <row r="3041" spans="1:7">
      <c r="A3041" s="3"/>
      <c r="B3041" s="3"/>
      <c r="C3041" s="3"/>
      <c r="D3041" s="3"/>
      <c r="E3041" s="3">
        <v>18</v>
      </c>
      <c r="F3041" s="4" t="str">
        <f>HYPERLINK("http://141.218.60.56/~jnz1568/getInfo.php?workbook=12_05.xlsx&amp;sheet=U0&amp;row=3041&amp;col=6&amp;number=4.7&amp;sourceID=14","4.7")</f>
        <v>4.7</v>
      </c>
      <c r="G3041" s="4" t="str">
        <f>HYPERLINK("http://141.218.60.56/~jnz1568/getInfo.php?workbook=12_05.xlsx&amp;sheet=U0&amp;row=3041&amp;col=7&amp;number=0.00995&amp;sourceID=14","0.00995")</f>
        <v>0.00995</v>
      </c>
    </row>
    <row r="3042" spans="1:7">
      <c r="A3042" s="3"/>
      <c r="B3042" s="3"/>
      <c r="C3042" s="3"/>
      <c r="D3042" s="3"/>
      <c r="E3042" s="3">
        <v>19</v>
      </c>
      <c r="F3042" s="4" t="str">
        <f>HYPERLINK("http://141.218.60.56/~jnz1568/getInfo.php?workbook=12_05.xlsx&amp;sheet=U0&amp;row=3042&amp;col=6&amp;number=4.8&amp;sourceID=14","4.8")</f>
        <v>4.8</v>
      </c>
      <c r="G3042" s="4" t="str">
        <f>HYPERLINK("http://141.218.60.56/~jnz1568/getInfo.php?workbook=12_05.xlsx&amp;sheet=U0&amp;row=3042&amp;col=7&amp;number=0.00997&amp;sourceID=14","0.00997")</f>
        <v>0.00997</v>
      </c>
    </row>
    <row r="3043" spans="1:7">
      <c r="A3043" s="3"/>
      <c r="B3043" s="3"/>
      <c r="C3043" s="3"/>
      <c r="D3043" s="3"/>
      <c r="E3043" s="3">
        <v>20</v>
      </c>
      <c r="F3043" s="4" t="str">
        <f>HYPERLINK("http://141.218.60.56/~jnz1568/getInfo.php?workbook=12_05.xlsx&amp;sheet=U0&amp;row=3043&amp;col=6&amp;number=4.9&amp;sourceID=14","4.9")</f>
        <v>4.9</v>
      </c>
      <c r="G3043" s="4" t="str">
        <f>HYPERLINK("http://141.218.60.56/~jnz1568/getInfo.php?workbook=12_05.xlsx&amp;sheet=U0&amp;row=3043&amp;col=7&amp;number=0.01&amp;sourceID=14","0.01")</f>
        <v>0.01</v>
      </c>
    </row>
    <row r="3044" spans="1:7">
      <c r="A3044" s="3">
        <v>12</v>
      </c>
      <c r="B3044" s="3">
        <v>5</v>
      </c>
      <c r="C3044" s="3">
        <v>1</v>
      </c>
      <c r="D3044" s="3">
        <v>114</v>
      </c>
      <c r="E3044" s="3">
        <v>1</v>
      </c>
      <c r="F3044" s="4" t="str">
        <f>HYPERLINK("http://141.218.60.56/~jnz1568/getInfo.php?workbook=12_05.xlsx&amp;sheet=U0&amp;row=3044&amp;col=6&amp;number=3&amp;sourceID=14","3")</f>
        <v>3</v>
      </c>
      <c r="G3044" s="4" t="str">
        <f>HYPERLINK("http://141.218.60.56/~jnz1568/getInfo.php?workbook=12_05.xlsx&amp;sheet=U0&amp;row=3044&amp;col=7&amp;number=0.000323&amp;sourceID=14","0.000323")</f>
        <v>0.000323</v>
      </c>
    </row>
    <row r="3045" spans="1:7">
      <c r="A3045" s="3"/>
      <c r="B3045" s="3"/>
      <c r="C3045" s="3"/>
      <c r="D3045" s="3"/>
      <c r="E3045" s="3">
        <v>2</v>
      </c>
      <c r="F3045" s="4" t="str">
        <f>HYPERLINK("http://141.218.60.56/~jnz1568/getInfo.php?workbook=12_05.xlsx&amp;sheet=U0&amp;row=3045&amp;col=6&amp;number=3.1&amp;sourceID=14","3.1")</f>
        <v>3.1</v>
      </c>
      <c r="G3045" s="4" t="str">
        <f>HYPERLINK("http://141.218.60.56/~jnz1568/getInfo.php?workbook=12_05.xlsx&amp;sheet=U0&amp;row=3045&amp;col=7&amp;number=0.000323&amp;sourceID=14","0.000323")</f>
        <v>0.000323</v>
      </c>
    </row>
    <row r="3046" spans="1:7">
      <c r="A3046" s="3"/>
      <c r="B3046" s="3"/>
      <c r="C3046" s="3"/>
      <c r="D3046" s="3"/>
      <c r="E3046" s="3">
        <v>3</v>
      </c>
      <c r="F3046" s="4" t="str">
        <f>HYPERLINK("http://141.218.60.56/~jnz1568/getInfo.php?workbook=12_05.xlsx&amp;sheet=U0&amp;row=3046&amp;col=6&amp;number=3.2&amp;sourceID=14","3.2")</f>
        <v>3.2</v>
      </c>
      <c r="G3046" s="4" t="str">
        <f>HYPERLINK("http://141.218.60.56/~jnz1568/getInfo.php?workbook=12_05.xlsx&amp;sheet=U0&amp;row=3046&amp;col=7&amp;number=0.000323&amp;sourceID=14","0.000323")</f>
        <v>0.000323</v>
      </c>
    </row>
    <row r="3047" spans="1:7">
      <c r="A3047" s="3"/>
      <c r="B3047" s="3"/>
      <c r="C3047" s="3"/>
      <c r="D3047" s="3"/>
      <c r="E3047" s="3">
        <v>4</v>
      </c>
      <c r="F3047" s="4" t="str">
        <f>HYPERLINK("http://141.218.60.56/~jnz1568/getInfo.php?workbook=12_05.xlsx&amp;sheet=U0&amp;row=3047&amp;col=6&amp;number=3.3&amp;sourceID=14","3.3")</f>
        <v>3.3</v>
      </c>
      <c r="G3047" s="4" t="str">
        <f>HYPERLINK("http://141.218.60.56/~jnz1568/getInfo.php?workbook=12_05.xlsx&amp;sheet=U0&amp;row=3047&amp;col=7&amp;number=0.000322&amp;sourceID=14","0.000322")</f>
        <v>0.000322</v>
      </c>
    </row>
    <row r="3048" spans="1:7">
      <c r="A3048" s="3"/>
      <c r="B3048" s="3"/>
      <c r="C3048" s="3"/>
      <c r="D3048" s="3"/>
      <c r="E3048" s="3">
        <v>5</v>
      </c>
      <c r="F3048" s="4" t="str">
        <f>HYPERLINK("http://141.218.60.56/~jnz1568/getInfo.php?workbook=12_05.xlsx&amp;sheet=U0&amp;row=3048&amp;col=6&amp;number=3.4&amp;sourceID=14","3.4")</f>
        <v>3.4</v>
      </c>
      <c r="G3048" s="4" t="str">
        <f>HYPERLINK("http://141.218.60.56/~jnz1568/getInfo.php?workbook=12_05.xlsx&amp;sheet=U0&amp;row=3048&amp;col=7&amp;number=0.000322&amp;sourceID=14","0.000322")</f>
        <v>0.000322</v>
      </c>
    </row>
    <row r="3049" spans="1:7">
      <c r="A3049" s="3"/>
      <c r="B3049" s="3"/>
      <c r="C3049" s="3"/>
      <c r="D3049" s="3"/>
      <c r="E3049" s="3">
        <v>6</v>
      </c>
      <c r="F3049" s="4" t="str">
        <f>HYPERLINK("http://141.218.60.56/~jnz1568/getInfo.php?workbook=12_05.xlsx&amp;sheet=U0&amp;row=3049&amp;col=6&amp;number=3.5&amp;sourceID=14","3.5")</f>
        <v>3.5</v>
      </c>
      <c r="G3049" s="4" t="str">
        <f>HYPERLINK("http://141.218.60.56/~jnz1568/getInfo.php?workbook=12_05.xlsx&amp;sheet=U0&amp;row=3049&amp;col=7&amp;number=0.000322&amp;sourceID=14","0.000322")</f>
        <v>0.000322</v>
      </c>
    </row>
    <row r="3050" spans="1:7">
      <c r="A3050" s="3"/>
      <c r="B3050" s="3"/>
      <c r="C3050" s="3"/>
      <c r="D3050" s="3"/>
      <c r="E3050" s="3">
        <v>7</v>
      </c>
      <c r="F3050" s="4" t="str">
        <f>HYPERLINK("http://141.218.60.56/~jnz1568/getInfo.php?workbook=12_05.xlsx&amp;sheet=U0&amp;row=3050&amp;col=6&amp;number=3.6&amp;sourceID=14","3.6")</f>
        <v>3.6</v>
      </c>
      <c r="G3050" s="4" t="str">
        <f>HYPERLINK("http://141.218.60.56/~jnz1568/getInfo.php?workbook=12_05.xlsx&amp;sheet=U0&amp;row=3050&amp;col=7&amp;number=0.000322&amp;sourceID=14","0.000322")</f>
        <v>0.000322</v>
      </c>
    </row>
    <row r="3051" spans="1:7">
      <c r="A3051" s="3"/>
      <c r="B3051" s="3"/>
      <c r="C3051" s="3"/>
      <c r="D3051" s="3"/>
      <c r="E3051" s="3">
        <v>8</v>
      </c>
      <c r="F3051" s="4" t="str">
        <f>HYPERLINK("http://141.218.60.56/~jnz1568/getInfo.php?workbook=12_05.xlsx&amp;sheet=U0&amp;row=3051&amp;col=6&amp;number=3.7&amp;sourceID=14","3.7")</f>
        <v>3.7</v>
      </c>
      <c r="G3051" s="4" t="str">
        <f>HYPERLINK("http://141.218.60.56/~jnz1568/getInfo.php?workbook=12_05.xlsx&amp;sheet=U0&amp;row=3051&amp;col=7&amp;number=0.000322&amp;sourceID=14","0.000322")</f>
        <v>0.000322</v>
      </c>
    </row>
    <row r="3052" spans="1:7">
      <c r="A3052" s="3"/>
      <c r="B3052" s="3"/>
      <c r="C3052" s="3"/>
      <c r="D3052" s="3"/>
      <c r="E3052" s="3">
        <v>9</v>
      </c>
      <c r="F3052" s="4" t="str">
        <f>HYPERLINK("http://141.218.60.56/~jnz1568/getInfo.php?workbook=12_05.xlsx&amp;sheet=U0&amp;row=3052&amp;col=6&amp;number=3.8&amp;sourceID=14","3.8")</f>
        <v>3.8</v>
      </c>
      <c r="G3052" s="4" t="str">
        <f>HYPERLINK("http://141.218.60.56/~jnz1568/getInfo.php?workbook=12_05.xlsx&amp;sheet=U0&amp;row=3052&amp;col=7&amp;number=0.000321&amp;sourceID=14","0.000321")</f>
        <v>0.000321</v>
      </c>
    </row>
    <row r="3053" spans="1:7">
      <c r="A3053" s="3"/>
      <c r="B3053" s="3"/>
      <c r="C3053" s="3"/>
      <c r="D3053" s="3"/>
      <c r="E3053" s="3">
        <v>10</v>
      </c>
      <c r="F3053" s="4" t="str">
        <f>HYPERLINK("http://141.218.60.56/~jnz1568/getInfo.php?workbook=12_05.xlsx&amp;sheet=U0&amp;row=3053&amp;col=6&amp;number=3.9&amp;sourceID=14","3.9")</f>
        <v>3.9</v>
      </c>
      <c r="G3053" s="4" t="str">
        <f>HYPERLINK("http://141.218.60.56/~jnz1568/getInfo.php?workbook=12_05.xlsx&amp;sheet=U0&amp;row=3053&amp;col=7&amp;number=0.000321&amp;sourceID=14","0.000321")</f>
        <v>0.000321</v>
      </c>
    </row>
    <row r="3054" spans="1:7">
      <c r="A3054" s="3"/>
      <c r="B3054" s="3"/>
      <c r="C3054" s="3"/>
      <c r="D3054" s="3"/>
      <c r="E3054" s="3">
        <v>11</v>
      </c>
      <c r="F3054" s="4" t="str">
        <f>HYPERLINK("http://141.218.60.56/~jnz1568/getInfo.php?workbook=12_05.xlsx&amp;sheet=U0&amp;row=3054&amp;col=6&amp;number=4&amp;sourceID=14","4")</f>
        <v>4</v>
      </c>
      <c r="G3054" s="4" t="str">
        <f>HYPERLINK("http://141.218.60.56/~jnz1568/getInfo.php?workbook=12_05.xlsx&amp;sheet=U0&amp;row=3054&amp;col=7&amp;number=0.00032&amp;sourceID=14","0.00032")</f>
        <v>0.00032</v>
      </c>
    </row>
    <row r="3055" spans="1:7">
      <c r="A3055" s="3"/>
      <c r="B3055" s="3"/>
      <c r="C3055" s="3"/>
      <c r="D3055" s="3"/>
      <c r="E3055" s="3">
        <v>12</v>
      </c>
      <c r="F3055" s="4" t="str">
        <f>HYPERLINK("http://141.218.60.56/~jnz1568/getInfo.php?workbook=12_05.xlsx&amp;sheet=U0&amp;row=3055&amp;col=6&amp;number=4.1&amp;sourceID=14","4.1")</f>
        <v>4.1</v>
      </c>
      <c r="G3055" s="4" t="str">
        <f>HYPERLINK("http://141.218.60.56/~jnz1568/getInfo.php?workbook=12_05.xlsx&amp;sheet=U0&amp;row=3055&amp;col=7&amp;number=0.00032&amp;sourceID=14","0.00032")</f>
        <v>0.00032</v>
      </c>
    </row>
    <row r="3056" spans="1:7">
      <c r="A3056" s="3"/>
      <c r="B3056" s="3"/>
      <c r="C3056" s="3"/>
      <c r="D3056" s="3"/>
      <c r="E3056" s="3">
        <v>13</v>
      </c>
      <c r="F3056" s="4" t="str">
        <f>HYPERLINK("http://141.218.60.56/~jnz1568/getInfo.php?workbook=12_05.xlsx&amp;sheet=U0&amp;row=3056&amp;col=6&amp;number=4.2&amp;sourceID=14","4.2")</f>
        <v>4.2</v>
      </c>
      <c r="G3056" s="4" t="str">
        <f>HYPERLINK("http://141.218.60.56/~jnz1568/getInfo.php?workbook=12_05.xlsx&amp;sheet=U0&amp;row=3056&amp;col=7&amp;number=0.000319&amp;sourceID=14","0.000319")</f>
        <v>0.000319</v>
      </c>
    </row>
    <row r="3057" spans="1:7">
      <c r="A3057" s="3"/>
      <c r="B3057" s="3"/>
      <c r="C3057" s="3"/>
      <c r="D3057" s="3"/>
      <c r="E3057" s="3">
        <v>14</v>
      </c>
      <c r="F3057" s="4" t="str">
        <f>HYPERLINK("http://141.218.60.56/~jnz1568/getInfo.php?workbook=12_05.xlsx&amp;sheet=U0&amp;row=3057&amp;col=6&amp;number=4.3&amp;sourceID=14","4.3")</f>
        <v>4.3</v>
      </c>
      <c r="G3057" s="4" t="str">
        <f>HYPERLINK("http://141.218.60.56/~jnz1568/getInfo.php?workbook=12_05.xlsx&amp;sheet=U0&amp;row=3057&amp;col=7&amp;number=0.000318&amp;sourceID=14","0.000318")</f>
        <v>0.000318</v>
      </c>
    </row>
    <row r="3058" spans="1:7">
      <c r="A3058" s="3"/>
      <c r="B3058" s="3"/>
      <c r="C3058" s="3"/>
      <c r="D3058" s="3"/>
      <c r="E3058" s="3">
        <v>15</v>
      </c>
      <c r="F3058" s="4" t="str">
        <f>HYPERLINK("http://141.218.60.56/~jnz1568/getInfo.php?workbook=12_05.xlsx&amp;sheet=U0&amp;row=3058&amp;col=6&amp;number=4.4&amp;sourceID=14","4.4")</f>
        <v>4.4</v>
      </c>
      <c r="G3058" s="4" t="str">
        <f>HYPERLINK("http://141.218.60.56/~jnz1568/getInfo.php?workbook=12_05.xlsx&amp;sheet=U0&amp;row=3058&amp;col=7&amp;number=0.000317&amp;sourceID=14","0.000317")</f>
        <v>0.000317</v>
      </c>
    </row>
    <row r="3059" spans="1:7">
      <c r="A3059" s="3"/>
      <c r="B3059" s="3"/>
      <c r="C3059" s="3"/>
      <c r="D3059" s="3"/>
      <c r="E3059" s="3">
        <v>16</v>
      </c>
      <c r="F3059" s="4" t="str">
        <f>HYPERLINK("http://141.218.60.56/~jnz1568/getInfo.php?workbook=12_05.xlsx&amp;sheet=U0&amp;row=3059&amp;col=6&amp;number=4.5&amp;sourceID=14","4.5")</f>
        <v>4.5</v>
      </c>
      <c r="G3059" s="4" t="str">
        <f>HYPERLINK("http://141.218.60.56/~jnz1568/getInfo.php?workbook=12_05.xlsx&amp;sheet=U0&amp;row=3059&amp;col=7&amp;number=0.000315&amp;sourceID=14","0.000315")</f>
        <v>0.000315</v>
      </c>
    </row>
    <row r="3060" spans="1:7">
      <c r="A3060" s="3"/>
      <c r="B3060" s="3"/>
      <c r="C3060" s="3"/>
      <c r="D3060" s="3"/>
      <c r="E3060" s="3">
        <v>17</v>
      </c>
      <c r="F3060" s="4" t="str">
        <f>HYPERLINK("http://141.218.60.56/~jnz1568/getInfo.php?workbook=12_05.xlsx&amp;sheet=U0&amp;row=3060&amp;col=6&amp;number=4.6&amp;sourceID=14","4.6")</f>
        <v>4.6</v>
      </c>
      <c r="G3060" s="4" t="str">
        <f>HYPERLINK("http://141.218.60.56/~jnz1568/getInfo.php?workbook=12_05.xlsx&amp;sheet=U0&amp;row=3060&amp;col=7&amp;number=0.000313&amp;sourceID=14","0.000313")</f>
        <v>0.000313</v>
      </c>
    </row>
    <row r="3061" spans="1:7">
      <c r="A3061" s="3"/>
      <c r="B3061" s="3"/>
      <c r="C3061" s="3"/>
      <c r="D3061" s="3"/>
      <c r="E3061" s="3">
        <v>18</v>
      </c>
      <c r="F3061" s="4" t="str">
        <f>HYPERLINK("http://141.218.60.56/~jnz1568/getInfo.php?workbook=12_05.xlsx&amp;sheet=U0&amp;row=3061&amp;col=6&amp;number=4.7&amp;sourceID=14","4.7")</f>
        <v>4.7</v>
      </c>
      <c r="G3061" s="4" t="str">
        <f>HYPERLINK("http://141.218.60.56/~jnz1568/getInfo.php?workbook=12_05.xlsx&amp;sheet=U0&amp;row=3061&amp;col=7&amp;number=0.00031&amp;sourceID=14","0.00031")</f>
        <v>0.00031</v>
      </c>
    </row>
    <row r="3062" spans="1:7">
      <c r="A3062" s="3"/>
      <c r="B3062" s="3"/>
      <c r="C3062" s="3"/>
      <c r="D3062" s="3"/>
      <c r="E3062" s="3">
        <v>19</v>
      </c>
      <c r="F3062" s="4" t="str">
        <f>HYPERLINK("http://141.218.60.56/~jnz1568/getInfo.php?workbook=12_05.xlsx&amp;sheet=U0&amp;row=3062&amp;col=6&amp;number=4.8&amp;sourceID=14","4.8")</f>
        <v>4.8</v>
      </c>
      <c r="G3062" s="4" t="str">
        <f>HYPERLINK("http://141.218.60.56/~jnz1568/getInfo.php?workbook=12_05.xlsx&amp;sheet=U0&amp;row=3062&amp;col=7&amp;number=0.000307&amp;sourceID=14","0.000307")</f>
        <v>0.000307</v>
      </c>
    </row>
    <row r="3063" spans="1:7">
      <c r="A3063" s="3"/>
      <c r="B3063" s="3"/>
      <c r="C3063" s="3"/>
      <c r="D3063" s="3"/>
      <c r="E3063" s="3">
        <v>20</v>
      </c>
      <c r="F3063" s="4" t="str">
        <f>HYPERLINK("http://141.218.60.56/~jnz1568/getInfo.php?workbook=12_05.xlsx&amp;sheet=U0&amp;row=3063&amp;col=6&amp;number=4.9&amp;sourceID=14","4.9")</f>
        <v>4.9</v>
      </c>
      <c r="G3063" s="4" t="str">
        <f>HYPERLINK("http://141.218.60.56/~jnz1568/getInfo.php?workbook=12_05.xlsx&amp;sheet=U0&amp;row=3063&amp;col=7&amp;number=0.000303&amp;sourceID=14","0.000303")</f>
        <v>0.000303</v>
      </c>
    </row>
    <row r="3064" spans="1:7">
      <c r="A3064" s="3">
        <v>12</v>
      </c>
      <c r="B3064" s="3">
        <v>5</v>
      </c>
      <c r="C3064" s="3">
        <v>1</v>
      </c>
      <c r="D3064" s="3">
        <v>115</v>
      </c>
      <c r="E3064" s="3">
        <v>1</v>
      </c>
      <c r="F3064" s="4" t="str">
        <f>HYPERLINK("http://141.218.60.56/~jnz1568/getInfo.php?workbook=12_05.xlsx&amp;sheet=U0&amp;row=3064&amp;col=6&amp;number=3&amp;sourceID=14","3")</f>
        <v>3</v>
      </c>
      <c r="G3064" s="4" t="str">
        <f>HYPERLINK("http://141.218.60.56/~jnz1568/getInfo.php?workbook=12_05.xlsx&amp;sheet=U0&amp;row=3064&amp;col=7&amp;number=0.000237&amp;sourceID=14","0.000237")</f>
        <v>0.000237</v>
      </c>
    </row>
    <row r="3065" spans="1:7">
      <c r="A3065" s="3"/>
      <c r="B3065" s="3"/>
      <c r="C3065" s="3"/>
      <c r="D3065" s="3"/>
      <c r="E3065" s="3">
        <v>2</v>
      </c>
      <c r="F3065" s="4" t="str">
        <f>HYPERLINK("http://141.218.60.56/~jnz1568/getInfo.php?workbook=12_05.xlsx&amp;sheet=U0&amp;row=3065&amp;col=6&amp;number=3.1&amp;sourceID=14","3.1")</f>
        <v>3.1</v>
      </c>
      <c r="G3065" s="4" t="str">
        <f>HYPERLINK("http://141.218.60.56/~jnz1568/getInfo.php?workbook=12_05.xlsx&amp;sheet=U0&amp;row=3065&amp;col=7&amp;number=0.000237&amp;sourceID=14","0.000237")</f>
        <v>0.000237</v>
      </c>
    </row>
    <row r="3066" spans="1:7">
      <c r="A3066" s="3"/>
      <c r="B3066" s="3"/>
      <c r="C3066" s="3"/>
      <c r="D3066" s="3"/>
      <c r="E3066" s="3">
        <v>3</v>
      </c>
      <c r="F3066" s="4" t="str">
        <f>HYPERLINK("http://141.218.60.56/~jnz1568/getInfo.php?workbook=12_05.xlsx&amp;sheet=U0&amp;row=3066&amp;col=6&amp;number=3.2&amp;sourceID=14","3.2")</f>
        <v>3.2</v>
      </c>
      <c r="G3066" s="4" t="str">
        <f>HYPERLINK("http://141.218.60.56/~jnz1568/getInfo.php?workbook=12_05.xlsx&amp;sheet=U0&amp;row=3066&amp;col=7&amp;number=0.000237&amp;sourceID=14","0.000237")</f>
        <v>0.000237</v>
      </c>
    </row>
    <row r="3067" spans="1:7">
      <c r="A3067" s="3"/>
      <c r="B3067" s="3"/>
      <c r="C3067" s="3"/>
      <c r="D3067" s="3"/>
      <c r="E3067" s="3">
        <v>4</v>
      </c>
      <c r="F3067" s="4" t="str">
        <f>HYPERLINK("http://141.218.60.56/~jnz1568/getInfo.php?workbook=12_05.xlsx&amp;sheet=U0&amp;row=3067&amp;col=6&amp;number=3.3&amp;sourceID=14","3.3")</f>
        <v>3.3</v>
      </c>
      <c r="G3067" s="4" t="str">
        <f>HYPERLINK("http://141.218.60.56/~jnz1568/getInfo.php?workbook=12_05.xlsx&amp;sheet=U0&amp;row=3067&amp;col=7&amp;number=0.000237&amp;sourceID=14","0.000237")</f>
        <v>0.000237</v>
      </c>
    </row>
    <row r="3068" spans="1:7">
      <c r="A3068" s="3"/>
      <c r="B3068" s="3"/>
      <c r="C3068" s="3"/>
      <c r="D3068" s="3"/>
      <c r="E3068" s="3">
        <v>5</v>
      </c>
      <c r="F3068" s="4" t="str">
        <f>HYPERLINK("http://141.218.60.56/~jnz1568/getInfo.php?workbook=12_05.xlsx&amp;sheet=U0&amp;row=3068&amp;col=6&amp;number=3.4&amp;sourceID=14","3.4")</f>
        <v>3.4</v>
      </c>
      <c r="G3068" s="4" t="str">
        <f>HYPERLINK("http://141.218.60.56/~jnz1568/getInfo.php?workbook=12_05.xlsx&amp;sheet=U0&amp;row=3068&amp;col=7&amp;number=0.000237&amp;sourceID=14","0.000237")</f>
        <v>0.000237</v>
      </c>
    </row>
    <row r="3069" spans="1:7">
      <c r="A3069" s="3"/>
      <c r="B3069" s="3"/>
      <c r="C3069" s="3"/>
      <c r="D3069" s="3"/>
      <c r="E3069" s="3">
        <v>6</v>
      </c>
      <c r="F3069" s="4" t="str">
        <f>HYPERLINK("http://141.218.60.56/~jnz1568/getInfo.php?workbook=12_05.xlsx&amp;sheet=U0&amp;row=3069&amp;col=6&amp;number=3.5&amp;sourceID=14","3.5")</f>
        <v>3.5</v>
      </c>
      <c r="G3069" s="4" t="str">
        <f>HYPERLINK("http://141.218.60.56/~jnz1568/getInfo.php?workbook=12_05.xlsx&amp;sheet=U0&amp;row=3069&amp;col=7&amp;number=0.000237&amp;sourceID=14","0.000237")</f>
        <v>0.000237</v>
      </c>
    </row>
    <row r="3070" spans="1:7">
      <c r="A3070" s="3"/>
      <c r="B3070" s="3"/>
      <c r="C3070" s="3"/>
      <c r="D3070" s="3"/>
      <c r="E3070" s="3">
        <v>7</v>
      </c>
      <c r="F3070" s="4" t="str">
        <f>HYPERLINK("http://141.218.60.56/~jnz1568/getInfo.php?workbook=12_05.xlsx&amp;sheet=U0&amp;row=3070&amp;col=6&amp;number=3.6&amp;sourceID=14","3.6")</f>
        <v>3.6</v>
      </c>
      <c r="G3070" s="4" t="str">
        <f>HYPERLINK("http://141.218.60.56/~jnz1568/getInfo.php?workbook=12_05.xlsx&amp;sheet=U0&amp;row=3070&amp;col=7&amp;number=0.000237&amp;sourceID=14","0.000237")</f>
        <v>0.000237</v>
      </c>
    </row>
    <row r="3071" spans="1:7">
      <c r="A3071" s="3"/>
      <c r="B3071" s="3"/>
      <c r="C3071" s="3"/>
      <c r="D3071" s="3"/>
      <c r="E3071" s="3">
        <v>8</v>
      </c>
      <c r="F3071" s="4" t="str">
        <f>HYPERLINK("http://141.218.60.56/~jnz1568/getInfo.php?workbook=12_05.xlsx&amp;sheet=U0&amp;row=3071&amp;col=6&amp;number=3.7&amp;sourceID=14","3.7")</f>
        <v>3.7</v>
      </c>
      <c r="G3071" s="4" t="str">
        <f>HYPERLINK("http://141.218.60.56/~jnz1568/getInfo.php?workbook=12_05.xlsx&amp;sheet=U0&amp;row=3071&amp;col=7&amp;number=0.000237&amp;sourceID=14","0.000237")</f>
        <v>0.000237</v>
      </c>
    </row>
    <row r="3072" spans="1:7">
      <c r="A3072" s="3"/>
      <c r="B3072" s="3"/>
      <c r="C3072" s="3"/>
      <c r="D3072" s="3"/>
      <c r="E3072" s="3">
        <v>9</v>
      </c>
      <c r="F3072" s="4" t="str">
        <f>HYPERLINK("http://141.218.60.56/~jnz1568/getInfo.php?workbook=12_05.xlsx&amp;sheet=U0&amp;row=3072&amp;col=6&amp;number=3.8&amp;sourceID=14","3.8")</f>
        <v>3.8</v>
      </c>
      <c r="G3072" s="4" t="str">
        <f>HYPERLINK("http://141.218.60.56/~jnz1568/getInfo.php?workbook=12_05.xlsx&amp;sheet=U0&amp;row=3072&amp;col=7&amp;number=0.000236&amp;sourceID=14","0.000236")</f>
        <v>0.000236</v>
      </c>
    </row>
    <row r="3073" spans="1:7">
      <c r="A3073" s="3"/>
      <c r="B3073" s="3"/>
      <c r="C3073" s="3"/>
      <c r="D3073" s="3"/>
      <c r="E3073" s="3">
        <v>10</v>
      </c>
      <c r="F3073" s="4" t="str">
        <f>HYPERLINK("http://141.218.60.56/~jnz1568/getInfo.php?workbook=12_05.xlsx&amp;sheet=U0&amp;row=3073&amp;col=6&amp;number=3.9&amp;sourceID=14","3.9")</f>
        <v>3.9</v>
      </c>
      <c r="G3073" s="4" t="str">
        <f>HYPERLINK("http://141.218.60.56/~jnz1568/getInfo.php?workbook=12_05.xlsx&amp;sheet=U0&amp;row=3073&amp;col=7&amp;number=0.000236&amp;sourceID=14","0.000236")</f>
        <v>0.000236</v>
      </c>
    </row>
    <row r="3074" spans="1:7">
      <c r="A3074" s="3"/>
      <c r="B3074" s="3"/>
      <c r="C3074" s="3"/>
      <c r="D3074" s="3"/>
      <c r="E3074" s="3">
        <v>11</v>
      </c>
      <c r="F3074" s="4" t="str">
        <f>HYPERLINK("http://141.218.60.56/~jnz1568/getInfo.php?workbook=12_05.xlsx&amp;sheet=U0&amp;row=3074&amp;col=6&amp;number=4&amp;sourceID=14","4")</f>
        <v>4</v>
      </c>
      <c r="G3074" s="4" t="str">
        <f>HYPERLINK("http://141.218.60.56/~jnz1568/getInfo.php?workbook=12_05.xlsx&amp;sheet=U0&amp;row=3074&amp;col=7&amp;number=0.000236&amp;sourceID=14","0.000236")</f>
        <v>0.000236</v>
      </c>
    </row>
    <row r="3075" spans="1:7">
      <c r="A3075" s="3"/>
      <c r="B3075" s="3"/>
      <c r="C3075" s="3"/>
      <c r="D3075" s="3"/>
      <c r="E3075" s="3">
        <v>12</v>
      </c>
      <c r="F3075" s="4" t="str">
        <f>HYPERLINK("http://141.218.60.56/~jnz1568/getInfo.php?workbook=12_05.xlsx&amp;sheet=U0&amp;row=3075&amp;col=6&amp;number=4.1&amp;sourceID=14","4.1")</f>
        <v>4.1</v>
      </c>
      <c r="G3075" s="4" t="str">
        <f>HYPERLINK("http://141.218.60.56/~jnz1568/getInfo.php?workbook=12_05.xlsx&amp;sheet=U0&amp;row=3075&amp;col=7&amp;number=0.000235&amp;sourceID=14","0.000235")</f>
        <v>0.000235</v>
      </c>
    </row>
    <row r="3076" spans="1:7">
      <c r="A3076" s="3"/>
      <c r="B3076" s="3"/>
      <c r="C3076" s="3"/>
      <c r="D3076" s="3"/>
      <c r="E3076" s="3">
        <v>13</v>
      </c>
      <c r="F3076" s="4" t="str">
        <f>HYPERLINK("http://141.218.60.56/~jnz1568/getInfo.php?workbook=12_05.xlsx&amp;sheet=U0&amp;row=3076&amp;col=6&amp;number=4.2&amp;sourceID=14","4.2")</f>
        <v>4.2</v>
      </c>
      <c r="G3076" s="4" t="str">
        <f>HYPERLINK("http://141.218.60.56/~jnz1568/getInfo.php?workbook=12_05.xlsx&amp;sheet=U0&amp;row=3076&amp;col=7&amp;number=0.000234&amp;sourceID=14","0.000234")</f>
        <v>0.000234</v>
      </c>
    </row>
    <row r="3077" spans="1:7">
      <c r="A3077" s="3"/>
      <c r="B3077" s="3"/>
      <c r="C3077" s="3"/>
      <c r="D3077" s="3"/>
      <c r="E3077" s="3">
        <v>14</v>
      </c>
      <c r="F3077" s="4" t="str">
        <f>HYPERLINK("http://141.218.60.56/~jnz1568/getInfo.php?workbook=12_05.xlsx&amp;sheet=U0&amp;row=3077&amp;col=6&amp;number=4.3&amp;sourceID=14","4.3")</f>
        <v>4.3</v>
      </c>
      <c r="G3077" s="4" t="str">
        <f>HYPERLINK("http://141.218.60.56/~jnz1568/getInfo.php?workbook=12_05.xlsx&amp;sheet=U0&amp;row=3077&amp;col=7&amp;number=0.000234&amp;sourceID=14","0.000234")</f>
        <v>0.000234</v>
      </c>
    </row>
    <row r="3078" spans="1:7">
      <c r="A3078" s="3"/>
      <c r="B3078" s="3"/>
      <c r="C3078" s="3"/>
      <c r="D3078" s="3"/>
      <c r="E3078" s="3">
        <v>15</v>
      </c>
      <c r="F3078" s="4" t="str">
        <f>HYPERLINK("http://141.218.60.56/~jnz1568/getInfo.php?workbook=12_05.xlsx&amp;sheet=U0&amp;row=3078&amp;col=6&amp;number=4.4&amp;sourceID=14","4.4")</f>
        <v>4.4</v>
      </c>
      <c r="G3078" s="4" t="str">
        <f>HYPERLINK("http://141.218.60.56/~jnz1568/getInfo.php?workbook=12_05.xlsx&amp;sheet=U0&amp;row=3078&amp;col=7&amp;number=0.000233&amp;sourceID=14","0.000233")</f>
        <v>0.000233</v>
      </c>
    </row>
    <row r="3079" spans="1:7">
      <c r="A3079" s="3"/>
      <c r="B3079" s="3"/>
      <c r="C3079" s="3"/>
      <c r="D3079" s="3"/>
      <c r="E3079" s="3">
        <v>16</v>
      </c>
      <c r="F3079" s="4" t="str">
        <f>HYPERLINK("http://141.218.60.56/~jnz1568/getInfo.php?workbook=12_05.xlsx&amp;sheet=U0&amp;row=3079&amp;col=6&amp;number=4.5&amp;sourceID=14","4.5")</f>
        <v>4.5</v>
      </c>
      <c r="G3079" s="4" t="str">
        <f>HYPERLINK("http://141.218.60.56/~jnz1568/getInfo.php?workbook=12_05.xlsx&amp;sheet=U0&amp;row=3079&amp;col=7&amp;number=0.000232&amp;sourceID=14","0.000232")</f>
        <v>0.000232</v>
      </c>
    </row>
    <row r="3080" spans="1:7">
      <c r="A3080" s="3"/>
      <c r="B3080" s="3"/>
      <c r="C3080" s="3"/>
      <c r="D3080" s="3"/>
      <c r="E3080" s="3">
        <v>17</v>
      </c>
      <c r="F3080" s="4" t="str">
        <f>HYPERLINK("http://141.218.60.56/~jnz1568/getInfo.php?workbook=12_05.xlsx&amp;sheet=U0&amp;row=3080&amp;col=6&amp;number=4.6&amp;sourceID=14","4.6")</f>
        <v>4.6</v>
      </c>
      <c r="G3080" s="4" t="str">
        <f>HYPERLINK("http://141.218.60.56/~jnz1568/getInfo.php?workbook=12_05.xlsx&amp;sheet=U0&amp;row=3080&amp;col=7&amp;number=0.00023&amp;sourceID=14","0.00023")</f>
        <v>0.00023</v>
      </c>
    </row>
    <row r="3081" spans="1:7">
      <c r="A3081" s="3"/>
      <c r="B3081" s="3"/>
      <c r="C3081" s="3"/>
      <c r="D3081" s="3"/>
      <c r="E3081" s="3">
        <v>18</v>
      </c>
      <c r="F3081" s="4" t="str">
        <f>HYPERLINK("http://141.218.60.56/~jnz1568/getInfo.php?workbook=12_05.xlsx&amp;sheet=U0&amp;row=3081&amp;col=6&amp;number=4.7&amp;sourceID=14","4.7")</f>
        <v>4.7</v>
      </c>
      <c r="G3081" s="4" t="str">
        <f>HYPERLINK("http://141.218.60.56/~jnz1568/getInfo.php?workbook=12_05.xlsx&amp;sheet=U0&amp;row=3081&amp;col=7&amp;number=0.000228&amp;sourceID=14","0.000228")</f>
        <v>0.000228</v>
      </c>
    </row>
    <row r="3082" spans="1:7">
      <c r="A3082" s="3"/>
      <c r="B3082" s="3"/>
      <c r="C3082" s="3"/>
      <c r="D3082" s="3"/>
      <c r="E3082" s="3">
        <v>19</v>
      </c>
      <c r="F3082" s="4" t="str">
        <f>HYPERLINK("http://141.218.60.56/~jnz1568/getInfo.php?workbook=12_05.xlsx&amp;sheet=U0&amp;row=3082&amp;col=6&amp;number=4.8&amp;sourceID=14","4.8")</f>
        <v>4.8</v>
      </c>
      <c r="G3082" s="4" t="str">
        <f>HYPERLINK("http://141.218.60.56/~jnz1568/getInfo.php?workbook=12_05.xlsx&amp;sheet=U0&amp;row=3082&amp;col=7&amp;number=0.000226&amp;sourceID=14","0.000226")</f>
        <v>0.000226</v>
      </c>
    </row>
    <row r="3083" spans="1:7">
      <c r="A3083" s="3"/>
      <c r="B3083" s="3"/>
      <c r="C3083" s="3"/>
      <c r="D3083" s="3"/>
      <c r="E3083" s="3">
        <v>20</v>
      </c>
      <c r="F3083" s="4" t="str">
        <f>HYPERLINK("http://141.218.60.56/~jnz1568/getInfo.php?workbook=12_05.xlsx&amp;sheet=U0&amp;row=3083&amp;col=6&amp;number=4.9&amp;sourceID=14","4.9")</f>
        <v>4.9</v>
      </c>
      <c r="G3083" s="4" t="str">
        <f>HYPERLINK("http://141.218.60.56/~jnz1568/getInfo.php?workbook=12_05.xlsx&amp;sheet=U0&amp;row=3083&amp;col=7&amp;number=0.000223&amp;sourceID=14","0.000223")</f>
        <v>0.000223</v>
      </c>
    </row>
    <row r="3084" spans="1:7">
      <c r="A3084" s="3">
        <v>12</v>
      </c>
      <c r="B3084" s="3">
        <v>5</v>
      </c>
      <c r="C3084" s="3">
        <v>1</v>
      </c>
      <c r="D3084" s="3">
        <v>116</v>
      </c>
      <c r="E3084" s="3">
        <v>1</v>
      </c>
      <c r="F3084" s="4" t="str">
        <f>HYPERLINK("http://141.218.60.56/~jnz1568/getInfo.php?workbook=12_05.xlsx&amp;sheet=U0&amp;row=3084&amp;col=6&amp;number=3&amp;sourceID=14","3")</f>
        <v>3</v>
      </c>
      <c r="G3084" s="4" t="str">
        <f>HYPERLINK("http://141.218.60.56/~jnz1568/getInfo.php?workbook=12_05.xlsx&amp;sheet=U0&amp;row=3084&amp;col=7&amp;number=0.000161&amp;sourceID=14","0.000161")</f>
        <v>0.000161</v>
      </c>
    </row>
    <row r="3085" spans="1:7">
      <c r="A3085" s="3"/>
      <c r="B3085" s="3"/>
      <c r="C3085" s="3"/>
      <c r="D3085" s="3"/>
      <c r="E3085" s="3">
        <v>2</v>
      </c>
      <c r="F3085" s="4" t="str">
        <f>HYPERLINK("http://141.218.60.56/~jnz1568/getInfo.php?workbook=12_05.xlsx&amp;sheet=U0&amp;row=3085&amp;col=6&amp;number=3.1&amp;sourceID=14","3.1")</f>
        <v>3.1</v>
      </c>
      <c r="G3085" s="4" t="str">
        <f>HYPERLINK("http://141.218.60.56/~jnz1568/getInfo.php?workbook=12_05.xlsx&amp;sheet=U0&amp;row=3085&amp;col=7&amp;number=0.000161&amp;sourceID=14","0.000161")</f>
        <v>0.000161</v>
      </c>
    </row>
    <row r="3086" spans="1:7">
      <c r="A3086" s="3"/>
      <c r="B3086" s="3"/>
      <c r="C3086" s="3"/>
      <c r="D3086" s="3"/>
      <c r="E3086" s="3">
        <v>3</v>
      </c>
      <c r="F3086" s="4" t="str">
        <f>HYPERLINK("http://141.218.60.56/~jnz1568/getInfo.php?workbook=12_05.xlsx&amp;sheet=U0&amp;row=3086&amp;col=6&amp;number=3.2&amp;sourceID=14","3.2")</f>
        <v>3.2</v>
      </c>
      <c r="G3086" s="4" t="str">
        <f>HYPERLINK("http://141.218.60.56/~jnz1568/getInfo.php?workbook=12_05.xlsx&amp;sheet=U0&amp;row=3086&amp;col=7&amp;number=0.000161&amp;sourceID=14","0.000161")</f>
        <v>0.000161</v>
      </c>
    </row>
    <row r="3087" spans="1:7">
      <c r="A3087" s="3"/>
      <c r="B3087" s="3"/>
      <c r="C3087" s="3"/>
      <c r="D3087" s="3"/>
      <c r="E3087" s="3">
        <v>4</v>
      </c>
      <c r="F3087" s="4" t="str">
        <f>HYPERLINK("http://141.218.60.56/~jnz1568/getInfo.php?workbook=12_05.xlsx&amp;sheet=U0&amp;row=3087&amp;col=6&amp;number=3.3&amp;sourceID=14","3.3")</f>
        <v>3.3</v>
      </c>
      <c r="G3087" s="4" t="str">
        <f>HYPERLINK("http://141.218.60.56/~jnz1568/getInfo.php?workbook=12_05.xlsx&amp;sheet=U0&amp;row=3087&amp;col=7&amp;number=0.000161&amp;sourceID=14","0.000161")</f>
        <v>0.000161</v>
      </c>
    </row>
    <row r="3088" spans="1:7">
      <c r="A3088" s="3"/>
      <c r="B3088" s="3"/>
      <c r="C3088" s="3"/>
      <c r="D3088" s="3"/>
      <c r="E3088" s="3">
        <v>5</v>
      </c>
      <c r="F3088" s="4" t="str">
        <f>HYPERLINK("http://141.218.60.56/~jnz1568/getInfo.php?workbook=12_05.xlsx&amp;sheet=U0&amp;row=3088&amp;col=6&amp;number=3.4&amp;sourceID=14","3.4")</f>
        <v>3.4</v>
      </c>
      <c r="G3088" s="4" t="str">
        <f>HYPERLINK("http://141.218.60.56/~jnz1568/getInfo.php?workbook=12_05.xlsx&amp;sheet=U0&amp;row=3088&amp;col=7&amp;number=0.000161&amp;sourceID=14","0.000161")</f>
        <v>0.000161</v>
      </c>
    </row>
    <row r="3089" spans="1:7">
      <c r="A3089" s="3"/>
      <c r="B3089" s="3"/>
      <c r="C3089" s="3"/>
      <c r="D3089" s="3"/>
      <c r="E3089" s="3">
        <v>6</v>
      </c>
      <c r="F3089" s="4" t="str">
        <f>HYPERLINK("http://141.218.60.56/~jnz1568/getInfo.php?workbook=12_05.xlsx&amp;sheet=U0&amp;row=3089&amp;col=6&amp;number=3.5&amp;sourceID=14","3.5")</f>
        <v>3.5</v>
      </c>
      <c r="G3089" s="4" t="str">
        <f>HYPERLINK("http://141.218.60.56/~jnz1568/getInfo.php?workbook=12_05.xlsx&amp;sheet=U0&amp;row=3089&amp;col=7&amp;number=0.000161&amp;sourceID=14","0.000161")</f>
        <v>0.000161</v>
      </c>
    </row>
    <row r="3090" spans="1:7">
      <c r="A3090" s="3"/>
      <c r="B3090" s="3"/>
      <c r="C3090" s="3"/>
      <c r="D3090" s="3"/>
      <c r="E3090" s="3">
        <v>7</v>
      </c>
      <c r="F3090" s="4" t="str">
        <f>HYPERLINK("http://141.218.60.56/~jnz1568/getInfo.php?workbook=12_05.xlsx&amp;sheet=U0&amp;row=3090&amp;col=6&amp;number=3.6&amp;sourceID=14","3.6")</f>
        <v>3.6</v>
      </c>
      <c r="G3090" s="4" t="str">
        <f>HYPERLINK("http://141.218.60.56/~jnz1568/getInfo.php?workbook=12_05.xlsx&amp;sheet=U0&amp;row=3090&amp;col=7&amp;number=0.000161&amp;sourceID=14","0.000161")</f>
        <v>0.000161</v>
      </c>
    </row>
    <row r="3091" spans="1:7">
      <c r="A3091" s="3"/>
      <c r="B3091" s="3"/>
      <c r="C3091" s="3"/>
      <c r="D3091" s="3"/>
      <c r="E3091" s="3">
        <v>8</v>
      </c>
      <c r="F3091" s="4" t="str">
        <f>HYPERLINK("http://141.218.60.56/~jnz1568/getInfo.php?workbook=12_05.xlsx&amp;sheet=U0&amp;row=3091&amp;col=6&amp;number=3.7&amp;sourceID=14","3.7")</f>
        <v>3.7</v>
      </c>
      <c r="G3091" s="4" t="str">
        <f>HYPERLINK("http://141.218.60.56/~jnz1568/getInfo.php?workbook=12_05.xlsx&amp;sheet=U0&amp;row=3091&amp;col=7&amp;number=0.000161&amp;sourceID=14","0.000161")</f>
        <v>0.000161</v>
      </c>
    </row>
    <row r="3092" spans="1:7">
      <c r="A3092" s="3"/>
      <c r="B3092" s="3"/>
      <c r="C3092" s="3"/>
      <c r="D3092" s="3"/>
      <c r="E3092" s="3">
        <v>9</v>
      </c>
      <c r="F3092" s="4" t="str">
        <f>HYPERLINK("http://141.218.60.56/~jnz1568/getInfo.php?workbook=12_05.xlsx&amp;sheet=U0&amp;row=3092&amp;col=6&amp;number=3.8&amp;sourceID=14","3.8")</f>
        <v>3.8</v>
      </c>
      <c r="G3092" s="4" t="str">
        <f>HYPERLINK("http://141.218.60.56/~jnz1568/getInfo.php?workbook=12_05.xlsx&amp;sheet=U0&amp;row=3092&amp;col=7&amp;number=0.000161&amp;sourceID=14","0.000161")</f>
        <v>0.000161</v>
      </c>
    </row>
    <row r="3093" spans="1:7">
      <c r="A3093" s="3"/>
      <c r="B3093" s="3"/>
      <c r="C3093" s="3"/>
      <c r="D3093" s="3"/>
      <c r="E3093" s="3">
        <v>10</v>
      </c>
      <c r="F3093" s="4" t="str">
        <f>HYPERLINK("http://141.218.60.56/~jnz1568/getInfo.php?workbook=12_05.xlsx&amp;sheet=U0&amp;row=3093&amp;col=6&amp;number=3.9&amp;sourceID=14","3.9")</f>
        <v>3.9</v>
      </c>
      <c r="G3093" s="4" t="str">
        <f>HYPERLINK("http://141.218.60.56/~jnz1568/getInfo.php?workbook=12_05.xlsx&amp;sheet=U0&amp;row=3093&amp;col=7&amp;number=0.000161&amp;sourceID=14","0.000161")</f>
        <v>0.000161</v>
      </c>
    </row>
    <row r="3094" spans="1:7">
      <c r="A3094" s="3"/>
      <c r="B3094" s="3"/>
      <c r="C3094" s="3"/>
      <c r="D3094" s="3"/>
      <c r="E3094" s="3">
        <v>11</v>
      </c>
      <c r="F3094" s="4" t="str">
        <f>HYPERLINK("http://141.218.60.56/~jnz1568/getInfo.php?workbook=12_05.xlsx&amp;sheet=U0&amp;row=3094&amp;col=6&amp;number=4&amp;sourceID=14","4")</f>
        <v>4</v>
      </c>
      <c r="G3094" s="4" t="str">
        <f>HYPERLINK("http://141.218.60.56/~jnz1568/getInfo.php?workbook=12_05.xlsx&amp;sheet=U0&amp;row=3094&amp;col=7&amp;number=0.00016&amp;sourceID=14","0.00016")</f>
        <v>0.00016</v>
      </c>
    </row>
    <row r="3095" spans="1:7">
      <c r="A3095" s="3"/>
      <c r="B3095" s="3"/>
      <c r="C3095" s="3"/>
      <c r="D3095" s="3"/>
      <c r="E3095" s="3">
        <v>12</v>
      </c>
      <c r="F3095" s="4" t="str">
        <f>HYPERLINK("http://141.218.60.56/~jnz1568/getInfo.php?workbook=12_05.xlsx&amp;sheet=U0&amp;row=3095&amp;col=6&amp;number=4.1&amp;sourceID=14","4.1")</f>
        <v>4.1</v>
      </c>
      <c r="G3095" s="4" t="str">
        <f>HYPERLINK("http://141.218.60.56/~jnz1568/getInfo.php?workbook=12_05.xlsx&amp;sheet=U0&amp;row=3095&amp;col=7&amp;number=0.00016&amp;sourceID=14","0.00016")</f>
        <v>0.00016</v>
      </c>
    </row>
    <row r="3096" spans="1:7">
      <c r="A3096" s="3"/>
      <c r="B3096" s="3"/>
      <c r="C3096" s="3"/>
      <c r="D3096" s="3"/>
      <c r="E3096" s="3">
        <v>13</v>
      </c>
      <c r="F3096" s="4" t="str">
        <f>HYPERLINK("http://141.218.60.56/~jnz1568/getInfo.php?workbook=12_05.xlsx&amp;sheet=U0&amp;row=3096&amp;col=6&amp;number=4.2&amp;sourceID=14","4.2")</f>
        <v>4.2</v>
      </c>
      <c r="G3096" s="4" t="str">
        <f>HYPERLINK("http://141.218.60.56/~jnz1568/getInfo.php?workbook=12_05.xlsx&amp;sheet=U0&amp;row=3096&amp;col=7&amp;number=0.00016&amp;sourceID=14","0.00016")</f>
        <v>0.00016</v>
      </c>
    </row>
    <row r="3097" spans="1:7">
      <c r="A3097" s="3"/>
      <c r="B3097" s="3"/>
      <c r="C3097" s="3"/>
      <c r="D3097" s="3"/>
      <c r="E3097" s="3">
        <v>14</v>
      </c>
      <c r="F3097" s="4" t="str">
        <f>HYPERLINK("http://141.218.60.56/~jnz1568/getInfo.php?workbook=12_05.xlsx&amp;sheet=U0&amp;row=3097&amp;col=6&amp;number=4.3&amp;sourceID=14","4.3")</f>
        <v>4.3</v>
      </c>
      <c r="G3097" s="4" t="str">
        <f>HYPERLINK("http://141.218.60.56/~jnz1568/getInfo.php?workbook=12_05.xlsx&amp;sheet=U0&amp;row=3097&amp;col=7&amp;number=0.000159&amp;sourceID=14","0.000159")</f>
        <v>0.000159</v>
      </c>
    </row>
    <row r="3098" spans="1:7">
      <c r="A3098" s="3"/>
      <c r="B3098" s="3"/>
      <c r="C3098" s="3"/>
      <c r="D3098" s="3"/>
      <c r="E3098" s="3">
        <v>15</v>
      </c>
      <c r="F3098" s="4" t="str">
        <f>HYPERLINK("http://141.218.60.56/~jnz1568/getInfo.php?workbook=12_05.xlsx&amp;sheet=U0&amp;row=3098&amp;col=6&amp;number=4.4&amp;sourceID=14","4.4")</f>
        <v>4.4</v>
      </c>
      <c r="G3098" s="4" t="str">
        <f>HYPERLINK("http://141.218.60.56/~jnz1568/getInfo.php?workbook=12_05.xlsx&amp;sheet=U0&amp;row=3098&amp;col=7&amp;number=0.000159&amp;sourceID=14","0.000159")</f>
        <v>0.000159</v>
      </c>
    </row>
    <row r="3099" spans="1:7">
      <c r="A3099" s="3"/>
      <c r="B3099" s="3"/>
      <c r="C3099" s="3"/>
      <c r="D3099" s="3"/>
      <c r="E3099" s="3">
        <v>16</v>
      </c>
      <c r="F3099" s="4" t="str">
        <f>HYPERLINK("http://141.218.60.56/~jnz1568/getInfo.php?workbook=12_05.xlsx&amp;sheet=U0&amp;row=3099&amp;col=6&amp;number=4.5&amp;sourceID=14","4.5")</f>
        <v>4.5</v>
      </c>
      <c r="G3099" s="4" t="str">
        <f>HYPERLINK("http://141.218.60.56/~jnz1568/getInfo.php?workbook=12_05.xlsx&amp;sheet=U0&amp;row=3099&amp;col=7&amp;number=0.000158&amp;sourceID=14","0.000158")</f>
        <v>0.000158</v>
      </c>
    </row>
    <row r="3100" spans="1:7">
      <c r="A3100" s="3"/>
      <c r="B3100" s="3"/>
      <c r="C3100" s="3"/>
      <c r="D3100" s="3"/>
      <c r="E3100" s="3">
        <v>17</v>
      </c>
      <c r="F3100" s="4" t="str">
        <f>HYPERLINK("http://141.218.60.56/~jnz1568/getInfo.php?workbook=12_05.xlsx&amp;sheet=U0&amp;row=3100&amp;col=6&amp;number=4.6&amp;sourceID=14","4.6")</f>
        <v>4.6</v>
      </c>
      <c r="G3100" s="4" t="str">
        <f>HYPERLINK("http://141.218.60.56/~jnz1568/getInfo.php?workbook=12_05.xlsx&amp;sheet=U0&amp;row=3100&amp;col=7&amp;number=0.000157&amp;sourceID=14","0.000157")</f>
        <v>0.000157</v>
      </c>
    </row>
    <row r="3101" spans="1:7">
      <c r="A3101" s="3"/>
      <c r="B3101" s="3"/>
      <c r="C3101" s="3"/>
      <c r="D3101" s="3"/>
      <c r="E3101" s="3">
        <v>18</v>
      </c>
      <c r="F3101" s="4" t="str">
        <f>HYPERLINK("http://141.218.60.56/~jnz1568/getInfo.php?workbook=12_05.xlsx&amp;sheet=U0&amp;row=3101&amp;col=6&amp;number=4.7&amp;sourceID=14","4.7")</f>
        <v>4.7</v>
      </c>
      <c r="G3101" s="4" t="str">
        <f>HYPERLINK("http://141.218.60.56/~jnz1568/getInfo.php?workbook=12_05.xlsx&amp;sheet=U0&amp;row=3101&amp;col=7&amp;number=0.000156&amp;sourceID=14","0.000156")</f>
        <v>0.000156</v>
      </c>
    </row>
    <row r="3102" spans="1:7">
      <c r="A3102" s="3"/>
      <c r="B3102" s="3"/>
      <c r="C3102" s="3"/>
      <c r="D3102" s="3"/>
      <c r="E3102" s="3">
        <v>19</v>
      </c>
      <c r="F3102" s="4" t="str">
        <f>HYPERLINK("http://141.218.60.56/~jnz1568/getInfo.php?workbook=12_05.xlsx&amp;sheet=U0&amp;row=3102&amp;col=6&amp;number=4.8&amp;sourceID=14","4.8")</f>
        <v>4.8</v>
      </c>
      <c r="G3102" s="4" t="str">
        <f>HYPERLINK("http://141.218.60.56/~jnz1568/getInfo.php?workbook=12_05.xlsx&amp;sheet=U0&amp;row=3102&amp;col=7&amp;number=0.000154&amp;sourceID=14","0.000154")</f>
        <v>0.000154</v>
      </c>
    </row>
    <row r="3103" spans="1:7">
      <c r="A3103" s="3"/>
      <c r="B3103" s="3"/>
      <c r="C3103" s="3"/>
      <c r="D3103" s="3"/>
      <c r="E3103" s="3">
        <v>20</v>
      </c>
      <c r="F3103" s="4" t="str">
        <f>HYPERLINK("http://141.218.60.56/~jnz1568/getInfo.php?workbook=12_05.xlsx&amp;sheet=U0&amp;row=3103&amp;col=6&amp;number=4.9&amp;sourceID=14","4.9")</f>
        <v>4.9</v>
      </c>
      <c r="G3103" s="4" t="str">
        <f>HYPERLINK("http://141.218.60.56/~jnz1568/getInfo.php?workbook=12_05.xlsx&amp;sheet=U0&amp;row=3103&amp;col=7&amp;number=0.000152&amp;sourceID=14","0.000152")</f>
        <v>0.000152</v>
      </c>
    </row>
    <row r="3104" spans="1:7">
      <c r="A3104" s="3">
        <v>12</v>
      </c>
      <c r="B3104" s="3">
        <v>5</v>
      </c>
      <c r="C3104" s="3">
        <v>1</v>
      </c>
      <c r="D3104" s="3">
        <v>117</v>
      </c>
      <c r="E3104" s="3">
        <v>1</v>
      </c>
      <c r="F3104" s="4" t="str">
        <f>HYPERLINK("http://141.218.60.56/~jnz1568/getInfo.php?workbook=12_05.xlsx&amp;sheet=U0&amp;row=3104&amp;col=6&amp;number=3&amp;sourceID=14","3")</f>
        <v>3</v>
      </c>
      <c r="G3104" s="4" t="str">
        <f>HYPERLINK("http://141.218.60.56/~jnz1568/getInfo.php?workbook=12_05.xlsx&amp;sheet=U0&amp;row=3104&amp;col=7&amp;number=0.000791&amp;sourceID=14","0.000791")</f>
        <v>0.000791</v>
      </c>
    </row>
    <row r="3105" spans="1:7">
      <c r="A3105" s="3"/>
      <c r="B3105" s="3"/>
      <c r="C3105" s="3"/>
      <c r="D3105" s="3"/>
      <c r="E3105" s="3">
        <v>2</v>
      </c>
      <c r="F3105" s="4" t="str">
        <f>HYPERLINK("http://141.218.60.56/~jnz1568/getInfo.php?workbook=12_05.xlsx&amp;sheet=U0&amp;row=3105&amp;col=6&amp;number=3.1&amp;sourceID=14","3.1")</f>
        <v>3.1</v>
      </c>
      <c r="G3105" s="4" t="str">
        <f>HYPERLINK("http://141.218.60.56/~jnz1568/getInfo.php?workbook=12_05.xlsx&amp;sheet=U0&amp;row=3105&amp;col=7&amp;number=0.000791&amp;sourceID=14","0.000791")</f>
        <v>0.000791</v>
      </c>
    </row>
    <row r="3106" spans="1:7">
      <c r="A3106" s="3"/>
      <c r="B3106" s="3"/>
      <c r="C3106" s="3"/>
      <c r="D3106" s="3"/>
      <c r="E3106" s="3">
        <v>3</v>
      </c>
      <c r="F3106" s="4" t="str">
        <f>HYPERLINK("http://141.218.60.56/~jnz1568/getInfo.php?workbook=12_05.xlsx&amp;sheet=U0&amp;row=3106&amp;col=6&amp;number=3.2&amp;sourceID=14","3.2")</f>
        <v>3.2</v>
      </c>
      <c r="G3106" s="4" t="str">
        <f>HYPERLINK("http://141.218.60.56/~jnz1568/getInfo.php?workbook=12_05.xlsx&amp;sheet=U0&amp;row=3106&amp;col=7&amp;number=0.000791&amp;sourceID=14","0.000791")</f>
        <v>0.000791</v>
      </c>
    </row>
    <row r="3107" spans="1:7">
      <c r="A3107" s="3"/>
      <c r="B3107" s="3"/>
      <c r="C3107" s="3"/>
      <c r="D3107" s="3"/>
      <c r="E3107" s="3">
        <v>4</v>
      </c>
      <c r="F3107" s="4" t="str">
        <f>HYPERLINK("http://141.218.60.56/~jnz1568/getInfo.php?workbook=12_05.xlsx&amp;sheet=U0&amp;row=3107&amp;col=6&amp;number=3.3&amp;sourceID=14","3.3")</f>
        <v>3.3</v>
      </c>
      <c r="G3107" s="4" t="str">
        <f>HYPERLINK("http://141.218.60.56/~jnz1568/getInfo.php?workbook=12_05.xlsx&amp;sheet=U0&amp;row=3107&amp;col=7&amp;number=0.000791&amp;sourceID=14","0.000791")</f>
        <v>0.000791</v>
      </c>
    </row>
    <row r="3108" spans="1:7">
      <c r="A3108" s="3"/>
      <c r="B3108" s="3"/>
      <c r="C3108" s="3"/>
      <c r="D3108" s="3"/>
      <c r="E3108" s="3">
        <v>5</v>
      </c>
      <c r="F3108" s="4" t="str">
        <f>HYPERLINK("http://141.218.60.56/~jnz1568/getInfo.php?workbook=12_05.xlsx&amp;sheet=U0&amp;row=3108&amp;col=6&amp;number=3.4&amp;sourceID=14","3.4")</f>
        <v>3.4</v>
      </c>
      <c r="G3108" s="4" t="str">
        <f>HYPERLINK("http://141.218.60.56/~jnz1568/getInfo.php?workbook=12_05.xlsx&amp;sheet=U0&amp;row=3108&amp;col=7&amp;number=0.000791&amp;sourceID=14","0.000791")</f>
        <v>0.000791</v>
      </c>
    </row>
    <row r="3109" spans="1:7">
      <c r="A3109" s="3"/>
      <c r="B3109" s="3"/>
      <c r="C3109" s="3"/>
      <c r="D3109" s="3"/>
      <c r="E3109" s="3">
        <v>6</v>
      </c>
      <c r="F3109" s="4" t="str">
        <f>HYPERLINK("http://141.218.60.56/~jnz1568/getInfo.php?workbook=12_05.xlsx&amp;sheet=U0&amp;row=3109&amp;col=6&amp;number=3.5&amp;sourceID=14","3.5")</f>
        <v>3.5</v>
      </c>
      <c r="G3109" s="4" t="str">
        <f>HYPERLINK("http://141.218.60.56/~jnz1568/getInfo.php?workbook=12_05.xlsx&amp;sheet=U0&amp;row=3109&amp;col=7&amp;number=0.000792&amp;sourceID=14","0.000792")</f>
        <v>0.000792</v>
      </c>
    </row>
    <row r="3110" spans="1:7">
      <c r="A3110" s="3"/>
      <c r="B3110" s="3"/>
      <c r="C3110" s="3"/>
      <c r="D3110" s="3"/>
      <c r="E3110" s="3">
        <v>7</v>
      </c>
      <c r="F3110" s="4" t="str">
        <f>HYPERLINK("http://141.218.60.56/~jnz1568/getInfo.php?workbook=12_05.xlsx&amp;sheet=U0&amp;row=3110&amp;col=6&amp;number=3.6&amp;sourceID=14","3.6")</f>
        <v>3.6</v>
      </c>
      <c r="G3110" s="4" t="str">
        <f>HYPERLINK("http://141.218.60.56/~jnz1568/getInfo.php?workbook=12_05.xlsx&amp;sheet=U0&amp;row=3110&amp;col=7&amp;number=0.000792&amp;sourceID=14","0.000792")</f>
        <v>0.000792</v>
      </c>
    </row>
    <row r="3111" spans="1:7">
      <c r="A3111" s="3"/>
      <c r="B3111" s="3"/>
      <c r="C3111" s="3"/>
      <c r="D3111" s="3"/>
      <c r="E3111" s="3">
        <v>8</v>
      </c>
      <c r="F3111" s="4" t="str">
        <f>HYPERLINK("http://141.218.60.56/~jnz1568/getInfo.php?workbook=12_05.xlsx&amp;sheet=U0&amp;row=3111&amp;col=6&amp;number=3.7&amp;sourceID=14","3.7")</f>
        <v>3.7</v>
      </c>
      <c r="G3111" s="4" t="str">
        <f>HYPERLINK("http://141.218.60.56/~jnz1568/getInfo.php?workbook=12_05.xlsx&amp;sheet=U0&amp;row=3111&amp;col=7&amp;number=0.000792&amp;sourceID=14","0.000792")</f>
        <v>0.000792</v>
      </c>
    </row>
    <row r="3112" spans="1:7">
      <c r="A3112" s="3"/>
      <c r="B3112" s="3"/>
      <c r="C3112" s="3"/>
      <c r="D3112" s="3"/>
      <c r="E3112" s="3">
        <v>9</v>
      </c>
      <c r="F3112" s="4" t="str">
        <f>HYPERLINK("http://141.218.60.56/~jnz1568/getInfo.php?workbook=12_05.xlsx&amp;sheet=U0&amp;row=3112&amp;col=6&amp;number=3.8&amp;sourceID=14","3.8")</f>
        <v>3.8</v>
      </c>
      <c r="G3112" s="4" t="str">
        <f>HYPERLINK("http://141.218.60.56/~jnz1568/getInfo.php?workbook=12_05.xlsx&amp;sheet=U0&amp;row=3112&amp;col=7&amp;number=0.000793&amp;sourceID=14","0.000793")</f>
        <v>0.000793</v>
      </c>
    </row>
    <row r="3113" spans="1:7">
      <c r="A3113" s="3"/>
      <c r="B3113" s="3"/>
      <c r="C3113" s="3"/>
      <c r="D3113" s="3"/>
      <c r="E3113" s="3">
        <v>10</v>
      </c>
      <c r="F3113" s="4" t="str">
        <f>HYPERLINK("http://141.218.60.56/~jnz1568/getInfo.php?workbook=12_05.xlsx&amp;sheet=U0&amp;row=3113&amp;col=6&amp;number=3.9&amp;sourceID=14","3.9")</f>
        <v>3.9</v>
      </c>
      <c r="G3113" s="4" t="str">
        <f>HYPERLINK("http://141.218.60.56/~jnz1568/getInfo.php?workbook=12_05.xlsx&amp;sheet=U0&amp;row=3113&amp;col=7&amp;number=0.000793&amp;sourceID=14","0.000793")</f>
        <v>0.000793</v>
      </c>
    </row>
    <row r="3114" spans="1:7">
      <c r="A3114" s="3"/>
      <c r="B3114" s="3"/>
      <c r="C3114" s="3"/>
      <c r="D3114" s="3"/>
      <c r="E3114" s="3">
        <v>11</v>
      </c>
      <c r="F3114" s="4" t="str">
        <f>HYPERLINK("http://141.218.60.56/~jnz1568/getInfo.php?workbook=12_05.xlsx&amp;sheet=U0&amp;row=3114&amp;col=6&amp;number=4&amp;sourceID=14","4")</f>
        <v>4</v>
      </c>
      <c r="G3114" s="4" t="str">
        <f>HYPERLINK("http://141.218.60.56/~jnz1568/getInfo.php?workbook=12_05.xlsx&amp;sheet=U0&amp;row=3114&amp;col=7&amp;number=0.000794&amp;sourceID=14","0.000794")</f>
        <v>0.000794</v>
      </c>
    </row>
    <row r="3115" spans="1:7">
      <c r="A3115" s="3"/>
      <c r="B3115" s="3"/>
      <c r="C3115" s="3"/>
      <c r="D3115" s="3"/>
      <c r="E3115" s="3">
        <v>12</v>
      </c>
      <c r="F3115" s="4" t="str">
        <f>HYPERLINK("http://141.218.60.56/~jnz1568/getInfo.php?workbook=12_05.xlsx&amp;sheet=U0&amp;row=3115&amp;col=6&amp;number=4.1&amp;sourceID=14","4.1")</f>
        <v>4.1</v>
      </c>
      <c r="G3115" s="4" t="str">
        <f>HYPERLINK("http://141.218.60.56/~jnz1568/getInfo.php?workbook=12_05.xlsx&amp;sheet=U0&amp;row=3115&amp;col=7&amp;number=0.000795&amp;sourceID=14","0.000795")</f>
        <v>0.000795</v>
      </c>
    </row>
    <row r="3116" spans="1:7">
      <c r="A3116" s="3"/>
      <c r="B3116" s="3"/>
      <c r="C3116" s="3"/>
      <c r="D3116" s="3"/>
      <c r="E3116" s="3">
        <v>13</v>
      </c>
      <c r="F3116" s="4" t="str">
        <f>HYPERLINK("http://141.218.60.56/~jnz1568/getInfo.php?workbook=12_05.xlsx&amp;sheet=U0&amp;row=3116&amp;col=6&amp;number=4.2&amp;sourceID=14","4.2")</f>
        <v>4.2</v>
      </c>
      <c r="G3116" s="4" t="str">
        <f>HYPERLINK("http://141.218.60.56/~jnz1568/getInfo.php?workbook=12_05.xlsx&amp;sheet=U0&amp;row=3116&amp;col=7&amp;number=0.000796&amp;sourceID=14","0.000796")</f>
        <v>0.000796</v>
      </c>
    </row>
    <row r="3117" spans="1:7">
      <c r="A3117" s="3"/>
      <c r="B3117" s="3"/>
      <c r="C3117" s="3"/>
      <c r="D3117" s="3"/>
      <c r="E3117" s="3">
        <v>14</v>
      </c>
      <c r="F3117" s="4" t="str">
        <f>HYPERLINK("http://141.218.60.56/~jnz1568/getInfo.php?workbook=12_05.xlsx&amp;sheet=U0&amp;row=3117&amp;col=6&amp;number=4.3&amp;sourceID=14","4.3")</f>
        <v>4.3</v>
      </c>
      <c r="G3117" s="4" t="str">
        <f>HYPERLINK("http://141.218.60.56/~jnz1568/getInfo.php?workbook=12_05.xlsx&amp;sheet=U0&amp;row=3117&amp;col=7&amp;number=0.000797&amp;sourceID=14","0.000797")</f>
        <v>0.000797</v>
      </c>
    </row>
    <row r="3118" spans="1:7">
      <c r="A3118" s="3"/>
      <c r="B3118" s="3"/>
      <c r="C3118" s="3"/>
      <c r="D3118" s="3"/>
      <c r="E3118" s="3">
        <v>15</v>
      </c>
      <c r="F3118" s="4" t="str">
        <f>HYPERLINK("http://141.218.60.56/~jnz1568/getInfo.php?workbook=12_05.xlsx&amp;sheet=U0&amp;row=3118&amp;col=6&amp;number=4.4&amp;sourceID=14","4.4")</f>
        <v>4.4</v>
      </c>
      <c r="G3118" s="4" t="str">
        <f>HYPERLINK("http://141.218.60.56/~jnz1568/getInfo.php?workbook=12_05.xlsx&amp;sheet=U0&amp;row=3118&amp;col=7&amp;number=0.000798&amp;sourceID=14","0.000798")</f>
        <v>0.000798</v>
      </c>
    </row>
    <row r="3119" spans="1:7">
      <c r="A3119" s="3"/>
      <c r="B3119" s="3"/>
      <c r="C3119" s="3"/>
      <c r="D3119" s="3"/>
      <c r="E3119" s="3">
        <v>16</v>
      </c>
      <c r="F3119" s="4" t="str">
        <f>HYPERLINK("http://141.218.60.56/~jnz1568/getInfo.php?workbook=12_05.xlsx&amp;sheet=U0&amp;row=3119&amp;col=6&amp;number=4.5&amp;sourceID=14","4.5")</f>
        <v>4.5</v>
      </c>
      <c r="G3119" s="4" t="str">
        <f>HYPERLINK("http://141.218.60.56/~jnz1568/getInfo.php?workbook=12_05.xlsx&amp;sheet=U0&amp;row=3119&amp;col=7&amp;number=0.000801&amp;sourceID=14","0.000801")</f>
        <v>0.000801</v>
      </c>
    </row>
    <row r="3120" spans="1:7">
      <c r="A3120" s="3"/>
      <c r="B3120" s="3"/>
      <c r="C3120" s="3"/>
      <c r="D3120" s="3"/>
      <c r="E3120" s="3">
        <v>17</v>
      </c>
      <c r="F3120" s="4" t="str">
        <f>HYPERLINK("http://141.218.60.56/~jnz1568/getInfo.php?workbook=12_05.xlsx&amp;sheet=U0&amp;row=3120&amp;col=6&amp;number=4.6&amp;sourceID=14","4.6")</f>
        <v>4.6</v>
      </c>
      <c r="G3120" s="4" t="str">
        <f>HYPERLINK("http://141.218.60.56/~jnz1568/getInfo.php?workbook=12_05.xlsx&amp;sheet=U0&amp;row=3120&amp;col=7&amp;number=0.000803&amp;sourceID=14","0.000803")</f>
        <v>0.000803</v>
      </c>
    </row>
    <row r="3121" spans="1:7">
      <c r="A3121" s="3"/>
      <c r="B3121" s="3"/>
      <c r="C3121" s="3"/>
      <c r="D3121" s="3"/>
      <c r="E3121" s="3">
        <v>18</v>
      </c>
      <c r="F3121" s="4" t="str">
        <f>HYPERLINK("http://141.218.60.56/~jnz1568/getInfo.php?workbook=12_05.xlsx&amp;sheet=U0&amp;row=3121&amp;col=6&amp;number=4.7&amp;sourceID=14","4.7")</f>
        <v>4.7</v>
      </c>
      <c r="G3121" s="4" t="str">
        <f>HYPERLINK("http://141.218.60.56/~jnz1568/getInfo.php?workbook=12_05.xlsx&amp;sheet=U0&amp;row=3121&amp;col=7&amp;number=0.000806&amp;sourceID=14","0.000806")</f>
        <v>0.000806</v>
      </c>
    </row>
    <row r="3122" spans="1:7">
      <c r="A3122" s="3"/>
      <c r="B3122" s="3"/>
      <c r="C3122" s="3"/>
      <c r="D3122" s="3"/>
      <c r="E3122" s="3">
        <v>19</v>
      </c>
      <c r="F3122" s="4" t="str">
        <f>HYPERLINK("http://141.218.60.56/~jnz1568/getInfo.php?workbook=12_05.xlsx&amp;sheet=U0&amp;row=3122&amp;col=6&amp;number=4.8&amp;sourceID=14","4.8")</f>
        <v>4.8</v>
      </c>
      <c r="G3122" s="4" t="str">
        <f>HYPERLINK("http://141.218.60.56/~jnz1568/getInfo.php?workbook=12_05.xlsx&amp;sheet=U0&amp;row=3122&amp;col=7&amp;number=0.00081&amp;sourceID=14","0.00081")</f>
        <v>0.00081</v>
      </c>
    </row>
    <row r="3123" spans="1:7">
      <c r="A3123" s="3"/>
      <c r="B3123" s="3"/>
      <c r="C3123" s="3"/>
      <c r="D3123" s="3"/>
      <c r="E3123" s="3">
        <v>20</v>
      </c>
      <c r="F3123" s="4" t="str">
        <f>HYPERLINK("http://141.218.60.56/~jnz1568/getInfo.php?workbook=12_05.xlsx&amp;sheet=U0&amp;row=3123&amp;col=6&amp;number=4.9&amp;sourceID=14","4.9")</f>
        <v>4.9</v>
      </c>
      <c r="G3123" s="4" t="str">
        <f>HYPERLINK("http://141.218.60.56/~jnz1568/getInfo.php?workbook=12_05.xlsx&amp;sheet=U0&amp;row=3123&amp;col=7&amp;number=0.000815&amp;sourceID=14","0.000815")</f>
        <v>0.000815</v>
      </c>
    </row>
    <row r="3124" spans="1:7">
      <c r="A3124" s="3">
        <v>12</v>
      </c>
      <c r="B3124" s="3">
        <v>5</v>
      </c>
      <c r="C3124" s="3">
        <v>1</v>
      </c>
      <c r="D3124" s="3">
        <v>118</v>
      </c>
      <c r="E3124" s="3">
        <v>1</v>
      </c>
      <c r="F3124" s="4" t="str">
        <f>HYPERLINK("http://141.218.60.56/~jnz1568/getInfo.php?workbook=12_05.xlsx&amp;sheet=U0&amp;row=3124&amp;col=6&amp;number=3&amp;sourceID=14","3")</f>
        <v>3</v>
      </c>
      <c r="G3124" s="4" t="str">
        <f>HYPERLINK("http://141.218.60.56/~jnz1568/getInfo.php?workbook=12_05.xlsx&amp;sheet=U0&amp;row=3124&amp;col=7&amp;number=0.000213&amp;sourceID=14","0.000213")</f>
        <v>0.000213</v>
      </c>
    </row>
    <row r="3125" spans="1:7">
      <c r="A3125" s="3"/>
      <c r="B3125" s="3"/>
      <c r="C3125" s="3"/>
      <c r="D3125" s="3"/>
      <c r="E3125" s="3">
        <v>2</v>
      </c>
      <c r="F3125" s="4" t="str">
        <f>HYPERLINK("http://141.218.60.56/~jnz1568/getInfo.php?workbook=12_05.xlsx&amp;sheet=U0&amp;row=3125&amp;col=6&amp;number=3.1&amp;sourceID=14","3.1")</f>
        <v>3.1</v>
      </c>
      <c r="G3125" s="4" t="str">
        <f>HYPERLINK("http://141.218.60.56/~jnz1568/getInfo.php?workbook=12_05.xlsx&amp;sheet=U0&amp;row=3125&amp;col=7&amp;number=0.000213&amp;sourceID=14","0.000213")</f>
        <v>0.000213</v>
      </c>
    </row>
    <row r="3126" spans="1:7">
      <c r="A3126" s="3"/>
      <c r="B3126" s="3"/>
      <c r="C3126" s="3"/>
      <c r="D3126" s="3"/>
      <c r="E3126" s="3">
        <v>3</v>
      </c>
      <c r="F3126" s="4" t="str">
        <f>HYPERLINK("http://141.218.60.56/~jnz1568/getInfo.php?workbook=12_05.xlsx&amp;sheet=U0&amp;row=3126&amp;col=6&amp;number=3.2&amp;sourceID=14","3.2")</f>
        <v>3.2</v>
      </c>
      <c r="G3126" s="4" t="str">
        <f>HYPERLINK("http://141.218.60.56/~jnz1568/getInfo.php?workbook=12_05.xlsx&amp;sheet=U0&amp;row=3126&amp;col=7&amp;number=0.000213&amp;sourceID=14","0.000213")</f>
        <v>0.000213</v>
      </c>
    </row>
    <row r="3127" spans="1:7">
      <c r="A3127" s="3"/>
      <c r="B3127" s="3"/>
      <c r="C3127" s="3"/>
      <c r="D3127" s="3"/>
      <c r="E3127" s="3">
        <v>4</v>
      </c>
      <c r="F3127" s="4" t="str">
        <f>HYPERLINK("http://141.218.60.56/~jnz1568/getInfo.php?workbook=12_05.xlsx&amp;sheet=U0&amp;row=3127&amp;col=6&amp;number=3.3&amp;sourceID=14","3.3")</f>
        <v>3.3</v>
      </c>
      <c r="G3127" s="4" t="str">
        <f>HYPERLINK("http://141.218.60.56/~jnz1568/getInfo.php?workbook=12_05.xlsx&amp;sheet=U0&amp;row=3127&amp;col=7&amp;number=0.000213&amp;sourceID=14","0.000213")</f>
        <v>0.000213</v>
      </c>
    </row>
    <row r="3128" spans="1:7">
      <c r="A3128" s="3"/>
      <c r="B3128" s="3"/>
      <c r="C3128" s="3"/>
      <c r="D3128" s="3"/>
      <c r="E3128" s="3">
        <v>5</v>
      </c>
      <c r="F3128" s="4" t="str">
        <f>HYPERLINK("http://141.218.60.56/~jnz1568/getInfo.php?workbook=12_05.xlsx&amp;sheet=U0&amp;row=3128&amp;col=6&amp;number=3.4&amp;sourceID=14","3.4")</f>
        <v>3.4</v>
      </c>
      <c r="G3128" s="4" t="str">
        <f>HYPERLINK("http://141.218.60.56/~jnz1568/getInfo.php?workbook=12_05.xlsx&amp;sheet=U0&amp;row=3128&amp;col=7&amp;number=0.000213&amp;sourceID=14","0.000213")</f>
        <v>0.000213</v>
      </c>
    </row>
    <row r="3129" spans="1:7">
      <c r="A3129" s="3"/>
      <c r="B3129" s="3"/>
      <c r="C3129" s="3"/>
      <c r="D3129" s="3"/>
      <c r="E3129" s="3">
        <v>6</v>
      </c>
      <c r="F3129" s="4" t="str">
        <f>HYPERLINK("http://141.218.60.56/~jnz1568/getInfo.php?workbook=12_05.xlsx&amp;sheet=U0&amp;row=3129&amp;col=6&amp;number=3.5&amp;sourceID=14","3.5")</f>
        <v>3.5</v>
      </c>
      <c r="G3129" s="4" t="str">
        <f>HYPERLINK("http://141.218.60.56/~jnz1568/getInfo.php?workbook=12_05.xlsx&amp;sheet=U0&amp;row=3129&amp;col=7&amp;number=0.000213&amp;sourceID=14","0.000213")</f>
        <v>0.000213</v>
      </c>
    </row>
    <row r="3130" spans="1:7">
      <c r="A3130" s="3"/>
      <c r="B3130" s="3"/>
      <c r="C3130" s="3"/>
      <c r="D3130" s="3"/>
      <c r="E3130" s="3">
        <v>7</v>
      </c>
      <c r="F3130" s="4" t="str">
        <f>HYPERLINK("http://141.218.60.56/~jnz1568/getInfo.php?workbook=12_05.xlsx&amp;sheet=U0&amp;row=3130&amp;col=6&amp;number=3.6&amp;sourceID=14","3.6")</f>
        <v>3.6</v>
      </c>
      <c r="G3130" s="4" t="str">
        <f>HYPERLINK("http://141.218.60.56/~jnz1568/getInfo.php?workbook=12_05.xlsx&amp;sheet=U0&amp;row=3130&amp;col=7&amp;number=0.000213&amp;sourceID=14","0.000213")</f>
        <v>0.000213</v>
      </c>
    </row>
    <row r="3131" spans="1:7">
      <c r="A3131" s="3"/>
      <c r="B3131" s="3"/>
      <c r="C3131" s="3"/>
      <c r="D3131" s="3"/>
      <c r="E3131" s="3">
        <v>8</v>
      </c>
      <c r="F3131" s="4" t="str">
        <f>HYPERLINK("http://141.218.60.56/~jnz1568/getInfo.php?workbook=12_05.xlsx&amp;sheet=U0&amp;row=3131&amp;col=6&amp;number=3.7&amp;sourceID=14","3.7")</f>
        <v>3.7</v>
      </c>
      <c r="G3131" s="4" t="str">
        <f>HYPERLINK("http://141.218.60.56/~jnz1568/getInfo.php?workbook=12_05.xlsx&amp;sheet=U0&amp;row=3131&amp;col=7&amp;number=0.000213&amp;sourceID=14","0.000213")</f>
        <v>0.000213</v>
      </c>
    </row>
    <row r="3132" spans="1:7">
      <c r="A3132" s="3"/>
      <c r="B3132" s="3"/>
      <c r="C3132" s="3"/>
      <c r="D3132" s="3"/>
      <c r="E3132" s="3">
        <v>9</v>
      </c>
      <c r="F3132" s="4" t="str">
        <f>HYPERLINK("http://141.218.60.56/~jnz1568/getInfo.php?workbook=12_05.xlsx&amp;sheet=U0&amp;row=3132&amp;col=6&amp;number=3.8&amp;sourceID=14","3.8")</f>
        <v>3.8</v>
      </c>
      <c r="G3132" s="4" t="str">
        <f>HYPERLINK("http://141.218.60.56/~jnz1568/getInfo.php?workbook=12_05.xlsx&amp;sheet=U0&amp;row=3132&amp;col=7&amp;number=0.000212&amp;sourceID=14","0.000212")</f>
        <v>0.000212</v>
      </c>
    </row>
    <row r="3133" spans="1:7">
      <c r="A3133" s="3"/>
      <c r="B3133" s="3"/>
      <c r="C3133" s="3"/>
      <c r="D3133" s="3"/>
      <c r="E3133" s="3">
        <v>10</v>
      </c>
      <c r="F3133" s="4" t="str">
        <f>HYPERLINK("http://141.218.60.56/~jnz1568/getInfo.php?workbook=12_05.xlsx&amp;sheet=U0&amp;row=3133&amp;col=6&amp;number=3.9&amp;sourceID=14","3.9")</f>
        <v>3.9</v>
      </c>
      <c r="G3133" s="4" t="str">
        <f>HYPERLINK("http://141.218.60.56/~jnz1568/getInfo.php?workbook=12_05.xlsx&amp;sheet=U0&amp;row=3133&amp;col=7&amp;number=0.000212&amp;sourceID=14","0.000212")</f>
        <v>0.000212</v>
      </c>
    </row>
    <row r="3134" spans="1:7">
      <c r="A3134" s="3"/>
      <c r="B3134" s="3"/>
      <c r="C3134" s="3"/>
      <c r="D3134" s="3"/>
      <c r="E3134" s="3">
        <v>11</v>
      </c>
      <c r="F3134" s="4" t="str">
        <f>HYPERLINK("http://141.218.60.56/~jnz1568/getInfo.php?workbook=12_05.xlsx&amp;sheet=U0&amp;row=3134&amp;col=6&amp;number=4&amp;sourceID=14","4")</f>
        <v>4</v>
      </c>
      <c r="G3134" s="4" t="str">
        <f>HYPERLINK("http://141.218.60.56/~jnz1568/getInfo.php?workbook=12_05.xlsx&amp;sheet=U0&amp;row=3134&amp;col=7&amp;number=0.000212&amp;sourceID=14","0.000212")</f>
        <v>0.000212</v>
      </c>
    </row>
    <row r="3135" spans="1:7">
      <c r="A3135" s="3"/>
      <c r="B3135" s="3"/>
      <c r="C3135" s="3"/>
      <c r="D3135" s="3"/>
      <c r="E3135" s="3">
        <v>12</v>
      </c>
      <c r="F3135" s="4" t="str">
        <f>HYPERLINK("http://141.218.60.56/~jnz1568/getInfo.php?workbook=12_05.xlsx&amp;sheet=U0&amp;row=3135&amp;col=6&amp;number=4.1&amp;sourceID=14","4.1")</f>
        <v>4.1</v>
      </c>
      <c r="G3135" s="4" t="str">
        <f>HYPERLINK("http://141.218.60.56/~jnz1568/getInfo.php?workbook=12_05.xlsx&amp;sheet=U0&amp;row=3135&amp;col=7&amp;number=0.000212&amp;sourceID=14","0.000212")</f>
        <v>0.000212</v>
      </c>
    </row>
    <row r="3136" spans="1:7">
      <c r="A3136" s="3"/>
      <c r="B3136" s="3"/>
      <c r="C3136" s="3"/>
      <c r="D3136" s="3"/>
      <c r="E3136" s="3">
        <v>13</v>
      </c>
      <c r="F3136" s="4" t="str">
        <f>HYPERLINK("http://141.218.60.56/~jnz1568/getInfo.php?workbook=12_05.xlsx&amp;sheet=U0&amp;row=3136&amp;col=6&amp;number=4.2&amp;sourceID=14","4.2")</f>
        <v>4.2</v>
      </c>
      <c r="G3136" s="4" t="str">
        <f>HYPERLINK("http://141.218.60.56/~jnz1568/getInfo.php?workbook=12_05.xlsx&amp;sheet=U0&amp;row=3136&amp;col=7&amp;number=0.000212&amp;sourceID=14","0.000212")</f>
        <v>0.000212</v>
      </c>
    </row>
    <row r="3137" spans="1:7">
      <c r="A3137" s="3"/>
      <c r="B3137" s="3"/>
      <c r="C3137" s="3"/>
      <c r="D3137" s="3"/>
      <c r="E3137" s="3">
        <v>14</v>
      </c>
      <c r="F3137" s="4" t="str">
        <f>HYPERLINK("http://141.218.60.56/~jnz1568/getInfo.php?workbook=12_05.xlsx&amp;sheet=U0&amp;row=3137&amp;col=6&amp;number=4.3&amp;sourceID=14","4.3")</f>
        <v>4.3</v>
      </c>
      <c r="G3137" s="4" t="str">
        <f>HYPERLINK("http://141.218.60.56/~jnz1568/getInfo.php?workbook=12_05.xlsx&amp;sheet=U0&amp;row=3137&amp;col=7&amp;number=0.000212&amp;sourceID=14","0.000212")</f>
        <v>0.000212</v>
      </c>
    </row>
    <row r="3138" spans="1:7">
      <c r="A3138" s="3"/>
      <c r="B3138" s="3"/>
      <c r="C3138" s="3"/>
      <c r="D3138" s="3"/>
      <c r="E3138" s="3">
        <v>15</v>
      </c>
      <c r="F3138" s="4" t="str">
        <f>HYPERLINK("http://141.218.60.56/~jnz1568/getInfo.php?workbook=12_05.xlsx&amp;sheet=U0&amp;row=3138&amp;col=6&amp;number=4.4&amp;sourceID=14","4.4")</f>
        <v>4.4</v>
      </c>
      <c r="G3138" s="4" t="str">
        <f>HYPERLINK("http://141.218.60.56/~jnz1568/getInfo.php?workbook=12_05.xlsx&amp;sheet=U0&amp;row=3138&amp;col=7&amp;number=0.000211&amp;sourceID=14","0.000211")</f>
        <v>0.000211</v>
      </c>
    </row>
    <row r="3139" spans="1:7">
      <c r="A3139" s="3"/>
      <c r="B3139" s="3"/>
      <c r="C3139" s="3"/>
      <c r="D3139" s="3"/>
      <c r="E3139" s="3">
        <v>16</v>
      </c>
      <c r="F3139" s="4" t="str">
        <f>HYPERLINK("http://141.218.60.56/~jnz1568/getInfo.php?workbook=12_05.xlsx&amp;sheet=U0&amp;row=3139&amp;col=6&amp;number=4.5&amp;sourceID=14","4.5")</f>
        <v>4.5</v>
      </c>
      <c r="G3139" s="4" t="str">
        <f>HYPERLINK("http://141.218.60.56/~jnz1568/getInfo.php?workbook=12_05.xlsx&amp;sheet=U0&amp;row=3139&amp;col=7&amp;number=0.000211&amp;sourceID=14","0.000211")</f>
        <v>0.000211</v>
      </c>
    </row>
    <row r="3140" spans="1:7">
      <c r="A3140" s="3"/>
      <c r="B3140" s="3"/>
      <c r="C3140" s="3"/>
      <c r="D3140" s="3"/>
      <c r="E3140" s="3">
        <v>17</v>
      </c>
      <c r="F3140" s="4" t="str">
        <f>HYPERLINK("http://141.218.60.56/~jnz1568/getInfo.php?workbook=12_05.xlsx&amp;sheet=U0&amp;row=3140&amp;col=6&amp;number=4.6&amp;sourceID=14","4.6")</f>
        <v>4.6</v>
      </c>
      <c r="G3140" s="4" t="str">
        <f>HYPERLINK("http://141.218.60.56/~jnz1568/getInfo.php?workbook=12_05.xlsx&amp;sheet=U0&amp;row=3140&amp;col=7&amp;number=0.00021&amp;sourceID=14","0.00021")</f>
        <v>0.00021</v>
      </c>
    </row>
    <row r="3141" spans="1:7">
      <c r="A3141" s="3"/>
      <c r="B3141" s="3"/>
      <c r="C3141" s="3"/>
      <c r="D3141" s="3"/>
      <c r="E3141" s="3">
        <v>18</v>
      </c>
      <c r="F3141" s="4" t="str">
        <f>HYPERLINK("http://141.218.60.56/~jnz1568/getInfo.php?workbook=12_05.xlsx&amp;sheet=U0&amp;row=3141&amp;col=6&amp;number=4.7&amp;sourceID=14","4.7")</f>
        <v>4.7</v>
      </c>
      <c r="G3141" s="4" t="str">
        <f>HYPERLINK("http://141.218.60.56/~jnz1568/getInfo.php?workbook=12_05.xlsx&amp;sheet=U0&amp;row=3141&amp;col=7&amp;number=0.00021&amp;sourceID=14","0.00021")</f>
        <v>0.00021</v>
      </c>
    </row>
    <row r="3142" spans="1:7">
      <c r="A3142" s="3"/>
      <c r="B3142" s="3"/>
      <c r="C3142" s="3"/>
      <c r="D3142" s="3"/>
      <c r="E3142" s="3">
        <v>19</v>
      </c>
      <c r="F3142" s="4" t="str">
        <f>HYPERLINK("http://141.218.60.56/~jnz1568/getInfo.php?workbook=12_05.xlsx&amp;sheet=U0&amp;row=3142&amp;col=6&amp;number=4.8&amp;sourceID=14","4.8")</f>
        <v>4.8</v>
      </c>
      <c r="G3142" s="4" t="str">
        <f>HYPERLINK("http://141.218.60.56/~jnz1568/getInfo.php?workbook=12_05.xlsx&amp;sheet=U0&amp;row=3142&amp;col=7&amp;number=0.000209&amp;sourceID=14","0.000209")</f>
        <v>0.000209</v>
      </c>
    </row>
    <row r="3143" spans="1:7">
      <c r="A3143" s="3"/>
      <c r="B3143" s="3"/>
      <c r="C3143" s="3"/>
      <c r="D3143" s="3"/>
      <c r="E3143" s="3">
        <v>20</v>
      </c>
      <c r="F3143" s="4" t="str">
        <f>HYPERLINK("http://141.218.60.56/~jnz1568/getInfo.php?workbook=12_05.xlsx&amp;sheet=U0&amp;row=3143&amp;col=6&amp;number=4.9&amp;sourceID=14","4.9")</f>
        <v>4.9</v>
      </c>
      <c r="G3143" s="4" t="str">
        <f>HYPERLINK("http://141.218.60.56/~jnz1568/getInfo.php?workbook=12_05.xlsx&amp;sheet=U0&amp;row=3143&amp;col=7&amp;number=0.000208&amp;sourceID=14","0.000208")</f>
        <v>0.000208</v>
      </c>
    </row>
    <row r="3144" spans="1:7">
      <c r="A3144" s="3">
        <v>12</v>
      </c>
      <c r="B3144" s="3">
        <v>5</v>
      </c>
      <c r="C3144" s="3">
        <v>1</v>
      </c>
      <c r="D3144" s="3">
        <v>119</v>
      </c>
      <c r="E3144" s="3">
        <v>1</v>
      </c>
      <c r="F3144" s="4" t="str">
        <f>HYPERLINK("http://141.218.60.56/~jnz1568/getInfo.php?workbook=12_05.xlsx&amp;sheet=U0&amp;row=3144&amp;col=6&amp;number=3&amp;sourceID=14","3")</f>
        <v>3</v>
      </c>
      <c r="G3144" s="4" t="str">
        <f>HYPERLINK("http://141.218.60.56/~jnz1568/getInfo.php?workbook=12_05.xlsx&amp;sheet=U0&amp;row=3144&amp;col=7&amp;number=0.0106&amp;sourceID=14","0.0106")</f>
        <v>0.0106</v>
      </c>
    </row>
    <row r="3145" spans="1:7">
      <c r="A3145" s="3"/>
      <c r="B3145" s="3"/>
      <c r="C3145" s="3"/>
      <c r="D3145" s="3"/>
      <c r="E3145" s="3">
        <v>2</v>
      </c>
      <c r="F3145" s="4" t="str">
        <f>HYPERLINK("http://141.218.60.56/~jnz1568/getInfo.php?workbook=12_05.xlsx&amp;sheet=U0&amp;row=3145&amp;col=6&amp;number=3.1&amp;sourceID=14","3.1")</f>
        <v>3.1</v>
      </c>
      <c r="G3145" s="4" t="str">
        <f>HYPERLINK("http://141.218.60.56/~jnz1568/getInfo.php?workbook=12_05.xlsx&amp;sheet=U0&amp;row=3145&amp;col=7&amp;number=0.0106&amp;sourceID=14","0.0106")</f>
        <v>0.0106</v>
      </c>
    </row>
    <row r="3146" spans="1:7">
      <c r="A3146" s="3"/>
      <c r="B3146" s="3"/>
      <c r="C3146" s="3"/>
      <c r="D3146" s="3"/>
      <c r="E3146" s="3">
        <v>3</v>
      </c>
      <c r="F3146" s="4" t="str">
        <f>HYPERLINK("http://141.218.60.56/~jnz1568/getInfo.php?workbook=12_05.xlsx&amp;sheet=U0&amp;row=3146&amp;col=6&amp;number=3.2&amp;sourceID=14","3.2")</f>
        <v>3.2</v>
      </c>
      <c r="G3146" s="4" t="str">
        <f>HYPERLINK("http://141.218.60.56/~jnz1568/getInfo.php?workbook=12_05.xlsx&amp;sheet=U0&amp;row=3146&amp;col=7&amp;number=0.0106&amp;sourceID=14","0.0106")</f>
        <v>0.0106</v>
      </c>
    </row>
    <row r="3147" spans="1:7">
      <c r="A3147" s="3"/>
      <c r="B3147" s="3"/>
      <c r="C3147" s="3"/>
      <c r="D3147" s="3"/>
      <c r="E3147" s="3">
        <v>4</v>
      </c>
      <c r="F3147" s="4" t="str">
        <f>HYPERLINK("http://141.218.60.56/~jnz1568/getInfo.php?workbook=12_05.xlsx&amp;sheet=U0&amp;row=3147&amp;col=6&amp;number=3.3&amp;sourceID=14","3.3")</f>
        <v>3.3</v>
      </c>
      <c r="G3147" s="4" t="str">
        <f>HYPERLINK("http://141.218.60.56/~jnz1568/getInfo.php?workbook=12_05.xlsx&amp;sheet=U0&amp;row=3147&amp;col=7&amp;number=0.0106&amp;sourceID=14","0.0106")</f>
        <v>0.0106</v>
      </c>
    </row>
    <row r="3148" spans="1:7">
      <c r="A3148" s="3"/>
      <c r="B3148" s="3"/>
      <c r="C3148" s="3"/>
      <c r="D3148" s="3"/>
      <c r="E3148" s="3">
        <v>5</v>
      </c>
      <c r="F3148" s="4" t="str">
        <f>HYPERLINK("http://141.218.60.56/~jnz1568/getInfo.php?workbook=12_05.xlsx&amp;sheet=U0&amp;row=3148&amp;col=6&amp;number=3.4&amp;sourceID=14","3.4")</f>
        <v>3.4</v>
      </c>
      <c r="G3148" s="4" t="str">
        <f>HYPERLINK("http://141.218.60.56/~jnz1568/getInfo.php?workbook=12_05.xlsx&amp;sheet=U0&amp;row=3148&amp;col=7&amp;number=0.0106&amp;sourceID=14","0.0106")</f>
        <v>0.0106</v>
      </c>
    </row>
    <row r="3149" spans="1:7">
      <c r="A3149" s="3"/>
      <c r="B3149" s="3"/>
      <c r="C3149" s="3"/>
      <c r="D3149" s="3"/>
      <c r="E3149" s="3">
        <v>6</v>
      </c>
      <c r="F3149" s="4" t="str">
        <f>HYPERLINK("http://141.218.60.56/~jnz1568/getInfo.php?workbook=12_05.xlsx&amp;sheet=U0&amp;row=3149&amp;col=6&amp;number=3.5&amp;sourceID=14","3.5")</f>
        <v>3.5</v>
      </c>
      <c r="G3149" s="4" t="str">
        <f>HYPERLINK("http://141.218.60.56/~jnz1568/getInfo.php?workbook=12_05.xlsx&amp;sheet=U0&amp;row=3149&amp;col=7&amp;number=0.0106&amp;sourceID=14","0.0106")</f>
        <v>0.0106</v>
      </c>
    </row>
    <row r="3150" spans="1:7">
      <c r="A3150" s="3"/>
      <c r="B3150" s="3"/>
      <c r="C3150" s="3"/>
      <c r="D3150" s="3"/>
      <c r="E3150" s="3">
        <v>7</v>
      </c>
      <c r="F3150" s="4" t="str">
        <f>HYPERLINK("http://141.218.60.56/~jnz1568/getInfo.php?workbook=12_05.xlsx&amp;sheet=U0&amp;row=3150&amp;col=6&amp;number=3.6&amp;sourceID=14","3.6")</f>
        <v>3.6</v>
      </c>
      <c r="G3150" s="4" t="str">
        <f>HYPERLINK("http://141.218.60.56/~jnz1568/getInfo.php?workbook=12_05.xlsx&amp;sheet=U0&amp;row=3150&amp;col=7&amp;number=0.0106&amp;sourceID=14","0.0106")</f>
        <v>0.0106</v>
      </c>
    </row>
    <row r="3151" spans="1:7">
      <c r="A3151" s="3"/>
      <c r="B3151" s="3"/>
      <c r="C3151" s="3"/>
      <c r="D3151" s="3"/>
      <c r="E3151" s="3">
        <v>8</v>
      </c>
      <c r="F3151" s="4" t="str">
        <f>HYPERLINK("http://141.218.60.56/~jnz1568/getInfo.php?workbook=12_05.xlsx&amp;sheet=U0&amp;row=3151&amp;col=6&amp;number=3.7&amp;sourceID=14","3.7")</f>
        <v>3.7</v>
      </c>
      <c r="G3151" s="4" t="str">
        <f>HYPERLINK("http://141.218.60.56/~jnz1568/getInfo.php?workbook=12_05.xlsx&amp;sheet=U0&amp;row=3151&amp;col=7&amp;number=0.0106&amp;sourceID=14","0.0106")</f>
        <v>0.0106</v>
      </c>
    </row>
    <row r="3152" spans="1:7">
      <c r="A3152" s="3"/>
      <c r="B3152" s="3"/>
      <c r="C3152" s="3"/>
      <c r="D3152" s="3"/>
      <c r="E3152" s="3">
        <v>9</v>
      </c>
      <c r="F3152" s="4" t="str">
        <f>HYPERLINK("http://141.218.60.56/~jnz1568/getInfo.php?workbook=12_05.xlsx&amp;sheet=U0&amp;row=3152&amp;col=6&amp;number=3.8&amp;sourceID=14","3.8")</f>
        <v>3.8</v>
      </c>
      <c r="G3152" s="4" t="str">
        <f>HYPERLINK("http://141.218.60.56/~jnz1568/getInfo.php?workbook=12_05.xlsx&amp;sheet=U0&amp;row=3152&amp;col=7&amp;number=0.0106&amp;sourceID=14","0.0106")</f>
        <v>0.0106</v>
      </c>
    </row>
    <row r="3153" spans="1:7">
      <c r="A3153" s="3"/>
      <c r="B3153" s="3"/>
      <c r="C3153" s="3"/>
      <c r="D3153" s="3"/>
      <c r="E3153" s="3">
        <v>10</v>
      </c>
      <c r="F3153" s="4" t="str">
        <f>HYPERLINK("http://141.218.60.56/~jnz1568/getInfo.php?workbook=12_05.xlsx&amp;sheet=U0&amp;row=3153&amp;col=6&amp;number=3.9&amp;sourceID=14","3.9")</f>
        <v>3.9</v>
      </c>
      <c r="G3153" s="4" t="str">
        <f>HYPERLINK("http://141.218.60.56/~jnz1568/getInfo.php?workbook=12_05.xlsx&amp;sheet=U0&amp;row=3153&amp;col=7&amp;number=0.0105&amp;sourceID=14","0.0105")</f>
        <v>0.0105</v>
      </c>
    </row>
    <row r="3154" spans="1:7">
      <c r="A3154" s="3"/>
      <c r="B3154" s="3"/>
      <c r="C3154" s="3"/>
      <c r="D3154" s="3"/>
      <c r="E3154" s="3">
        <v>11</v>
      </c>
      <c r="F3154" s="4" t="str">
        <f>HYPERLINK("http://141.218.60.56/~jnz1568/getInfo.php?workbook=12_05.xlsx&amp;sheet=U0&amp;row=3154&amp;col=6&amp;number=4&amp;sourceID=14","4")</f>
        <v>4</v>
      </c>
      <c r="G3154" s="4" t="str">
        <f>HYPERLINK("http://141.218.60.56/~jnz1568/getInfo.php?workbook=12_05.xlsx&amp;sheet=U0&amp;row=3154&amp;col=7&amp;number=0.0105&amp;sourceID=14","0.0105")</f>
        <v>0.0105</v>
      </c>
    </row>
    <row r="3155" spans="1:7">
      <c r="A3155" s="3"/>
      <c r="B3155" s="3"/>
      <c r="C3155" s="3"/>
      <c r="D3155" s="3"/>
      <c r="E3155" s="3">
        <v>12</v>
      </c>
      <c r="F3155" s="4" t="str">
        <f>HYPERLINK("http://141.218.60.56/~jnz1568/getInfo.php?workbook=12_05.xlsx&amp;sheet=U0&amp;row=3155&amp;col=6&amp;number=4.1&amp;sourceID=14","4.1")</f>
        <v>4.1</v>
      </c>
      <c r="G3155" s="4" t="str">
        <f>HYPERLINK("http://141.218.60.56/~jnz1568/getInfo.php?workbook=12_05.xlsx&amp;sheet=U0&amp;row=3155&amp;col=7&amp;number=0.0105&amp;sourceID=14","0.0105")</f>
        <v>0.0105</v>
      </c>
    </row>
    <row r="3156" spans="1:7">
      <c r="A3156" s="3"/>
      <c r="B3156" s="3"/>
      <c r="C3156" s="3"/>
      <c r="D3156" s="3"/>
      <c r="E3156" s="3">
        <v>13</v>
      </c>
      <c r="F3156" s="4" t="str">
        <f>HYPERLINK("http://141.218.60.56/~jnz1568/getInfo.php?workbook=12_05.xlsx&amp;sheet=U0&amp;row=3156&amp;col=6&amp;number=4.2&amp;sourceID=14","4.2")</f>
        <v>4.2</v>
      </c>
      <c r="G3156" s="4" t="str">
        <f>HYPERLINK("http://141.218.60.56/~jnz1568/getInfo.php?workbook=12_05.xlsx&amp;sheet=U0&amp;row=3156&amp;col=7&amp;number=0.0105&amp;sourceID=14","0.0105")</f>
        <v>0.0105</v>
      </c>
    </row>
    <row r="3157" spans="1:7">
      <c r="A3157" s="3"/>
      <c r="B3157" s="3"/>
      <c r="C3157" s="3"/>
      <c r="D3157" s="3"/>
      <c r="E3157" s="3">
        <v>14</v>
      </c>
      <c r="F3157" s="4" t="str">
        <f>HYPERLINK("http://141.218.60.56/~jnz1568/getInfo.php?workbook=12_05.xlsx&amp;sheet=U0&amp;row=3157&amp;col=6&amp;number=4.3&amp;sourceID=14","4.3")</f>
        <v>4.3</v>
      </c>
      <c r="G3157" s="4" t="str">
        <f>HYPERLINK("http://141.218.60.56/~jnz1568/getInfo.php?workbook=12_05.xlsx&amp;sheet=U0&amp;row=3157&amp;col=7&amp;number=0.0104&amp;sourceID=14","0.0104")</f>
        <v>0.0104</v>
      </c>
    </row>
    <row r="3158" spans="1:7">
      <c r="A3158" s="3"/>
      <c r="B3158" s="3"/>
      <c r="C3158" s="3"/>
      <c r="D3158" s="3"/>
      <c r="E3158" s="3">
        <v>15</v>
      </c>
      <c r="F3158" s="4" t="str">
        <f>HYPERLINK("http://141.218.60.56/~jnz1568/getInfo.php?workbook=12_05.xlsx&amp;sheet=U0&amp;row=3158&amp;col=6&amp;number=4.4&amp;sourceID=14","4.4")</f>
        <v>4.4</v>
      </c>
      <c r="G3158" s="4" t="str">
        <f>HYPERLINK("http://141.218.60.56/~jnz1568/getInfo.php?workbook=12_05.xlsx&amp;sheet=U0&amp;row=3158&amp;col=7&amp;number=0.0104&amp;sourceID=14","0.0104")</f>
        <v>0.0104</v>
      </c>
    </row>
    <row r="3159" spans="1:7">
      <c r="A3159" s="3"/>
      <c r="B3159" s="3"/>
      <c r="C3159" s="3"/>
      <c r="D3159" s="3"/>
      <c r="E3159" s="3">
        <v>16</v>
      </c>
      <c r="F3159" s="4" t="str">
        <f>HYPERLINK("http://141.218.60.56/~jnz1568/getInfo.php?workbook=12_05.xlsx&amp;sheet=U0&amp;row=3159&amp;col=6&amp;number=4.5&amp;sourceID=14","4.5")</f>
        <v>4.5</v>
      </c>
      <c r="G3159" s="4" t="str">
        <f>HYPERLINK("http://141.218.60.56/~jnz1568/getInfo.php?workbook=12_05.xlsx&amp;sheet=U0&amp;row=3159&amp;col=7&amp;number=0.0103&amp;sourceID=14","0.0103")</f>
        <v>0.0103</v>
      </c>
    </row>
    <row r="3160" spans="1:7">
      <c r="A3160" s="3"/>
      <c r="B3160" s="3"/>
      <c r="C3160" s="3"/>
      <c r="D3160" s="3"/>
      <c r="E3160" s="3">
        <v>17</v>
      </c>
      <c r="F3160" s="4" t="str">
        <f>HYPERLINK("http://141.218.60.56/~jnz1568/getInfo.php?workbook=12_05.xlsx&amp;sheet=U0&amp;row=3160&amp;col=6&amp;number=4.6&amp;sourceID=14","4.6")</f>
        <v>4.6</v>
      </c>
      <c r="G3160" s="4" t="str">
        <f>HYPERLINK("http://141.218.60.56/~jnz1568/getInfo.php?workbook=12_05.xlsx&amp;sheet=U0&amp;row=3160&amp;col=7&amp;number=0.0102&amp;sourceID=14","0.0102")</f>
        <v>0.0102</v>
      </c>
    </row>
    <row r="3161" spans="1:7">
      <c r="A3161" s="3"/>
      <c r="B3161" s="3"/>
      <c r="C3161" s="3"/>
      <c r="D3161" s="3"/>
      <c r="E3161" s="3">
        <v>18</v>
      </c>
      <c r="F3161" s="4" t="str">
        <f>HYPERLINK("http://141.218.60.56/~jnz1568/getInfo.php?workbook=12_05.xlsx&amp;sheet=U0&amp;row=3161&amp;col=6&amp;number=4.7&amp;sourceID=14","4.7")</f>
        <v>4.7</v>
      </c>
      <c r="G3161" s="4" t="str">
        <f>HYPERLINK("http://141.218.60.56/~jnz1568/getInfo.php?workbook=12_05.xlsx&amp;sheet=U0&amp;row=3161&amp;col=7&amp;number=0.0101&amp;sourceID=14","0.0101")</f>
        <v>0.0101</v>
      </c>
    </row>
    <row r="3162" spans="1:7">
      <c r="A3162" s="3"/>
      <c r="B3162" s="3"/>
      <c r="C3162" s="3"/>
      <c r="D3162" s="3"/>
      <c r="E3162" s="3">
        <v>19</v>
      </c>
      <c r="F3162" s="4" t="str">
        <f>HYPERLINK("http://141.218.60.56/~jnz1568/getInfo.php?workbook=12_05.xlsx&amp;sheet=U0&amp;row=3162&amp;col=6&amp;number=4.8&amp;sourceID=14","4.8")</f>
        <v>4.8</v>
      </c>
      <c r="G3162" s="4" t="str">
        <f>HYPERLINK("http://141.218.60.56/~jnz1568/getInfo.php?workbook=12_05.xlsx&amp;sheet=U0&amp;row=3162&amp;col=7&amp;number=0.01&amp;sourceID=14","0.01")</f>
        <v>0.01</v>
      </c>
    </row>
    <row r="3163" spans="1:7">
      <c r="A3163" s="3"/>
      <c r="B3163" s="3"/>
      <c r="C3163" s="3"/>
      <c r="D3163" s="3"/>
      <c r="E3163" s="3">
        <v>20</v>
      </c>
      <c r="F3163" s="4" t="str">
        <f>HYPERLINK("http://141.218.60.56/~jnz1568/getInfo.php?workbook=12_05.xlsx&amp;sheet=U0&amp;row=3163&amp;col=6&amp;number=4.9&amp;sourceID=14","4.9")</f>
        <v>4.9</v>
      </c>
      <c r="G3163" s="4" t="str">
        <f>HYPERLINK("http://141.218.60.56/~jnz1568/getInfo.php?workbook=12_05.xlsx&amp;sheet=U0&amp;row=3163&amp;col=7&amp;number=0.00986&amp;sourceID=14","0.00986")</f>
        <v>0.00986</v>
      </c>
    </row>
    <row r="3164" spans="1:7">
      <c r="A3164" s="3">
        <v>12</v>
      </c>
      <c r="B3164" s="3">
        <v>5</v>
      </c>
      <c r="C3164" s="3">
        <v>1</v>
      </c>
      <c r="D3164" s="3">
        <v>120</v>
      </c>
      <c r="E3164" s="3">
        <v>1</v>
      </c>
      <c r="F3164" s="4" t="str">
        <f>HYPERLINK("http://141.218.60.56/~jnz1568/getInfo.php?workbook=12_05.xlsx&amp;sheet=U0&amp;row=3164&amp;col=6&amp;number=3&amp;sourceID=14","3")</f>
        <v>3</v>
      </c>
      <c r="G3164" s="4" t="str">
        <f>HYPERLINK("http://141.218.60.56/~jnz1568/getInfo.php?workbook=12_05.xlsx&amp;sheet=U0&amp;row=3164&amp;col=7&amp;number=0.00512&amp;sourceID=14","0.00512")</f>
        <v>0.00512</v>
      </c>
    </row>
    <row r="3165" spans="1:7">
      <c r="A3165" s="3"/>
      <c r="B3165" s="3"/>
      <c r="C3165" s="3"/>
      <c r="D3165" s="3"/>
      <c r="E3165" s="3">
        <v>2</v>
      </c>
      <c r="F3165" s="4" t="str">
        <f>HYPERLINK("http://141.218.60.56/~jnz1568/getInfo.php?workbook=12_05.xlsx&amp;sheet=U0&amp;row=3165&amp;col=6&amp;number=3.1&amp;sourceID=14","3.1")</f>
        <v>3.1</v>
      </c>
      <c r="G3165" s="4" t="str">
        <f>HYPERLINK("http://141.218.60.56/~jnz1568/getInfo.php?workbook=12_05.xlsx&amp;sheet=U0&amp;row=3165&amp;col=7&amp;number=0.00512&amp;sourceID=14","0.00512")</f>
        <v>0.00512</v>
      </c>
    </row>
    <row r="3166" spans="1:7">
      <c r="A3166" s="3"/>
      <c r="B3166" s="3"/>
      <c r="C3166" s="3"/>
      <c r="D3166" s="3"/>
      <c r="E3166" s="3">
        <v>3</v>
      </c>
      <c r="F3166" s="4" t="str">
        <f>HYPERLINK("http://141.218.60.56/~jnz1568/getInfo.php?workbook=12_05.xlsx&amp;sheet=U0&amp;row=3166&amp;col=6&amp;number=3.2&amp;sourceID=14","3.2")</f>
        <v>3.2</v>
      </c>
      <c r="G3166" s="4" t="str">
        <f>HYPERLINK("http://141.218.60.56/~jnz1568/getInfo.php?workbook=12_05.xlsx&amp;sheet=U0&amp;row=3166&amp;col=7&amp;number=0.00512&amp;sourceID=14","0.00512")</f>
        <v>0.00512</v>
      </c>
    </row>
    <row r="3167" spans="1:7">
      <c r="A3167" s="3"/>
      <c r="B3167" s="3"/>
      <c r="C3167" s="3"/>
      <c r="D3167" s="3"/>
      <c r="E3167" s="3">
        <v>4</v>
      </c>
      <c r="F3167" s="4" t="str">
        <f>HYPERLINK("http://141.218.60.56/~jnz1568/getInfo.php?workbook=12_05.xlsx&amp;sheet=U0&amp;row=3167&amp;col=6&amp;number=3.3&amp;sourceID=14","3.3")</f>
        <v>3.3</v>
      </c>
      <c r="G3167" s="4" t="str">
        <f>HYPERLINK("http://141.218.60.56/~jnz1568/getInfo.php?workbook=12_05.xlsx&amp;sheet=U0&amp;row=3167&amp;col=7&amp;number=0.00512&amp;sourceID=14","0.00512")</f>
        <v>0.00512</v>
      </c>
    </row>
    <row r="3168" spans="1:7">
      <c r="A3168" s="3"/>
      <c r="B3168" s="3"/>
      <c r="C3168" s="3"/>
      <c r="D3168" s="3"/>
      <c r="E3168" s="3">
        <v>5</v>
      </c>
      <c r="F3168" s="4" t="str">
        <f>HYPERLINK("http://141.218.60.56/~jnz1568/getInfo.php?workbook=12_05.xlsx&amp;sheet=U0&amp;row=3168&amp;col=6&amp;number=3.4&amp;sourceID=14","3.4")</f>
        <v>3.4</v>
      </c>
      <c r="G3168" s="4" t="str">
        <f>HYPERLINK("http://141.218.60.56/~jnz1568/getInfo.php?workbook=12_05.xlsx&amp;sheet=U0&amp;row=3168&amp;col=7&amp;number=0.00512&amp;sourceID=14","0.00512")</f>
        <v>0.00512</v>
      </c>
    </row>
    <row r="3169" spans="1:7">
      <c r="A3169" s="3"/>
      <c r="B3169" s="3"/>
      <c r="C3169" s="3"/>
      <c r="D3169" s="3"/>
      <c r="E3169" s="3">
        <v>6</v>
      </c>
      <c r="F3169" s="4" t="str">
        <f>HYPERLINK("http://141.218.60.56/~jnz1568/getInfo.php?workbook=12_05.xlsx&amp;sheet=U0&amp;row=3169&amp;col=6&amp;number=3.5&amp;sourceID=14","3.5")</f>
        <v>3.5</v>
      </c>
      <c r="G3169" s="4" t="str">
        <f>HYPERLINK("http://141.218.60.56/~jnz1568/getInfo.php?workbook=12_05.xlsx&amp;sheet=U0&amp;row=3169&amp;col=7&amp;number=0.00511&amp;sourceID=14","0.00511")</f>
        <v>0.00511</v>
      </c>
    </row>
    <row r="3170" spans="1:7">
      <c r="A3170" s="3"/>
      <c r="B3170" s="3"/>
      <c r="C3170" s="3"/>
      <c r="D3170" s="3"/>
      <c r="E3170" s="3">
        <v>7</v>
      </c>
      <c r="F3170" s="4" t="str">
        <f>HYPERLINK("http://141.218.60.56/~jnz1568/getInfo.php?workbook=12_05.xlsx&amp;sheet=U0&amp;row=3170&amp;col=6&amp;number=3.6&amp;sourceID=14","3.6")</f>
        <v>3.6</v>
      </c>
      <c r="G3170" s="4" t="str">
        <f>HYPERLINK("http://141.218.60.56/~jnz1568/getInfo.php?workbook=12_05.xlsx&amp;sheet=U0&amp;row=3170&amp;col=7&amp;number=0.00511&amp;sourceID=14","0.00511")</f>
        <v>0.00511</v>
      </c>
    </row>
    <row r="3171" spans="1:7">
      <c r="A3171" s="3"/>
      <c r="B3171" s="3"/>
      <c r="C3171" s="3"/>
      <c r="D3171" s="3"/>
      <c r="E3171" s="3">
        <v>8</v>
      </c>
      <c r="F3171" s="4" t="str">
        <f>HYPERLINK("http://141.218.60.56/~jnz1568/getInfo.php?workbook=12_05.xlsx&amp;sheet=U0&amp;row=3171&amp;col=6&amp;number=3.7&amp;sourceID=14","3.7")</f>
        <v>3.7</v>
      </c>
      <c r="G3171" s="4" t="str">
        <f>HYPERLINK("http://141.218.60.56/~jnz1568/getInfo.php?workbook=12_05.xlsx&amp;sheet=U0&amp;row=3171&amp;col=7&amp;number=0.0051&amp;sourceID=14","0.0051")</f>
        <v>0.0051</v>
      </c>
    </row>
    <row r="3172" spans="1:7">
      <c r="A3172" s="3"/>
      <c r="B3172" s="3"/>
      <c r="C3172" s="3"/>
      <c r="D3172" s="3"/>
      <c r="E3172" s="3">
        <v>9</v>
      </c>
      <c r="F3172" s="4" t="str">
        <f>HYPERLINK("http://141.218.60.56/~jnz1568/getInfo.php?workbook=12_05.xlsx&amp;sheet=U0&amp;row=3172&amp;col=6&amp;number=3.8&amp;sourceID=14","3.8")</f>
        <v>3.8</v>
      </c>
      <c r="G3172" s="4" t="str">
        <f>HYPERLINK("http://141.218.60.56/~jnz1568/getInfo.php?workbook=12_05.xlsx&amp;sheet=U0&amp;row=3172&amp;col=7&amp;number=0.0051&amp;sourceID=14","0.0051")</f>
        <v>0.0051</v>
      </c>
    </row>
    <row r="3173" spans="1:7">
      <c r="A3173" s="3"/>
      <c r="B3173" s="3"/>
      <c r="C3173" s="3"/>
      <c r="D3173" s="3"/>
      <c r="E3173" s="3">
        <v>10</v>
      </c>
      <c r="F3173" s="4" t="str">
        <f>HYPERLINK("http://141.218.60.56/~jnz1568/getInfo.php?workbook=12_05.xlsx&amp;sheet=U0&amp;row=3173&amp;col=6&amp;number=3.9&amp;sourceID=14","3.9")</f>
        <v>3.9</v>
      </c>
      <c r="G3173" s="4" t="str">
        <f>HYPERLINK("http://141.218.60.56/~jnz1568/getInfo.php?workbook=12_05.xlsx&amp;sheet=U0&amp;row=3173&amp;col=7&amp;number=0.00509&amp;sourceID=14","0.00509")</f>
        <v>0.00509</v>
      </c>
    </row>
    <row r="3174" spans="1:7">
      <c r="A3174" s="3"/>
      <c r="B3174" s="3"/>
      <c r="C3174" s="3"/>
      <c r="D3174" s="3"/>
      <c r="E3174" s="3">
        <v>11</v>
      </c>
      <c r="F3174" s="4" t="str">
        <f>HYPERLINK("http://141.218.60.56/~jnz1568/getInfo.php?workbook=12_05.xlsx&amp;sheet=U0&amp;row=3174&amp;col=6&amp;number=4&amp;sourceID=14","4")</f>
        <v>4</v>
      </c>
      <c r="G3174" s="4" t="str">
        <f>HYPERLINK("http://141.218.60.56/~jnz1568/getInfo.php?workbook=12_05.xlsx&amp;sheet=U0&amp;row=3174&amp;col=7&amp;number=0.00508&amp;sourceID=14","0.00508")</f>
        <v>0.00508</v>
      </c>
    </row>
    <row r="3175" spans="1:7">
      <c r="A3175" s="3"/>
      <c r="B3175" s="3"/>
      <c r="C3175" s="3"/>
      <c r="D3175" s="3"/>
      <c r="E3175" s="3">
        <v>12</v>
      </c>
      <c r="F3175" s="4" t="str">
        <f>HYPERLINK("http://141.218.60.56/~jnz1568/getInfo.php?workbook=12_05.xlsx&amp;sheet=U0&amp;row=3175&amp;col=6&amp;number=4.1&amp;sourceID=14","4.1")</f>
        <v>4.1</v>
      </c>
      <c r="G3175" s="4" t="str">
        <f>HYPERLINK("http://141.218.60.56/~jnz1568/getInfo.php?workbook=12_05.xlsx&amp;sheet=U0&amp;row=3175&amp;col=7&amp;number=0.00507&amp;sourceID=14","0.00507")</f>
        <v>0.00507</v>
      </c>
    </row>
    <row r="3176" spans="1:7">
      <c r="A3176" s="3"/>
      <c r="B3176" s="3"/>
      <c r="C3176" s="3"/>
      <c r="D3176" s="3"/>
      <c r="E3176" s="3">
        <v>13</v>
      </c>
      <c r="F3176" s="4" t="str">
        <f>HYPERLINK("http://141.218.60.56/~jnz1568/getInfo.php?workbook=12_05.xlsx&amp;sheet=U0&amp;row=3176&amp;col=6&amp;number=4.2&amp;sourceID=14","4.2")</f>
        <v>4.2</v>
      </c>
      <c r="G3176" s="4" t="str">
        <f>HYPERLINK("http://141.218.60.56/~jnz1568/getInfo.php?workbook=12_05.xlsx&amp;sheet=U0&amp;row=3176&amp;col=7&amp;number=0.00505&amp;sourceID=14","0.00505")</f>
        <v>0.00505</v>
      </c>
    </row>
    <row r="3177" spans="1:7">
      <c r="A3177" s="3"/>
      <c r="B3177" s="3"/>
      <c r="C3177" s="3"/>
      <c r="D3177" s="3"/>
      <c r="E3177" s="3">
        <v>14</v>
      </c>
      <c r="F3177" s="4" t="str">
        <f>HYPERLINK("http://141.218.60.56/~jnz1568/getInfo.php?workbook=12_05.xlsx&amp;sheet=U0&amp;row=3177&amp;col=6&amp;number=4.3&amp;sourceID=14","4.3")</f>
        <v>4.3</v>
      </c>
      <c r="G3177" s="4" t="str">
        <f>HYPERLINK("http://141.218.60.56/~jnz1568/getInfo.php?workbook=12_05.xlsx&amp;sheet=U0&amp;row=3177&amp;col=7&amp;number=0.00503&amp;sourceID=14","0.00503")</f>
        <v>0.00503</v>
      </c>
    </row>
    <row r="3178" spans="1:7">
      <c r="A3178" s="3"/>
      <c r="B3178" s="3"/>
      <c r="C3178" s="3"/>
      <c r="D3178" s="3"/>
      <c r="E3178" s="3">
        <v>15</v>
      </c>
      <c r="F3178" s="4" t="str">
        <f>HYPERLINK("http://141.218.60.56/~jnz1568/getInfo.php?workbook=12_05.xlsx&amp;sheet=U0&amp;row=3178&amp;col=6&amp;number=4.4&amp;sourceID=14","4.4")</f>
        <v>4.4</v>
      </c>
      <c r="G3178" s="4" t="str">
        <f>HYPERLINK("http://141.218.60.56/~jnz1568/getInfo.php?workbook=12_05.xlsx&amp;sheet=U0&amp;row=3178&amp;col=7&amp;number=0.00501&amp;sourceID=14","0.00501")</f>
        <v>0.00501</v>
      </c>
    </row>
    <row r="3179" spans="1:7">
      <c r="A3179" s="3"/>
      <c r="B3179" s="3"/>
      <c r="C3179" s="3"/>
      <c r="D3179" s="3"/>
      <c r="E3179" s="3">
        <v>16</v>
      </c>
      <c r="F3179" s="4" t="str">
        <f>HYPERLINK("http://141.218.60.56/~jnz1568/getInfo.php?workbook=12_05.xlsx&amp;sheet=U0&amp;row=3179&amp;col=6&amp;number=4.5&amp;sourceID=14","4.5")</f>
        <v>4.5</v>
      </c>
      <c r="G3179" s="4" t="str">
        <f>HYPERLINK("http://141.218.60.56/~jnz1568/getInfo.php?workbook=12_05.xlsx&amp;sheet=U0&amp;row=3179&amp;col=7&amp;number=0.00498&amp;sourceID=14","0.00498")</f>
        <v>0.00498</v>
      </c>
    </row>
    <row r="3180" spans="1:7">
      <c r="A3180" s="3"/>
      <c r="B3180" s="3"/>
      <c r="C3180" s="3"/>
      <c r="D3180" s="3"/>
      <c r="E3180" s="3">
        <v>17</v>
      </c>
      <c r="F3180" s="4" t="str">
        <f>HYPERLINK("http://141.218.60.56/~jnz1568/getInfo.php?workbook=12_05.xlsx&amp;sheet=U0&amp;row=3180&amp;col=6&amp;number=4.6&amp;sourceID=14","4.6")</f>
        <v>4.6</v>
      </c>
      <c r="G3180" s="4" t="str">
        <f>HYPERLINK("http://141.218.60.56/~jnz1568/getInfo.php?workbook=12_05.xlsx&amp;sheet=U0&amp;row=3180&amp;col=7&amp;number=0.00494&amp;sourceID=14","0.00494")</f>
        <v>0.00494</v>
      </c>
    </row>
    <row r="3181" spans="1:7">
      <c r="A3181" s="3"/>
      <c r="B3181" s="3"/>
      <c r="C3181" s="3"/>
      <c r="D3181" s="3"/>
      <c r="E3181" s="3">
        <v>18</v>
      </c>
      <c r="F3181" s="4" t="str">
        <f>HYPERLINK("http://141.218.60.56/~jnz1568/getInfo.php?workbook=12_05.xlsx&amp;sheet=U0&amp;row=3181&amp;col=6&amp;number=4.7&amp;sourceID=14","4.7")</f>
        <v>4.7</v>
      </c>
      <c r="G3181" s="4" t="str">
        <f>HYPERLINK("http://141.218.60.56/~jnz1568/getInfo.php?workbook=12_05.xlsx&amp;sheet=U0&amp;row=3181&amp;col=7&amp;number=0.00489&amp;sourceID=14","0.00489")</f>
        <v>0.00489</v>
      </c>
    </row>
    <row r="3182" spans="1:7">
      <c r="A3182" s="3"/>
      <c r="B3182" s="3"/>
      <c r="C3182" s="3"/>
      <c r="D3182" s="3"/>
      <c r="E3182" s="3">
        <v>19</v>
      </c>
      <c r="F3182" s="4" t="str">
        <f>HYPERLINK("http://141.218.60.56/~jnz1568/getInfo.php?workbook=12_05.xlsx&amp;sheet=U0&amp;row=3182&amp;col=6&amp;number=4.8&amp;sourceID=14","4.8")</f>
        <v>4.8</v>
      </c>
      <c r="G3182" s="4" t="str">
        <f>HYPERLINK("http://141.218.60.56/~jnz1568/getInfo.php?workbook=12_05.xlsx&amp;sheet=U0&amp;row=3182&amp;col=7&amp;number=0.00483&amp;sourceID=14","0.00483")</f>
        <v>0.00483</v>
      </c>
    </row>
    <row r="3183" spans="1:7">
      <c r="A3183" s="3"/>
      <c r="B3183" s="3"/>
      <c r="C3183" s="3"/>
      <c r="D3183" s="3"/>
      <c r="E3183" s="3">
        <v>20</v>
      </c>
      <c r="F3183" s="4" t="str">
        <f>HYPERLINK("http://141.218.60.56/~jnz1568/getInfo.php?workbook=12_05.xlsx&amp;sheet=U0&amp;row=3183&amp;col=6&amp;number=4.9&amp;sourceID=14","4.9")</f>
        <v>4.9</v>
      </c>
      <c r="G3183" s="4" t="str">
        <f>HYPERLINK("http://141.218.60.56/~jnz1568/getInfo.php?workbook=12_05.xlsx&amp;sheet=U0&amp;row=3183&amp;col=7&amp;number=0.00476&amp;sourceID=14","0.00476")</f>
        <v>0.00476</v>
      </c>
    </row>
    <row r="3184" spans="1:7">
      <c r="A3184" s="3">
        <v>12</v>
      </c>
      <c r="B3184" s="3">
        <v>5</v>
      </c>
      <c r="C3184" s="3">
        <v>1</v>
      </c>
      <c r="D3184" s="3">
        <v>121</v>
      </c>
      <c r="E3184" s="3">
        <v>1</v>
      </c>
      <c r="F3184" s="4" t="str">
        <f>HYPERLINK("http://141.218.60.56/~jnz1568/getInfo.php?workbook=12_05.xlsx&amp;sheet=U0&amp;row=3184&amp;col=6&amp;number=3&amp;sourceID=14","3")</f>
        <v>3</v>
      </c>
      <c r="G3184" s="4" t="str">
        <f>HYPERLINK("http://141.218.60.56/~jnz1568/getInfo.php?workbook=12_05.xlsx&amp;sheet=U0&amp;row=3184&amp;col=7&amp;number=0.00193&amp;sourceID=14","0.00193")</f>
        <v>0.00193</v>
      </c>
    </row>
    <row r="3185" spans="1:7">
      <c r="A3185" s="3"/>
      <c r="B3185" s="3"/>
      <c r="C3185" s="3"/>
      <c r="D3185" s="3"/>
      <c r="E3185" s="3">
        <v>2</v>
      </c>
      <c r="F3185" s="4" t="str">
        <f>HYPERLINK("http://141.218.60.56/~jnz1568/getInfo.php?workbook=12_05.xlsx&amp;sheet=U0&amp;row=3185&amp;col=6&amp;number=3.1&amp;sourceID=14","3.1")</f>
        <v>3.1</v>
      </c>
      <c r="G3185" s="4" t="str">
        <f>HYPERLINK("http://141.218.60.56/~jnz1568/getInfo.php?workbook=12_05.xlsx&amp;sheet=U0&amp;row=3185&amp;col=7&amp;number=0.00193&amp;sourceID=14","0.00193")</f>
        <v>0.00193</v>
      </c>
    </row>
    <row r="3186" spans="1:7">
      <c r="A3186" s="3"/>
      <c r="B3186" s="3"/>
      <c r="C3186" s="3"/>
      <c r="D3186" s="3"/>
      <c r="E3186" s="3">
        <v>3</v>
      </c>
      <c r="F3186" s="4" t="str">
        <f>HYPERLINK("http://141.218.60.56/~jnz1568/getInfo.php?workbook=12_05.xlsx&amp;sheet=U0&amp;row=3186&amp;col=6&amp;number=3.2&amp;sourceID=14","3.2")</f>
        <v>3.2</v>
      </c>
      <c r="G3186" s="4" t="str">
        <f>HYPERLINK("http://141.218.60.56/~jnz1568/getInfo.php?workbook=12_05.xlsx&amp;sheet=U0&amp;row=3186&amp;col=7&amp;number=0.00193&amp;sourceID=14","0.00193")</f>
        <v>0.00193</v>
      </c>
    </row>
    <row r="3187" spans="1:7">
      <c r="A3187" s="3"/>
      <c r="B3187" s="3"/>
      <c r="C3187" s="3"/>
      <c r="D3187" s="3"/>
      <c r="E3187" s="3">
        <v>4</v>
      </c>
      <c r="F3187" s="4" t="str">
        <f>HYPERLINK("http://141.218.60.56/~jnz1568/getInfo.php?workbook=12_05.xlsx&amp;sheet=U0&amp;row=3187&amp;col=6&amp;number=3.3&amp;sourceID=14","3.3")</f>
        <v>3.3</v>
      </c>
      <c r="G3187" s="4" t="str">
        <f>HYPERLINK("http://141.218.60.56/~jnz1568/getInfo.php?workbook=12_05.xlsx&amp;sheet=U0&amp;row=3187&amp;col=7&amp;number=0.00193&amp;sourceID=14","0.00193")</f>
        <v>0.00193</v>
      </c>
    </row>
    <row r="3188" spans="1:7">
      <c r="A3188" s="3"/>
      <c r="B3188" s="3"/>
      <c r="C3188" s="3"/>
      <c r="D3188" s="3"/>
      <c r="E3188" s="3">
        <v>5</v>
      </c>
      <c r="F3188" s="4" t="str">
        <f>HYPERLINK("http://141.218.60.56/~jnz1568/getInfo.php?workbook=12_05.xlsx&amp;sheet=U0&amp;row=3188&amp;col=6&amp;number=3.4&amp;sourceID=14","3.4")</f>
        <v>3.4</v>
      </c>
      <c r="G3188" s="4" t="str">
        <f>HYPERLINK("http://141.218.60.56/~jnz1568/getInfo.php?workbook=12_05.xlsx&amp;sheet=U0&amp;row=3188&amp;col=7&amp;number=0.00193&amp;sourceID=14","0.00193")</f>
        <v>0.00193</v>
      </c>
    </row>
    <row r="3189" spans="1:7">
      <c r="A3189" s="3"/>
      <c r="B3189" s="3"/>
      <c r="C3189" s="3"/>
      <c r="D3189" s="3"/>
      <c r="E3189" s="3">
        <v>6</v>
      </c>
      <c r="F3189" s="4" t="str">
        <f>HYPERLINK("http://141.218.60.56/~jnz1568/getInfo.php?workbook=12_05.xlsx&amp;sheet=U0&amp;row=3189&amp;col=6&amp;number=3.5&amp;sourceID=14","3.5")</f>
        <v>3.5</v>
      </c>
      <c r="G3189" s="4" t="str">
        <f>HYPERLINK("http://141.218.60.56/~jnz1568/getInfo.php?workbook=12_05.xlsx&amp;sheet=U0&amp;row=3189&amp;col=7&amp;number=0.00192&amp;sourceID=14","0.00192")</f>
        <v>0.00192</v>
      </c>
    </row>
    <row r="3190" spans="1:7">
      <c r="A3190" s="3"/>
      <c r="B3190" s="3"/>
      <c r="C3190" s="3"/>
      <c r="D3190" s="3"/>
      <c r="E3190" s="3">
        <v>7</v>
      </c>
      <c r="F3190" s="4" t="str">
        <f>HYPERLINK("http://141.218.60.56/~jnz1568/getInfo.php?workbook=12_05.xlsx&amp;sheet=U0&amp;row=3190&amp;col=6&amp;number=3.6&amp;sourceID=14","3.6")</f>
        <v>3.6</v>
      </c>
      <c r="G3190" s="4" t="str">
        <f>HYPERLINK("http://141.218.60.56/~jnz1568/getInfo.php?workbook=12_05.xlsx&amp;sheet=U0&amp;row=3190&amp;col=7&amp;number=0.00192&amp;sourceID=14","0.00192")</f>
        <v>0.00192</v>
      </c>
    </row>
    <row r="3191" spans="1:7">
      <c r="A3191" s="3"/>
      <c r="B3191" s="3"/>
      <c r="C3191" s="3"/>
      <c r="D3191" s="3"/>
      <c r="E3191" s="3">
        <v>8</v>
      </c>
      <c r="F3191" s="4" t="str">
        <f>HYPERLINK("http://141.218.60.56/~jnz1568/getInfo.php?workbook=12_05.xlsx&amp;sheet=U0&amp;row=3191&amp;col=6&amp;number=3.7&amp;sourceID=14","3.7")</f>
        <v>3.7</v>
      </c>
      <c r="G3191" s="4" t="str">
        <f>HYPERLINK("http://141.218.60.56/~jnz1568/getInfo.php?workbook=12_05.xlsx&amp;sheet=U0&amp;row=3191&amp;col=7&amp;number=0.00192&amp;sourceID=14","0.00192")</f>
        <v>0.00192</v>
      </c>
    </row>
    <row r="3192" spans="1:7">
      <c r="A3192" s="3"/>
      <c r="B3192" s="3"/>
      <c r="C3192" s="3"/>
      <c r="D3192" s="3"/>
      <c r="E3192" s="3">
        <v>9</v>
      </c>
      <c r="F3192" s="4" t="str">
        <f>HYPERLINK("http://141.218.60.56/~jnz1568/getInfo.php?workbook=12_05.xlsx&amp;sheet=U0&amp;row=3192&amp;col=6&amp;number=3.8&amp;sourceID=14","3.8")</f>
        <v>3.8</v>
      </c>
      <c r="G3192" s="4" t="str">
        <f>HYPERLINK("http://141.218.60.56/~jnz1568/getInfo.php?workbook=12_05.xlsx&amp;sheet=U0&amp;row=3192&amp;col=7&amp;number=0.00192&amp;sourceID=14","0.00192")</f>
        <v>0.00192</v>
      </c>
    </row>
    <row r="3193" spans="1:7">
      <c r="A3193" s="3"/>
      <c r="B3193" s="3"/>
      <c r="C3193" s="3"/>
      <c r="D3193" s="3"/>
      <c r="E3193" s="3">
        <v>10</v>
      </c>
      <c r="F3193" s="4" t="str">
        <f>HYPERLINK("http://141.218.60.56/~jnz1568/getInfo.php?workbook=12_05.xlsx&amp;sheet=U0&amp;row=3193&amp;col=6&amp;number=3.9&amp;sourceID=14","3.9")</f>
        <v>3.9</v>
      </c>
      <c r="G3193" s="4" t="str">
        <f>HYPERLINK("http://141.218.60.56/~jnz1568/getInfo.php?workbook=12_05.xlsx&amp;sheet=U0&amp;row=3193&amp;col=7&amp;number=0.00192&amp;sourceID=14","0.00192")</f>
        <v>0.00192</v>
      </c>
    </row>
    <row r="3194" spans="1:7">
      <c r="A3194" s="3"/>
      <c r="B3194" s="3"/>
      <c r="C3194" s="3"/>
      <c r="D3194" s="3"/>
      <c r="E3194" s="3">
        <v>11</v>
      </c>
      <c r="F3194" s="4" t="str">
        <f>HYPERLINK("http://141.218.60.56/~jnz1568/getInfo.php?workbook=12_05.xlsx&amp;sheet=U0&amp;row=3194&amp;col=6&amp;number=4&amp;sourceID=14","4")</f>
        <v>4</v>
      </c>
      <c r="G3194" s="4" t="str">
        <f>HYPERLINK("http://141.218.60.56/~jnz1568/getInfo.php?workbook=12_05.xlsx&amp;sheet=U0&amp;row=3194&amp;col=7&amp;number=0.00191&amp;sourceID=14","0.00191")</f>
        <v>0.00191</v>
      </c>
    </row>
    <row r="3195" spans="1:7">
      <c r="A3195" s="3"/>
      <c r="B3195" s="3"/>
      <c r="C3195" s="3"/>
      <c r="D3195" s="3"/>
      <c r="E3195" s="3">
        <v>12</v>
      </c>
      <c r="F3195" s="4" t="str">
        <f>HYPERLINK("http://141.218.60.56/~jnz1568/getInfo.php?workbook=12_05.xlsx&amp;sheet=U0&amp;row=3195&amp;col=6&amp;number=4.1&amp;sourceID=14","4.1")</f>
        <v>4.1</v>
      </c>
      <c r="G3195" s="4" t="str">
        <f>HYPERLINK("http://141.218.60.56/~jnz1568/getInfo.php?workbook=12_05.xlsx&amp;sheet=U0&amp;row=3195&amp;col=7&amp;number=0.00191&amp;sourceID=14","0.00191")</f>
        <v>0.00191</v>
      </c>
    </row>
    <row r="3196" spans="1:7">
      <c r="A3196" s="3"/>
      <c r="B3196" s="3"/>
      <c r="C3196" s="3"/>
      <c r="D3196" s="3"/>
      <c r="E3196" s="3">
        <v>13</v>
      </c>
      <c r="F3196" s="4" t="str">
        <f>HYPERLINK("http://141.218.60.56/~jnz1568/getInfo.php?workbook=12_05.xlsx&amp;sheet=U0&amp;row=3196&amp;col=6&amp;number=4.2&amp;sourceID=14","4.2")</f>
        <v>4.2</v>
      </c>
      <c r="G3196" s="4" t="str">
        <f>HYPERLINK("http://141.218.60.56/~jnz1568/getInfo.php?workbook=12_05.xlsx&amp;sheet=U0&amp;row=3196&amp;col=7&amp;number=0.0019&amp;sourceID=14","0.0019")</f>
        <v>0.0019</v>
      </c>
    </row>
    <row r="3197" spans="1:7">
      <c r="A3197" s="3"/>
      <c r="B3197" s="3"/>
      <c r="C3197" s="3"/>
      <c r="D3197" s="3"/>
      <c r="E3197" s="3">
        <v>14</v>
      </c>
      <c r="F3197" s="4" t="str">
        <f>HYPERLINK("http://141.218.60.56/~jnz1568/getInfo.php?workbook=12_05.xlsx&amp;sheet=U0&amp;row=3197&amp;col=6&amp;number=4.3&amp;sourceID=14","4.3")</f>
        <v>4.3</v>
      </c>
      <c r="G3197" s="4" t="str">
        <f>HYPERLINK("http://141.218.60.56/~jnz1568/getInfo.php?workbook=12_05.xlsx&amp;sheet=U0&amp;row=3197&amp;col=7&amp;number=0.00189&amp;sourceID=14","0.00189")</f>
        <v>0.00189</v>
      </c>
    </row>
    <row r="3198" spans="1:7">
      <c r="A3198" s="3"/>
      <c r="B3198" s="3"/>
      <c r="C3198" s="3"/>
      <c r="D3198" s="3"/>
      <c r="E3198" s="3">
        <v>15</v>
      </c>
      <c r="F3198" s="4" t="str">
        <f>HYPERLINK("http://141.218.60.56/~jnz1568/getInfo.php?workbook=12_05.xlsx&amp;sheet=U0&amp;row=3198&amp;col=6&amp;number=4.4&amp;sourceID=14","4.4")</f>
        <v>4.4</v>
      </c>
      <c r="G3198" s="4" t="str">
        <f>HYPERLINK("http://141.218.60.56/~jnz1568/getInfo.php?workbook=12_05.xlsx&amp;sheet=U0&amp;row=3198&amp;col=7&amp;number=0.00189&amp;sourceID=14","0.00189")</f>
        <v>0.00189</v>
      </c>
    </row>
    <row r="3199" spans="1:7">
      <c r="A3199" s="3"/>
      <c r="B3199" s="3"/>
      <c r="C3199" s="3"/>
      <c r="D3199" s="3"/>
      <c r="E3199" s="3">
        <v>16</v>
      </c>
      <c r="F3199" s="4" t="str">
        <f>HYPERLINK("http://141.218.60.56/~jnz1568/getInfo.php?workbook=12_05.xlsx&amp;sheet=U0&amp;row=3199&amp;col=6&amp;number=4.5&amp;sourceID=14","4.5")</f>
        <v>4.5</v>
      </c>
      <c r="G3199" s="4" t="str">
        <f>HYPERLINK("http://141.218.60.56/~jnz1568/getInfo.php?workbook=12_05.xlsx&amp;sheet=U0&amp;row=3199&amp;col=7&amp;number=0.00187&amp;sourceID=14","0.00187")</f>
        <v>0.00187</v>
      </c>
    </row>
    <row r="3200" spans="1:7">
      <c r="A3200" s="3"/>
      <c r="B3200" s="3"/>
      <c r="C3200" s="3"/>
      <c r="D3200" s="3"/>
      <c r="E3200" s="3">
        <v>17</v>
      </c>
      <c r="F3200" s="4" t="str">
        <f>HYPERLINK("http://141.218.60.56/~jnz1568/getInfo.php?workbook=12_05.xlsx&amp;sheet=U0&amp;row=3200&amp;col=6&amp;number=4.6&amp;sourceID=14","4.6")</f>
        <v>4.6</v>
      </c>
      <c r="G3200" s="4" t="str">
        <f>HYPERLINK("http://141.218.60.56/~jnz1568/getInfo.php?workbook=12_05.xlsx&amp;sheet=U0&amp;row=3200&amp;col=7&amp;number=0.00186&amp;sourceID=14","0.00186")</f>
        <v>0.00186</v>
      </c>
    </row>
    <row r="3201" spans="1:7">
      <c r="A3201" s="3"/>
      <c r="B3201" s="3"/>
      <c r="C3201" s="3"/>
      <c r="D3201" s="3"/>
      <c r="E3201" s="3">
        <v>18</v>
      </c>
      <c r="F3201" s="4" t="str">
        <f>HYPERLINK("http://141.218.60.56/~jnz1568/getInfo.php?workbook=12_05.xlsx&amp;sheet=U0&amp;row=3201&amp;col=6&amp;number=4.7&amp;sourceID=14","4.7")</f>
        <v>4.7</v>
      </c>
      <c r="G3201" s="4" t="str">
        <f>HYPERLINK("http://141.218.60.56/~jnz1568/getInfo.php?workbook=12_05.xlsx&amp;sheet=U0&amp;row=3201&amp;col=7&amp;number=0.00184&amp;sourceID=14","0.00184")</f>
        <v>0.00184</v>
      </c>
    </row>
    <row r="3202" spans="1:7">
      <c r="A3202" s="3"/>
      <c r="B3202" s="3"/>
      <c r="C3202" s="3"/>
      <c r="D3202" s="3"/>
      <c r="E3202" s="3">
        <v>19</v>
      </c>
      <c r="F3202" s="4" t="str">
        <f>HYPERLINK("http://141.218.60.56/~jnz1568/getInfo.php?workbook=12_05.xlsx&amp;sheet=U0&amp;row=3202&amp;col=6&amp;number=4.8&amp;sourceID=14","4.8")</f>
        <v>4.8</v>
      </c>
      <c r="G3202" s="4" t="str">
        <f>HYPERLINK("http://141.218.60.56/~jnz1568/getInfo.php?workbook=12_05.xlsx&amp;sheet=U0&amp;row=3202&amp;col=7&amp;number=0.00182&amp;sourceID=14","0.00182")</f>
        <v>0.00182</v>
      </c>
    </row>
    <row r="3203" spans="1:7">
      <c r="A3203" s="3"/>
      <c r="B3203" s="3"/>
      <c r="C3203" s="3"/>
      <c r="D3203" s="3"/>
      <c r="E3203" s="3">
        <v>20</v>
      </c>
      <c r="F3203" s="4" t="str">
        <f>HYPERLINK("http://141.218.60.56/~jnz1568/getInfo.php?workbook=12_05.xlsx&amp;sheet=U0&amp;row=3203&amp;col=6&amp;number=4.9&amp;sourceID=14","4.9")</f>
        <v>4.9</v>
      </c>
      <c r="G3203" s="4" t="str">
        <f>HYPERLINK("http://141.218.60.56/~jnz1568/getInfo.php?workbook=12_05.xlsx&amp;sheet=U0&amp;row=3203&amp;col=7&amp;number=0.0018&amp;sourceID=14","0.0018")</f>
        <v>0.0018</v>
      </c>
    </row>
    <row r="3204" spans="1:7">
      <c r="A3204" s="3">
        <v>12</v>
      </c>
      <c r="B3204" s="3">
        <v>5</v>
      </c>
      <c r="C3204" s="3">
        <v>1</v>
      </c>
      <c r="D3204" s="3">
        <v>122</v>
      </c>
      <c r="E3204" s="3">
        <v>1</v>
      </c>
      <c r="F3204" s="4" t="str">
        <f>HYPERLINK("http://141.218.60.56/~jnz1568/getInfo.php?workbook=12_05.xlsx&amp;sheet=U0&amp;row=3204&amp;col=6&amp;number=3&amp;sourceID=14","3")</f>
        <v>3</v>
      </c>
      <c r="G3204" s="4" t="str">
        <f>HYPERLINK("http://141.218.60.56/~jnz1568/getInfo.php?workbook=12_05.xlsx&amp;sheet=U0&amp;row=3204&amp;col=7&amp;number=0.00867&amp;sourceID=14","0.00867")</f>
        <v>0.00867</v>
      </c>
    </row>
    <row r="3205" spans="1:7">
      <c r="A3205" s="3"/>
      <c r="B3205" s="3"/>
      <c r="C3205" s="3"/>
      <c r="D3205" s="3"/>
      <c r="E3205" s="3">
        <v>2</v>
      </c>
      <c r="F3205" s="4" t="str">
        <f>HYPERLINK("http://141.218.60.56/~jnz1568/getInfo.php?workbook=12_05.xlsx&amp;sheet=U0&amp;row=3205&amp;col=6&amp;number=3.1&amp;sourceID=14","3.1")</f>
        <v>3.1</v>
      </c>
      <c r="G3205" s="4" t="str">
        <f>HYPERLINK("http://141.218.60.56/~jnz1568/getInfo.php?workbook=12_05.xlsx&amp;sheet=U0&amp;row=3205&amp;col=7&amp;number=0.00867&amp;sourceID=14","0.00867")</f>
        <v>0.00867</v>
      </c>
    </row>
    <row r="3206" spans="1:7">
      <c r="A3206" s="3"/>
      <c r="B3206" s="3"/>
      <c r="C3206" s="3"/>
      <c r="D3206" s="3"/>
      <c r="E3206" s="3">
        <v>3</v>
      </c>
      <c r="F3206" s="4" t="str">
        <f>HYPERLINK("http://141.218.60.56/~jnz1568/getInfo.php?workbook=12_05.xlsx&amp;sheet=U0&amp;row=3206&amp;col=6&amp;number=3.2&amp;sourceID=14","3.2")</f>
        <v>3.2</v>
      </c>
      <c r="G3206" s="4" t="str">
        <f>HYPERLINK("http://141.218.60.56/~jnz1568/getInfo.php?workbook=12_05.xlsx&amp;sheet=U0&amp;row=3206&amp;col=7&amp;number=0.00867&amp;sourceID=14","0.00867")</f>
        <v>0.00867</v>
      </c>
    </row>
    <row r="3207" spans="1:7">
      <c r="A3207" s="3"/>
      <c r="B3207" s="3"/>
      <c r="C3207" s="3"/>
      <c r="D3207" s="3"/>
      <c r="E3207" s="3">
        <v>4</v>
      </c>
      <c r="F3207" s="4" t="str">
        <f>HYPERLINK("http://141.218.60.56/~jnz1568/getInfo.php?workbook=12_05.xlsx&amp;sheet=U0&amp;row=3207&amp;col=6&amp;number=3.3&amp;sourceID=14","3.3")</f>
        <v>3.3</v>
      </c>
      <c r="G3207" s="4" t="str">
        <f>HYPERLINK("http://141.218.60.56/~jnz1568/getInfo.php?workbook=12_05.xlsx&amp;sheet=U0&amp;row=3207&amp;col=7&amp;number=0.00866&amp;sourceID=14","0.00866")</f>
        <v>0.00866</v>
      </c>
    </row>
    <row r="3208" spans="1:7">
      <c r="A3208" s="3"/>
      <c r="B3208" s="3"/>
      <c r="C3208" s="3"/>
      <c r="D3208" s="3"/>
      <c r="E3208" s="3">
        <v>5</v>
      </c>
      <c r="F3208" s="4" t="str">
        <f>HYPERLINK("http://141.218.60.56/~jnz1568/getInfo.php?workbook=12_05.xlsx&amp;sheet=U0&amp;row=3208&amp;col=6&amp;number=3.4&amp;sourceID=14","3.4")</f>
        <v>3.4</v>
      </c>
      <c r="G3208" s="4" t="str">
        <f>HYPERLINK("http://141.218.60.56/~jnz1568/getInfo.php?workbook=12_05.xlsx&amp;sheet=U0&amp;row=3208&amp;col=7&amp;number=0.00866&amp;sourceID=14","0.00866")</f>
        <v>0.00866</v>
      </c>
    </row>
    <row r="3209" spans="1:7">
      <c r="A3209" s="3"/>
      <c r="B3209" s="3"/>
      <c r="C3209" s="3"/>
      <c r="D3209" s="3"/>
      <c r="E3209" s="3">
        <v>6</v>
      </c>
      <c r="F3209" s="4" t="str">
        <f>HYPERLINK("http://141.218.60.56/~jnz1568/getInfo.php?workbook=12_05.xlsx&amp;sheet=U0&amp;row=3209&amp;col=6&amp;number=3.5&amp;sourceID=14","3.5")</f>
        <v>3.5</v>
      </c>
      <c r="G3209" s="4" t="str">
        <f>HYPERLINK("http://141.218.60.56/~jnz1568/getInfo.php?workbook=12_05.xlsx&amp;sheet=U0&amp;row=3209&amp;col=7&amp;number=0.00865&amp;sourceID=14","0.00865")</f>
        <v>0.00865</v>
      </c>
    </row>
    <row r="3210" spans="1:7">
      <c r="A3210" s="3"/>
      <c r="B3210" s="3"/>
      <c r="C3210" s="3"/>
      <c r="D3210" s="3"/>
      <c r="E3210" s="3">
        <v>7</v>
      </c>
      <c r="F3210" s="4" t="str">
        <f>HYPERLINK("http://141.218.60.56/~jnz1568/getInfo.php?workbook=12_05.xlsx&amp;sheet=U0&amp;row=3210&amp;col=6&amp;number=3.6&amp;sourceID=14","3.6")</f>
        <v>3.6</v>
      </c>
      <c r="G3210" s="4" t="str">
        <f>HYPERLINK("http://141.218.60.56/~jnz1568/getInfo.php?workbook=12_05.xlsx&amp;sheet=U0&amp;row=3210&amp;col=7&amp;number=0.00865&amp;sourceID=14","0.00865")</f>
        <v>0.00865</v>
      </c>
    </row>
    <row r="3211" spans="1:7">
      <c r="A3211" s="3"/>
      <c r="B3211" s="3"/>
      <c r="C3211" s="3"/>
      <c r="D3211" s="3"/>
      <c r="E3211" s="3">
        <v>8</v>
      </c>
      <c r="F3211" s="4" t="str">
        <f>HYPERLINK("http://141.218.60.56/~jnz1568/getInfo.php?workbook=12_05.xlsx&amp;sheet=U0&amp;row=3211&amp;col=6&amp;number=3.7&amp;sourceID=14","3.7")</f>
        <v>3.7</v>
      </c>
      <c r="G3211" s="4" t="str">
        <f>HYPERLINK("http://141.218.60.56/~jnz1568/getInfo.php?workbook=12_05.xlsx&amp;sheet=U0&amp;row=3211&amp;col=7&amp;number=0.00864&amp;sourceID=14","0.00864")</f>
        <v>0.00864</v>
      </c>
    </row>
    <row r="3212" spans="1:7">
      <c r="A3212" s="3"/>
      <c r="B3212" s="3"/>
      <c r="C3212" s="3"/>
      <c r="D3212" s="3"/>
      <c r="E3212" s="3">
        <v>9</v>
      </c>
      <c r="F3212" s="4" t="str">
        <f>HYPERLINK("http://141.218.60.56/~jnz1568/getInfo.php?workbook=12_05.xlsx&amp;sheet=U0&amp;row=3212&amp;col=6&amp;number=3.8&amp;sourceID=14","3.8")</f>
        <v>3.8</v>
      </c>
      <c r="G3212" s="4" t="str">
        <f>HYPERLINK("http://141.218.60.56/~jnz1568/getInfo.php?workbook=12_05.xlsx&amp;sheet=U0&amp;row=3212&amp;col=7&amp;number=0.00863&amp;sourceID=14","0.00863")</f>
        <v>0.00863</v>
      </c>
    </row>
    <row r="3213" spans="1:7">
      <c r="A3213" s="3"/>
      <c r="B3213" s="3"/>
      <c r="C3213" s="3"/>
      <c r="D3213" s="3"/>
      <c r="E3213" s="3">
        <v>10</v>
      </c>
      <c r="F3213" s="4" t="str">
        <f>HYPERLINK("http://141.218.60.56/~jnz1568/getInfo.php?workbook=12_05.xlsx&amp;sheet=U0&amp;row=3213&amp;col=6&amp;number=3.9&amp;sourceID=14","3.9")</f>
        <v>3.9</v>
      </c>
      <c r="G3213" s="4" t="str">
        <f>HYPERLINK("http://141.218.60.56/~jnz1568/getInfo.php?workbook=12_05.xlsx&amp;sheet=U0&amp;row=3213&amp;col=7&amp;number=0.00861&amp;sourceID=14","0.00861")</f>
        <v>0.00861</v>
      </c>
    </row>
    <row r="3214" spans="1:7">
      <c r="A3214" s="3"/>
      <c r="B3214" s="3"/>
      <c r="C3214" s="3"/>
      <c r="D3214" s="3"/>
      <c r="E3214" s="3">
        <v>11</v>
      </c>
      <c r="F3214" s="4" t="str">
        <f>HYPERLINK("http://141.218.60.56/~jnz1568/getInfo.php?workbook=12_05.xlsx&amp;sheet=U0&amp;row=3214&amp;col=6&amp;number=4&amp;sourceID=14","4")</f>
        <v>4</v>
      </c>
      <c r="G3214" s="4" t="str">
        <f>HYPERLINK("http://141.218.60.56/~jnz1568/getInfo.php?workbook=12_05.xlsx&amp;sheet=U0&amp;row=3214&amp;col=7&amp;number=0.0086&amp;sourceID=14","0.0086")</f>
        <v>0.0086</v>
      </c>
    </row>
    <row r="3215" spans="1:7">
      <c r="A3215" s="3"/>
      <c r="B3215" s="3"/>
      <c r="C3215" s="3"/>
      <c r="D3215" s="3"/>
      <c r="E3215" s="3">
        <v>12</v>
      </c>
      <c r="F3215" s="4" t="str">
        <f>HYPERLINK("http://141.218.60.56/~jnz1568/getInfo.php?workbook=12_05.xlsx&amp;sheet=U0&amp;row=3215&amp;col=6&amp;number=4.1&amp;sourceID=14","4.1")</f>
        <v>4.1</v>
      </c>
      <c r="G3215" s="4" t="str">
        <f>HYPERLINK("http://141.218.60.56/~jnz1568/getInfo.php?workbook=12_05.xlsx&amp;sheet=U0&amp;row=3215&amp;col=7&amp;number=0.00858&amp;sourceID=14","0.00858")</f>
        <v>0.00858</v>
      </c>
    </row>
    <row r="3216" spans="1:7">
      <c r="A3216" s="3"/>
      <c r="B3216" s="3"/>
      <c r="C3216" s="3"/>
      <c r="D3216" s="3"/>
      <c r="E3216" s="3">
        <v>13</v>
      </c>
      <c r="F3216" s="4" t="str">
        <f>HYPERLINK("http://141.218.60.56/~jnz1568/getInfo.php?workbook=12_05.xlsx&amp;sheet=U0&amp;row=3216&amp;col=6&amp;number=4.2&amp;sourceID=14","4.2")</f>
        <v>4.2</v>
      </c>
      <c r="G3216" s="4" t="str">
        <f>HYPERLINK("http://141.218.60.56/~jnz1568/getInfo.php?workbook=12_05.xlsx&amp;sheet=U0&amp;row=3216&amp;col=7&amp;number=0.00855&amp;sourceID=14","0.00855")</f>
        <v>0.00855</v>
      </c>
    </row>
    <row r="3217" spans="1:7">
      <c r="A3217" s="3"/>
      <c r="B3217" s="3"/>
      <c r="C3217" s="3"/>
      <c r="D3217" s="3"/>
      <c r="E3217" s="3">
        <v>14</v>
      </c>
      <c r="F3217" s="4" t="str">
        <f>HYPERLINK("http://141.218.60.56/~jnz1568/getInfo.php?workbook=12_05.xlsx&amp;sheet=U0&amp;row=3217&amp;col=6&amp;number=4.3&amp;sourceID=14","4.3")</f>
        <v>4.3</v>
      </c>
      <c r="G3217" s="4" t="str">
        <f>HYPERLINK("http://141.218.60.56/~jnz1568/getInfo.php?workbook=12_05.xlsx&amp;sheet=U0&amp;row=3217&amp;col=7&amp;number=0.00852&amp;sourceID=14","0.00852")</f>
        <v>0.00852</v>
      </c>
    </row>
    <row r="3218" spans="1:7">
      <c r="A3218" s="3"/>
      <c r="B3218" s="3"/>
      <c r="C3218" s="3"/>
      <c r="D3218" s="3"/>
      <c r="E3218" s="3">
        <v>15</v>
      </c>
      <c r="F3218" s="4" t="str">
        <f>HYPERLINK("http://141.218.60.56/~jnz1568/getInfo.php?workbook=12_05.xlsx&amp;sheet=U0&amp;row=3218&amp;col=6&amp;number=4.4&amp;sourceID=14","4.4")</f>
        <v>4.4</v>
      </c>
      <c r="G3218" s="4" t="str">
        <f>HYPERLINK("http://141.218.60.56/~jnz1568/getInfo.php?workbook=12_05.xlsx&amp;sheet=U0&amp;row=3218&amp;col=7&amp;number=0.00848&amp;sourceID=14","0.00848")</f>
        <v>0.00848</v>
      </c>
    </row>
    <row r="3219" spans="1:7">
      <c r="A3219" s="3"/>
      <c r="B3219" s="3"/>
      <c r="C3219" s="3"/>
      <c r="D3219" s="3"/>
      <c r="E3219" s="3">
        <v>16</v>
      </c>
      <c r="F3219" s="4" t="str">
        <f>HYPERLINK("http://141.218.60.56/~jnz1568/getInfo.php?workbook=12_05.xlsx&amp;sheet=U0&amp;row=3219&amp;col=6&amp;number=4.5&amp;sourceID=14","4.5")</f>
        <v>4.5</v>
      </c>
      <c r="G3219" s="4" t="str">
        <f>HYPERLINK("http://141.218.60.56/~jnz1568/getInfo.php?workbook=12_05.xlsx&amp;sheet=U0&amp;row=3219&amp;col=7&amp;number=0.00843&amp;sourceID=14","0.00843")</f>
        <v>0.00843</v>
      </c>
    </row>
    <row r="3220" spans="1:7">
      <c r="A3220" s="3"/>
      <c r="B3220" s="3"/>
      <c r="C3220" s="3"/>
      <c r="D3220" s="3"/>
      <c r="E3220" s="3">
        <v>17</v>
      </c>
      <c r="F3220" s="4" t="str">
        <f>HYPERLINK("http://141.218.60.56/~jnz1568/getInfo.php?workbook=12_05.xlsx&amp;sheet=U0&amp;row=3220&amp;col=6&amp;number=4.6&amp;sourceID=14","4.6")</f>
        <v>4.6</v>
      </c>
      <c r="G3220" s="4" t="str">
        <f>HYPERLINK("http://141.218.60.56/~jnz1568/getInfo.php?workbook=12_05.xlsx&amp;sheet=U0&amp;row=3220&amp;col=7&amp;number=0.00836&amp;sourceID=14","0.00836")</f>
        <v>0.00836</v>
      </c>
    </row>
    <row r="3221" spans="1:7">
      <c r="A3221" s="3"/>
      <c r="B3221" s="3"/>
      <c r="C3221" s="3"/>
      <c r="D3221" s="3"/>
      <c r="E3221" s="3">
        <v>18</v>
      </c>
      <c r="F3221" s="4" t="str">
        <f>HYPERLINK("http://141.218.60.56/~jnz1568/getInfo.php?workbook=12_05.xlsx&amp;sheet=U0&amp;row=3221&amp;col=6&amp;number=4.7&amp;sourceID=14","4.7")</f>
        <v>4.7</v>
      </c>
      <c r="G3221" s="4" t="str">
        <f>HYPERLINK("http://141.218.60.56/~jnz1568/getInfo.php?workbook=12_05.xlsx&amp;sheet=U0&amp;row=3221&amp;col=7&amp;number=0.00829&amp;sourceID=14","0.00829")</f>
        <v>0.00829</v>
      </c>
    </row>
    <row r="3222" spans="1:7">
      <c r="A3222" s="3"/>
      <c r="B3222" s="3"/>
      <c r="C3222" s="3"/>
      <c r="D3222" s="3"/>
      <c r="E3222" s="3">
        <v>19</v>
      </c>
      <c r="F3222" s="4" t="str">
        <f>HYPERLINK("http://141.218.60.56/~jnz1568/getInfo.php?workbook=12_05.xlsx&amp;sheet=U0&amp;row=3222&amp;col=6&amp;number=4.8&amp;sourceID=14","4.8")</f>
        <v>4.8</v>
      </c>
      <c r="G3222" s="4" t="str">
        <f>HYPERLINK("http://141.218.60.56/~jnz1568/getInfo.php?workbook=12_05.xlsx&amp;sheet=U0&amp;row=3222&amp;col=7&amp;number=0.00819&amp;sourceID=14","0.00819")</f>
        <v>0.00819</v>
      </c>
    </row>
    <row r="3223" spans="1:7">
      <c r="A3223" s="3"/>
      <c r="B3223" s="3"/>
      <c r="C3223" s="3"/>
      <c r="D3223" s="3"/>
      <c r="E3223" s="3">
        <v>20</v>
      </c>
      <c r="F3223" s="4" t="str">
        <f>HYPERLINK("http://141.218.60.56/~jnz1568/getInfo.php?workbook=12_05.xlsx&amp;sheet=U0&amp;row=3223&amp;col=6&amp;number=4.9&amp;sourceID=14","4.9")</f>
        <v>4.9</v>
      </c>
      <c r="G3223" s="4" t="str">
        <f>HYPERLINK("http://141.218.60.56/~jnz1568/getInfo.php?workbook=12_05.xlsx&amp;sheet=U0&amp;row=3223&amp;col=7&amp;number=0.00807&amp;sourceID=14","0.00807")</f>
        <v>0.00807</v>
      </c>
    </row>
    <row r="3224" spans="1:7">
      <c r="A3224" s="3">
        <v>12</v>
      </c>
      <c r="B3224" s="3">
        <v>5</v>
      </c>
      <c r="C3224" s="3">
        <v>1</v>
      </c>
      <c r="D3224" s="3">
        <v>123</v>
      </c>
      <c r="E3224" s="3">
        <v>1</v>
      </c>
      <c r="F3224" s="4" t="str">
        <f>HYPERLINK("http://141.218.60.56/~jnz1568/getInfo.php?workbook=12_05.xlsx&amp;sheet=U0&amp;row=3224&amp;col=6&amp;number=3&amp;sourceID=14","3")</f>
        <v>3</v>
      </c>
      <c r="G3224" s="4" t="str">
        <f>HYPERLINK("http://141.218.60.56/~jnz1568/getInfo.php?workbook=12_05.xlsx&amp;sheet=U0&amp;row=3224&amp;col=7&amp;number=0.000256&amp;sourceID=14","0.000256")</f>
        <v>0.000256</v>
      </c>
    </row>
    <row r="3225" spans="1:7">
      <c r="A3225" s="3"/>
      <c r="B3225" s="3"/>
      <c r="C3225" s="3"/>
      <c r="D3225" s="3"/>
      <c r="E3225" s="3">
        <v>2</v>
      </c>
      <c r="F3225" s="4" t="str">
        <f>HYPERLINK("http://141.218.60.56/~jnz1568/getInfo.php?workbook=12_05.xlsx&amp;sheet=U0&amp;row=3225&amp;col=6&amp;number=3.1&amp;sourceID=14","3.1")</f>
        <v>3.1</v>
      </c>
      <c r="G3225" s="4" t="str">
        <f>HYPERLINK("http://141.218.60.56/~jnz1568/getInfo.php?workbook=12_05.xlsx&amp;sheet=U0&amp;row=3225&amp;col=7&amp;number=0.000256&amp;sourceID=14","0.000256")</f>
        <v>0.000256</v>
      </c>
    </row>
    <row r="3226" spans="1:7">
      <c r="A3226" s="3"/>
      <c r="B3226" s="3"/>
      <c r="C3226" s="3"/>
      <c r="D3226" s="3"/>
      <c r="E3226" s="3">
        <v>3</v>
      </c>
      <c r="F3226" s="4" t="str">
        <f>HYPERLINK("http://141.218.60.56/~jnz1568/getInfo.php?workbook=12_05.xlsx&amp;sheet=U0&amp;row=3226&amp;col=6&amp;number=3.2&amp;sourceID=14","3.2")</f>
        <v>3.2</v>
      </c>
      <c r="G3226" s="4" t="str">
        <f>HYPERLINK("http://141.218.60.56/~jnz1568/getInfo.php?workbook=12_05.xlsx&amp;sheet=U0&amp;row=3226&amp;col=7&amp;number=0.000256&amp;sourceID=14","0.000256")</f>
        <v>0.000256</v>
      </c>
    </row>
    <row r="3227" spans="1:7">
      <c r="A3227" s="3"/>
      <c r="B3227" s="3"/>
      <c r="C3227" s="3"/>
      <c r="D3227" s="3"/>
      <c r="E3227" s="3">
        <v>4</v>
      </c>
      <c r="F3227" s="4" t="str">
        <f>HYPERLINK("http://141.218.60.56/~jnz1568/getInfo.php?workbook=12_05.xlsx&amp;sheet=U0&amp;row=3227&amp;col=6&amp;number=3.3&amp;sourceID=14","3.3")</f>
        <v>3.3</v>
      </c>
      <c r="G3227" s="4" t="str">
        <f>HYPERLINK("http://141.218.60.56/~jnz1568/getInfo.php?workbook=12_05.xlsx&amp;sheet=U0&amp;row=3227&amp;col=7&amp;number=0.000256&amp;sourceID=14","0.000256")</f>
        <v>0.000256</v>
      </c>
    </row>
    <row r="3228" spans="1:7">
      <c r="A3228" s="3"/>
      <c r="B3228" s="3"/>
      <c r="C3228" s="3"/>
      <c r="D3228" s="3"/>
      <c r="E3228" s="3">
        <v>5</v>
      </c>
      <c r="F3228" s="4" t="str">
        <f>HYPERLINK("http://141.218.60.56/~jnz1568/getInfo.php?workbook=12_05.xlsx&amp;sheet=U0&amp;row=3228&amp;col=6&amp;number=3.4&amp;sourceID=14","3.4")</f>
        <v>3.4</v>
      </c>
      <c r="G3228" s="4" t="str">
        <f>HYPERLINK("http://141.218.60.56/~jnz1568/getInfo.php?workbook=12_05.xlsx&amp;sheet=U0&amp;row=3228&amp;col=7&amp;number=0.000256&amp;sourceID=14","0.000256")</f>
        <v>0.000256</v>
      </c>
    </row>
    <row r="3229" spans="1:7">
      <c r="A3229" s="3"/>
      <c r="B3229" s="3"/>
      <c r="C3229" s="3"/>
      <c r="D3229" s="3"/>
      <c r="E3229" s="3">
        <v>6</v>
      </c>
      <c r="F3229" s="4" t="str">
        <f>HYPERLINK("http://141.218.60.56/~jnz1568/getInfo.php?workbook=12_05.xlsx&amp;sheet=U0&amp;row=3229&amp;col=6&amp;number=3.5&amp;sourceID=14","3.5")</f>
        <v>3.5</v>
      </c>
      <c r="G3229" s="4" t="str">
        <f>HYPERLINK("http://141.218.60.56/~jnz1568/getInfo.php?workbook=12_05.xlsx&amp;sheet=U0&amp;row=3229&amp;col=7&amp;number=0.000256&amp;sourceID=14","0.000256")</f>
        <v>0.000256</v>
      </c>
    </row>
    <row r="3230" spans="1:7">
      <c r="A3230" s="3"/>
      <c r="B3230" s="3"/>
      <c r="C3230" s="3"/>
      <c r="D3230" s="3"/>
      <c r="E3230" s="3">
        <v>7</v>
      </c>
      <c r="F3230" s="4" t="str">
        <f>HYPERLINK("http://141.218.60.56/~jnz1568/getInfo.php?workbook=12_05.xlsx&amp;sheet=U0&amp;row=3230&amp;col=6&amp;number=3.6&amp;sourceID=14","3.6")</f>
        <v>3.6</v>
      </c>
      <c r="G3230" s="4" t="str">
        <f>HYPERLINK("http://141.218.60.56/~jnz1568/getInfo.php?workbook=12_05.xlsx&amp;sheet=U0&amp;row=3230&amp;col=7&amp;number=0.000255&amp;sourceID=14","0.000255")</f>
        <v>0.000255</v>
      </c>
    </row>
    <row r="3231" spans="1:7">
      <c r="A3231" s="3"/>
      <c r="B3231" s="3"/>
      <c r="C3231" s="3"/>
      <c r="D3231" s="3"/>
      <c r="E3231" s="3">
        <v>8</v>
      </c>
      <c r="F3231" s="4" t="str">
        <f>HYPERLINK("http://141.218.60.56/~jnz1568/getInfo.php?workbook=12_05.xlsx&amp;sheet=U0&amp;row=3231&amp;col=6&amp;number=3.7&amp;sourceID=14","3.7")</f>
        <v>3.7</v>
      </c>
      <c r="G3231" s="4" t="str">
        <f>HYPERLINK("http://141.218.60.56/~jnz1568/getInfo.php?workbook=12_05.xlsx&amp;sheet=U0&amp;row=3231&amp;col=7&amp;number=0.000255&amp;sourceID=14","0.000255")</f>
        <v>0.000255</v>
      </c>
    </row>
    <row r="3232" spans="1:7">
      <c r="A3232" s="3"/>
      <c r="B3232" s="3"/>
      <c r="C3232" s="3"/>
      <c r="D3232" s="3"/>
      <c r="E3232" s="3">
        <v>9</v>
      </c>
      <c r="F3232" s="4" t="str">
        <f>HYPERLINK("http://141.218.60.56/~jnz1568/getInfo.php?workbook=12_05.xlsx&amp;sheet=U0&amp;row=3232&amp;col=6&amp;number=3.8&amp;sourceID=14","3.8")</f>
        <v>3.8</v>
      </c>
      <c r="G3232" s="4" t="str">
        <f>HYPERLINK("http://141.218.60.56/~jnz1568/getInfo.php?workbook=12_05.xlsx&amp;sheet=U0&amp;row=3232&amp;col=7&amp;number=0.000255&amp;sourceID=14","0.000255")</f>
        <v>0.000255</v>
      </c>
    </row>
    <row r="3233" spans="1:7">
      <c r="A3233" s="3"/>
      <c r="B3233" s="3"/>
      <c r="C3233" s="3"/>
      <c r="D3233" s="3"/>
      <c r="E3233" s="3">
        <v>10</v>
      </c>
      <c r="F3233" s="4" t="str">
        <f>HYPERLINK("http://141.218.60.56/~jnz1568/getInfo.php?workbook=12_05.xlsx&amp;sheet=U0&amp;row=3233&amp;col=6&amp;number=3.9&amp;sourceID=14","3.9")</f>
        <v>3.9</v>
      </c>
      <c r="G3233" s="4" t="str">
        <f>HYPERLINK("http://141.218.60.56/~jnz1568/getInfo.php?workbook=12_05.xlsx&amp;sheet=U0&amp;row=3233&amp;col=7&amp;number=0.000255&amp;sourceID=14","0.000255")</f>
        <v>0.000255</v>
      </c>
    </row>
    <row r="3234" spans="1:7">
      <c r="A3234" s="3"/>
      <c r="B3234" s="3"/>
      <c r="C3234" s="3"/>
      <c r="D3234" s="3"/>
      <c r="E3234" s="3">
        <v>11</v>
      </c>
      <c r="F3234" s="4" t="str">
        <f>HYPERLINK("http://141.218.60.56/~jnz1568/getInfo.php?workbook=12_05.xlsx&amp;sheet=U0&amp;row=3234&amp;col=6&amp;number=4&amp;sourceID=14","4")</f>
        <v>4</v>
      </c>
      <c r="G3234" s="4" t="str">
        <f>HYPERLINK("http://141.218.60.56/~jnz1568/getInfo.php?workbook=12_05.xlsx&amp;sheet=U0&amp;row=3234&amp;col=7&amp;number=0.000254&amp;sourceID=14","0.000254")</f>
        <v>0.000254</v>
      </c>
    </row>
    <row r="3235" spans="1:7">
      <c r="A3235" s="3"/>
      <c r="B3235" s="3"/>
      <c r="C3235" s="3"/>
      <c r="D3235" s="3"/>
      <c r="E3235" s="3">
        <v>12</v>
      </c>
      <c r="F3235" s="4" t="str">
        <f>HYPERLINK("http://141.218.60.56/~jnz1568/getInfo.php?workbook=12_05.xlsx&amp;sheet=U0&amp;row=3235&amp;col=6&amp;number=4.1&amp;sourceID=14","4.1")</f>
        <v>4.1</v>
      </c>
      <c r="G3235" s="4" t="str">
        <f>HYPERLINK("http://141.218.60.56/~jnz1568/getInfo.php?workbook=12_05.xlsx&amp;sheet=U0&amp;row=3235&amp;col=7&amp;number=0.000254&amp;sourceID=14","0.000254")</f>
        <v>0.000254</v>
      </c>
    </row>
    <row r="3236" spans="1:7">
      <c r="A3236" s="3"/>
      <c r="B3236" s="3"/>
      <c r="C3236" s="3"/>
      <c r="D3236" s="3"/>
      <c r="E3236" s="3">
        <v>13</v>
      </c>
      <c r="F3236" s="4" t="str">
        <f>HYPERLINK("http://141.218.60.56/~jnz1568/getInfo.php?workbook=12_05.xlsx&amp;sheet=U0&amp;row=3236&amp;col=6&amp;number=4.2&amp;sourceID=14","4.2")</f>
        <v>4.2</v>
      </c>
      <c r="G3236" s="4" t="str">
        <f>HYPERLINK("http://141.218.60.56/~jnz1568/getInfo.php?workbook=12_05.xlsx&amp;sheet=U0&amp;row=3236&amp;col=7&amp;number=0.000253&amp;sourceID=14","0.000253")</f>
        <v>0.000253</v>
      </c>
    </row>
    <row r="3237" spans="1:7">
      <c r="A3237" s="3"/>
      <c r="B3237" s="3"/>
      <c r="C3237" s="3"/>
      <c r="D3237" s="3"/>
      <c r="E3237" s="3">
        <v>14</v>
      </c>
      <c r="F3237" s="4" t="str">
        <f>HYPERLINK("http://141.218.60.56/~jnz1568/getInfo.php?workbook=12_05.xlsx&amp;sheet=U0&amp;row=3237&amp;col=6&amp;number=4.3&amp;sourceID=14","4.3")</f>
        <v>4.3</v>
      </c>
      <c r="G3237" s="4" t="str">
        <f>HYPERLINK("http://141.218.60.56/~jnz1568/getInfo.php?workbook=12_05.xlsx&amp;sheet=U0&amp;row=3237&amp;col=7&amp;number=0.000252&amp;sourceID=14","0.000252")</f>
        <v>0.000252</v>
      </c>
    </row>
    <row r="3238" spans="1:7">
      <c r="A3238" s="3"/>
      <c r="B3238" s="3"/>
      <c r="C3238" s="3"/>
      <c r="D3238" s="3"/>
      <c r="E3238" s="3">
        <v>15</v>
      </c>
      <c r="F3238" s="4" t="str">
        <f>HYPERLINK("http://141.218.60.56/~jnz1568/getInfo.php?workbook=12_05.xlsx&amp;sheet=U0&amp;row=3238&amp;col=6&amp;number=4.4&amp;sourceID=14","4.4")</f>
        <v>4.4</v>
      </c>
      <c r="G3238" s="4" t="str">
        <f>HYPERLINK("http://141.218.60.56/~jnz1568/getInfo.php?workbook=12_05.xlsx&amp;sheet=U0&amp;row=3238&amp;col=7&amp;number=0.000251&amp;sourceID=14","0.000251")</f>
        <v>0.000251</v>
      </c>
    </row>
    <row r="3239" spans="1:7">
      <c r="A3239" s="3"/>
      <c r="B3239" s="3"/>
      <c r="C3239" s="3"/>
      <c r="D3239" s="3"/>
      <c r="E3239" s="3">
        <v>16</v>
      </c>
      <c r="F3239" s="4" t="str">
        <f>HYPERLINK("http://141.218.60.56/~jnz1568/getInfo.php?workbook=12_05.xlsx&amp;sheet=U0&amp;row=3239&amp;col=6&amp;number=4.5&amp;sourceID=14","4.5")</f>
        <v>4.5</v>
      </c>
      <c r="G3239" s="4" t="str">
        <f>HYPERLINK("http://141.218.60.56/~jnz1568/getInfo.php?workbook=12_05.xlsx&amp;sheet=U0&amp;row=3239&amp;col=7&amp;number=0.00025&amp;sourceID=14","0.00025")</f>
        <v>0.00025</v>
      </c>
    </row>
    <row r="3240" spans="1:7">
      <c r="A3240" s="3"/>
      <c r="B3240" s="3"/>
      <c r="C3240" s="3"/>
      <c r="D3240" s="3"/>
      <c r="E3240" s="3">
        <v>17</v>
      </c>
      <c r="F3240" s="4" t="str">
        <f>HYPERLINK("http://141.218.60.56/~jnz1568/getInfo.php?workbook=12_05.xlsx&amp;sheet=U0&amp;row=3240&amp;col=6&amp;number=4.6&amp;sourceID=14","4.6")</f>
        <v>4.6</v>
      </c>
      <c r="G3240" s="4" t="str">
        <f>HYPERLINK("http://141.218.60.56/~jnz1568/getInfo.php?workbook=12_05.xlsx&amp;sheet=U0&amp;row=3240&amp;col=7&amp;number=0.000248&amp;sourceID=14","0.000248")</f>
        <v>0.000248</v>
      </c>
    </row>
    <row r="3241" spans="1:7">
      <c r="A3241" s="3"/>
      <c r="B3241" s="3"/>
      <c r="C3241" s="3"/>
      <c r="D3241" s="3"/>
      <c r="E3241" s="3">
        <v>18</v>
      </c>
      <c r="F3241" s="4" t="str">
        <f>HYPERLINK("http://141.218.60.56/~jnz1568/getInfo.php?workbook=12_05.xlsx&amp;sheet=U0&amp;row=3241&amp;col=6&amp;number=4.7&amp;sourceID=14","4.7")</f>
        <v>4.7</v>
      </c>
      <c r="G3241" s="4" t="str">
        <f>HYPERLINK("http://141.218.60.56/~jnz1568/getInfo.php?workbook=12_05.xlsx&amp;sheet=U0&amp;row=3241&amp;col=7&amp;number=0.000246&amp;sourceID=14","0.000246")</f>
        <v>0.000246</v>
      </c>
    </row>
    <row r="3242" spans="1:7">
      <c r="A3242" s="3"/>
      <c r="B3242" s="3"/>
      <c r="C3242" s="3"/>
      <c r="D3242" s="3"/>
      <c r="E3242" s="3">
        <v>19</v>
      </c>
      <c r="F3242" s="4" t="str">
        <f>HYPERLINK("http://141.218.60.56/~jnz1568/getInfo.php?workbook=12_05.xlsx&amp;sheet=U0&amp;row=3242&amp;col=6&amp;number=4.8&amp;sourceID=14","4.8")</f>
        <v>4.8</v>
      </c>
      <c r="G3242" s="4" t="str">
        <f>HYPERLINK("http://141.218.60.56/~jnz1568/getInfo.php?workbook=12_05.xlsx&amp;sheet=U0&amp;row=3242&amp;col=7&amp;number=0.000244&amp;sourceID=14","0.000244")</f>
        <v>0.000244</v>
      </c>
    </row>
    <row r="3243" spans="1:7">
      <c r="A3243" s="3"/>
      <c r="B3243" s="3"/>
      <c r="C3243" s="3"/>
      <c r="D3243" s="3"/>
      <c r="E3243" s="3">
        <v>20</v>
      </c>
      <c r="F3243" s="4" t="str">
        <f>HYPERLINK("http://141.218.60.56/~jnz1568/getInfo.php?workbook=12_05.xlsx&amp;sheet=U0&amp;row=3243&amp;col=6&amp;number=4.9&amp;sourceID=14","4.9")</f>
        <v>4.9</v>
      </c>
      <c r="G3243" s="4" t="str">
        <f>HYPERLINK("http://141.218.60.56/~jnz1568/getInfo.php?workbook=12_05.xlsx&amp;sheet=U0&amp;row=3243&amp;col=7&amp;number=0.000241&amp;sourceID=14","0.000241")</f>
        <v>0.000241</v>
      </c>
    </row>
    <row r="3244" spans="1:7">
      <c r="A3244" s="3">
        <v>12</v>
      </c>
      <c r="B3244" s="3">
        <v>5</v>
      </c>
      <c r="C3244" s="3">
        <v>1</v>
      </c>
      <c r="D3244" s="3">
        <v>124</v>
      </c>
      <c r="E3244" s="3">
        <v>1</v>
      </c>
      <c r="F3244" s="4" t="str">
        <f>HYPERLINK("http://141.218.60.56/~jnz1568/getInfo.php?workbook=12_05.xlsx&amp;sheet=U0&amp;row=3244&amp;col=6&amp;number=3&amp;sourceID=14","3")</f>
        <v>3</v>
      </c>
      <c r="G3244" s="4" t="str">
        <f>HYPERLINK("http://141.218.60.56/~jnz1568/getInfo.php?workbook=12_05.xlsx&amp;sheet=U0&amp;row=3244&amp;col=7&amp;number=0.00088&amp;sourceID=14","0.00088")</f>
        <v>0.00088</v>
      </c>
    </row>
    <row r="3245" spans="1:7">
      <c r="A3245" s="3"/>
      <c r="B3245" s="3"/>
      <c r="C3245" s="3"/>
      <c r="D3245" s="3"/>
      <c r="E3245" s="3">
        <v>2</v>
      </c>
      <c r="F3245" s="4" t="str">
        <f>HYPERLINK("http://141.218.60.56/~jnz1568/getInfo.php?workbook=12_05.xlsx&amp;sheet=U0&amp;row=3245&amp;col=6&amp;number=3.1&amp;sourceID=14","3.1")</f>
        <v>3.1</v>
      </c>
      <c r="G3245" s="4" t="str">
        <f>HYPERLINK("http://141.218.60.56/~jnz1568/getInfo.php?workbook=12_05.xlsx&amp;sheet=U0&amp;row=3245&amp;col=7&amp;number=0.00088&amp;sourceID=14","0.00088")</f>
        <v>0.00088</v>
      </c>
    </row>
    <row r="3246" spans="1:7">
      <c r="A3246" s="3"/>
      <c r="B3246" s="3"/>
      <c r="C3246" s="3"/>
      <c r="D3246" s="3"/>
      <c r="E3246" s="3">
        <v>3</v>
      </c>
      <c r="F3246" s="4" t="str">
        <f>HYPERLINK("http://141.218.60.56/~jnz1568/getInfo.php?workbook=12_05.xlsx&amp;sheet=U0&amp;row=3246&amp;col=6&amp;number=3.2&amp;sourceID=14","3.2")</f>
        <v>3.2</v>
      </c>
      <c r="G3246" s="4" t="str">
        <f>HYPERLINK("http://141.218.60.56/~jnz1568/getInfo.php?workbook=12_05.xlsx&amp;sheet=U0&amp;row=3246&amp;col=7&amp;number=0.00088&amp;sourceID=14","0.00088")</f>
        <v>0.00088</v>
      </c>
    </row>
    <row r="3247" spans="1:7">
      <c r="A3247" s="3"/>
      <c r="B3247" s="3"/>
      <c r="C3247" s="3"/>
      <c r="D3247" s="3"/>
      <c r="E3247" s="3">
        <v>4</v>
      </c>
      <c r="F3247" s="4" t="str">
        <f>HYPERLINK("http://141.218.60.56/~jnz1568/getInfo.php?workbook=12_05.xlsx&amp;sheet=U0&amp;row=3247&amp;col=6&amp;number=3.3&amp;sourceID=14","3.3")</f>
        <v>3.3</v>
      </c>
      <c r="G3247" s="4" t="str">
        <f>HYPERLINK("http://141.218.60.56/~jnz1568/getInfo.php?workbook=12_05.xlsx&amp;sheet=U0&amp;row=3247&amp;col=7&amp;number=0.000879&amp;sourceID=14","0.000879")</f>
        <v>0.000879</v>
      </c>
    </row>
    <row r="3248" spans="1:7">
      <c r="A3248" s="3"/>
      <c r="B3248" s="3"/>
      <c r="C3248" s="3"/>
      <c r="D3248" s="3"/>
      <c r="E3248" s="3">
        <v>5</v>
      </c>
      <c r="F3248" s="4" t="str">
        <f>HYPERLINK("http://141.218.60.56/~jnz1568/getInfo.php?workbook=12_05.xlsx&amp;sheet=U0&amp;row=3248&amp;col=6&amp;number=3.4&amp;sourceID=14","3.4")</f>
        <v>3.4</v>
      </c>
      <c r="G3248" s="4" t="str">
        <f>HYPERLINK("http://141.218.60.56/~jnz1568/getInfo.php?workbook=12_05.xlsx&amp;sheet=U0&amp;row=3248&amp;col=7&amp;number=0.000879&amp;sourceID=14","0.000879")</f>
        <v>0.000879</v>
      </c>
    </row>
    <row r="3249" spans="1:7">
      <c r="A3249" s="3"/>
      <c r="B3249" s="3"/>
      <c r="C3249" s="3"/>
      <c r="D3249" s="3"/>
      <c r="E3249" s="3">
        <v>6</v>
      </c>
      <c r="F3249" s="4" t="str">
        <f>HYPERLINK("http://141.218.60.56/~jnz1568/getInfo.php?workbook=12_05.xlsx&amp;sheet=U0&amp;row=3249&amp;col=6&amp;number=3.5&amp;sourceID=14","3.5")</f>
        <v>3.5</v>
      </c>
      <c r="G3249" s="4" t="str">
        <f>HYPERLINK("http://141.218.60.56/~jnz1568/getInfo.php?workbook=12_05.xlsx&amp;sheet=U0&amp;row=3249&amp;col=7&amp;number=0.000879&amp;sourceID=14","0.000879")</f>
        <v>0.000879</v>
      </c>
    </row>
    <row r="3250" spans="1:7">
      <c r="A3250" s="3"/>
      <c r="B3250" s="3"/>
      <c r="C3250" s="3"/>
      <c r="D3250" s="3"/>
      <c r="E3250" s="3">
        <v>7</v>
      </c>
      <c r="F3250" s="4" t="str">
        <f>HYPERLINK("http://141.218.60.56/~jnz1568/getInfo.php?workbook=12_05.xlsx&amp;sheet=U0&amp;row=3250&amp;col=6&amp;number=3.6&amp;sourceID=14","3.6")</f>
        <v>3.6</v>
      </c>
      <c r="G3250" s="4" t="str">
        <f>HYPERLINK("http://141.218.60.56/~jnz1568/getInfo.php?workbook=12_05.xlsx&amp;sheet=U0&amp;row=3250&amp;col=7&amp;number=0.000878&amp;sourceID=14","0.000878")</f>
        <v>0.000878</v>
      </c>
    </row>
    <row r="3251" spans="1:7">
      <c r="A3251" s="3"/>
      <c r="B3251" s="3"/>
      <c r="C3251" s="3"/>
      <c r="D3251" s="3"/>
      <c r="E3251" s="3">
        <v>8</v>
      </c>
      <c r="F3251" s="4" t="str">
        <f>HYPERLINK("http://141.218.60.56/~jnz1568/getInfo.php?workbook=12_05.xlsx&amp;sheet=U0&amp;row=3251&amp;col=6&amp;number=3.7&amp;sourceID=14","3.7")</f>
        <v>3.7</v>
      </c>
      <c r="G3251" s="4" t="str">
        <f>HYPERLINK("http://141.218.60.56/~jnz1568/getInfo.php?workbook=12_05.xlsx&amp;sheet=U0&amp;row=3251&amp;col=7&amp;number=0.000877&amp;sourceID=14","0.000877")</f>
        <v>0.000877</v>
      </c>
    </row>
    <row r="3252" spans="1:7">
      <c r="A3252" s="3"/>
      <c r="B3252" s="3"/>
      <c r="C3252" s="3"/>
      <c r="D3252" s="3"/>
      <c r="E3252" s="3">
        <v>9</v>
      </c>
      <c r="F3252" s="4" t="str">
        <f>HYPERLINK("http://141.218.60.56/~jnz1568/getInfo.php?workbook=12_05.xlsx&amp;sheet=U0&amp;row=3252&amp;col=6&amp;number=3.8&amp;sourceID=14","3.8")</f>
        <v>3.8</v>
      </c>
      <c r="G3252" s="4" t="str">
        <f>HYPERLINK("http://141.218.60.56/~jnz1568/getInfo.php?workbook=12_05.xlsx&amp;sheet=U0&amp;row=3252&amp;col=7&amp;number=0.000876&amp;sourceID=14","0.000876")</f>
        <v>0.000876</v>
      </c>
    </row>
    <row r="3253" spans="1:7">
      <c r="A3253" s="3"/>
      <c r="B3253" s="3"/>
      <c r="C3253" s="3"/>
      <c r="D3253" s="3"/>
      <c r="E3253" s="3">
        <v>10</v>
      </c>
      <c r="F3253" s="4" t="str">
        <f>HYPERLINK("http://141.218.60.56/~jnz1568/getInfo.php?workbook=12_05.xlsx&amp;sheet=U0&amp;row=3253&amp;col=6&amp;number=3.9&amp;sourceID=14","3.9")</f>
        <v>3.9</v>
      </c>
      <c r="G3253" s="4" t="str">
        <f>HYPERLINK("http://141.218.60.56/~jnz1568/getInfo.php?workbook=12_05.xlsx&amp;sheet=U0&amp;row=3253&amp;col=7&amp;number=0.000875&amp;sourceID=14","0.000875")</f>
        <v>0.000875</v>
      </c>
    </row>
    <row r="3254" spans="1:7">
      <c r="A3254" s="3"/>
      <c r="B3254" s="3"/>
      <c r="C3254" s="3"/>
      <c r="D3254" s="3"/>
      <c r="E3254" s="3">
        <v>11</v>
      </c>
      <c r="F3254" s="4" t="str">
        <f>HYPERLINK("http://141.218.60.56/~jnz1568/getInfo.php?workbook=12_05.xlsx&amp;sheet=U0&amp;row=3254&amp;col=6&amp;number=4&amp;sourceID=14","4")</f>
        <v>4</v>
      </c>
      <c r="G3254" s="4" t="str">
        <f>HYPERLINK("http://141.218.60.56/~jnz1568/getInfo.php?workbook=12_05.xlsx&amp;sheet=U0&amp;row=3254&amp;col=7&amp;number=0.000874&amp;sourceID=14","0.000874")</f>
        <v>0.000874</v>
      </c>
    </row>
    <row r="3255" spans="1:7">
      <c r="A3255" s="3"/>
      <c r="B3255" s="3"/>
      <c r="C3255" s="3"/>
      <c r="D3255" s="3"/>
      <c r="E3255" s="3">
        <v>12</v>
      </c>
      <c r="F3255" s="4" t="str">
        <f>HYPERLINK("http://141.218.60.56/~jnz1568/getInfo.php?workbook=12_05.xlsx&amp;sheet=U0&amp;row=3255&amp;col=6&amp;number=4.1&amp;sourceID=14","4.1")</f>
        <v>4.1</v>
      </c>
      <c r="G3255" s="4" t="str">
        <f>HYPERLINK("http://141.218.60.56/~jnz1568/getInfo.php?workbook=12_05.xlsx&amp;sheet=U0&amp;row=3255&amp;col=7&amp;number=0.000872&amp;sourceID=14","0.000872")</f>
        <v>0.000872</v>
      </c>
    </row>
    <row r="3256" spans="1:7">
      <c r="A3256" s="3"/>
      <c r="B3256" s="3"/>
      <c r="C3256" s="3"/>
      <c r="D3256" s="3"/>
      <c r="E3256" s="3">
        <v>13</v>
      </c>
      <c r="F3256" s="4" t="str">
        <f>HYPERLINK("http://141.218.60.56/~jnz1568/getInfo.php?workbook=12_05.xlsx&amp;sheet=U0&amp;row=3256&amp;col=6&amp;number=4.2&amp;sourceID=14","4.2")</f>
        <v>4.2</v>
      </c>
      <c r="G3256" s="4" t="str">
        <f>HYPERLINK("http://141.218.60.56/~jnz1568/getInfo.php?workbook=12_05.xlsx&amp;sheet=U0&amp;row=3256&amp;col=7&amp;number=0.00087&amp;sourceID=14","0.00087")</f>
        <v>0.00087</v>
      </c>
    </row>
    <row r="3257" spans="1:7">
      <c r="A3257" s="3"/>
      <c r="B3257" s="3"/>
      <c r="C3257" s="3"/>
      <c r="D3257" s="3"/>
      <c r="E3257" s="3">
        <v>14</v>
      </c>
      <c r="F3257" s="4" t="str">
        <f>HYPERLINK("http://141.218.60.56/~jnz1568/getInfo.php?workbook=12_05.xlsx&amp;sheet=U0&amp;row=3257&amp;col=6&amp;number=4.3&amp;sourceID=14","4.3")</f>
        <v>4.3</v>
      </c>
      <c r="G3257" s="4" t="str">
        <f>HYPERLINK("http://141.218.60.56/~jnz1568/getInfo.php?workbook=12_05.xlsx&amp;sheet=U0&amp;row=3257&amp;col=7&amp;number=0.000867&amp;sourceID=14","0.000867")</f>
        <v>0.000867</v>
      </c>
    </row>
    <row r="3258" spans="1:7">
      <c r="A3258" s="3"/>
      <c r="B3258" s="3"/>
      <c r="C3258" s="3"/>
      <c r="D3258" s="3"/>
      <c r="E3258" s="3">
        <v>15</v>
      </c>
      <c r="F3258" s="4" t="str">
        <f>HYPERLINK("http://141.218.60.56/~jnz1568/getInfo.php?workbook=12_05.xlsx&amp;sheet=U0&amp;row=3258&amp;col=6&amp;number=4.4&amp;sourceID=14","4.4")</f>
        <v>4.4</v>
      </c>
      <c r="G3258" s="4" t="str">
        <f>HYPERLINK("http://141.218.60.56/~jnz1568/getInfo.php?workbook=12_05.xlsx&amp;sheet=U0&amp;row=3258&amp;col=7&amp;number=0.000863&amp;sourceID=14","0.000863")</f>
        <v>0.000863</v>
      </c>
    </row>
    <row r="3259" spans="1:7">
      <c r="A3259" s="3"/>
      <c r="B3259" s="3"/>
      <c r="C3259" s="3"/>
      <c r="D3259" s="3"/>
      <c r="E3259" s="3">
        <v>16</v>
      </c>
      <c r="F3259" s="4" t="str">
        <f>HYPERLINK("http://141.218.60.56/~jnz1568/getInfo.php?workbook=12_05.xlsx&amp;sheet=U0&amp;row=3259&amp;col=6&amp;number=4.5&amp;sourceID=14","4.5")</f>
        <v>4.5</v>
      </c>
      <c r="G3259" s="4" t="str">
        <f>HYPERLINK("http://141.218.60.56/~jnz1568/getInfo.php?workbook=12_05.xlsx&amp;sheet=U0&amp;row=3259&amp;col=7&amp;number=0.000859&amp;sourceID=14","0.000859")</f>
        <v>0.000859</v>
      </c>
    </row>
    <row r="3260" spans="1:7">
      <c r="A3260" s="3"/>
      <c r="B3260" s="3"/>
      <c r="C3260" s="3"/>
      <c r="D3260" s="3"/>
      <c r="E3260" s="3">
        <v>17</v>
      </c>
      <c r="F3260" s="4" t="str">
        <f>HYPERLINK("http://141.218.60.56/~jnz1568/getInfo.php?workbook=12_05.xlsx&amp;sheet=U0&amp;row=3260&amp;col=6&amp;number=4.6&amp;sourceID=14","4.6")</f>
        <v>4.6</v>
      </c>
      <c r="G3260" s="4" t="str">
        <f>HYPERLINK("http://141.218.60.56/~jnz1568/getInfo.php?workbook=12_05.xlsx&amp;sheet=U0&amp;row=3260&amp;col=7&amp;number=0.000853&amp;sourceID=14","0.000853")</f>
        <v>0.000853</v>
      </c>
    </row>
    <row r="3261" spans="1:7">
      <c r="A3261" s="3"/>
      <c r="B3261" s="3"/>
      <c r="C3261" s="3"/>
      <c r="D3261" s="3"/>
      <c r="E3261" s="3">
        <v>18</v>
      </c>
      <c r="F3261" s="4" t="str">
        <f>HYPERLINK("http://141.218.60.56/~jnz1568/getInfo.php?workbook=12_05.xlsx&amp;sheet=U0&amp;row=3261&amp;col=6&amp;number=4.7&amp;sourceID=14","4.7")</f>
        <v>4.7</v>
      </c>
      <c r="G3261" s="4" t="str">
        <f>HYPERLINK("http://141.218.60.56/~jnz1568/getInfo.php?workbook=12_05.xlsx&amp;sheet=U0&amp;row=3261&amp;col=7&amp;number=0.000846&amp;sourceID=14","0.000846")</f>
        <v>0.000846</v>
      </c>
    </row>
    <row r="3262" spans="1:7">
      <c r="A3262" s="3"/>
      <c r="B3262" s="3"/>
      <c r="C3262" s="3"/>
      <c r="D3262" s="3"/>
      <c r="E3262" s="3">
        <v>19</v>
      </c>
      <c r="F3262" s="4" t="str">
        <f>HYPERLINK("http://141.218.60.56/~jnz1568/getInfo.php?workbook=12_05.xlsx&amp;sheet=U0&amp;row=3262&amp;col=6&amp;number=4.8&amp;sourceID=14","4.8")</f>
        <v>4.8</v>
      </c>
      <c r="G3262" s="4" t="str">
        <f>HYPERLINK("http://141.218.60.56/~jnz1568/getInfo.php?workbook=12_05.xlsx&amp;sheet=U0&amp;row=3262&amp;col=7&amp;number=0.000838&amp;sourceID=14","0.000838")</f>
        <v>0.000838</v>
      </c>
    </row>
    <row r="3263" spans="1:7">
      <c r="A3263" s="3"/>
      <c r="B3263" s="3"/>
      <c r="C3263" s="3"/>
      <c r="D3263" s="3"/>
      <c r="E3263" s="3">
        <v>20</v>
      </c>
      <c r="F3263" s="4" t="str">
        <f>HYPERLINK("http://141.218.60.56/~jnz1568/getInfo.php?workbook=12_05.xlsx&amp;sheet=U0&amp;row=3263&amp;col=6&amp;number=4.9&amp;sourceID=14","4.9")</f>
        <v>4.9</v>
      </c>
      <c r="G3263" s="4" t="str">
        <f>HYPERLINK("http://141.218.60.56/~jnz1568/getInfo.php?workbook=12_05.xlsx&amp;sheet=U0&amp;row=3263&amp;col=7&amp;number=0.000827&amp;sourceID=14","0.000827")</f>
        <v>0.000827</v>
      </c>
    </row>
    <row r="3264" spans="1:7">
      <c r="A3264" s="3">
        <v>12</v>
      </c>
      <c r="B3264" s="3">
        <v>5</v>
      </c>
      <c r="C3264" s="3">
        <v>2</v>
      </c>
      <c r="D3264" s="3">
        <v>16</v>
      </c>
      <c r="E3264" s="3">
        <v>1</v>
      </c>
      <c r="F3264" s="4" t="str">
        <f>HYPERLINK("http://141.218.60.56/~jnz1568/getInfo.php?workbook=12_05.xlsx&amp;sheet=U0&amp;row=3264&amp;col=6&amp;number=3&amp;sourceID=14","3")</f>
        <v>3</v>
      </c>
      <c r="G3264" s="4" t="str">
        <f>HYPERLINK("http://141.218.60.56/~jnz1568/getInfo.php?workbook=12_05.xlsx&amp;sheet=U0&amp;row=3264&amp;col=7&amp;number=0.0151&amp;sourceID=14","0.0151")</f>
        <v>0.0151</v>
      </c>
    </row>
    <row r="3265" spans="1:7">
      <c r="A3265" s="3"/>
      <c r="B3265" s="3"/>
      <c r="C3265" s="3"/>
      <c r="D3265" s="3"/>
      <c r="E3265" s="3">
        <v>2</v>
      </c>
      <c r="F3265" s="4" t="str">
        <f>HYPERLINK("http://141.218.60.56/~jnz1568/getInfo.php?workbook=12_05.xlsx&amp;sheet=U0&amp;row=3265&amp;col=6&amp;number=3.1&amp;sourceID=14","3.1")</f>
        <v>3.1</v>
      </c>
      <c r="G3265" s="4" t="str">
        <f>HYPERLINK("http://141.218.60.56/~jnz1568/getInfo.php?workbook=12_05.xlsx&amp;sheet=U0&amp;row=3265&amp;col=7&amp;number=0.0151&amp;sourceID=14","0.0151")</f>
        <v>0.0151</v>
      </c>
    </row>
    <row r="3266" spans="1:7">
      <c r="A3266" s="3"/>
      <c r="B3266" s="3"/>
      <c r="C3266" s="3"/>
      <c r="D3266" s="3"/>
      <c r="E3266" s="3">
        <v>3</v>
      </c>
      <c r="F3266" s="4" t="str">
        <f>HYPERLINK("http://141.218.60.56/~jnz1568/getInfo.php?workbook=12_05.xlsx&amp;sheet=U0&amp;row=3266&amp;col=6&amp;number=3.2&amp;sourceID=14","3.2")</f>
        <v>3.2</v>
      </c>
      <c r="G3266" s="4" t="str">
        <f>HYPERLINK("http://141.218.60.56/~jnz1568/getInfo.php?workbook=12_05.xlsx&amp;sheet=U0&amp;row=3266&amp;col=7&amp;number=0.0151&amp;sourceID=14","0.0151")</f>
        <v>0.0151</v>
      </c>
    </row>
    <row r="3267" spans="1:7">
      <c r="A3267" s="3"/>
      <c r="B3267" s="3"/>
      <c r="C3267" s="3"/>
      <c r="D3267" s="3"/>
      <c r="E3267" s="3">
        <v>4</v>
      </c>
      <c r="F3267" s="4" t="str">
        <f>HYPERLINK("http://141.218.60.56/~jnz1568/getInfo.php?workbook=12_05.xlsx&amp;sheet=U0&amp;row=3267&amp;col=6&amp;number=3.3&amp;sourceID=14","3.3")</f>
        <v>3.3</v>
      </c>
      <c r="G3267" s="4" t="str">
        <f>HYPERLINK("http://141.218.60.56/~jnz1568/getInfo.php?workbook=12_05.xlsx&amp;sheet=U0&amp;row=3267&amp;col=7&amp;number=0.0151&amp;sourceID=14","0.0151")</f>
        <v>0.0151</v>
      </c>
    </row>
    <row r="3268" spans="1:7">
      <c r="A3268" s="3"/>
      <c r="B3268" s="3"/>
      <c r="C3268" s="3"/>
      <c r="D3268" s="3"/>
      <c r="E3268" s="3">
        <v>5</v>
      </c>
      <c r="F3268" s="4" t="str">
        <f>HYPERLINK("http://141.218.60.56/~jnz1568/getInfo.php?workbook=12_05.xlsx&amp;sheet=U0&amp;row=3268&amp;col=6&amp;number=3.4&amp;sourceID=14","3.4")</f>
        <v>3.4</v>
      </c>
      <c r="G3268" s="4" t="str">
        <f>HYPERLINK("http://141.218.60.56/~jnz1568/getInfo.php?workbook=12_05.xlsx&amp;sheet=U0&amp;row=3268&amp;col=7&amp;number=0.0151&amp;sourceID=14","0.0151")</f>
        <v>0.0151</v>
      </c>
    </row>
    <row r="3269" spans="1:7">
      <c r="A3269" s="3"/>
      <c r="B3269" s="3"/>
      <c r="C3269" s="3"/>
      <c r="D3269" s="3"/>
      <c r="E3269" s="3">
        <v>6</v>
      </c>
      <c r="F3269" s="4" t="str">
        <f>HYPERLINK("http://141.218.60.56/~jnz1568/getInfo.php?workbook=12_05.xlsx&amp;sheet=U0&amp;row=3269&amp;col=6&amp;number=3.5&amp;sourceID=14","3.5")</f>
        <v>3.5</v>
      </c>
      <c r="G3269" s="4" t="str">
        <f>HYPERLINK("http://141.218.60.56/~jnz1568/getInfo.php?workbook=12_05.xlsx&amp;sheet=U0&amp;row=3269&amp;col=7&amp;number=0.0151&amp;sourceID=14","0.0151")</f>
        <v>0.0151</v>
      </c>
    </row>
    <row r="3270" spans="1:7">
      <c r="A3270" s="3"/>
      <c r="B3270" s="3"/>
      <c r="C3270" s="3"/>
      <c r="D3270" s="3"/>
      <c r="E3270" s="3">
        <v>7</v>
      </c>
      <c r="F3270" s="4" t="str">
        <f>HYPERLINK("http://141.218.60.56/~jnz1568/getInfo.php?workbook=12_05.xlsx&amp;sheet=U0&amp;row=3270&amp;col=6&amp;number=3.6&amp;sourceID=14","3.6")</f>
        <v>3.6</v>
      </c>
      <c r="G3270" s="4" t="str">
        <f>HYPERLINK("http://141.218.60.56/~jnz1568/getInfo.php?workbook=12_05.xlsx&amp;sheet=U0&amp;row=3270&amp;col=7&amp;number=0.0151&amp;sourceID=14","0.0151")</f>
        <v>0.0151</v>
      </c>
    </row>
    <row r="3271" spans="1:7">
      <c r="A3271" s="3"/>
      <c r="B3271" s="3"/>
      <c r="C3271" s="3"/>
      <c r="D3271" s="3"/>
      <c r="E3271" s="3">
        <v>8</v>
      </c>
      <c r="F3271" s="4" t="str">
        <f>HYPERLINK("http://141.218.60.56/~jnz1568/getInfo.php?workbook=12_05.xlsx&amp;sheet=U0&amp;row=3271&amp;col=6&amp;number=3.7&amp;sourceID=14","3.7")</f>
        <v>3.7</v>
      </c>
      <c r="G3271" s="4" t="str">
        <f>HYPERLINK("http://141.218.60.56/~jnz1568/getInfo.php?workbook=12_05.xlsx&amp;sheet=U0&amp;row=3271&amp;col=7&amp;number=0.0151&amp;sourceID=14","0.0151")</f>
        <v>0.0151</v>
      </c>
    </row>
    <row r="3272" spans="1:7">
      <c r="A3272" s="3"/>
      <c r="B3272" s="3"/>
      <c r="C3272" s="3"/>
      <c r="D3272" s="3"/>
      <c r="E3272" s="3">
        <v>9</v>
      </c>
      <c r="F3272" s="4" t="str">
        <f>HYPERLINK("http://141.218.60.56/~jnz1568/getInfo.php?workbook=12_05.xlsx&amp;sheet=U0&amp;row=3272&amp;col=6&amp;number=3.8&amp;sourceID=14","3.8")</f>
        <v>3.8</v>
      </c>
      <c r="G3272" s="4" t="str">
        <f>HYPERLINK("http://141.218.60.56/~jnz1568/getInfo.php?workbook=12_05.xlsx&amp;sheet=U0&amp;row=3272&amp;col=7&amp;number=0.0151&amp;sourceID=14","0.0151")</f>
        <v>0.0151</v>
      </c>
    </row>
    <row r="3273" spans="1:7">
      <c r="A3273" s="3"/>
      <c r="B3273" s="3"/>
      <c r="C3273" s="3"/>
      <c r="D3273" s="3"/>
      <c r="E3273" s="3">
        <v>10</v>
      </c>
      <c r="F3273" s="4" t="str">
        <f>HYPERLINK("http://141.218.60.56/~jnz1568/getInfo.php?workbook=12_05.xlsx&amp;sheet=U0&amp;row=3273&amp;col=6&amp;number=3.9&amp;sourceID=14","3.9")</f>
        <v>3.9</v>
      </c>
      <c r="G3273" s="4" t="str">
        <f>HYPERLINK("http://141.218.60.56/~jnz1568/getInfo.php?workbook=12_05.xlsx&amp;sheet=U0&amp;row=3273&amp;col=7&amp;number=0.0151&amp;sourceID=14","0.0151")</f>
        <v>0.0151</v>
      </c>
    </row>
    <row r="3274" spans="1:7">
      <c r="A3274" s="3"/>
      <c r="B3274" s="3"/>
      <c r="C3274" s="3"/>
      <c r="D3274" s="3"/>
      <c r="E3274" s="3">
        <v>11</v>
      </c>
      <c r="F3274" s="4" t="str">
        <f>HYPERLINK("http://141.218.60.56/~jnz1568/getInfo.php?workbook=12_05.xlsx&amp;sheet=U0&amp;row=3274&amp;col=6&amp;number=4&amp;sourceID=14","4")</f>
        <v>4</v>
      </c>
      <c r="G3274" s="4" t="str">
        <f>HYPERLINK("http://141.218.60.56/~jnz1568/getInfo.php?workbook=12_05.xlsx&amp;sheet=U0&amp;row=3274&amp;col=7&amp;number=0.0151&amp;sourceID=14","0.0151")</f>
        <v>0.0151</v>
      </c>
    </row>
    <row r="3275" spans="1:7">
      <c r="A3275" s="3"/>
      <c r="B3275" s="3"/>
      <c r="C3275" s="3"/>
      <c r="D3275" s="3"/>
      <c r="E3275" s="3">
        <v>12</v>
      </c>
      <c r="F3275" s="4" t="str">
        <f>HYPERLINK("http://141.218.60.56/~jnz1568/getInfo.php?workbook=12_05.xlsx&amp;sheet=U0&amp;row=3275&amp;col=6&amp;number=4.1&amp;sourceID=14","4.1")</f>
        <v>4.1</v>
      </c>
      <c r="G3275" s="4" t="str">
        <f>HYPERLINK("http://141.218.60.56/~jnz1568/getInfo.php?workbook=12_05.xlsx&amp;sheet=U0&amp;row=3275&amp;col=7&amp;number=0.0151&amp;sourceID=14","0.0151")</f>
        <v>0.0151</v>
      </c>
    </row>
    <row r="3276" spans="1:7">
      <c r="A3276" s="3"/>
      <c r="B3276" s="3"/>
      <c r="C3276" s="3"/>
      <c r="D3276" s="3"/>
      <c r="E3276" s="3">
        <v>13</v>
      </c>
      <c r="F3276" s="4" t="str">
        <f>HYPERLINK("http://141.218.60.56/~jnz1568/getInfo.php?workbook=12_05.xlsx&amp;sheet=U0&amp;row=3276&amp;col=6&amp;number=4.2&amp;sourceID=14","4.2")</f>
        <v>4.2</v>
      </c>
      <c r="G3276" s="4" t="str">
        <f>HYPERLINK("http://141.218.60.56/~jnz1568/getInfo.php?workbook=12_05.xlsx&amp;sheet=U0&amp;row=3276&amp;col=7&amp;number=0.0151&amp;sourceID=14","0.0151")</f>
        <v>0.0151</v>
      </c>
    </row>
    <row r="3277" spans="1:7">
      <c r="A3277" s="3"/>
      <c r="B3277" s="3"/>
      <c r="C3277" s="3"/>
      <c r="D3277" s="3"/>
      <c r="E3277" s="3">
        <v>14</v>
      </c>
      <c r="F3277" s="4" t="str">
        <f>HYPERLINK("http://141.218.60.56/~jnz1568/getInfo.php?workbook=12_05.xlsx&amp;sheet=U0&amp;row=3277&amp;col=6&amp;number=4.3&amp;sourceID=14","4.3")</f>
        <v>4.3</v>
      </c>
      <c r="G3277" s="4" t="str">
        <f>HYPERLINK("http://141.218.60.56/~jnz1568/getInfo.php?workbook=12_05.xlsx&amp;sheet=U0&amp;row=3277&amp;col=7&amp;number=0.0151&amp;sourceID=14","0.0151")</f>
        <v>0.0151</v>
      </c>
    </row>
    <row r="3278" spans="1:7">
      <c r="A3278" s="3"/>
      <c r="B3278" s="3"/>
      <c r="C3278" s="3"/>
      <c r="D3278" s="3"/>
      <c r="E3278" s="3">
        <v>15</v>
      </c>
      <c r="F3278" s="4" t="str">
        <f>HYPERLINK("http://141.218.60.56/~jnz1568/getInfo.php?workbook=12_05.xlsx&amp;sheet=U0&amp;row=3278&amp;col=6&amp;number=4.4&amp;sourceID=14","4.4")</f>
        <v>4.4</v>
      </c>
      <c r="G3278" s="4" t="str">
        <f>HYPERLINK("http://141.218.60.56/~jnz1568/getInfo.php?workbook=12_05.xlsx&amp;sheet=U0&amp;row=3278&amp;col=7&amp;number=0.0151&amp;sourceID=14","0.0151")</f>
        <v>0.0151</v>
      </c>
    </row>
    <row r="3279" spans="1:7">
      <c r="A3279" s="3"/>
      <c r="B3279" s="3"/>
      <c r="C3279" s="3"/>
      <c r="D3279" s="3"/>
      <c r="E3279" s="3">
        <v>16</v>
      </c>
      <c r="F3279" s="4" t="str">
        <f>HYPERLINK("http://141.218.60.56/~jnz1568/getInfo.php?workbook=12_05.xlsx&amp;sheet=U0&amp;row=3279&amp;col=6&amp;number=4.5&amp;sourceID=14","4.5")</f>
        <v>4.5</v>
      </c>
      <c r="G3279" s="4" t="str">
        <f>HYPERLINK("http://141.218.60.56/~jnz1568/getInfo.php?workbook=12_05.xlsx&amp;sheet=U0&amp;row=3279&amp;col=7&amp;number=0.0151&amp;sourceID=14","0.0151")</f>
        <v>0.0151</v>
      </c>
    </row>
    <row r="3280" spans="1:7">
      <c r="A3280" s="3"/>
      <c r="B3280" s="3"/>
      <c r="C3280" s="3"/>
      <c r="D3280" s="3"/>
      <c r="E3280" s="3">
        <v>17</v>
      </c>
      <c r="F3280" s="4" t="str">
        <f>HYPERLINK("http://141.218.60.56/~jnz1568/getInfo.php?workbook=12_05.xlsx&amp;sheet=U0&amp;row=3280&amp;col=6&amp;number=4.6&amp;sourceID=14","4.6")</f>
        <v>4.6</v>
      </c>
      <c r="G3280" s="4" t="str">
        <f>HYPERLINK("http://141.218.60.56/~jnz1568/getInfo.php?workbook=12_05.xlsx&amp;sheet=U0&amp;row=3280&amp;col=7&amp;number=0.0151&amp;sourceID=14","0.0151")</f>
        <v>0.0151</v>
      </c>
    </row>
    <row r="3281" spans="1:7">
      <c r="A3281" s="3"/>
      <c r="B3281" s="3"/>
      <c r="C3281" s="3"/>
      <c r="D3281" s="3"/>
      <c r="E3281" s="3">
        <v>18</v>
      </c>
      <c r="F3281" s="4" t="str">
        <f>HYPERLINK("http://141.218.60.56/~jnz1568/getInfo.php?workbook=12_05.xlsx&amp;sheet=U0&amp;row=3281&amp;col=6&amp;number=4.7&amp;sourceID=14","4.7")</f>
        <v>4.7</v>
      </c>
      <c r="G3281" s="4" t="str">
        <f>HYPERLINK("http://141.218.60.56/~jnz1568/getInfo.php?workbook=12_05.xlsx&amp;sheet=U0&amp;row=3281&amp;col=7&amp;number=0.0151&amp;sourceID=14","0.0151")</f>
        <v>0.0151</v>
      </c>
    </row>
    <row r="3282" spans="1:7">
      <c r="A3282" s="3"/>
      <c r="B3282" s="3"/>
      <c r="C3282" s="3"/>
      <c r="D3282" s="3"/>
      <c r="E3282" s="3">
        <v>19</v>
      </c>
      <c r="F3282" s="4" t="str">
        <f>HYPERLINK("http://141.218.60.56/~jnz1568/getInfo.php?workbook=12_05.xlsx&amp;sheet=U0&amp;row=3282&amp;col=6&amp;number=4.8&amp;sourceID=14","4.8")</f>
        <v>4.8</v>
      </c>
      <c r="G3282" s="4" t="str">
        <f>HYPERLINK("http://141.218.60.56/~jnz1568/getInfo.php?workbook=12_05.xlsx&amp;sheet=U0&amp;row=3282&amp;col=7&amp;number=0.0151&amp;sourceID=14","0.0151")</f>
        <v>0.0151</v>
      </c>
    </row>
    <row r="3283" spans="1:7">
      <c r="A3283" s="3"/>
      <c r="B3283" s="3"/>
      <c r="C3283" s="3"/>
      <c r="D3283" s="3"/>
      <c r="E3283" s="3">
        <v>20</v>
      </c>
      <c r="F3283" s="4" t="str">
        <f>HYPERLINK("http://141.218.60.56/~jnz1568/getInfo.php?workbook=12_05.xlsx&amp;sheet=U0&amp;row=3283&amp;col=6&amp;number=4.9&amp;sourceID=14","4.9")</f>
        <v>4.9</v>
      </c>
      <c r="G3283" s="4" t="str">
        <f>HYPERLINK("http://141.218.60.56/~jnz1568/getInfo.php?workbook=12_05.xlsx&amp;sheet=U0&amp;row=3283&amp;col=7&amp;number=0.0152&amp;sourceID=14","0.0152")</f>
        <v>0.0152</v>
      </c>
    </row>
    <row r="3284" spans="1:7">
      <c r="A3284" s="3">
        <v>12</v>
      </c>
      <c r="B3284" s="3">
        <v>5</v>
      </c>
      <c r="C3284" s="3">
        <v>2</v>
      </c>
      <c r="D3284" s="3">
        <v>17</v>
      </c>
      <c r="E3284" s="3">
        <v>1</v>
      </c>
      <c r="F3284" s="4" t="str">
        <f>HYPERLINK("http://141.218.60.56/~jnz1568/getInfo.php?workbook=12_05.xlsx&amp;sheet=U0&amp;row=3284&amp;col=6&amp;number=3&amp;sourceID=14","3")</f>
        <v>3</v>
      </c>
      <c r="G3284" s="4" t="str">
        <f>HYPERLINK("http://141.218.60.56/~jnz1568/getInfo.php?workbook=12_05.xlsx&amp;sheet=U0&amp;row=3284&amp;col=7&amp;number=0.00212&amp;sourceID=14","0.00212")</f>
        <v>0.00212</v>
      </c>
    </row>
    <row r="3285" spans="1:7">
      <c r="A3285" s="3"/>
      <c r="B3285" s="3"/>
      <c r="C3285" s="3"/>
      <c r="D3285" s="3"/>
      <c r="E3285" s="3">
        <v>2</v>
      </c>
      <c r="F3285" s="4" t="str">
        <f>HYPERLINK("http://141.218.60.56/~jnz1568/getInfo.php?workbook=12_05.xlsx&amp;sheet=U0&amp;row=3285&amp;col=6&amp;number=3.1&amp;sourceID=14","3.1")</f>
        <v>3.1</v>
      </c>
      <c r="G3285" s="4" t="str">
        <f>HYPERLINK("http://141.218.60.56/~jnz1568/getInfo.php?workbook=12_05.xlsx&amp;sheet=U0&amp;row=3285&amp;col=7&amp;number=0.00212&amp;sourceID=14","0.00212")</f>
        <v>0.00212</v>
      </c>
    </row>
    <row r="3286" spans="1:7">
      <c r="A3286" s="3"/>
      <c r="B3286" s="3"/>
      <c r="C3286" s="3"/>
      <c r="D3286" s="3"/>
      <c r="E3286" s="3">
        <v>3</v>
      </c>
      <c r="F3286" s="4" t="str">
        <f>HYPERLINK("http://141.218.60.56/~jnz1568/getInfo.php?workbook=12_05.xlsx&amp;sheet=U0&amp;row=3286&amp;col=6&amp;number=3.2&amp;sourceID=14","3.2")</f>
        <v>3.2</v>
      </c>
      <c r="G3286" s="4" t="str">
        <f>HYPERLINK("http://141.218.60.56/~jnz1568/getInfo.php?workbook=12_05.xlsx&amp;sheet=U0&amp;row=3286&amp;col=7&amp;number=0.00212&amp;sourceID=14","0.00212")</f>
        <v>0.00212</v>
      </c>
    </row>
    <row r="3287" spans="1:7">
      <c r="A3287" s="3"/>
      <c r="B3287" s="3"/>
      <c r="C3287" s="3"/>
      <c r="D3287" s="3"/>
      <c r="E3287" s="3">
        <v>4</v>
      </c>
      <c r="F3287" s="4" t="str">
        <f>HYPERLINK("http://141.218.60.56/~jnz1568/getInfo.php?workbook=12_05.xlsx&amp;sheet=U0&amp;row=3287&amp;col=6&amp;number=3.3&amp;sourceID=14","3.3")</f>
        <v>3.3</v>
      </c>
      <c r="G3287" s="4" t="str">
        <f>HYPERLINK("http://141.218.60.56/~jnz1568/getInfo.php?workbook=12_05.xlsx&amp;sheet=U0&amp;row=3287&amp;col=7&amp;number=0.00213&amp;sourceID=14","0.00213")</f>
        <v>0.00213</v>
      </c>
    </row>
    <row r="3288" spans="1:7">
      <c r="A3288" s="3"/>
      <c r="B3288" s="3"/>
      <c r="C3288" s="3"/>
      <c r="D3288" s="3"/>
      <c r="E3288" s="3">
        <v>5</v>
      </c>
      <c r="F3288" s="4" t="str">
        <f>HYPERLINK("http://141.218.60.56/~jnz1568/getInfo.php?workbook=12_05.xlsx&amp;sheet=U0&amp;row=3288&amp;col=6&amp;number=3.4&amp;sourceID=14","3.4")</f>
        <v>3.4</v>
      </c>
      <c r="G3288" s="4" t="str">
        <f>HYPERLINK("http://141.218.60.56/~jnz1568/getInfo.php?workbook=12_05.xlsx&amp;sheet=U0&amp;row=3288&amp;col=7&amp;number=0.00213&amp;sourceID=14","0.00213")</f>
        <v>0.00213</v>
      </c>
    </row>
    <row r="3289" spans="1:7">
      <c r="A3289" s="3"/>
      <c r="B3289" s="3"/>
      <c r="C3289" s="3"/>
      <c r="D3289" s="3"/>
      <c r="E3289" s="3">
        <v>6</v>
      </c>
      <c r="F3289" s="4" t="str">
        <f>HYPERLINK("http://141.218.60.56/~jnz1568/getInfo.php?workbook=12_05.xlsx&amp;sheet=U0&amp;row=3289&amp;col=6&amp;number=3.5&amp;sourceID=14","3.5")</f>
        <v>3.5</v>
      </c>
      <c r="G3289" s="4" t="str">
        <f>HYPERLINK("http://141.218.60.56/~jnz1568/getInfo.php?workbook=12_05.xlsx&amp;sheet=U0&amp;row=3289&amp;col=7&amp;number=0.00213&amp;sourceID=14","0.00213")</f>
        <v>0.00213</v>
      </c>
    </row>
    <row r="3290" spans="1:7">
      <c r="A3290" s="3"/>
      <c r="B3290" s="3"/>
      <c r="C3290" s="3"/>
      <c r="D3290" s="3"/>
      <c r="E3290" s="3">
        <v>7</v>
      </c>
      <c r="F3290" s="4" t="str">
        <f>HYPERLINK("http://141.218.60.56/~jnz1568/getInfo.php?workbook=12_05.xlsx&amp;sheet=U0&amp;row=3290&amp;col=6&amp;number=3.6&amp;sourceID=14","3.6")</f>
        <v>3.6</v>
      </c>
      <c r="G3290" s="4" t="str">
        <f>HYPERLINK("http://141.218.60.56/~jnz1568/getInfo.php?workbook=12_05.xlsx&amp;sheet=U0&amp;row=3290&amp;col=7&amp;number=0.00213&amp;sourceID=14","0.00213")</f>
        <v>0.00213</v>
      </c>
    </row>
    <row r="3291" spans="1:7">
      <c r="A3291" s="3"/>
      <c r="B3291" s="3"/>
      <c r="C3291" s="3"/>
      <c r="D3291" s="3"/>
      <c r="E3291" s="3">
        <v>8</v>
      </c>
      <c r="F3291" s="4" t="str">
        <f>HYPERLINK("http://141.218.60.56/~jnz1568/getInfo.php?workbook=12_05.xlsx&amp;sheet=U0&amp;row=3291&amp;col=6&amp;number=3.7&amp;sourceID=14","3.7")</f>
        <v>3.7</v>
      </c>
      <c r="G3291" s="4" t="str">
        <f>HYPERLINK("http://141.218.60.56/~jnz1568/getInfo.php?workbook=12_05.xlsx&amp;sheet=U0&amp;row=3291&amp;col=7&amp;number=0.00214&amp;sourceID=14","0.00214")</f>
        <v>0.00214</v>
      </c>
    </row>
    <row r="3292" spans="1:7">
      <c r="A3292" s="3"/>
      <c r="B3292" s="3"/>
      <c r="C3292" s="3"/>
      <c r="D3292" s="3"/>
      <c r="E3292" s="3">
        <v>9</v>
      </c>
      <c r="F3292" s="4" t="str">
        <f>HYPERLINK("http://141.218.60.56/~jnz1568/getInfo.php?workbook=12_05.xlsx&amp;sheet=U0&amp;row=3292&amp;col=6&amp;number=3.8&amp;sourceID=14","3.8")</f>
        <v>3.8</v>
      </c>
      <c r="G3292" s="4" t="str">
        <f>HYPERLINK("http://141.218.60.56/~jnz1568/getInfo.php?workbook=12_05.xlsx&amp;sheet=U0&amp;row=3292&amp;col=7&amp;number=0.00214&amp;sourceID=14","0.00214")</f>
        <v>0.00214</v>
      </c>
    </row>
    <row r="3293" spans="1:7">
      <c r="A3293" s="3"/>
      <c r="B3293" s="3"/>
      <c r="C3293" s="3"/>
      <c r="D3293" s="3"/>
      <c r="E3293" s="3">
        <v>10</v>
      </c>
      <c r="F3293" s="4" t="str">
        <f>HYPERLINK("http://141.218.60.56/~jnz1568/getInfo.php?workbook=12_05.xlsx&amp;sheet=U0&amp;row=3293&amp;col=6&amp;number=3.9&amp;sourceID=14","3.9")</f>
        <v>3.9</v>
      </c>
      <c r="G3293" s="4" t="str">
        <f>HYPERLINK("http://141.218.60.56/~jnz1568/getInfo.php?workbook=12_05.xlsx&amp;sheet=U0&amp;row=3293&amp;col=7&amp;number=0.00215&amp;sourceID=14","0.00215")</f>
        <v>0.00215</v>
      </c>
    </row>
    <row r="3294" spans="1:7">
      <c r="A3294" s="3"/>
      <c r="B3294" s="3"/>
      <c r="C3294" s="3"/>
      <c r="D3294" s="3"/>
      <c r="E3294" s="3">
        <v>11</v>
      </c>
      <c r="F3294" s="4" t="str">
        <f>HYPERLINK("http://141.218.60.56/~jnz1568/getInfo.php?workbook=12_05.xlsx&amp;sheet=U0&amp;row=3294&amp;col=6&amp;number=4&amp;sourceID=14","4")</f>
        <v>4</v>
      </c>
      <c r="G3294" s="4" t="str">
        <f>HYPERLINK("http://141.218.60.56/~jnz1568/getInfo.php?workbook=12_05.xlsx&amp;sheet=U0&amp;row=3294&amp;col=7&amp;number=0.00216&amp;sourceID=14","0.00216")</f>
        <v>0.00216</v>
      </c>
    </row>
    <row r="3295" spans="1:7">
      <c r="A3295" s="3"/>
      <c r="B3295" s="3"/>
      <c r="C3295" s="3"/>
      <c r="D3295" s="3"/>
      <c r="E3295" s="3">
        <v>12</v>
      </c>
      <c r="F3295" s="4" t="str">
        <f>HYPERLINK("http://141.218.60.56/~jnz1568/getInfo.php?workbook=12_05.xlsx&amp;sheet=U0&amp;row=3295&amp;col=6&amp;number=4.1&amp;sourceID=14","4.1")</f>
        <v>4.1</v>
      </c>
      <c r="G3295" s="4" t="str">
        <f>HYPERLINK("http://141.218.60.56/~jnz1568/getInfo.php?workbook=12_05.xlsx&amp;sheet=U0&amp;row=3295&amp;col=7&amp;number=0.00217&amp;sourceID=14","0.00217")</f>
        <v>0.00217</v>
      </c>
    </row>
    <row r="3296" spans="1:7">
      <c r="A3296" s="3"/>
      <c r="B3296" s="3"/>
      <c r="C3296" s="3"/>
      <c r="D3296" s="3"/>
      <c r="E3296" s="3">
        <v>13</v>
      </c>
      <c r="F3296" s="4" t="str">
        <f>HYPERLINK("http://141.218.60.56/~jnz1568/getInfo.php?workbook=12_05.xlsx&amp;sheet=U0&amp;row=3296&amp;col=6&amp;number=4.2&amp;sourceID=14","4.2")</f>
        <v>4.2</v>
      </c>
      <c r="G3296" s="4" t="str">
        <f>HYPERLINK("http://141.218.60.56/~jnz1568/getInfo.php?workbook=12_05.xlsx&amp;sheet=U0&amp;row=3296&amp;col=7&amp;number=0.00219&amp;sourceID=14","0.00219")</f>
        <v>0.00219</v>
      </c>
    </row>
    <row r="3297" spans="1:7">
      <c r="A3297" s="3"/>
      <c r="B3297" s="3"/>
      <c r="C3297" s="3"/>
      <c r="D3297" s="3"/>
      <c r="E3297" s="3">
        <v>14</v>
      </c>
      <c r="F3297" s="4" t="str">
        <f>HYPERLINK("http://141.218.60.56/~jnz1568/getInfo.php?workbook=12_05.xlsx&amp;sheet=U0&amp;row=3297&amp;col=6&amp;number=4.3&amp;sourceID=14","4.3")</f>
        <v>4.3</v>
      </c>
      <c r="G3297" s="4" t="str">
        <f>HYPERLINK("http://141.218.60.56/~jnz1568/getInfo.php?workbook=12_05.xlsx&amp;sheet=U0&amp;row=3297&amp;col=7&amp;number=0.0022&amp;sourceID=14","0.0022")</f>
        <v>0.0022</v>
      </c>
    </row>
    <row r="3298" spans="1:7">
      <c r="A3298" s="3"/>
      <c r="B3298" s="3"/>
      <c r="C3298" s="3"/>
      <c r="D3298" s="3"/>
      <c r="E3298" s="3">
        <v>15</v>
      </c>
      <c r="F3298" s="4" t="str">
        <f>HYPERLINK("http://141.218.60.56/~jnz1568/getInfo.php?workbook=12_05.xlsx&amp;sheet=U0&amp;row=3298&amp;col=6&amp;number=4.4&amp;sourceID=14","4.4")</f>
        <v>4.4</v>
      </c>
      <c r="G3298" s="4" t="str">
        <f>HYPERLINK("http://141.218.60.56/~jnz1568/getInfo.php?workbook=12_05.xlsx&amp;sheet=U0&amp;row=3298&amp;col=7&amp;number=0.00223&amp;sourceID=14","0.00223")</f>
        <v>0.00223</v>
      </c>
    </row>
    <row r="3299" spans="1:7">
      <c r="A3299" s="3"/>
      <c r="B3299" s="3"/>
      <c r="C3299" s="3"/>
      <c r="D3299" s="3"/>
      <c r="E3299" s="3">
        <v>16</v>
      </c>
      <c r="F3299" s="4" t="str">
        <f>HYPERLINK("http://141.218.60.56/~jnz1568/getInfo.php?workbook=12_05.xlsx&amp;sheet=U0&amp;row=3299&amp;col=6&amp;number=4.5&amp;sourceID=14","4.5")</f>
        <v>4.5</v>
      </c>
      <c r="G3299" s="4" t="str">
        <f>HYPERLINK("http://141.218.60.56/~jnz1568/getInfo.php?workbook=12_05.xlsx&amp;sheet=U0&amp;row=3299&amp;col=7&amp;number=0.00225&amp;sourceID=14","0.00225")</f>
        <v>0.00225</v>
      </c>
    </row>
    <row r="3300" spans="1:7">
      <c r="A3300" s="3"/>
      <c r="B3300" s="3"/>
      <c r="C3300" s="3"/>
      <c r="D3300" s="3"/>
      <c r="E3300" s="3">
        <v>17</v>
      </c>
      <c r="F3300" s="4" t="str">
        <f>HYPERLINK("http://141.218.60.56/~jnz1568/getInfo.php?workbook=12_05.xlsx&amp;sheet=U0&amp;row=3300&amp;col=6&amp;number=4.6&amp;sourceID=14","4.6")</f>
        <v>4.6</v>
      </c>
      <c r="G3300" s="4" t="str">
        <f>HYPERLINK("http://141.218.60.56/~jnz1568/getInfo.php?workbook=12_05.xlsx&amp;sheet=U0&amp;row=3300&amp;col=7&amp;number=0.00229&amp;sourceID=14","0.00229")</f>
        <v>0.00229</v>
      </c>
    </row>
    <row r="3301" spans="1:7">
      <c r="A3301" s="3"/>
      <c r="B3301" s="3"/>
      <c r="C3301" s="3"/>
      <c r="D3301" s="3"/>
      <c r="E3301" s="3">
        <v>18</v>
      </c>
      <c r="F3301" s="4" t="str">
        <f>HYPERLINK("http://141.218.60.56/~jnz1568/getInfo.php?workbook=12_05.xlsx&amp;sheet=U0&amp;row=3301&amp;col=6&amp;number=4.7&amp;sourceID=14","4.7")</f>
        <v>4.7</v>
      </c>
      <c r="G3301" s="4" t="str">
        <f>HYPERLINK("http://141.218.60.56/~jnz1568/getInfo.php?workbook=12_05.xlsx&amp;sheet=U0&amp;row=3301&amp;col=7&amp;number=0.00233&amp;sourceID=14","0.00233")</f>
        <v>0.00233</v>
      </c>
    </row>
    <row r="3302" spans="1:7">
      <c r="A3302" s="3"/>
      <c r="B3302" s="3"/>
      <c r="C3302" s="3"/>
      <c r="D3302" s="3"/>
      <c r="E3302" s="3">
        <v>19</v>
      </c>
      <c r="F3302" s="4" t="str">
        <f>HYPERLINK("http://141.218.60.56/~jnz1568/getInfo.php?workbook=12_05.xlsx&amp;sheet=U0&amp;row=3302&amp;col=6&amp;number=4.8&amp;sourceID=14","4.8")</f>
        <v>4.8</v>
      </c>
      <c r="G3302" s="4" t="str">
        <f>HYPERLINK("http://141.218.60.56/~jnz1568/getInfo.php?workbook=12_05.xlsx&amp;sheet=U0&amp;row=3302&amp;col=7&amp;number=0.00238&amp;sourceID=14","0.00238")</f>
        <v>0.00238</v>
      </c>
    </row>
    <row r="3303" spans="1:7">
      <c r="A3303" s="3"/>
      <c r="B3303" s="3"/>
      <c r="C3303" s="3"/>
      <c r="D3303" s="3"/>
      <c r="E3303" s="3">
        <v>20</v>
      </c>
      <c r="F3303" s="4" t="str">
        <f>HYPERLINK("http://141.218.60.56/~jnz1568/getInfo.php?workbook=12_05.xlsx&amp;sheet=U0&amp;row=3303&amp;col=6&amp;number=4.9&amp;sourceID=14","4.9")</f>
        <v>4.9</v>
      </c>
      <c r="G3303" s="4" t="str">
        <f>HYPERLINK("http://141.218.60.56/~jnz1568/getInfo.php?workbook=12_05.xlsx&amp;sheet=U0&amp;row=3303&amp;col=7&amp;number=0.00245&amp;sourceID=14","0.00245")</f>
        <v>0.00245</v>
      </c>
    </row>
    <row r="3304" spans="1:7">
      <c r="A3304" s="3">
        <v>12</v>
      </c>
      <c r="B3304" s="3">
        <v>5</v>
      </c>
      <c r="C3304" s="3">
        <v>2</v>
      </c>
      <c r="D3304" s="3">
        <v>18</v>
      </c>
      <c r="E3304" s="3">
        <v>1</v>
      </c>
      <c r="F3304" s="4" t="str">
        <f>HYPERLINK("http://141.218.60.56/~jnz1568/getInfo.php?workbook=12_05.xlsx&amp;sheet=U0&amp;row=3304&amp;col=6&amp;number=3&amp;sourceID=14","3")</f>
        <v>3</v>
      </c>
      <c r="G3304" s="4" t="str">
        <f>HYPERLINK("http://141.218.60.56/~jnz1568/getInfo.php?workbook=12_05.xlsx&amp;sheet=U0&amp;row=3304&amp;col=7&amp;number=0.00198&amp;sourceID=14","0.00198")</f>
        <v>0.00198</v>
      </c>
    </row>
    <row r="3305" spans="1:7">
      <c r="A3305" s="3"/>
      <c r="B3305" s="3"/>
      <c r="C3305" s="3"/>
      <c r="D3305" s="3"/>
      <c r="E3305" s="3">
        <v>2</v>
      </c>
      <c r="F3305" s="4" t="str">
        <f>HYPERLINK("http://141.218.60.56/~jnz1568/getInfo.php?workbook=12_05.xlsx&amp;sheet=U0&amp;row=3305&amp;col=6&amp;number=3.1&amp;sourceID=14","3.1")</f>
        <v>3.1</v>
      </c>
      <c r="G3305" s="4" t="str">
        <f>HYPERLINK("http://141.218.60.56/~jnz1568/getInfo.php?workbook=12_05.xlsx&amp;sheet=U0&amp;row=3305&amp;col=7&amp;number=0.00198&amp;sourceID=14","0.00198")</f>
        <v>0.00198</v>
      </c>
    </row>
    <row r="3306" spans="1:7">
      <c r="A3306" s="3"/>
      <c r="B3306" s="3"/>
      <c r="C3306" s="3"/>
      <c r="D3306" s="3"/>
      <c r="E3306" s="3">
        <v>3</v>
      </c>
      <c r="F3306" s="4" t="str">
        <f>HYPERLINK("http://141.218.60.56/~jnz1568/getInfo.php?workbook=12_05.xlsx&amp;sheet=U0&amp;row=3306&amp;col=6&amp;number=3.2&amp;sourceID=14","3.2")</f>
        <v>3.2</v>
      </c>
      <c r="G3306" s="4" t="str">
        <f>HYPERLINK("http://141.218.60.56/~jnz1568/getInfo.php?workbook=12_05.xlsx&amp;sheet=U0&amp;row=3306&amp;col=7&amp;number=0.00198&amp;sourceID=14","0.00198")</f>
        <v>0.00198</v>
      </c>
    </row>
    <row r="3307" spans="1:7">
      <c r="A3307" s="3"/>
      <c r="B3307" s="3"/>
      <c r="C3307" s="3"/>
      <c r="D3307" s="3"/>
      <c r="E3307" s="3">
        <v>4</v>
      </c>
      <c r="F3307" s="4" t="str">
        <f>HYPERLINK("http://141.218.60.56/~jnz1568/getInfo.php?workbook=12_05.xlsx&amp;sheet=U0&amp;row=3307&amp;col=6&amp;number=3.3&amp;sourceID=14","3.3")</f>
        <v>3.3</v>
      </c>
      <c r="G3307" s="4" t="str">
        <f>HYPERLINK("http://141.218.60.56/~jnz1568/getInfo.php?workbook=12_05.xlsx&amp;sheet=U0&amp;row=3307&amp;col=7&amp;number=0.00199&amp;sourceID=14","0.00199")</f>
        <v>0.00199</v>
      </c>
    </row>
    <row r="3308" spans="1:7">
      <c r="A3308" s="3"/>
      <c r="B3308" s="3"/>
      <c r="C3308" s="3"/>
      <c r="D3308" s="3"/>
      <c r="E3308" s="3">
        <v>5</v>
      </c>
      <c r="F3308" s="4" t="str">
        <f>HYPERLINK("http://141.218.60.56/~jnz1568/getInfo.php?workbook=12_05.xlsx&amp;sheet=U0&amp;row=3308&amp;col=6&amp;number=3.4&amp;sourceID=14","3.4")</f>
        <v>3.4</v>
      </c>
      <c r="G3308" s="4" t="str">
        <f>HYPERLINK("http://141.218.60.56/~jnz1568/getInfo.php?workbook=12_05.xlsx&amp;sheet=U0&amp;row=3308&amp;col=7&amp;number=0.00199&amp;sourceID=14","0.00199")</f>
        <v>0.00199</v>
      </c>
    </row>
    <row r="3309" spans="1:7">
      <c r="A3309" s="3"/>
      <c r="B3309" s="3"/>
      <c r="C3309" s="3"/>
      <c r="D3309" s="3"/>
      <c r="E3309" s="3">
        <v>6</v>
      </c>
      <c r="F3309" s="4" t="str">
        <f>HYPERLINK("http://141.218.60.56/~jnz1568/getInfo.php?workbook=12_05.xlsx&amp;sheet=U0&amp;row=3309&amp;col=6&amp;number=3.5&amp;sourceID=14","3.5")</f>
        <v>3.5</v>
      </c>
      <c r="G3309" s="4" t="str">
        <f>HYPERLINK("http://141.218.60.56/~jnz1568/getInfo.php?workbook=12_05.xlsx&amp;sheet=U0&amp;row=3309&amp;col=7&amp;number=0.00199&amp;sourceID=14","0.00199")</f>
        <v>0.00199</v>
      </c>
    </row>
    <row r="3310" spans="1:7">
      <c r="A3310" s="3"/>
      <c r="B3310" s="3"/>
      <c r="C3310" s="3"/>
      <c r="D3310" s="3"/>
      <c r="E3310" s="3">
        <v>7</v>
      </c>
      <c r="F3310" s="4" t="str">
        <f>HYPERLINK("http://141.218.60.56/~jnz1568/getInfo.php?workbook=12_05.xlsx&amp;sheet=U0&amp;row=3310&amp;col=6&amp;number=3.6&amp;sourceID=14","3.6")</f>
        <v>3.6</v>
      </c>
      <c r="G3310" s="4" t="str">
        <f>HYPERLINK("http://141.218.60.56/~jnz1568/getInfo.php?workbook=12_05.xlsx&amp;sheet=U0&amp;row=3310&amp;col=7&amp;number=0.00199&amp;sourceID=14","0.00199")</f>
        <v>0.00199</v>
      </c>
    </row>
    <row r="3311" spans="1:7">
      <c r="A3311" s="3"/>
      <c r="B3311" s="3"/>
      <c r="C3311" s="3"/>
      <c r="D3311" s="3"/>
      <c r="E3311" s="3">
        <v>8</v>
      </c>
      <c r="F3311" s="4" t="str">
        <f>HYPERLINK("http://141.218.60.56/~jnz1568/getInfo.php?workbook=12_05.xlsx&amp;sheet=U0&amp;row=3311&amp;col=6&amp;number=3.7&amp;sourceID=14","3.7")</f>
        <v>3.7</v>
      </c>
      <c r="G3311" s="4" t="str">
        <f>HYPERLINK("http://141.218.60.56/~jnz1568/getInfo.php?workbook=12_05.xlsx&amp;sheet=U0&amp;row=3311&amp;col=7&amp;number=0.00199&amp;sourceID=14","0.00199")</f>
        <v>0.00199</v>
      </c>
    </row>
    <row r="3312" spans="1:7">
      <c r="A3312" s="3"/>
      <c r="B3312" s="3"/>
      <c r="C3312" s="3"/>
      <c r="D3312" s="3"/>
      <c r="E3312" s="3">
        <v>9</v>
      </c>
      <c r="F3312" s="4" t="str">
        <f>HYPERLINK("http://141.218.60.56/~jnz1568/getInfo.php?workbook=12_05.xlsx&amp;sheet=U0&amp;row=3312&amp;col=6&amp;number=3.8&amp;sourceID=14","3.8")</f>
        <v>3.8</v>
      </c>
      <c r="G3312" s="4" t="str">
        <f>HYPERLINK("http://141.218.60.56/~jnz1568/getInfo.php?workbook=12_05.xlsx&amp;sheet=U0&amp;row=3312&amp;col=7&amp;number=0.00199&amp;sourceID=14","0.00199")</f>
        <v>0.00199</v>
      </c>
    </row>
    <row r="3313" spans="1:7">
      <c r="A3313" s="3"/>
      <c r="B3313" s="3"/>
      <c r="C3313" s="3"/>
      <c r="D3313" s="3"/>
      <c r="E3313" s="3">
        <v>10</v>
      </c>
      <c r="F3313" s="4" t="str">
        <f>HYPERLINK("http://141.218.60.56/~jnz1568/getInfo.php?workbook=12_05.xlsx&amp;sheet=U0&amp;row=3313&amp;col=6&amp;number=3.9&amp;sourceID=14","3.9")</f>
        <v>3.9</v>
      </c>
      <c r="G3313" s="4" t="str">
        <f>HYPERLINK("http://141.218.60.56/~jnz1568/getInfo.php?workbook=12_05.xlsx&amp;sheet=U0&amp;row=3313&amp;col=7&amp;number=0.00199&amp;sourceID=14","0.00199")</f>
        <v>0.00199</v>
      </c>
    </row>
    <row r="3314" spans="1:7">
      <c r="A3314" s="3"/>
      <c r="B3314" s="3"/>
      <c r="C3314" s="3"/>
      <c r="D3314" s="3"/>
      <c r="E3314" s="3">
        <v>11</v>
      </c>
      <c r="F3314" s="4" t="str">
        <f>HYPERLINK("http://141.218.60.56/~jnz1568/getInfo.php?workbook=12_05.xlsx&amp;sheet=U0&amp;row=3314&amp;col=6&amp;number=4&amp;sourceID=14","4")</f>
        <v>4</v>
      </c>
      <c r="G3314" s="4" t="str">
        <f>HYPERLINK("http://141.218.60.56/~jnz1568/getInfo.php?workbook=12_05.xlsx&amp;sheet=U0&amp;row=3314&amp;col=7&amp;number=0.00199&amp;sourceID=14","0.00199")</f>
        <v>0.00199</v>
      </c>
    </row>
    <row r="3315" spans="1:7">
      <c r="A3315" s="3"/>
      <c r="B3315" s="3"/>
      <c r="C3315" s="3"/>
      <c r="D3315" s="3"/>
      <c r="E3315" s="3">
        <v>12</v>
      </c>
      <c r="F3315" s="4" t="str">
        <f>HYPERLINK("http://141.218.60.56/~jnz1568/getInfo.php?workbook=12_05.xlsx&amp;sheet=U0&amp;row=3315&amp;col=6&amp;number=4.1&amp;sourceID=14","4.1")</f>
        <v>4.1</v>
      </c>
      <c r="G3315" s="4" t="str">
        <f>HYPERLINK("http://141.218.60.56/~jnz1568/getInfo.php?workbook=12_05.xlsx&amp;sheet=U0&amp;row=3315&amp;col=7&amp;number=0.00199&amp;sourceID=14","0.00199")</f>
        <v>0.00199</v>
      </c>
    </row>
    <row r="3316" spans="1:7">
      <c r="A3316" s="3"/>
      <c r="B3316" s="3"/>
      <c r="C3316" s="3"/>
      <c r="D3316" s="3"/>
      <c r="E3316" s="3">
        <v>13</v>
      </c>
      <c r="F3316" s="4" t="str">
        <f>HYPERLINK("http://141.218.60.56/~jnz1568/getInfo.php?workbook=12_05.xlsx&amp;sheet=U0&amp;row=3316&amp;col=6&amp;number=4.2&amp;sourceID=14","4.2")</f>
        <v>4.2</v>
      </c>
      <c r="G3316" s="4" t="str">
        <f>HYPERLINK("http://141.218.60.56/~jnz1568/getInfo.php?workbook=12_05.xlsx&amp;sheet=U0&amp;row=3316&amp;col=7&amp;number=0.00199&amp;sourceID=14","0.00199")</f>
        <v>0.00199</v>
      </c>
    </row>
    <row r="3317" spans="1:7">
      <c r="A3317" s="3"/>
      <c r="B3317" s="3"/>
      <c r="C3317" s="3"/>
      <c r="D3317" s="3"/>
      <c r="E3317" s="3">
        <v>14</v>
      </c>
      <c r="F3317" s="4" t="str">
        <f>HYPERLINK("http://141.218.60.56/~jnz1568/getInfo.php?workbook=12_05.xlsx&amp;sheet=U0&amp;row=3317&amp;col=6&amp;number=4.3&amp;sourceID=14","4.3")</f>
        <v>4.3</v>
      </c>
      <c r="G3317" s="4" t="str">
        <f>HYPERLINK("http://141.218.60.56/~jnz1568/getInfo.php?workbook=12_05.xlsx&amp;sheet=U0&amp;row=3317&amp;col=7&amp;number=0.002&amp;sourceID=14","0.002")</f>
        <v>0.002</v>
      </c>
    </row>
    <row r="3318" spans="1:7">
      <c r="A3318" s="3"/>
      <c r="B3318" s="3"/>
      <c r="C3318" s="3"/>
      <c r="D3318" s="3"/>
      <c r="E3318" s="3">
        <v>15</v>
      </c>
      <c r="F3318" s="4" t="str">
        <f>HYPERLINK("http://141.218.60.56/~jnz1568/getInfo.php?workbook=12_05.xlsx&amp;sheet=U0&amp;row=3318&amp;col=6&amp;number=4.4&amp;sourceID=14","4.4")</f>
        <v>4.4</v>
      </c>
      <c r="G3318" s="4" t="str">
        <f>HYPERLINK("http://141.218.60.56/~jnz1568/getInfo.php?workbook=12_05.xlsx&amp;sheet=U0&amp;row=3318&amp;col=7&amp;number=0.002&amp;sourceID=14","0.002")</f>
        <v>0.002</v>
      </c>
    </row>
    <row r="3319" spans="1:7">
      <c r="A3319" s="3"/>
      <c r="B3319" s="3"/>
      <c r="C3319" s="3"/>
      <c r="D3319" s="3"/>
      <c r="E3319" s="3">
        <v>16</v>
      </c>
      <c r="F3319" s="4" t="str">
        <f>HYPERLINK("http://141.218.60.56/~jnz1568/getInfo.php?workbook=12_05.xlsx&amp;sheet=U0&amp;row=3319&amp;col=6&amp;number=4.5&amp;sourceID=14","4.5")</f>
        <v>4.5</v>
      </c>
      <c r="G3319" s="4" t="str">
        <f>HYPERLINK("http://141.218.60.56/~jnz1568/getInfo.php?workbook=12_05.xlsx&amp;sheet=U0&amp;row=3319&amp;col=7&amp;number=0.002&amp;sourceID=14","0.002")</f>
        <v>0.002</v>
      </c>
    </row>
    <row r="3320" spans="1:7">
      <c r="A3320" s="3"/>
      <c r="B3320" s="3"/>
      <c r="C3320" s="3"/>
      <c r="D3320" s="3"/>
      <c r="E3320" s="3">
        <v>17</v>
      </c>
      <c r="F3320" s="4" t="str">
        <f>HYPERLINK("http://141.218.60.56/~jnz1568/getInfo.php?workbook=12_05.xlsx&amp;sheet=U0&amp;row=3320&amp;col=6&amp;number=4.6&amp;sourceID=14","4.6")</f>
        <v>4.6</v>
      </c>
      <c r="G3320" s="4" t="str">
        <f>HYPERLINK("http://141.218.60.56/~jnz1568/getInfo.php?workbook=12_05.xlsx&amp;sheet=U0&amp;row=3320&amp;col=7&amp;number=0.00201&amp;sourceID=14","0.00201")</f>
        <v>0.00201</v>
      </c>
    </row>
    <row r="3321" spans="1:7">
      <c r="A3321" s="3"/>
      <c r="B3321" s="3"/>
      <c r="C3321" s="3"/>
      <c r="D3321" s="3"/>
      <c r="E3321" s="3">
        <v>18</v>
      </c>
      <c r="F3321" s="4" t="str">
        <f>HYPERLINK("http://141.218.60.56/~jnz1568/getInfo.php?workbook=12_05.xlsx&amp;sheet=U0&amp;row=3321&amp;col=6&amp;number=4.7&amp;sourceID=14","4.7")</f>
        <v>4.7</v>
      </c>
      <c r="G3321" s="4" t="str">
        <f>HYPERLINK("http://141.218.60.56/~jnz1568/getInfo.php?workbook=12_05.xlsx&amp;sheet=U0&amp;row=3321&amp;col=7&amp;number=0.00201&amp;sourceID=14","0.00201")</f>
        <v>0.00201</v>
      </c>
    </row>
    <row r="3322" spans="1:7">
      <c r="A3322" s="3"/>
      <c r="B3322" s="3"/>
      <c r="C3322" s="3"/>
      <c r="D3322" s="3"/>
      <c r="E3322" s="3">
        <v>19</v>
      </c>
      <c r="F3322" s="4" t="str">
        <f>HYPERLINK("http://141.218.60.56/~jnz1568/getInfo.php?workbook=12_05.xlsx&amp;sheet=U0&amp;row=3322&amp;col=6&amp;number=4.8&amp;sourceID=14","4.8")</f>
        <v>4.8</v>
      </c>
      <c r="G3322" s="4" t="str">
        <f>HYPERLINK("http://141.218.60.56/~jnz1568/getInfo.php?workbook=12_05.xlsx&amp;sheet=U0&amp;row=3322&amp;col=7&amp;number=0.00202&amp;sourceID=14","0.00202")</f>
        <v>0.00202</v>
      </c>
    </row>
    <row r="3323" spans="1:7">
      <c r="A3323" s="3"/>
      <c r="B3323" s="3"/>
      <c r="C3323" s="3"/>
      <c r="D3323" s="3"/>
      <c r="E3323" s="3">
        <v>20</v>
      </c>
      <c r="F3323" s="4" t="str">
        <f>HYPERLINK("http://141.218.60.56/~jnz1568/getInfo.php?workbook=12_05.xlsx&amp;sheet=U0&amp;row=3323&amp;col=6&amp;number=4.9&amp;sourceID=14","4.9")</f>
        <v>4.9</v>
      </c>
      <c r="G3323" s="4" t="str">
        <f>HYPERLINK("http://141.218.60.56/~jnz1568/getInfo.php?workbook=12_05.xlsx&amp;sheet=U0&amp;row=3323&amp;col=7&amp;number=0.00203&amp;sourceID=14","0.00203")</f>
        <v>0.00203</v>
      </c>
    </row>
    <row r="3324" spans="1:7">
      <c r="A3324" s="3">
        <v>12</v>
      </c>
      <c r="B3324" s="3">
        <v>5</v>
      </c>
      <c r="C3324" s="3">
        <v>2</v>
      </c>
      <c r="D3324" s="3">
        <v>19</v>
      </c>
      <c r="E3324" s="3">
        <v>1</v>
      </c>
      <c r="F3324" s="4" t="str">
        <f>HYPERLINK("http://141.218.60.56/~jnz1568/getInfo.php?workbook=12_05.xlsx&amp;sheet=U0&amp;row=3324&amp;col=6&amp;number=3&amp;sourceID=14","3")</f>
        <v>3</v>
      </c>
      <c r="G3324" s="4" t="str">
        <f>HYPERLINK("http://141.218.60.56/~jnz1568/getInfo.php?workbook=12_05.xlsx&amp;sheet=U0&amp;row=3324&amp;col=7&amp;number=0.0013&amp;sourceID=14","0.0013")</f>
        <v>0.0013</v>
      </c>
    </row>
    <row r="3325" spans="1:7">
      <c r="A3325" s="3"/>
      <c r="B3325" s="3"/>
      <c r="C3325" s="3"/>
      <c r="D3325" s="3"/>
      <c r="E3325" s="3">
        <v>2</v>
      </c>
      <c r="F3325" s="4" t="str">
        <f>HYPERLINK("http://141.218.60.56/~jnz1568/getInfo.php?workbook=12_05.xlsx&amp;sheet=U0&amp;row=3325&amp;col=6&amp;number=3.1&amp;sourceID=14","3.1")</f>
        <v>3.1</v>
      </c>
      <c r="G3325" s="4" t="str">
        <f>HYPERLINK("http://141.218.60.56/~jnz1568/getInfo.php?workbook=12_05.xlsx&amp;sheet=U0&amp;row=3325&amp;col=7&amp;number=0.0013&amp;sourceID=14","0.0013")</f>
        <v>0.0013</v>
      </c>
    </row>
    <row r="3326" spans="1:7">
      <c r="A3326" s="3"/>
      <c r="B3326" s="3"/>
      <c r="C3326" s="3"/>
      <c r="D3326" s="3"/>
      <c r="E3326" s="3">
        <v>3</v>
      </c>
      <c r="F3326" s="4" t="str">
        <f>HYPERLINK("http://141.218.60.56/~jnz1568/getInfo.php?workbook=12_05.xlsx&amp;sheet=U0&amp;row=3326&amp;col=6&amp;number=3.2&amp;sourceID=14","3.2")</f>
        <v>3.2</v>
      </c>
      <c r="G3326" s="4" t="str">
        <f>HYPERLINK("http://141.218.60.56/~jnz1568/getInfo.php?workbook=12_05.xlsx&amp;sheet=U0&amp;row=3326&amp;col=7&amp;number=0.0013&amp;sourceID=14","0.0013")</f>
        <v>0.0013</v>
      </c>
    </row>
    <row r="3327" spans="1:7">
      <c r="A3327" s="3"/>
      <c r="B3327" s="3"/>
      <c r="C3327" s="3"/>
      <c r="D3327" s="3"/>
      <c r="E3327" s="3">
        <v>4</v>
      </c>
      <c r="F3327" s="4" t="str">
        <f>HYPERLINK("http://141.218.60.56/~jnz1568/getInfo.php?workbook=12_05.xlsx&amp;sheet=U0&amp;row=3327&amp;col=6&amp;number=3.3&amp;sourceID=14","3.3")</f>
        <v>3.3</v>
      </c>
      <c r="G3327" s="4" t="str">
        <f>HYPERLINK("http://141.218.60.56/~jnz1568/getInfo.php?workbook=12_05.xlsx&amp;sheet=U0&amp;row=3327&amp;col=7&amp;number=0.00129&amp;sourceID=14","0.00129")</f>
        <v>0.00129</v>
      </c>
    </row>
    <row r="3328" spans="1:7">
      <c r="A3328" s="3"/>
      <c r="B3328" s="3"/>
      <c r="C3328" s="3"/>
      <c r="D3328" s="3"/>
      <c r="E3328" s="3">
        <v>5</v>
      </c>
      <c r="F3328" s="4" t="str">
        <f>HYPERLINK("http://141.218.60.56/~jnz1568/getInfo.php?workbook=12_05.xlsx&amp;sheet=U0&amp;row=3328&amp;col=6&amp;number=3.4&amp;sourceID=14","3.4")</f>
        <v>3.4</v>
      </c>
      <c r="G3328" s="4" t="str">
        <f>HYPERLINK("http://141.218.60.56/~jnz1568/getInfo.php?workbook=12_05.xlsx&amp;sheet=U0&amp;row=3328&amp;col=7&amp;number=0.00129&amp;sourceID=14","0.00129")</f>
        <v>0.00129</v>
      </c>
    </row>
    <row r="3329" spans="1:7">
      <c r="A3329" s="3"/>
      <c r="B3329" s="3"/>
      <c r="C3329" s="3"/>
      <c r="D3329" s="3"/>
      <c r="E3329" s="3">
        <v>6</v>
      </c>
      <c r="F3329" s="4" t="str">
        <f>HYPERLINK("http://141.218.60.56/~jnz1568/getInfo.php?workbook=12_05.xlsx&amp;sheet=U0&amp;row=3329&amp;col=6&amp;number=3.5&amp;sourceID=14","3.5")</f>
        <v>3.5</v>
      </c>
      <c r="G3329" s="4" t="str">
        <f>HYPERLINK("http://141.218.60.56/~jnz1568/getInfo.php?workbook=12_05.xlsx&amp;sheet=U0&amp;row=3329&amp;col=7&amp;number=0.00129&amp;sourceID=14","0.00129")</f>
        <v>0.00129</v>
      </c>
    </row>
    <row r="3330" spans="1:7">
      <c r="A3330" s="3"/>
      <c r="B3330" s="3"/>
      <c r="C3330" s="3"/>
      <c r="D3330" s="3"/>
      <c r="E3330" s="3">
        <v>7</v>
      </c>
      <c r="F3330" s="4" t="str">
        <f>HYPERLINK("http://141.218.60.56/~jnz1568/getInfo.php?workbook=12_05.xlsx&amp;sheet=U0&amp;row=3330&amp;col=6&amp;number=3.6&amp;sourceID=14","3.6")</f>
        <v>3.6</v>
      </c>
      <c r="G3330" s="4" t="str">
        <f>HYPERLINK("http://141.218.60.56/~jnz1568/getInfo.php?workbook=12_05.xlsx&amp;sheet=U0&amp;row=3330&amp;col=7&amp;number=0.00129&amp;sourceID=14","0.00129")</f>
        <v>0.00129</v>
      </c>
    </row>
    <row r="3331" spans="1:7">
      <c r="A3331" s="3"/>
      <c r="B3331" s="3"/>
      <c r="C3331" s="3"/>
      <c r="D3331" s="3"/>
      <c r="E3331" s="3">
        <v>8</v>
      </c>
      <c r="F3331" s="4" t="str">
        <f>HYPERLINK("http://141.218.60.56/~jnz1568/getInfo.php?workbook=12_05.xlsx&amp;sheet=U0&amp;row=3331&amp;col=6&amp;number=3.7&amp;sourceID=14","3.7")</f>
        <v>3.7</v>
      </c>
      <c r="G3331" s="4" t="str">
        <f>HYPERLINK("http://141.218.60.56/~jnz1568/getInfo.php?workbook=12_05.xlsx&amp;sheet=U0&amp;row=3331&amp;col=7&amp;number=0.00129&amp;sourceID=14","0.00129")</f>
        <v>0.00129</v>
      </c>
    </row>
    <row r="3332" spans="1:7">
      <c r="A3332" s="3"/>
      <c r="B3332" s="3"/>
      <c r="C3332" s="3"/>
      <c r="D3332" s="3"/>
      <c r="E3332" s="3">
        <v>9</v>
      </c>
      <c r="F3332" s="4" t="str">
        <f>HYPERLINK("http://141.218.60.56/~jnz1568/getInfo.php?workbook=12_05.xlsx&amp;sheet=U0&amp;row=3332&amp;col=6&amp;number=3.8&amp;sourceID=14","3.8")</f>
        <v>3.8</v>
      </c>
      <c r="G3332" s="4" t="str">
        <f>HYPERLINK("http://141.218.60.56/~jnz1568/getInfo.php?workbook=12_05.xlsx&amp;sheet=U0&amp;row=3332&amp;col=7&amp;number=0.00129&amp;sourceID=14","0.00129")</f>
        <v>0.00129</v>
      </c>
    </row>
    <row r="3333" spans="1:7">
      <c r="A3333" s="3"/>
      <c r="B3333" s="3"/>
      <c r="C3333" s="3"/>
      <c r="D3333" s="3"/>
      <c r="E3333" s="3">
        <v>10</v>
      </c>
      <c r="F3333" s="4" t="str">
        <f>HYPERLINK("http://141.218.60.56/~jnz1568/getInfo.php?workbook=12_05.xlsx&amp;sheet=U0&amp;row=3333&amp;col=6&amp;number=3.9&amp;sourceID=14","3.9")</f>
        <v>3.9</v>
      </c>
      <c r="G3333" s="4" t="str">
        <f>HYPERLINK("http://141.218.60.56/~jnz1568/getInfo.php?workbook=12_05.xlsx&amp;sheet=U0&amp;row=3333&amp;col=7&amp;number=0.00129&amp;sourceID=14","0.00129")</f>
        <v>0.00129</v>
      </c>
    </row>
    <row r="3334" spans="1:7">
      <c r="A3334" s="3"/>
      <c r="B3334" s="3"/>
      <c r="C3334" s="3"/>
      <c r="D3334" s="3"/>
      <c r="E3334" s="3">
        <v>11</v>
      </c>
      <c r="F3334" s="4" t="str">
        <f>HYPERLINK("http://141.218.60.56/~jnz1568/getInfo.php?workbook=12_05.xlsx&amp;sheet=U0&amp;row=3334&amp;col=6&amp;number=4&amp;sourceID=14","4")</f>
        <v>4</v>
      </c>
      <c r="G3334" s="4" t="str">
        <f>HYPERLINK("http://141.218.60.56/~jnz1568/getInfo.php?workbook=12_05.xlsx&amp;sheet=U0&amp;row=3334&amp;col=7&amp;number=0.00128&amp;sourceID=14","0.00128")</f>
        <v>0.00128</v>
      </c>
    </row>
    <row r="3335" spans="1:7">
      <c r="A3335" s="3"/>
      <c r="B3335" s="3"/>
      <c r="C3335" s="3"/>
      <c r="D3335" s="3"/>
      <c r="E3335" s="3">
        <v>12</v>
      </c>
      <c r="F3335" s="4" t="str">
        <f>HYPERLINK("http://141.218.60.56/~jnz1568/getInfo.php?workbook=12_05.xlsx&amp;sheet=U0&amp;row=3335&amp;col=6&amp;number=4.1&amp;sourceID=14","4.1")</f>
        <v>4.1</v>
      </c>
      <c r="G3335" s="4" t="str">
        <f>HYPERLINK("http://141.218.60.56/~jnz1568/getInfo.php?workbook=12_05.xlsx&amp;sheet=U0&amp;row=3335&amp;col=7&amp;number=0.00128&amp;sourceID=14","0.00128")</f>
        <v>0.00128</v>
      </c>
    </row>
    <row r="3336" spans="1:7">
      <c r="A3336" s="3"/>
      <c r="B3336" s="3"/>
      <c r="C3336" s="3"/>
      <c r="D3336" s="3"/>
      <c r="E3336" s="3">
        <v>13</v>
      </c>
      <c r="F3336" s="4" t="str">
        <f>HYPERLINK("http://141.218.60.56/~jnz1568/getInfo.php?workbook=12_05.xlsx&amp;sheet=U0&amp;row=3336&amp;col=6&amp;number=4.2&amp;sourceID=14","4.2")</f>
        <v>4.2</v>
      </c>
      <c r="G3336" s="4" t="str">
        <f>HYPERLINK("http://141.218.60.56/~jnz1568/getInfo.php?workbook=12_05.xlsx&amp;sheet=U0&amp;row=3336&amp;col=7&amp;number=0.00128&amp;sourceID=14","0.00128")</f>
        <v>0.00128</v>
      </c>
    </row>
    <row r="3337" spans="1:7">
      <c r="A3337" s="3"/>
      <c r="B3337" s="3"/>
      <c r="C3337" s="3"/>
      <c r="D3337" s="3"/>
      <c r="E3337" s="3">
        <v>14</v>
      </c>
      <c r="F3337" s="4" t="str">
        <f>HYPERLINK("http://141.218.60.56/~jnz1568/getInfo.php?workbook=12_05.xlsx&amp;sheet=U0&amp;row=3337&amp;col=6&amp;number=4.3&amp;sourceID=14","4.3")</f>
        <v>4.3</v>
      </c>
      <c r="G3337" s="4" t="str">
        <f>HYPERLINK("http://141.218.60.56/~jnz1568/getInfo.php?workbook=12_05.xlsx&amp;sheet=U0&amp;row=3337&amp;col=7&amp;number=0.00127&amp;sourceID=14","0.00127")</f>
        <v>0.00127</v>
      </c>
    </row>
    <row r="3338" spans="1:7">
      <c r="A3338" s="3"/>
      <c r="B3338" s="3"/>
      <c r="C3338" s="3"/>
      <c r="D3338" s="3"/>
      <c r="E3338" s="3">
        <v>15</v>
      </c>
      <c r="F3338" s="4" t="str">
        <f>HYPERLINK("http://141.218.60.56/~jnz1568/getInfo.php?workbook=12_05.xlsx&amp;sheet=U0&amp;row=3338&amp;col=6&amp;number=4.4&amp;sourceID=14","4.4")</f>
        <v>4.4</v>
      </c>
      <c r="G3338" s="4" t="str">
        <f>HYPERLINK("http://141.218.60.56/~jnz1568/getInfo.php?workbook=12_05.xlsx&amp;sheet=U0&amp;row=3338&amp;col=7&amp;number=0.00127&amp;sourceID=14","0.00127")</f>
        <v>0.00127</v>
      </c>
    </row>
    <row r="3339" spans="1:7">
      <c r="A3339" s="3"/>
      <c r="B3339" s="3"/>
      <c r="C3339" s="3"/>
      <c r="D3339" s="3"/>
      <c r="E3339" s="3">
        <v>16</v>
      </c>
      <c r="F3339" s="4" t="str">
        <f>HYPERLINK("http://141.218.60.56/~jnz1568/getInfo.php?workbook=12_05.xlsx&amp;sheet=U0&amp;row=3339&amp;col=6&amp;number=4.5&amp;sourceID=14","4.5")</f>
        <v>4.5</v>
      </c>
      <c r="G3339" s="4" t="str">
        <f>HYPERLINK("http://141.218.60.56/~jnz1568/getInfo.php?workbook=12_05.xlsx&amp;sheet=U0&amp;row=3339&amp;col=7&amp;number=0.00126&amp;sourceID=14","0.00126")</f>
        <v>0.00126</v>
      </c>
    </row>
    <row r="3340" spans="1:7">
      <c r="A3340" s="3"/>
      <c r="B3340" s="3"/>
      <c r="C3340" s="3"/>
      <c r="D3340" s="3"/>
      <c r="E3340" s="3">
        <v>17</v>
      </c>
      <c r="F3340" s="4" t="str">
        <f>HYPERLINK("http://141.218.60.56/~jnz1568/getInfo.php?workbook=12_05.xlsx&amp;sheet=U0&amp;row=3340&amp;col=6&amp;number=4.6&amp;sourceID=14","4.6")</f>
        <v>4.6</v>
      </c>
      <c r="G3340" s="4" t="str">
        <f>HYPERLINK("http://141.218.60.56/~jnz1568/getInfo.php?workbook=12_05.xlsx&amp;sheet=U0&amp;row=3340&amp;col=7&amp;number=0.00125&amp;sourceID=14","0.00125")</f>
        <v>0.00125</v>
      </c>
    </row>
    <row r="3341" spans="1:7">
      <c r="A3341" s="3"/>
      <c r="B3341" s="3"/>
      <c r="C3341" s="3"/>
      <c r="D3341" s="3"/>
      <c r="E3341" s="3">
        <v>18</v>
      </c>
      <c r="F3341" s="4" t="str">
        <f>HYPERLINK("http://141.218.60.56/~jnz1568/getInfo.php?workbook=12_05.xlsx&amp;sheet=U0&amp;row=3341&amp;col=6&amp;number=4.7&amp;sourceID=14","4.7")</f>
        <v>4.7</v>
      </c>
      <c r="G3341" s="4" t="str">
        <f>HYPERLINK("http://141.218.60.56/~jnz1568/getInfo.php?workbook=12_05.xlsx&amp;sheet=U0&amp;row=3341&amp;col=7&amp;number=0.00124&amp;sourceID=14","0.00124")</f>
        <v>0.00124</v>
      </c>
    </row>
    <row r="3342" spans="1:7">
      <c r="A3342" s="3"/>
      <c r="B3342" s="3"/>
      <c r="C3342" s="3"/>
      <c r="D3342" s="3"/>
      <c r="E3342" s="3">
        <v>19</v>
      </c>
      <c r="F3342" s="4" t="str">
        <f>HYPERLINK("http://141.218.60.56/~jnz1568/getInfo.php?workbook=12_05.xlsx&amp;sheet=U0&amp;row=3342&amp;col=6&amp;number=4.8&amp;sourceID=14","4.8")</f>
        <v>4.8</v>
      </c>
      <c r="G3342" s="4" t="str">
        <f>HYPERLINK("http://141.218.60.56/~jnz1568/getInfo.php?workbook=12_05.xlsx&amp;sheet=U0&amp;row=3342&amp;col=7&amp;number=0.00122&amp;sourceID=14","0.00122")</f>
        <v>0.00122</v>
      </c>
    </row>
    <row r="3343" spans="1:7">
      <c r="A3343" s="3"/>
      <c r="B3343" s="3"/>
      <c r="C3343" s="3"/>
      <c r="D3343" s="3"/>
      <c r="E3343" s="3">
        <v>20</v>
      </c>
      <c r="F3343" s="4" t="str">
        <f>HYPERLINK("http://141.218.60.56/~jnz1568/getInfo.php?workbook=12_05.xlsx&amp;sheet=U0&amp;row=3343&amp;col=6&amp;number=4.9&amp;sourceID=14","4.9")</f>
        <v>4.9</v>
      </c>
      <c r="G3343" s="4" t="str">
        <f>HYPERLINK("http://141.218.60.56/~jnz1568/getInfo.php?workbook=12_05.xlsx&amp;sheet=U0&amp;row=3343&amp;col=7&amp;number=0.00121&amp;sourceID=14","0.00121")</f>
        <v>0.00121</v>
      </c>
    </row>
    <row r="3344" spans="1:7">
      <c r="A3344" s="3">
        <v>12</v>
      </c>
      <c r="B3344" s="3">
        <v>5</v>
      </c>
      <c r="C3344" s="3">
        <v>2</v>
      </c>
      <c r="D3344" s="3">
        <v>20</v>
      </c>
      <c r="E3344" s="3">
        <v>1</v>
      </c>
      <c r="F3344" s="4" t="str">
        <f>HYPERLINK("http://141.218.60.56/~jnz1568/getInfo.php?workbook=12_05.xlsx&amp;sheet=U0&amp;row=3344&amp;col=6&amp;number=3&amp;sourceID=14","3")</f>
        <v>3</v>
      </c>
      <c r="G3344" s="4" t="str">
        <f>HYPERLINK("http://141.218.60.56/~jnz1568/getInfo.php?workbook=12_05.xlsx&amp;sheet=U0&amp;row=3344&amp;col=7&amp;number=0.00739&amp;sourceID=14","0.00739")</f>
        <v>0.00739</v>
      </c>
    </row>
    <row r="3345" spans="1:7">
      <c r="A3345" s="3"/>
      <c r="B3345" s="3"/>
      <c r="C3345" s="3"/>
      <c r="D3345" s="3"/>
      <c r="E3345" s="3">
        <v>2</v>
      </c>
      <c r="F3345" s="4" t="str">
        <f>HYPERLINK("http://141.218.60.56/~jnz1568/getInfo.php?workbook=12_05.xlsx&amp;sheet=U0&amp;row=3345&amp;col=6&amp;number=3.1&amp;sourceID=14","3.1")</f>
        <v>3.1</v>
      </c>
      <c r="G3345" s="4" t="str">
        <f>HYPERLINK("http://141.218.60.56/~jnz1568/getInfo.php?workbook=12_05.xlsx&amp;sheet=U0&amp;row=3345&amp;col=7&amp;number=0.00739&amp;sourceID=14","0.00739")</f>
        <v>0.00739</v>
      </c>
    </row>
    <row r="3346" spans="1:7">
      <c r="A3346" s="3"/>
      <c r="B3346" s="3"/>
      <c r="C3346" s="3"/>
      <c r="D3346" s="3"/>
      <c r="E3346" s="3">
        <v>3</v>
      </c>
      <c r="F3346" s="4" t="str">
        <f>HYPERLINK("http://141.218.60.56/~jnz1568/getInfo.php?workbook=12_05.xlsx&amp;sheet=U0&amp;row=3346&amp;col=6&amp;number=3.2&amp;sourceID=14","3.2")</f>
        <v>3.2</v>
      </c>
      <c r="G3346" s="4" t="str">
        <f>HYPERLINK("http://141.218.60.56/~jnz1568/getInfo.php?workbook=12_05.xlsx&amp;sheet=U0&amp;row=3346&amp;col=7&amp;number=0.0074&amp;sourceID=14","0.0074")</f>
        <v>0.0074</v>
      </c>
    </row>
    <row r="3347" spans="1:7">
      <c r="A3347" s="3"/>
      <c r="B3347" s="3"/>
      <c r="C3347" s="3"/>
      <c r="D3347" s="3"/>
      <c r="E3347" s="3">
        <v>4</v>
      </c>
      <c r="F3347" s="4" t="str">
        <f>HYPERLINK("http://141.218.60.56/~jnz1568/getInfo.php?workbook=12_05.xlsx&amp;sheet=U0&amp;row=3347&amp;col=6&amp;number=3.3&amp;sourceID=14","3.3")</f>
        <v>3.3</v>
      </c>
      <c r="G3347" s="4" t="str">
        <f>HYPERLINK("http://141.218.60.56/~jnz1568/getInfo.php?workbook=12_05.xlsx&amp;sheet=U0&amp;row=3347&amp;col=7&amp;number=0.00741&amp;sourceID=14","0.00741")</f>
        <v>0.00741</v>
      </c>
    </row>
    <row r="3348" spans="1:7">
      <c r="A3348" s="3"/>
      <c r="B3348" s="3"/>
      <c r="C3348" s="3"/>
      <c r="D3348" s="3"/>
      <c r="E3348" s="3">
        <v>5</v>
      </c>
      <c r="F3348" s="4" t="str">
        <f>HYPERLINK("http://141.218.60.56/~jnz1568/getInfo.php?workbook=12_05.xlsx&amp;sheet=U0&amp;row=3348&amp;col=6&amp;number=3.4&amp;sourceID=14","3.4")</f>
        <v>3.4</v>
      </c>
      <c r="G3348" s="4" t="str">
        <f>HYPERLINK("http://141.218.60.56/~jnz1568/getInfo.php?workbook=12_05.xlsx&amp;sheet=U0&amp;row=3348&amp;col=7&amp;number=0.00741&amp;sourceID=14","0.00741")</f>
        <v>0.00741</v>
      </c>
    </row>
    <row r="3349" spans="1:7">
      <c r="A3349" s="3"/>
      <c r="B3349" s="3"/>
      <c r="C3349" s="3"/>
      <c r="D3349" s="3"/>
      <c r="E3349" s="3">
        <v>6</v>
      </c>
      <c r="F3349" s="4" t="str">
        <f>HYPERLINK("http://141.218.60.56/~jnz1568/getInfo.php?workbook=12_05.xlsx&amp;sheet=U0&amp;row=3349&amp;col=6&amp;number=3.5&amp;sourceID=14","3.5")</f>
        <v>3.5</v>
      </c>
      <c r="G3349" s="4" t="str">
        <f>HYPERLINK("http://141.218.60.56/~jnz1568/getInfo.php?workbook=12_05.xlsx&amp;sheet=U0&amp;row=3349&amp;col=7&amp;number=0.00743&amp;sourceID=14","0.00743")</f>
        <v>0.00743</v>
      </c>
    </row>
    <row r="3350" spans="1:7">
      <c r="A3350" s="3"/>
      <c r="B3350" s="3"/>
      <c r="C3350" s="3"/>
      <c r="D3350" s="3"/>
      <c r="E3350" s="3">
        <v>7</v>
      </c>
      <c r="F3350" s="4" t="str">
        <f>HYPERLINK("http://141.218.60.56/~jnz1568/getInfo.php?workbook=12_05.xlsx&amp;sheet=U0&amp;row=3350&amp;col=6&amp;number=3.6&amp;sourceID=14","3.6")</f>
        <v>3.6</v>
      </c>
      <c r="G3350" s="4" t="str">
        <f>HYPERLINK("http://141.218.60.56/~jnz1568/getInfo.php?workbook=12_05.xlsx&amp;sheet=U0&amp;row=3350&amp;col=7&amp;number=0.00744&amp;sourceID=14","0.00744")</f>
        <v>0.00744</v>
      </c>
    </row>
    <row r="3351" spans="1:7">
      <c r="A3351" s="3"/>
      <c r="B3351" s="3"/>
      <c r="C3351" s="3"/>
      <c r="D3351" s="3"/>
      <c r="E3351" s="3">
        <v>8</v>
      </c>
      <c r="F3351" s="4" t="str">
        <f>HYPERLINK("http://141.218.60.56/~jnz1568/getInfo.php?workbook=12_05.xlsx&amp;sheet=U0&amp;row=3351&amp;col=6&amp;number=3.7&amp;sourceID=14","3.7")</f>
        <v>3.7</v>
      </c>
      <c r="G3351" s="4" t="str">
        <f>HYPERLINK("http://141.218.60.56/~jnz1568/getInfo.php?workbook=12_05.xlsx&amp;sheet=U0&amp;row=3351&amp;col=7&amp;number=0.00746&amp;sourceID=14","0.00746")</f>
        <v>0.00746</v>
      </c>
    </row>
    <row r="3352" spans="1:7">
      <c r="A3352" s="3"/>
      <c r="B3352" s="3"/>
      <c r="C3352" s="3"/>
      <c r="D3352" s="3"/>
      <c r="E3352" s="3">
        <v>9</v>
      </c>
      <c r="F3352" s="4" t="str">
        <f>HYPERLINK("http://141.218.60.56/~jnz1568/getInfo.php?workbook=12_05.xlsx&amp;sheet=U0&amp;row=3352&amp;col=6&amp;number=3.8&amp;sourceID=14","3.8")</f>
        <v>3.8</v>
      </c>
      <c r="G3352" s="4" t="str">
        <f>HYPERLINK("http://141.218.60.56/~jnz1568/getInfo.php?workbook=12_05.xlsx&amp;sheet=U0&amp;row=3352&amp;col=7&amp;number=0.00748&amp;sourceID=14","0.00748")</f>
        <v>0.00748</v>
      </c>
    </row>
    <row r="3353" spans="1:7">
      <c r="A3353" s="3"/>
      <c r="B3353" s="3"/>
      <c r="C3353" s="3"/>
      <c r="D3353" s="3"/>
      <c r="E3353" s="3">
        <v>10</v>
      </c>
      <c r="F3353" s="4" t="str">
        <f>HYPERLINK("http://141.218.60.56/~jnz1568/getInfo.php?workbook=12_05.xlsx&amp;sheet=U0&amp;row=3353&amp;col=6&amp;number=3.9&amp;sourceID=14","3.9")</f>
        <v>3.9</v>
      </c>
      <c r="G3353" s="4" t="str">
        <f>HYPERLINK("http://141.218.60.56/~jnz1568/getInfo.php?workbook=12_05.xlsx&amp;sheet=U0&amp;row=3353&amp;col=7&amp;number=0.00751&amp;sourceID=14","0.00751")</f>
        <v>0.00751</v>
      </c>
    </row>
    <row r="3354" spans="1:7">
      <c r="A3354" s="3"/>
      <c r="B3354" s="3"/>
      <c r="C3354" s="3"/>
      <c r="D3354" s="3"/>
      <c r="E3354" s="3">
        <v>11</v>
      </c>
      <c r="F3354" s="4" t="str">
        <f>HYPERLINK("http://141.218.60.56/~jnz1568/getInfo.php?workbook=12_05.xlsx&amp;sheet=U0&amp;row=3354&amp;col=6&amp;number=4&amp;sourceID=14","4")</f>
        <v>4</v>
      </c>
      <c r="G3354" s="4" t="str">
        <f>HYPERLINK("http://141.218.60.56/~jnz1568/getInfo.php?workbook=12_05.xlsx&amp;sheet=U0&amp;row=3354&amp;col=7&amp;number=0.00754&amp;sourceID=14","0.00754")</f>
        <v>0.00754</v>
      </c>
    </row>
    <row r="3355" spans="1:7">
      <c r="A3355" s="3"/>
      <c r="B3355" s="3"/>
      <c r="C3355" s="3"/>
      <c r="D3355" s="3"/>
      <c r="E3355" s="3">
        <v>12</v>
      </c>
      <c r="F3355" s="4" t="str">
        <f>HYPERLINK("http://141.218.60.56/~jnz1568/getInfo.php?workbook=12_05.xlsx&amp;sheet=U0&amp;row=3355&amp;col=6&amp;number=4.1&amp;sourceID=14","4.1")</f>
        <v>4.1</v>
      </c>
      <c r="G3355" s="4" t="str">
        <f>HYPERLINK("http://141.218.60.56/~jnz1568/getInfo.php?workbook=12_05.xlsx&amp;sheet=U0&amp;row=3355&amp;col=7&amp;number=0.00759&amp;sourceID=14","0.00759")</f>
        <v>0.00759</v>
      </c>
    </row>
    <row r="3356" spans="1:7">
      <c r="A3356" s="3"/>
      <c r="B3356" s="3"/>
      <c r="C3356" s="3"/>
      <c r="D3356" s="3"/>
      <c r="E3356" s="3">
        <v>13</v>
      </c>
      <c r="F3356" s="4" t="str">
        <f>HYPERLINK("http://141.218.60.56/~jnz1568/getInfo.php?workbook=12_05.xlsx&amp;sheet=U0&amp;row=3356&amp;col=6&amp;number=4.2&amp;sourceID=14","4.2")</f>
        <v>4.2</v>
      </c>
      <c r="G3356" s="4" t="str">
        <f>HYPERLINK("http://141.218.60.56/~jnz1568/getInfo.php?workbook=12_05.xlsx&amp;sheet=U0&amp;row=3356&amp;col=7&amp;number=0.00764&amp;sourceID=14","0.00764")</f>
        <v>0.00764</v>
      </c>
    </row>
    <row r="3357" spans="1:7">
      <c r="A3357" s="3"/>
      <c r="B3357" s="3"/>
      <c r="C3357" s="3"/>
      <c r="D3357" s="3"/>
      <c r="E3357" s="3">
        <v>14</v>
      </c>
      <c r="F3357" s="4" t="str">
        <f>HYPERLINK("http://141.218.60.56/~jnz1568/getInfo.php?workbook=12_05.xlsx&amp;sheet=U0&amp;row=3357&amp;col=6&amp;number=4.3&amp;sourceID=14","4.3")</f>
        <v>4.3</v>
      </c>
      <c r="G3357" s="4" t="str">
        <f>HYPERLINK("http://141.218.60.56/~jnz1568/getInfo.php?workbook=12_05.xlsx&amp;sheet=U0&amp;row=3357&amp;col=7&amp;number=0.00771&amp;sourceID=14","0.00771")</f>
        <v>0.00771</v>
      </c>
    </row>
    <row r="3358" spans="1:7">
      <c r="A3358" s="3"/>
      <c r="B3358" s="3"/>
      <c r="C3358" s="3"/>
      <c r="D3358" s="3"/>
      <c r="E3358" s="3">
        <v>15</v>
      </c>
      <c r="F3358" s="4" t="str">
        <f>HYPERLINK("http://141.218.60.56/~jnz1568/getInfo.php?workbook=12_05.xlsx&amp;sheet=U0&amp;row=3358&amp;col=6&amp;number=4.4&amp;sourceID=14","4.4")</f>
        <v>4.4</v>
      </c>
      <c r="G3358" s="4" t="str">
        <f>HYPERLINK("http://141.218.60.56/~jnz1568/getInfo.php?workbook=12_05.xlsx&amp;sheet=U0&amp;row=3358&amp;col=7&amp;number=0.0078&amp;sourceID=14","0.0078")</f>
        <v>0.0078</v>
      </c>
    </row>
    <row r="3359" spans="1:7">
      <c r="A3359" s="3"/>
      <c r="B3359" s="3"/>
      <c r="C3359" s="3"/>
      <c r="D3359" s="3"/>
      <c r="E3359" s="3">
        <v>16</v>
      </c>
      <c r="F3359" s="4" t="str">
        <f>HYPERLINK("http://141.218.60.56/~jnz1568/getInfo.php?workbook=12_05.xlsx&amp;sheet=U0&amp;row=3359&amp;col=6&amp;number=4.5&amp;sourceID=14","4.5")</f>
        <v>4.5</v>
      </c>
      <c r="G3359" s="4" t="str">
        <f>HYPERLINK("http://141.218.60.56/~jnz1568/getInfo.php?workbook=12_05.xlsx&amp;sheet=U0&amp;row=3359&amp;col=7&amp;number=0.00791&amp;sourceID=14","0.00791")</f>
        <v>0.00791</v>
      </c>
    </row>
    <row r="3360" spans="1:7">
      <c r="A3360" s="3"/>
      <c r="B3360" s="3"/>
      <c r="C3360" s="3"/>
      <c r="D3360" s="3"/>
      <c r="E3360" s="3">
        <v>17</v>
      </c>
      <c r="F3360" s="4" t="str">
        <f>HYPERLINK("http://141.218.60.56/~jnz1568/getInfo.php?workbook=12_05.xlsx&amp;sheet=U0&amp;row=3360&amp;col=6&amp;number=4.6&amp;sourceID=14","4.6")</f>
        <v>4.6</v>
      </c>
      <c r="G3360" s="4" t="str">
        <f>HYPERLINK("http://141.218.60.56/~jnz1568/getInfo.php?workbook=12_05.xlsx&amp;sheet=U0&amp;row=3360&amp;col=7&amp;number=0.00804&amp;sourceID=14","0.00804")</f>
        <v>0.00804</v>
      </c>
    </row>
    <row r="3361" spans="1:7">
      <c r="A3361" s="3"/>
      <c r="B3361" s="3"/>
      <c r="C3361" s="3"/>
      <c r="D3361" s="3"/>
      <c r="E3361" s="3">
        <v>18</v>
      </c>
      <c r="F3361" s="4" t="str">
        <f>HYPERLINK("http://141.218.60.56/~jnz1568/getInfo.php?workbook=12_05.xlsx&amp;sheet=U0&amp;row=3361&amp;col=6&amp;number=4.7&amp;sourceID=14","4.7")</f>
        <v>4.7</v>
      </c>
      <c r="G3361" s="4" t="str">
        <f>HYPERLINK("http://141.218.60.56/~jnz1568/getInfo.php?workbook=12_05.xlsx&amp;sheet=U0&amp;row=3361&amp;col=7&amp;number=0.00821&amp;sourceID=14","0.00821")</f>
        <v>0.00821</v>
      </c>
    </row>
    <row r="3362" spans="1:7">
      <c r="A3362" s="3"/>
      <c r="B3362" s="3"/>
      <c r="C3362" s="3"/>
      <c r="D3362" s="3"/>
      <c r="E3362" s="3">
        <v>19</v>
      </c>
      <c r="F3362" s="4" t="str">
        <f>HYPERLINK("http://141.218.60.56/~jnz1568/getInfo.php?workbook=12_05.xlsx&amp;sheet=U0&amp;row=3362&amp;col=6&amp;number=4.8&amp;sourceID=14","4.8")</f>
        <v>4.8</v>
      </c>
      <c r="G3362" s="4" t="str">
        <f>HYPERLINK("http://141.218.60.56/~jnz1568/getInfo.php?workbook=12_05.xlsx&amp;sheet=U0&amp;row=3362&amp;col=7&amp;number=0.00842&amp;sourceID=14","0.00842")</f>
        <v>0.00842</v>
      </c>
    </row>
    <row r="3363" spans="1:7">
      <c r="A3363" s="3"/>
      <c r="B3363" s="3"/>
      <c r="C3363" s="3"/>
      <c r="D3363" s="3"/>
      <c r="E3363" s="3">
        <v>20</v>
      </c>
      <c r="F3363" s="4" t="str">
        <f>HYPERLINK("http://141.218.60.56/~jnz1568/getInfo.php?workbook=12_05.xlsx&amp;sheet=U0&amp;row=3363&amp;col=6&amp;number=4.9&amp;sourceID=14","4.9")</f>
        <v>4.9</v>
      </c>
      <c r="G3363" s="4" t="str">
        <f>HYPERLINK("http://141.218.60.56/~jnz1568/getInfo.php?workbook=12_05.xlsx&amp;sheet=U0&amp;row=3363&amp;col=7&amp;number=0.00868&amp;sourceID=14","0.00868")</f>
        <v>0.00868</v>
      </c>
    </row>
    <row r="3364" spans="1:7">
      <c r="A3364" s="3">
        <v>12</v>
      </c>
      <c r="B3364" s="3">
        <v>5</v>
      </c>
      <c r="C3364" s="3">
        <v>2</v>
      </c>
      <c r="D3364" s="3">
        <v>21</v>
      </c>
      <c r="E3364" s="3">
        <v>1</v>
      </c>
      <c r="F3364" s="4" t="str">
        <f>HYPERLINK("http://141.218.60.56/~jnz1568/getInfo.php?workbook=12_05.xlsx&amp;sheet=U0&amp;row=3364&amp;col=6&amp;number=3&amp;sourceID=14","3")</f>
        <v>3</v>
      </c>
      <c r="G3364" s="4" t="str">
        <f>HYPERLINK("http://141.218.60.56/~jnz1568/getInfo.php?workbook=12_05.xlsx&amp;sheet=U0&amp;row=3364&amp;col=7&amp;number=0.00252&amp;sourceID=14","0.00252")</f>
        <v>0.00252</v>
      </c>
    </row>
    <row r="3365" spans="1:7">
      <c r="A3365" s="3"/>
      <c r="B3365" s="3"/>
      <c r="C3365" s="3"/>
      <c r="D3365" s="3"/>
      <c r="E3365" s="3">
        <v>2</v>
      </c>
      <c r="F3365" s="4" t="str">
        <f>HYPERLINK("http://141.218.60.56/~jnz1568/getInfo.php?workbook=12_05.xlsx&amp;sheet=U0&amp;row=3365&amp;col=6&amp;number=3.1&amp;sourceID=14","3.1")</f>
        <v>3.1</v>
      </c>
      <c r="G3365" s="4" t="str">
        <f>HYPERLINK("http://141.218.60.56/~jnz1568/getInfo.php?workbook=12_05.xlsx&amp;sheet=U0&amp;row=3365&amp;col=7&amp;number=0.00252&amp;sourceID=14","0.00252")</f>
        <v>0.00252</v>
      </c>
    </row>
    <row r="3366" spans="1:7">
      <c r="A3366" s="3"/>
      <c r="B3366" s="3"/>
      <c r="C3366" s="3"/>
      <c r="D3366" s="3"/>
      <c r="E3366" s="3">
        <v>3</v>
      </c>
      <c r="F3366" s="4" t="str">
        <f>HYPERLINK("http://141.218.60.56/~jnz1568/getInfo.php?workbook=12_05.xlsx&amp;sheet=U0&amp;row=3366&amp;col=6&amp;number=3.2&amp;sourceID=14","3.2")</f>
        <v>3.2</v>
      </c>
      <c r="G3366" s="4" t="str">
        <f>HYPERLINK("http://141.218.60.56/~jnz1568/getInfo.php?workbook=12_05.xlsx&amp;sheet=U0&amp;row=3366&amp;col=7&amp;number=0.00252&amp;sourceID=14","0.00252")</f>
        <v>0.00252</v>
      </c>
    </row>
    <row r="3367" spans="1:7">
      <c r="A3367" s="3"/>
      <c r="B3367" s="3"/>
      <c r="C3367" s="3"/>
      <c r="D3367" s="3"/>
      <c r="E3367" s="3">
        <v>4</v>
      </c>
      <c r="F3367" s="4" t="str">
        <f>HYPERLINK("http://141.218.60.56/~jnz1568/getInfo.php?workbook=12_05.xlsx&amp;sheet=U0&amp;row=3367&amp;col=6&amp;number=3.3&amp;sourceID=14","3.3")</f>
        <v>3.3</v>
      </c>
      <c r="G3367" s="4" t="str">
        <f>HYPERLINK("http://141.218.60.56/~jnz1568/getInfo.php?workbook=12_05.xlsx&amp;sheet=U0&amp;row=3367&amp;col=7&amp;number=0.00252&amp;sourceID=14","0.00252")</f>
        <v>0.00252</v>
      </c>
    </row>
    <row r="3368" spans="1:7">
      <c r="A3368" s="3"/>
      <c r="B3368" s="3"/>
      <c r="C3368" s="3"/>
      <c r="D3368" s="3"/>
      <c r="E3368" s="3">
        <v>5</v>
      </c>
      <c r="F3368" s="4" t="str">
        <f>HYPERLINK("http://141.218.60.56/~jnz1568/getInfo.php?workbook=12_05.xlsx&amp;sheet=U0&amp;row=3368&amp;col=6&amp;number=3.4&amp;sourceID=14","3.4")</f>
        <v>3.4</v>
      </c>
      <c r="G3368" s="4" t="str">
        <f>HYPERLINK("http://141.218.60.56/~jnz1568/getInfo.php?workbook=12_05.xlsx&amp;sheet=U0&amp;row=3368&amp;col=7&amp;number=0.00252&amp;sourceID=14","0.00252")</f>
        <v>0.00252</v>
      </c>
    </row>
    <row r="3369" spans="1:7">
      <c r="A3369" s="3"/>
      <c r="B3369" s="3"/>
      <c r="C3369" s="3"/>
      <c r="D3369" s="3"/>
      <c r="E3369" s="3">
        <v>6</v>
      </c>
      <c r="F3369" s="4" t="str">
        <f>HYPERLINK("http://141.218.60.56/~jnz1568/getInfo.php?workbook=12_05.xlsx&amp;sheet=U0&amp;row=3369&amp;col=6&amp;number=3.5&amp;sourceID=14","3.5")</f>
        <v>3.5</v>
      </c>
      <c r="G3369" s="4" t="str">
        <f>HYPERLINK("http://141.218.60.56/~jnz1568/getInfo.php?workbook=12_05.xlsx&amp;sheet=U0&amp;row=3369&amp;col=7&amp;number=0.00253&amp;sourceID=14","0.00253")</f>
        <v>0.00253</v>
      </c>
    </row>
    <row r="3370" spans="1:7">
      <c r="A3370" s="3"/>
      <c r="B3370" s="3"/>
      <c r="C3370" s="3"/>
      <c r="D3370" s="3"/>
      <c r="E3370" s="3">
        <v>7</v>
      </c>
      <c r="F3370" s="4" t="str">
        <f>HYPERLINK("http://141.218.60.56/~jnz1568/getInfo.php?workbook=12_05.xlsx&amp;sheet=U0&amp;row=3370&amp;col=6&amp;number=3.6&amp;sourceID=14","3.6")</f>
        <v>3.6</v>
      </c>
      <c r="G3370" s="4" t="str">
        <f>HYPERLINK("http://141.218.60.56/~jnz1568/getInfo.php?workbook=12_05.xlsx&amp;sheet=U0&amp;row=3370&amp;col=7&amp;number=0.00253&amp;sourceID=14","0.00253")</f>
        <v>0.00253</v>
      </c>
    </row>
    <row r="3371" spans="1:7">
      <c r="A3371" s="3"/>
      <c r="B3371" s="3"/>
      <c r="C3371" s="3"/>
      <c r="D3371" s="3"/>
      <c r="E3371" s="3">
        <v>8</v>
      </c>
      <c r="F3371" s="4" t="str">
        <f>HYPERLINK("http://141.218.60.56/~jnz1568/getInfo.php?workbook=12_05.xlsx&amp;sheet=U0&amp;row=3371&amp;col=6&amp;number=3.7&amp;sourceID=14","3.7")</f>
        <v>3.7</v>
      </c>
      <c r="G3371" s="4" t="str">
        <f>HYPERLINK("http://141.218.60.56/~jnz1568/getInfo.php?workbook=12_05.xlsx&amp;sheet=U0&amp;row=3371&amp;col=7&amp;number=0.00253&amp;sourceID=14","0.00253")</f>
        <v>0.00253</v>
      </c>
    </row>
    <row r="3372" spans="1:7">
      <c r="A3372" s="3"/>
      <c r="B3372" s="3"/>
      <c r="C3372" s="3"/>
      <c r="D3372" s="3"/>
      <c r="E3372" s="3">
        <v>9</v>
      </c>
      <c r="F3372" s="4" t="str">
        <f>HYPERLINK("http://141.218.60.56/~jnz1568/getInfo.php?workbook=12_05.xlsx&amp;sheet=U0&amp;row=3372&amp;col=6&amp;number=3.8&amp;sourceID=14","3.8")</f>
        <v>3.8</v>
      </c>
      <c r="G3372" s="4" t="str">
        <f>HYPERLINK("http://141.218.60.56/~jnz1568/getInfo.php?workbook=12_05.xlsx&amp;sheet=U0&amp;row=3372&amp;col=7&amp;number=0.00253&amp;sourceID=14","0.00253")</f>
        <v>0.00253</v>
      </c>
    </row>
    <row r="3373" spans="1:7">
      <c r="A3373" s="3"/>
      <c r="B3373" s="3"/>
      <c r="C3373" s="3"/>
      <c r="D3373" s="3"/>
      <c r="E3373" s="3">
        <v>10</v>
      </c>
      <c r="F3373" s="4" t="str">
        <f>HYPERLINK("http://141.218.60.56/~jnz1568/getInfo.php?workbook=12_05.xlsx&amp;sheet=U0&amp;row=3373&amp;col=6&amp;number=3.9&amp;sourceID=14","3.9")</f>
        <v>3.9</v>
      </c>
      <c r="G3373" s="4" t="str">
        <f>HYPERLINK("http://141.218.60.56/~jnz1568/getInfo.php?workbook=12_05.xlsx&amp;sheet=U0&amp;row=3373&amp;col=7&amp;number=0.00253&amp;sourceID=14","0.00253")</f>
        <v>0.00253</v>
      </c>
    </row>
    <row r="3374" spans="1:7">
      <c r="A3374" s="3"/>
      <c r="B3374" s="3"/>
      <c r="C3374" s="3"/>
      <c r="D3374" s="3"/>
      <c r="E3374" s="3">
        <v>11</v>
      </c>
      <c r="F3374" s="4" t="str">
        <f>HYPERLINK("http://141.218.60.56/~jnz1568/getInfo.php?workbook=12_05.xlsx&amp;sheet=U0&amp;row=3374&amp;col=6&amp;number=4&amp;sourceID=14","4")</f>
        <v>4</v>
      </c>
      <c r="G3374" s="4" t="str">
        <f>HYPERLINK("http://141.218.60.56/~jnz1568/getInfo.php?workbook=12_05.xlsx&amp;sheet=U0&amp;row=3374&amp;col=7&amp;number=0.00253&amp;sourceID=14","0.00253")</f>
        <v>0.00253</v>
      </c>
    </row>
    <row r="3375" spans="1:7">
      <c r="A3375" s="3"/>
      <c r="B3375" s="3"/>
      <c r="C3375" s="3"/>
      <c r="D3375" s="3"/>
      <c r="E3375" s="3">
        <v>12</v>
      </c>
      <c r="F3375" s="4" t="str">
        <f>HYPERLINK("http://141.218.60.56/~jnz1568/getInfo.php?workbook=12_05.xlsx&amp;sheet=U0&amp;row=3375&amp;col=6&amp;number=4.1&amp;sourceID=14","4.1")</f>
        <v>4.1</v>
      </c>
      <c r="G3375" s="4" t="str">
        <f>HYPERLINK("http://141.218.60.56/~jnz1568/getInfo.php?workbook=12_05.xlsx&amp;sheet=U0&amp;row=3375&amp;col=7&amp;number=0.00253&amp;sourceID=14","0.00253")</f>
        <v>0.00253</v>
      </c>
    </row>
    <row r="3376" spans="1:7">
      <c r="A3376" s="3"/>
      <c r="B3376" s="3"/>
      <c r="C3376" s="3"/>
      <c r="D3376" s="3"/>
      <c r="E3376" s="3">
        <v>13</v>
      </c>
      <c r="F3376" s="4" t="str">
        <f>HYPERLINK("http://141.218.60.56/~jnz1568/getInfo.php?workbook=12_05.xlsx&amp;sheet=U0&amp;row=3376&amp;col=6&amp;number=4.2&amp;sourceID=14","4.2")</f>
        <v>4.2</v>
      </c>
      <c r="G3376" s="4" t="str">
        <f>HYPERLINK("http://141.218.60.56/~jnz1568/getInfo.php?workbook=12_05.xlsx&amp;sheet=U0&amp;row=3376&amp;col=7&amp;number=0.00254&amp;sourceID=14","0.00254")</f>
        <v>0.00254</v>
      </c>
    </row>
    <row r="3377" spans="1:7">
      <c r="A3377" s="3"/>
      <c r="B3377" s="3"/>
      <c r="C3377" s="3"/>
      <c r="D3377" s="3"/>
      <c r="E3377" s="3">
        <v>14</v>
      </c>
      <c r="F3377" s="4" t="str">
        <f>HYPERLINK("http://141.218.60.56/~jnz1568/getInfo.php?workbook=12_05.xlsx&amp;sheet=U0&amp;row=3377&amp;col=6&amp;number=4.3&amp;sourceID=14","4.3")</f>
        <v>4.3</v>
      </c>
      <c r="G3377" s="4" t="str">
        <f>HYPERLINK("http://141.218.60.56/~jnz1568/getInfo.php?workbook=12_05.xlsx&amp;sheet=U0&amp;row=3377&amp;col=7&amp;number=0.00254&amp;sourceID=14","0.00254")</f>
        <v>0.00254</v>
      </c>
    </row>
    <row r="3378" spans="1:7">
      <c r="A3378" s="3"/>
      <c r="B3378" s="3"/>
      <c r="C3378" s="3"/>
      <c r="D3378" s="3"/>
      <c r="E3378" s="3">
        <v>15</v>
      </c>
      <c r="F3378" s="4" t="str">
        <f>HYPERLINK("http://141.218.60.56/~jnz1568/getInfo.php?workbook=12_05.xlsx&amp;sheet=U0&amp;row=3378&amp;col=6&amp;number=4.4&amp;sourceID=14","4.4")</f>
        <v>4.4</v>
      </c>
      <c r="G3378" s="4" t="str">
        <f>HYPERLINK("http://141.218.60.56/~jnz1568/getInfo.php?workbook=12_05.xlsx&amp;sheet=U0&amp;row=3378&amp;col=7&amp;number=0.00255&amp;sourceID=14","0.00255")</f>
        <v>0.00255</v>
      </c>
    </row>
    <row r="3379" spans="1:7">
      <c r="A3379" s="3"/>
      <c r="B3379" s="3"/>
      <c r="C3379" s="3"/>
      <c r="D3379" s="3"/>
      <c r="E3379" s="3">
        <v>16</v>
      </c>
      <c r="F3379" s="4" t="str">
        <f>HYPERLINK("http://141.218.60.56/~jnz1568/getInfo.php?workbook=12_05.xlsx&amp;sheet=U0&amp;row=3379&amp;col=6&amp;number=4.5&amp;sourceID=14","4.5")</f>
        <v>4.5</v>
      </c>
      <c r="G3379" s="4" t="str">
        <f>HYPERLINK("http://141.218.60.56/~jnz1568/getInfo.php?workbook=12_05.xlsx&amp;sheet=U0&amp;row=3379&amp;col=7&amp;number=0.00255&amp;sourceID=14","0.00255")</f>
        <v>0.00255</v>
      </c>
    </row>
    <row r="3380" spans="1:7">
      <c r="A3380" s="3"/>
      <c r="B3380" s="3"/>
      <c r="C3380" s="3"/>
      <c r="D3380" s="3"/>
      <c r="E3380" s="3">
        <v>17</v>
      </c>
      <c r="F3380" s="4" t="str">
        <f>HYPERLINK("http://141.218.60.56/~jnz1568/getInfo.php?workbook=12_05.xlsx&amp;sheet=U0&amp;row=3380&amp;col=6&amp;number=4.6&amp;sourceID=14","4.6")</f>
        <v>4.6</v>
      </c>
      <c r="G3380" s="4" t="str">
        <f>HYPERLINK("http://141.218.60.56/~jnz1568/getInfo.php?workbook=12_05.xlsx&amp;sheet=U0&amp;row=3380&amp;col=7&amp;number=0.00256&amp;sourceID=14","0.00256")</f>
        <v>0.00256</v>
      </c>
    </row>
    <row r="3381" spans="1:7">
      <c r="A3381" s="3"/>
      <c r="B3381" s="3"/>
      <c r="C3381" s="3"/>
      <c r="D3381" s="3"/>
      <c r="E3381" s="3">
        <v>18</v>
      </c>
      <c r="F3381" s="4" t="str">
        <f>HYPERLINK("http://141.218.60.56/~jnz1568/getInfo.php?workbook=12_05.xlsx&amp;sheet=U0&amp;row=3381&amp;col=6&amp;number=4.7&amp;sourceID=14","4.7")</f>
        <v>4.7</v>
      </c>
      <c r="G3381" s="4" t="str">
        <f>HYPERLINK("http://141.218.60.56/~jnz1568/getInfo.php?workbook=12_05.xlsx&amp;sheet=U0&amp;row=3381&amp;col=7&amp;number=0.00257&amp;sourceID=14","0.00257")</f>
        <v>0.00257</v>
      </c>
    </row>
    <row r="3382" spans="1:7">
      <c r="A3382" s="3"/>
      <c r="B3382" s="3"/>
      <c r="C3382" s="3"/>
      <c r="D3382" s="3"/>
      <c r="E3382" s="3">
        <v>19</v>
      </c>
      <c r="F3382" s="4" t="str">
        <f>HYPERLINK("http://141.218.60.56/~jnz1568/getInfo.php?workbook=12_05.xlsx&amp;sheet=U0&amp;row=3382&amp;col=6&amp;number=4.8&amp;sourceID=14","4.8")</f>
        <v>4.8</v>
      </c>
      <c r="G3382" s="4" t="str">
        <f>HYPERLINK("http://141.218.60.56/~jnz1568/getInfo.php?workbook=12_05.xlsx&amp;sheet=U0&amp;row=3382&amp;col=7&amp;number=0.00258&amp;sourceID=14","0.00258")</f>
        <v>0.00258</v>
      </c>
    </row>
    <row r="3383" spans="1:7">
      <c r="A3383" s="3"/>
      <c r="B3383" s="3"/>
      <c r="C3383" s="3"/>
      <c r="D3383" s="3"/>
      <c r="E3383" s="3">
        <v>20</v>
      </c>
      <c r="F3383" s="4" t="str">
        <f>HYPERLINK("http://141.218.60.56/~jnz1568/getInfo.php?workbook=12_05.xlsx&amp;sheet=U0&amp;row=3383&amp;col=6&amp;number=4.9&amp;sourceID=14","4.9")</f>
        <v>4.9</v>
      </c>
      <c r="G3383" s="4" t="str">
        <f>HYPERLINK("http://141.218.60.56/~jnz1568/getInfo.php?workbook=12_05.xlsx&amp;sheet=U0&amp;row=3383&amp;col=7&amp;number=0.0026&amp;sourceID=14","0.0026")</f>
        <v>0.0026</v>
      </c>
    </row>
    <row r="3384" spans="1:7">
      <c r="A3384" s="3">
        <v>12</v>
      </c>
      <c r="B3384" s="3">
        <v>5</v>
      </c>
      <c r="C3384" s="3">
        <v>2</v>
      </c>
      <c r="D3384" s="3">
        <v>22</v>
      </c>
      <c r="E3384" s="3">
        <v>1</v>
      </c>
      <c r="F3384" s="4" t="str">
        <f>HYPERLINK("http://141.218.60.56/~jnz1568/getInfo.php?workbook=12_05.xlsx&amp;sheet=U0&amp;row=3384&amp;col=6&amp;number=3&amp;sourceID=14","3")</f>
        <v>3</v>
      </c>
      <c r="G3384" s="4" t="str">
        <f>HYPERLINK("http://141.218.60.56/~jnz1568/getInfo.php?workbook=12_05.xlsx&amp;sheet=U0&amp;row=3384&amp;col=7&amp;number=0.00231&amp;sourceID=14","0.00231")</f>
        <v>0.00231</v>
      </c>
    </row>
    <row r="3385" spans="1:7">
      <c r="A3385" s="3"/>
      <c r="B3385" s="3"/>
      <c r="C3385" s="3"/>
      <c r="D3385" s="3"/>
      <c r="E3385" s="3">
        <v>2</v>
      </c>
      <c r="F3385" s="4" t="str">
        <f>HYPERLINK("http://141.218.60.56/~jnz1568/getInfo.php?workbook=12_05.xlsx&amp;sheet=U0&amp;row=3385&amp;col=6&amp;number=3.1&amp;sourceID=14","3.1")</f>
        <v>3.1</v>
      </c>
      <c r="G3385" s="4" t="str">
        <f>HYPERLINK("http://141.218.60.56/~jnz1568/getInfo.php?workbook=12_05.xlsx&amp;sheet=U0&amp;row=3385&amp;col=7&amp;number=0.00231&amp;sourceID=14","0.00231")</f>
        <v>0.00231</v>
      </c>
    </row>
    <row r="3386" spans="1:7">
      <c r="A3386" s="3"/>
      <c r="B3386" s="3"/>
      <c r="C3386" s="3"/>
      <c r="D3386" s="3"/>
      <c r="E3386" s="3">
        <v>3</v>
      </c>
      <c r="F3386" s="4" t="str">
        <f>HYPERLINK("http://141.218.60.56/~jnz1568/getInfo.php?workbook=12_05.xlsx&amp;sheet=U0&amp;row=3386&amp;col=6&amp;number=3.2&amp;sourceID=14","3.2")</f>
        <v>3.2</v>
      </c>
      <c r="G3386" s="4" t="str">
        <f>HYPERLINK("http://141.218.60.56/~jnz1568/getInfo.php?workbook=12_05.xlsx&amp;sheet=U0&amp;row=3386&amp;col=7&amp;number=0.00231&amp;sourceID=14","0.00231")</f>
        <v>0.00231</v>
      </c>
    </row>
    <row r="3387" spans="1:7">
      <c r="A3387" s="3"/>
      <c r="B3387" s="3"/>
      <c r="C3387" s="3"/>
      <c r="D3387" s="3"/>
      <c r="E3387" s="3">
        <v>4</v>
      </c>
      <c r="F3387" s="4" t="str">
        <f>HYPERLINK("http://141.218.60.56/~jnz1568/getInfo.php?workbook=12_05.xlsx&amp;sheet=U0&amp;row=3387&amp;col=6&amp;number=3.3&amp;sourceID=14","3.3")</f>
        <v>3.3</v>
      </c>
      <c r="G3387" s="4" t="str">
        <f>HYPERLINK("http://141.218.60.56/~jnz1568/getInfo.php?workbook=12_05.xlsx&amp;sheet=U0&amp;row=3387&amp;col=7&amp;number=0.00231&amp;sourceID=14","0.00231")</f>
        <v>0.00231</v>
      </c>
    </row>
    <row r="3388" spans="1:7">
      <c r="A3388" s="3"/>
      <c r="B3388" s="3"/>
      <c r="C3388" s="3"/>
      <c r="D3388" s="3"/>
      <c r="E3388" s="3">
        <v>5</v>
      </c>
      <c r="F3388" s="4" t="str">
        <f>HYPERLINK("http://141.218.60.56/~jnz1568/getInfo.php?workbook=12_05.xlsx&amp;sheet=U0&amp;row=3388&amp;col=6&amp;number=3.4&amp;sourceID=14","3.4")</f>
        <v>3.4</v>
      </c>
      <c r="G3388" s="4" t="str">
        <f>HYPERLINK("http://141.218.60.56/~jnz1568/getInfo.php?workbook=12_05.xlsx&amp;sheet=U0&amp;row=3388&amp;col=7&amp;number=0.00231&amp;sourceID=14","0.00231")</f>
        <v>0.00231</v>
      </c>
    </row>
    <row r="3389" spans="1:7">
      <c r="A3389" s="3"/>
      <c r="B3389" s="3"/>
      <c r="C3389" s="3"/>
      <c r="D3389" s="3"/>
      <c r="E3389" s="3">
        <v>6</v>
      </c>
      <c r="F3389" s="4" t="str">
        <f>HYPERLINK("http://141.218.60.56/~jnz1568/getInfo.php?workbook=12_05.xlsx&amp;sheet=U0&amp;row=3389&amp;col=6&amp;number=3.5&amp;sourceID=14","3.5")</f>
        <v>3.5</v>
      </c>
      <c r="G3389" s="4" t="str">
        <f>HYPERLINK("http://141.218.60.56/~jnz1568/getInfo.php?workbook=12_05.xlsx&amp;sheet=U0&amp;row=3389&amp;col=7&amp;number=0.00231&amp;sourceID=14","0.00231")</f>
        <v>0.00231</v>
      </c>
    </row>
    <row r="3390" spans="1:7">
      <c r="A3390" s="3"/>
      <c r="B3390" s="3"/>
      <c r="C3390" s="3"/>
      <c r="D3390" s="3"/>
      <c r="E3390" s="3">
        <v>7</v>
      </c>
      <c r="F3390" s="4" t="str">
        <f>HYPERLINK("http://141.218.60.56/~jnz1568/getInfo.php?workbook=12_05.xlsx&amp;sheet=U0&amp;row=3390&amp;col=6&amp;number=3.6&amp;sourceID=14","3.6")</f>
        <v>3.6</v>
      </c>
      <c r="G3390" s="4" t="str">
        <f>HYPERLINK("http://141.218.60.56/~jnz1568/getInfo.php?workbook=12_05.xlsx&amp;sheet=U0&amp;row=3390&amp;col=7&amp;number=0.00231&amp;sourceID=14","0.00231")</f>
        <v>0.00231</v>
      </c>
    </row>
    <row r="3391" spans="1:7">
      <c r="A3391" s="3"/>
      <c r="B3391" s="3"/>
      <c r="C3391" s="3"/>
      <c r="D3391" s="3"/>
      <c r="E3391" s="3">
        <v>8</v>
      </c>
      <c r="F3391" s="4" t="str">
        <f>HYPERLINK("http://141.218.60.56/~jnz1568/getInfo.php?workbook=12_05.xlsx&amp;sheet=U0&amp;row=3391&amp;col=6&amp;number=3.7&amp;sourceID=14","3.7")</f>
        <v>3.7</v>
      </c>
      <c r="G3391" s="4" t="str">
        <f>HYPERLINK("http://141.218.60.56/~jnz1568/getInfo.php?workbook=12_05.xlsx&amp;sheet=U0&amp;row=3391&amp;col=7&amp;number=0.00231&amp;sourceID=14","0.00231")</f>
        <v>0.00231</v>
      </c>
    </row>
    <row r="3392" spans="1:7">
      <c r="A3392" s="3"/>
      <c r="B3392" s="3"/>
      <c r="C3392" s="3"/>
      <c r="D3392" s="3"/>
      <c r="E3392" s="3">
        <v>9</v>
      </c>
      <c r="F3392" s="4" t="str">
        <f>HYPERLINK("http://141.218.60.56/~jnz1568/getInfo.php?workbook=12_05.xlsx&amp;sheet=U0&amp;row=3392&amp;col=6&amp;number=3.8&amp;sourceID=14","3.8")</f>
        <v>3.8</v>
      </c>
      <c r="G3392" s="4" t="str">
        <f>HYPERLINK("http://141.218.60.56/~jnz1568/getInfo.php?workbook=12_05.xlsx&amp;sheet=U0&amp;row=3392&amp;col=7&amp;number=0.00231&amp;sourceID=14","0.00231")</f>
        <v>0.00231</v>
      </c>
    </row>
    <row r="3393" spans="1:7">
      <c r="A3393" s="3"/>
      <c r="B3393" s="3"/>
      <c r="C3393" s="3"/>
      <c r="D3393" s="3"/>
      <c r="E3393" s="3">
        <v>10</v>
      </c>
      <c r="F3393" s="4" t="str">
        <f>HYPERLINK("http://141.218.60.56/~jnz1568/getInfo.php?workbook=12_05.xlsx&amp;sheet=U0&amp;row=3393&amp;col=6&amp;number=3.9&amp;sourceID=14","3.9")</f>
        <v>3.9</v>
      </c>
      <c r="G3393" s="4" t="str">
        <f>HYPERLINK("http://141.218.60.56/~jnz1568/getInfo.php?workbook=12_05.xlsx&amp;sheet=U0&amp;row=3393&amp;col=7&amp;number=0.00231&amp;sourceID=14","0.00231")</f>
        <v>0.00231</v>
      </c>
    </row>
    <row r="3394" spans="1:7">
      <c r="A3394" s="3"/>
      <c r="B3394" s="3"/>
      <c r="C3394" s="3"/>
      <c r="D3394" s="3"/>
      <c r="E3394" s="3">
        <v>11</v>
      </c>
      <c r="F3394" s="4" t="str">
        <f>HYPERLINK("http://141.218.60.56/~jnz1568/getInfo.php?workbook=12_05.xlsx&amp;sheet=U0&amp;row=3394&amp;col=6&amp;number=4&amp;sourceID=14","4")</f>
        <v>4</v>
      </c>
      <c r="G3394" s="4" t="str">
        <f>HYPERLINK("http://141.218.60.56/~jnz1568/getInfo.php?workbook=12_05.xlsx&amp;sheet=U0&amp;row=3394&amp;col=7&amp;number=0.00231&amp;sourceID=14","0.00231")</f>
        <v>0.00231</v>
      </c>
    </row>
    <row r="3395" spans="1:7">
      <c r="A3395" s="3"/>
      <c r="B3395" s="3"/>
      <c r="C3395" s="3"/>
      <c r="D3395" s="3"/>
      <c r="E3395" s="3">
        <v>12</v>
      </c>
      <c r="F3395" s="4" t="str">
        <f>HYPERLINK("http://141.218.60.56/~jnz1568/getInfo.php?workbook=12_05.xlsx&amp;sheet=U0&amp;row=3395&amp;col=6&amp;number=4.1&amp;sourceID=14","4.1")</f>
        <v>4.1</v>
      </c>
      <c r="G3395" s="4" t="str">
        <f>HYPERLINK("http://141.218.60.56/~jnz1568/getInfo.php?workbook=12_05.xlsx&amp;sheet=U0&amp;row=3395&amp;col=7&amp;number=0.00231&amp;sourceID=14","0.00231")</f>
        <v>0.00231</v>
      </c>
    </row>
    <row r="3396" spans="1:7">
      <c r="A3396" s="3"/>
      <c r="B3396" s="3"/>
      <c r="C3396" s="3"/>
      <c r="D3396" s="3"/>
      <c r="E3396" s="3">
        <v>13</v>
      </c>
      <c r="F3396" s="4" t="str">
        <f>HYPERLINK("http://141.218.60.56/~jnz1568/getInfo.php?workbook=12_05.xlsx&amp;sheet=U0&amp;row=3396&amp;col=6&amp;number=4.2&amp;sourceID=14","4.2")</f>
        <v>4.2</v>
      </c>
      <c r="G3396" s="4" t="str">
        <f>HYPERLINK("http://141.218.60.56/~jnz1568/getInfo.php?workbook=12_05.xlsx&amp;sheet=U0&amp;row=3396&amp;col=7&amp;number=0.00231&amp;sourceID=14","0.00231")</f>
        <v>0.00231</v>
      </c>
    </row>
    <row r="3397" spans="1:7">
      <c r="A3397" s="3"/>
      <c r="B3397" s="3"/>
      <c r="C3397" s="3"/>
      <c r="D3397" s="3"/>
      <c r="E3397" s="3">
        <v>14</v>
      </c>
      <c r="F3397" s="4" t="str">
        <f>HYPERLINK("http://141.218.60.56/~jnz1568/getInfo.php?workbook=12_05.xlsx&amp;sheet=U0&amp;row=3397&amp;col=6&amp;number=4.3&amp;sourceID=14","4.3")</f>
        <v>4.3</v>
      </c>
      <c r="G3397" s="4" t="str">
        <f>HYPERLINK("http://141.218.60.56/~jnz1568/getInfo.php?workbook=12_05.xlsx&amp;sheet=U0&amp;row=3397&amp;col=7&amp;number=0.00231&amp;sourceID=14","0.00231")</f>
        <v>0.00231</v>
      </c>
    </row>
    <row r="3398" spans="1:7">
      <c r="A3398" s="3"/>
      <c r="B3398" s="3"/>
      <c r="C3398" s="3"/>
      <c r="D3398" s="3"/>
      <c r="E3398" s="3">
        <v>15</v>
      </c>
      <c r="F3398" s="4" t="str">
        <f>HYPERLINK("http://141.218.60.56/~jnz1568/getInfo.php?workbook=12_05.xlsx&amp;sheet=U0&amp;row=3398&amp;col=6&amp;number=4.4&amp;sourceID=14","4.4")</f>
        <v>4.4</v>
      </c>
      <c r="G3398" s="4" t="str">
        <f>HYPERLINK("http://141.218.60.56/~jnz1568/getInfo.php?workbook=12_05.xlsx&amp;sheet=U0&amp;row=3398&amp;col=7&amp;number=0.00231&amp;sourceID=14","0.00231")</f>
        <v>0.00231</v>
      </c>
    </row>
    <row r="3399" spans="1:7">
      <c r="A3399" s="3"/>
      <c r="B3399" s="3"/>
      <c r="C3399" s="3"/>
      <c r="D3399" s="3"/>
      <c r="E3399" s="3">
        <v>16</v>
      </c>
      <c r="F3399" s="4" t="str">
        <f>HYPERLINK("http://141.218.60.56/~jnz1568/getInfo.php?workbook=12_05.xlsx&amp;sheet=U0&amp;row=3399&amp;col=6&amp;number=4.5&amp;sourceID=14","4.5")</f>
        <v>4.5</v>
      </c>
      <c r="G3399" s="4" t="str">
        <f>HYPERLINK("http://141.218.60.56/~jnz1568/getInfo.php?workbook=12_05.xlsx&amp;sheet=U0&amp;row=3399&amp;col=7&amp;number=0.00231&amp;sourceID=14","0.00231")</f>
        <v>0.00231</v>
      </c>
    </row>
    <row r="3400" spans="1:7">
      <c r="A3400" s="3"/>
      <c r="B3400" s="3"/>
      <c r="C3400" s="3"/>
      <c r="D3400" s="3"/>
      <c r="E3400" s="3">
        <v>17</v>
      </c>
      <c r="F3400" s="4" t="str">
        <f>HYPERLINK("http://141.218.60.56/~jnz1568/getInfo.php?workbook=12_05.xlsx&amp;sheet=U0&amp;row=3400&amp;col=6&amp;number=4.6&amp;sourceID=14","4.6")</f>
        <v>4.6</v>
      </c>
      <c r="G3400" s="4" t="str">
        <f>HYPERLINK("http://141.218.60.56/~jnz1568/getInfo.php?workbook=12_05.xlsx&amp;sheet=U0&amp;row=3400&amp;col=7&amp;number=0.00231&amp;sourceID=14","0.00231")</f>
        <v>0.00231</v>
      </c>
    </row>
    <row r="3401" spans="1:7">
      <c r="A3401" s="3"/>
      <c r="B3401" s="3"/>
      <c r="C3401" s="3"/>
      <c r="D3401" s="3"/>
      <c r="E3401" s="3">
        <v>18</v>
      </c>
      <c r="F3401" s="4" t="str">
        <f>HYPERLINK("http://141.218.60.56/~jnz1568/getInfo.php?workbook=12_05.xlsx&amp;sheet=U0&amp;row=3401&amp;col=6&amp;number=4.7&amp;sourceID=14","4.7")</f>
        <v>4.7</v>
      </c>
      <c r="G3401" s="4" t="str">
        <f>HYPERLINK("http://141.218.60.56/~jnz1568/getInfo.php?workbook=12_05.xlsx&amp;sheet=U0&amp;row=3401&amp;col=7&amp;number=0.00231&amp;sourceID=14","0.00231")</f>
        <v>0.00231</v>
      </c>
    </row>
    <row r="3402" spans="1:7">
      <c r="A3402" s="3"/>
      <c r="B3402" s="3"/>
      <c r="C3402" s="3"/>
      <c r="D3402" s="3"/>
      <c r="E3402" s="3">
        <v>19</v>
      </c>
      <c r="F3402" s="4" t="str">
        <f>HYPERLINK("http://141.218.60.56/~jnz1568/getInfo.php?workbook=12_05.xlsx&amp;sheet=U0&amp;row=3402&amp;col=6&amp;number=4.8&amp;sourceID=14","4.8")</f>
        <v>4.8</v>
      </c>
      <c r="G3402" s="4" t="str">
        <f>HYPERLINK("http://141.218.60.56/~jnz1568/getInfo.php?workbook=12_05.xlsx&amp;sheet=U0&amp;row=3402&amp;col=7&amp;number=0.00231&amp;sourceID=14","0.00231")</f>
        <v>0.00231</v>
      </c>
    </row>
    <row r="3403" spans="1:7">
      <c r="A3403" s="3"/>
      <c r="B3403" s="3"/>
      <c r="C3403" s="3"/>
      <c r="D3403" s="3"/>
      <c r="E3403" s="3">
        <v>20</v>
      </c>
      <c r="F3403" s="4" t="str">
        <f>HYPERLINK("http://141.218.60.56/~jnz1568/getInfo.php?workbook=12_05.xlsx&amp;sheet=U0&amp;row=3403&amp;col=6&amp;number=4.9&amp;sourceID=14","4.9")</f>
        <v>4.9</v>
      </c>
      <c r="G3403" s="4" t="str">
        <f>HYPERLINK("http://141.218.60.56/~jnz1568/getInfo.php?workbook=12_05.xlsx&amp;sheet=U0&amp;row=3403&amp;col=7&amp;number=0.00231&amp;sourceID=14","0.00231")</f>
        <v>0.00231</v>
      </c>
    </row>
    <row r="3404" spans="1:7">
      <c r="A3404" s="3">
        <v>12</v>
      </c>
      <c r="B3404" s="3">
        <v>5</v>
      </c>
      <c r="C3404" s="3">
        <v>2</v>
      </c>
      <c r="D3404" s="3">
        <v>23</v>
      </c>
      <c r="E3404" s="3">
        <v>1</v>
      </c>
      <c r="F3404" s="4" t="str">
        <f>HYPERLINK("http://141.218.60.56/~jnz1568/getInfo.php?workbook=12_05.xlsx&amp;sheet=U0&amp;row=3404&amp;col=6&amp;number=3&amp;sourceID=14","3")</f>
        <v>3</v>
      </c>
      <c r="G3404" s="4" t="str">
        <f>HYPERLINK("http://141.218.60.56/~jnz1568/getInfo.php?workbook=12_05.xlsx&amp;sheet=U0&amp;row=3404&amp;col=7&amp;number=2.8e-05&amp;sourceID=14","2.8e-05")</f>
        <v>2.8e-05</v>
      </c>
    </row>
    <row r="3405" spans="1:7">
      <c r="A3405" s="3"/>
      <c r="B3405" s="3"/>
      <c r="C3405" s="3"/>
      <c r="D3405" s="3"/>
      <c r="E3405" s="3">
        <v>2</v>
      </c>
      <c r="F3405" s="4" t="str">
        <f>HYPERLINK("http://141.218.60.56/~jnz1568/getInfo.php?workbook=12_05.xlsx&amp;sheet=U0&amp;row=3405&amp;col=6&amp;number=3.1&amp;sourceID=14","3.1")</f>
        <v>3.1</v>
      </c>
      <c r="G3405" s="4" t="str">
        <f>HYPERLINK("http://141.218.60.56/~jnz1568/getInfo.php?workbook=12_05.xlsx&amp;sheet=U0&amp;row=3405&amp;col=7&amp;number=2.8e-05&amp;sourceID=14","2.8e-05")</f>
        <v>2.8e-05</v>
      </c>
    </row>
    <row r="3406" spans="1:7">
      <c r="A3406" s="3"/>
      <c r="B3406" s="3"/>
      <c r="C3406" s="3"/>
      <c r="D3406" s="3"/>
      <c r="E3406" s="3">
        <v>3</v>
      </c>
      <c r="F3406" s="4" t="str">
        <f>HYPERLINK("http://141.218.60.56/~jnz1568/getInfo.php?workbook=12_05.xlsx&amp;sheet=U0&amp;row=3406&amp;col=6&amp;number=3.2&amp;sourceID=14","3.2")</f>
        <v>3.2</v>
      </c>
      <c r="G3406" s="4" t="str">
        <f>HYPERLINK("http://141.218.60.56/~jnz1568/getInfo.php?workbook=12_05.xlsx&amp;sheet=U0&amp;row=3406&amp;col=7&amp;number=2.8e-05&amp;sourceID=14","2.8e-05")</f>
        <v>2.8e-05</v>
      </c>
    </row>
    <row r="3407" spans="1:7">
      <c r="A3407" s="3"/>
      <c r="B3407" s="3"/>
      <c r="C3407" s="3"/>
      <c r="D3407" s="3"/>
      <c r="E3407" s="3">
        <v>4</v>
      </c>
      <c r="F3407" s="4" t="str">
        <f>HYPERLINK("http://141.218.60.56/~jnz1568/getInfo.php?workbook=12_05.xlsx&amp;sheet=U0&amp;row=3407&amp;col=6&amp;number=3.3&amp;sourceID=14","3.3")</f>
        <v>3.3</v>
      </c>
      <c r="G3407" s="4" t="str">
        <f>HYPERLINK("http://141.218.60.56/~jnz1568/getInfo.php?workbook=12_05.xlsx&amp;sheet=U0&amp;row=3407&amp;col=7&amp;number=2.8e-05&amp;sourceID=14","2.8e-05")</f>
        <v>2.8e-05</v>
      </c>
    </row>
    <row r="3408" spans="1:7">
      <c r="A3408" s="3"/>
      <c r="B3408" s="3"/>
      <c r="C3408" s="3"/>
      <c r="D3408" s="3"/>
      <c r="E3408" s="3">
        <v>5</v>
      </c>
      <c r="F3408" s="4" t="str">
        <f>HYPERLINK("http://141.218.60.56/~jnz1568/getInfo.php?workbook=12_05.xlsx&amp;sheet=U0&amp;row=3408&amp;col=6&amp;number=3.4&amp;sourceID=14","3.4")</f>
        <v>3.4</v>
      </c>
      <c r="G3408" s="4" t="str">
        <f>HYPERLINK("http://141.218.60.56/~jnz1568/getInfo.php?workbook=12_05.xlsx&amp;sheet=U0&amp;row=3408&amp;col=7&amp;number=2.8e-05&amp;sourceID=14","2.8e-05")</f>
        <v>2.8e-05</v>
      </c>
    </row>
    <row r="3409" spans="1:7">
      <c r="A3409" s="3"/>
      <c r="B3409" s="3"/>
      <c r="C3409" s="3"/>
      <c r="D3409" s="3"/>
      <c r="E3409" s="3">
        <v>6</v>
      </c>
      <c r="F3409" s="4" t="str">
        <f>HYPERLINK("http://141.218.60.56/~jnz1568/getInfo.php?workbook=12_05.xlsx&amp;sheet=U0&amp;row=3409&amp;col=6&amp;number=3.5&amp;sourceID=14","3.5")</f>
        <v>3.5</v>
      </c>
      <c r="G3409" s="4" t="str">
        <f>HYPERLINK("http://141.218.60.56/~jnz1568/getInfo.php?workbook=12_05.xlsx&amp;sheet=U0&amp;row=3409&amp;col=7&amp;number=2.8e-05&amp;sourceID=14","2.8e-05")</f>
        <v>2.8e-05</v>
      </c>
    </row>
    <row r="3410" spans="1:7">
      <c r="A3410" s="3"/>
      <c r="B3410" s="3"/>
      <c r="C3410" s="3"/>
      <c r="D3410" s="3"/>
      <c r="E3410" s="3">
        <v>7</v>
      </c>
      <c r="F3410" s="4" t="str">
        <f>HYPERLINK("http://141.218.60.56/~jnz1568/getInfo.php?workbook=12_05.xlsx&amp;sheet=U0&amp;row=3410&amp;col=6&amp;number=3.6&amp;sourceID=14","3.6")</f>
        <v>3.6</v>
      </c>
      <c r="G3410" s="4" t="str">
        <f>HYPERLINK("http://141.218.60.56/~jnz1568/getInfo.php?workbook=12_05.xlsx&amp;sheet=U0&amp;row=3410&amp;col=7&amp;number=2.79e-05&amp;sourceID=14","2.79e-05")</f>
        <v>2.79e-05</v>
      </c>
    </row>
    <row r="3411" spans="1:7">
      <c r="A3411" s="3"/>
      <c r="B3411" s="3"/>
      <c r="C3411" s="3"/>
      <c r="D3411" s="3"/>
      <c r="E3411" s="3">
        <v>8</v>
      </c>
      <c r="F3411" s="4" t="str">
        <f>HYPERLINK("http://141.218.60.56/~jnz1568/getInfo.php?workbook=12_05.xlsx&amp;sheet=U0&amp;row=3411&amp;col=6&amp;number=3.7&amp;sourceID=14","3.7")</f>
        <v>3.7</v>
      </c>
      <c r="G3411" s="4" t="str">
        <f>HYPERLINK("http://141.218.60.56/~jnz1568/getInfo.php?workbook=12_05.xlsx&amp;sheet=U0&amp;row=3411&amp;col=7&amp;number=2.79e-05&amp;sourceID=14","2.79e-05")</f>
        <v>2.79e-05</v>
      </c>
    </row>
    <row r="3412" spans="1:7">
      <c r="A3412" s="3"/>
      <c r="B3412" s="3"/>
      <c r="C3412" s="3"/>
      <c r="D3412" s="3"/>
      <c r="E3412" s="3">
        <v>9</v>
      </c>
      <c r="F3412" s="4" t="str">
        <f>HYPERLINK("http://141.218.60.56/~jnz1568/getInfo.php?workbook=12_05.xlsx&amp;sheet=U0&amp;row=3412&amp;col=6&amp;number=3.8&amp;sourceID=14","3.8")</f>
        <v>3.8</v>
      </c>
      <c r="G3412" s="4" t="str">
        <f>HYPERLINK("http://141.218.60.56/~jnz1568/getInfo.php?workbook=12_05.xlsx&amp;sheet=U0&amp;row=3412&amp;col=7&amp;number=2.79e-05&amp;sourceID=14","2.79e-05")</f>
        <v>2.79e-05</v>
      </c>
    </row>
    <row r="3413" spans="1:7">
      <c r="A3413" s="3"/>
      <c r="B3413" s="3"/>
      <c r="C3413" s="3"/>
      <c r="D3413" s="3"/>
      <c r="E3413" s="3">
        <v>10</v>
      </c>
      <c r="F3413" s="4" t="str">
        <f>HYPERLINK("http://141.218.60.56/~jnz1568/getInfo.php?workbook=12_05.xlsx&amp;sheet=U0&amp;row=3413&amp;col=6&amp;number=3.9&amp;sourceID=14","3.9")</f>
        <v>3.9</v>
      </c>
      <c r="G3413" s="4" t="str">
        <f>HYPERLINK("http://141.218.60.56/~jnz1568/getInfo.php?workbook=12_05.xlsx&amp;sheet=U0&amp;row=3413&amp;col=7&amp;number=2.79e-05&amp;sourceID=14","2.79e-05")</f>
        <v>2.79e-05</v>
      </c>
    </row>
    <row r="3414" spans="1:7">
      <c r="A3414" s="3"/>
      <c r="B3414" s="3"/>
      <c r="C3414" s="3"/>
      <c r="D3414" s="3"/>
      <c r="E3414" s="3">
        <v>11</v>
      </c>
      <c r="F3414" s="4" t="str">
        <f>HYPERLINK("http://141.218.60.56/~jnz1568/getInfo.php?workbook=12_05.xlsx&amp;sheet=U0&amp;row=3414&amp;col=6&amp;number=4&amp;sourceID=14","4")</f>
        <v>4</v>
      </c>
      <c r="G3414" s="4" t="str">
        <f>HYPERLINK("http://141.218.60.56/~jnz1568/getInfo.php?workbook=12_05.xlsx&amp;sheet=U0&amp;row=3414&amp;col=7&amp;number=2.78e-05&amp;sourceID=14","2.78e-05")</f>
        <v>2.78e-05</v>
      </c>
    </row>
    <row r="3415" spans="1:7">
      <c r="A3415" s="3"/>
      <c r="B3415" s="3"/>
      <c r="C3415" s="3"/>
      <c r="D3415" s="3"/>
      <c r="E3415" s="3">
        <v>12</v>
      </c>
      <c r="F3415" s="4" t="str">
        <f>HYPERLINK("http://141.218.60.56/~jnz1568/getInfo.php?workbook=12_05.xlsx&amp;sheet=U0&amp;row=3415&amp;col=6&amp;number=4.1&amp;sourceID=14","4.1")</f>
        <v>4.1</v>
      </c>
      <c r="G3415" s="4" t="str">
        <f>HYPERLINK("http://141.218.60.56/~jnz1568/getInfo.php?workbook=12_05.xlsx&amp;sheet=U0&amp;row=3415&amp;col=7&amp;number=2.78e-05&amp;sourceID=14","2.78e-05")</f>
        <v>2.78e-05</v>
      </c>
    </row>
    <row r="3416" spans="1:7">
      <c r="A3416" s="3"/>
      <c r="B3416" s="3"/>
      <c r="C3416" s="3"/>
      <c r="D3416" s="3"/>
      <c r="E3416" s="3">
        <v>13</v>
      </c>
      <c r="F3416" s="4" t="str">
        <f>HYPERLINK("http://141.218.60.56/~jnz1568/getInfo.php?workbook=12_05.xlsx&amp;sheet=U0&amp;row=3416&amp;col=6&amp;number=4.2&amp;sourceID=14","4.2")</f>
        <v>4.2</v>
      </c>
      <c r="G3416" s="4" t="str">
        <f>HYPERLINK("http://141.218.60.56/~jnz1568/getInfo.php?workbook=12_05.xlsx&amp;sheet=U0&amp;row=3416&amp;col=7&amp;number=2.77e-05&amp;sourceID=14","2.77e-05")</f>
        <v>2.77e-05</v>
      </c>
    </row>
    <row r="3417" spans="1:7">
      <c r="A3417" s="3"/>
      <c r="B3417" s="3"/>
      <c r="C3417" s="3"/>
      <c r="D3417" s="3"/>
      <c r="E3417" s="3">
        <v>14</v>
      </c>
      <c r="F3417" s="4" t="str">
        <f>HYPERLINK("http://141.218.60.56/~jnz1568/getInfo.php?workbook=12_05.xlsx&amp;sheet=U0&amp;row=3417&amp;col=6&amp;number=4.3&amp;sourceID=14","4.3")</f>
        <v>4.3</v>
      </c>
      <c r="G3417" s="4" t="str">
        <f>HYPERLINK("http://141.218.60.56/~jnz1568/getInfo.php?workbook=12_05.xlsx&amp;sheet=U0&amp;row=3417&amp;col=7&amp;number=2.77e-05&amp;sourceID=14","2.77e-05")</f>
        <v>2.77e-05</v>
      </c>
    </row>
    <row r="3418" spans="1:7">
      <c r="A3418" s="3"/>
      <c r="B3418" s="3"/>
      <c r="C3418" s="3"/>
      <c r="D3418" s="3"/>
      <c r="E3418" s="3">
        <v>15</v>
      </c>
      <c r="F3418" s="4" t="str">
        <f>HYPERLINK("http://141.218.60.56/~jnz1568/getInfo.php?workbook=12_05.xlsx&amp;sheet=U0&amp;row=3418&amp;col=6&amp;number=4.4&amp;sourceID=14","4.4")</f>
        <v>4.4</v>
      </c>
      <c r="G3418" s="4" t="str">
        <f>HYPERLINK("http://141.218.60.56/~jnz1568/getInfo.php?workbook=12_05.xlsx&amp;sheet=U0&amp;row=3418&amp;col=7&amp;number=2.76e-05&amp;sourceID=14","2.76e-05")</f>
        <v>2.76e-05</v>
      </c>
    </row>
    <row r="3419" spans="1:7">
      <c r="A3419" s="3"/>
      <c r="B3419" s="3"/>
      <c r="C3419" s="3"/>
      <c r="D3419" s="3"/>
      <c r="E3419" s="3">
        <v>16</v>
      </c>
      <c r="F3419" s="4" t="str">
        <f>HYPERLINK("http://141.218.60.56/~jnz1568/getInfo.php?workbook=12_05.xlsx&amp;sheet=U0&amp;row=3419&amp;col=6&amp;number=4.5&amp;sourceID=14","4.5")</f>
        <v>4.5</v>
      </c>
      <c r="G3419" s="4" t="str">
        <f>HYPERLINK("http://141.218.60.56/~jnz1568/getInfo.php?workbook=12_05.xlsx&amp;sheet=U0&amp;row=3419&amp;col=7&amp;number=2.74e-05&amp;sourceID=14","2.74e-05")</f>
        <v>2.74e-05</v>
      </c>
    </row>
    <row r="3420" spans="1:7">
      <c r="A3420" s="3"/>
      <c r="B3420" s="3"/>
      <c r="C3420" s="3"/>
      <c r="D3420" s="3"/>
      <c r="E3420" s="3">
        <v>17</v>
      </c>
      <c r="F3420" s="4" t="str">
        <f>HYPERLINK("http://141.218.60.56/~jnz1568/getInfo.php?workbook=12_05.xlsx&amp;sheet=U0&amp;row=3420&amp;col=6&amp;number=4.6&amp;sourceID=14","4.6")</f>
        <v>4.6</v>
      </c>
      <c r="G3420" s="4" t="str">
        <f>HYPERLINK("http://141.218.60.56/~jnz1568/getInfo.php?workbook=12_05.xlsx&amp;sheet=U0&amp;row=3420&amp;col=7&amp;number=2.73e-05&amp;sourceID=14","2.73e-05")</f>
        <v>2.73e-05</v>
      </c>
    </row>
    <row r="3421" spans="1:7">
      <c r="A3421" s="3"/>
      <c r="B3421" s="3"/>
      <c r="C3421" s="3"/>
      <c r="D3421" s="3"/>
      <c r="E3421" s="3">
        <v>18</v>
      </c>
      <c r="F3421" s="4" t="str">
        <f>HYPERLINK("http://141.218.60.56/~jnz1568/getInfo.php?workbook=12_05.xlsx&amp;sheet=U0&amp;row=3421&amp;col=6&amp;number=4.7&amp;sourceID=14","4.7")</f>
        <v>4.7</v>
      </c>
      <c r="G3421" s="4" t="str">
        <f>HYPERLINK("http://141.218.60.56/~jnz1568/getInfo.php?workbook=12_05.xlsx&amp;sheet=U0&amp;row=3421&amp;col=7&amp;number=2.71e-05&amp;sourceID=14","2.71e-05")</f>
        <v>2.71e-05</v>
      </c>
    </row>
    <row r="3422" spans="1:7">
      <c r="A3422" s="3"/>
      <c r="B3422" s="3"/>
      <c r="C3422" s="3"/>
      <c r="D3422" s="3"/>
      <c r="E3422" s="3">
        <v>19</v>
      </c>
      <c r="F3422" s="4" t="str">
        <f>HYPERLINK("http://141.218.60.56/~jnz1568/getInfo.php?workbook=12_05.xlsx&amp;sheet=U0&amp;row=3422&amp;col=6&amp;number=4.8&amp;sourceID=14","4.8")</f>
        <v>4.8</v>
      </c>
      <c r="G3422" s="4" t="str">
        <f>HYPERLINK("http://141.218.60.56/~jnz1568/getInfo.php?workbook=12_05.xlsx&amp;sheet=U0&amp;row=3422&amp;col=7&amp;number=2.69e-05&amp;sourceID=14","2.69e-05")</f>
        <v>2.69e-05</v>
      </c>
    </row>
    <row r="3423" spans="1:7">
      <c r="A3423" s="3"/>
      <c r="B3423" s="3"/>
      <c r="C3423" s="3"/>
      <c r="D3423" s="3"/>
      <c r="E3423" s="3">
        <v>20</v>
      </c>
      <c r="F3423" s="4" t="str">
        <f>HYPERLINK("http://141.218.60.56/~jnz1568/getInfo.php?workbook=12_05.xlsx&amp;sheet=U0&amp;row=3423&amp;col=6&amp;number=4.9&amp;sourceID=14","4.9")</f>
        <v>4.9</v>
      </c>
      <c r="G3423" s="4" t="str">
        <f>HYPERLINK("http://141.218.60.56/~jnz1568/getInfo.php?workbook=12_05.xlsx&amp;sheet=U0&amp;row=3423&amp;col=7&amp;number=2.66e-05&amp;sourceID=14","2.66e-05")</f>
        <v>2.66e-05</v>
      </c>
    </row>
    <row r="3424" spans="1:7">
      <c r="A3424" s="3">
        <v>12</v>
      </c>
      <c r="B3424" s="3">
        <v>5</v>
      </c>
      <c r="C3424" s="3">
        <v>2</v>
      </c>
      <c r="D3424" s="3">
        <v>24</v>
      </c>
      <c r="E3424" s="3">
        <v>1</v>
      </c>
      <c r="F3424" s="4" t="str">
        <f>HYPERLINK("http://141.218.60.56/~jnz1568/getInfo.php?workbook=12_05.xlsx&amp;sheet=U0&amp;row=3424&amp;col=6&amp;number=3&amp;sourceID=14","3")</f>
        <v>3</v>
      </c>
      <c r="G3424" s="4" t="str">
        <f>HYPERLINK("http://141.218.60.56/~jnz1568/getInfo.php?workbook=12_05.xlsx&amp;sheet=U0&amp;row=3424&amp;col=7&amp;number=0.000538&amp;sourceID=14","0.000538")</f>
        <v>0.000538</v>
      </c>
    </row>
    <row r="3425" spans="1:7">
      <c r="A3425" s="3"/>
      <c r="B3425" s="3"/>
      <c r="C3425" s="3"/>
      <c r="D3425" s="3"/>
      <c r="E3425" s="3">
        <v>2</v>
      </c>
      <c r="F3425" s="4" t="str">
        <f>HYPERLINK("http://141.218.60.56/~jnz1568/getInfo.php?workbook=12_05.xlsx&amp;sheet=U0&amp;row=3425&amp;col=6&amp;number=3.1&amp;sourceID=14","3.1")</f>
        <v>3.1</v>
      </c>
      <c r="G3425" s="4" t="str">
        <f>HYPERLINK("http://141.218.60.56/~jnz1568/getInfo.php?workbook=12_05.xlsx&amp;sheet=U0&amp;row=3425&amp;col=7&amp;number=0.000538&amp;sourceID=14","0.000538")</f>
        <v>0.000538</v>
      </c>
    </row>
    <row r="3426" spans="1:7">
      <c r="A3426" s="3"/>
      <c r="B3426" s="3"/>
      <c r="C3426" s="3"/>
      <c r="D3426" s="3"/>
      <c r="E3426" s="3">
        <v>3</v>
      </c>
      <c r="F3426" s="4" t="str">
        <f>HYPERLINK("http://141.218.60.56/~jnz1568/getInfo.php?workbook=12_05.xlsx&amp;sheet=U0&amp;row=3426&amp;col=6&amp;number=3.2&amp;sourceID=14","3.2")</f>
        <v>3.2</v>
      </c>
      <c r="G3426" s="4" t="str">
        <f>HYPERLINK("http://141.218.60.56/~jnz1568/getInfo.php?workbook=12_05.xlsx&amp;sheet=U0&amp;row=3426&amp;col=7&amp;number=0.000539&amp;sourceID=14","0.000539")</f>
        <v>0.000539</v>
      </c>
    </row>
    <row r="3427" spans="1:7">
      <c r="A3427" s="3"/>
      <c r="B3427" s="3"/>
      <c r="C3427" s="3"/>
      <c r="D3427" s="3"/>
      <c r="E3427" s="3">
        <v>4</v>
      </c>
      <c r="F3427" s="4" t="str">
        <f>HYPERLINK("http://141.218.60.56/~jnz1568/getInfo.php?workbook=12_05.xlsx&amp;sheet=U0&amp;row=3427&amp;col=6&amp;number=3.3&amp;sourceID=14","3.3")</f>
        <v>3.3</v>
      </c>
      <c r="G3427" s="4" t="str">
        <f>HYPERLINK("http://141.218.60.56/~jnz1568/getInfo.php?workbook=12_05.xlsx&amp;sheet=U0&amp;row=3427&amp;col=7&amp;number=0.000539&amp;sourceID=14","0.000539")</f>
        <v>0.000539</v>
      </c>
    </row>
    <row r="3428" spans="1:7">
      <c r="A3428" s="3"/>
      <c r="B3428" s="3"/>
      <c r="C3428" s="3"/>
      <c r="D3428" s="3"/>
      <c r="E3428" s="3">
        <v>5</v>
      </c>
      <c r="F3428" s="4" t="str">
        <f>HYPERLINK("http://141.218.60.56/~jnz1568/getInfo.php?workbook=12_05.xlsx&amp;sheet=U0&amp;row=3428&amp;col=6&amp;number=3.4&amp;sourceID=14","3.4")</f>
        <v>3.4</v>
      </c>
      <c r="G3428" s="4" t="str">
        <f>HYPERLINK("http://141.218.60.56/~jnz1568/getInfo.php?workbook=12_05.xlsx&amp;sheet=U0&amp;row=3428&amp;col=7&amp;number=0.000539&amp;sourceID=14","0.000539")</f>
        <v>0.000539</v>
      </c>
    </row>
    <row r="3429" spans="1:7">
      <c r="A3429" s="3"/>
      <c r="B3429" s="3"/>
      <c r="C3429" s="3"/>
      <c r="D3429" s="3"/>
      <c r="E3429" s="3">
        <v>6</v>
      </c>
      <c r="F3429" s="4" t="str">
        <f>HYPERLINK("http://141.218.60.56/~jnz1568/getInfo.php?workbook=12_05.xlsx&amp;sheet=U0&amp;row=3429&amp;col=6&amp;number=3.5&amp;sourceID=14","3.5")</f>
        <v>3.5</v>
      </c>
      <c r="G3429" s="4" t="str">
        <f>HYPERLINK("http://141.218.60.56/~jnz1568/getInfo.php?workbook=12_05.xlsx&amp;sheet=U0&amp;row=3429&amp;col=7&amp;number=0.000539&amp;sourceID=14","0.000539")</f>
        <v>0.000539</v>
      </c>
    </row>
    <row r="3430" spans="1:7">
      <c r="A3430" s="3"/>
      <c r="B3430" s="3"/>
      <c r="C3430" s="3"/>
      <c r="D3430" s="3"/>
      <c r="E3430" s="3">
        <v>7</v>
      </c>
      <c r="F3430" s="4" t="str">
        <f>HYPERLINK("http://141.218.60.56/~jnz1568/getInfo.php?workbook=12_05.xlsx&amp;sheet=U0&amp;row=3430&amp;col=6&amp;number=3.6&amp;sourceID=14","3.6")</f>
        <v>3.6</v>
      </c>
      <c r="G3430" s="4" t="str">
        <f>HYPERLINK("http://141.218.60.56/~jnz1568/getInfo.php?workbook=12_05.xlsx&amp;sheet=U0&amp;row=3430&amp;col=7&amp;number=0.00054&amp;sourceID=14","0.00054")</f>
        <v>0.00054</v>
      </c>
    </row>
    <row r="3431" spans="1:7">
      <c r="A3431" s="3"/>
      <c r="B3431" s="3"/>
      <c r="C3431" s="3"/>
      <c r="D3431" s="3"/>
      <c r="E3431" s="3">
        <v>8</v>
      </c>
      <c r="F3431" s="4" t="str">
        <f>HYPERLINK("http://141.218.60.56/~jnz1568/getInfo.php?workbook=12_05.xlsx&amp;sheet=U0&amp;row=3431&amp;col=6&amp;number=3.7&amp;sourceID=14","3.7")</f>
        <v>3.7</v>
      </c>
      <c r="G3431" s="4" t="str">
        <f>HYPERLINK("http://141.218.60.56/~jnz1568/getInfo.php?workbook=12_05.xlsx&amp;sheet=U0&amp;row=3431&amp;col=7&amp;number=0.00054&amp;sourceID=14","0.00054")</f>
        <v>0.00054</v>
      </c>
    </row>
    <row r="3432" spans="1:7">
      <c r="A3432" s="3"/>
      <c r="B3432" s="3"/>
      <c r="C3432" s="3"/>
      <c r="D3432" s="3"/>
      <c r="E3432" s="3">
        <v>9</v>
      </c>
      <c r="F3432" s="4" t="str">
        <f>HYPERLINK("http://141.218.60.56/~jnz1568/getInfo.php?workbook=12_05.xlsx&amp;sheet=U0&amp;row=3432&amp;col=6&amp;number=3.8&amp;sourceID=14","3.8")</f>
        <v>3.8</v>
      </c>
      <c r="G3432" s="4" t="str">
        <f>HYPERLINK("http://141.218.60.56/~jnz1568/getInfo.php?workbook=12_05.xlsx&amp;sheet=U0&amp;row=3432&amp;col=7&amp;number=0.000541&amp;sourceID=14","0.000541")</f>
        <v>0.000541</v>
      </c>
    </row>
    <row r="3433" spans="1:7">
      <c r="A3433" s="3"/>
      <c r="B3433" s="3"/>
      <c r="C3433" s="3"/>
      <c r="D3433" s="3"/>
      <c r="E3433" s="3">
        <v>10</v>
      </c>
      <c r="F3433" s="4" t="str">
        <f>HYPERLINK("http://141.218.60.56/~jnz1568/getInfo.php?workbook=12_05.xlsx&amp;sheet=U0&amp;row=3433&amp;col=6&amp;number=3.9&amp;sourceID=14","3.9")</f>
        <v>3.9</v>
      </c>
      <c r="G3433" s="4" t="str">
        <f>HYPERLINK("http://141.218.60.56/~jnz1568/getInfo.php?workbook=12_05.xlsx&amp;sheet=U0&amp;row=3433&amp;col=7&amp;number=0.000542&amp;sourceID=14","0.000542")</f>
        <v>0.000542</v>
      </c>
    </row>
    <row r="3434" spans="1:7">
      <c r="A3434" s="3"/>
      <c r="B3434" s="3"/>
      <c r="C3434" s="3"/>
      <c r="D3434" s="3"/>
      <c r="E3434" s="3">
        <v>11</v>
      </c>
      <c r="F3434" s="4" t="str">
        <f>HYPERLINK("http://141.218.60.56/~jnz1568/getInfo.php?workbook=12_05.xlsx&amp;sheet=U0&amp;row=3434&amp;col=6&amp;number=4&amp;sourceID=14","4")</f>
        <v>4</v>
      </c>
      <c r="G3434" s="4" t="str">
        <f>HYPERLINK("http://141.218.60.56/~jnz1568/getInfo.php?workbook=12_05.xlsx&amp;sheet=U0&amp;row=3434&amp;col=7&amp;number=0.000543&amp;sourceID=14","0.000543")</f>
        <v>0.000543</v>
      </c>
    </row>
    <row r="3435" spans="1:7">
      <c r="A3435" s="3"/>
      <c r="B3435" s="3"/>
      <c r="C3435" s="3"/>
      <c r="D3435" s="3"/>
      <c r="E3435" s="3">
        <v>12</v>
      </c>
      <c r="F3435" s="4" t="str">
        <f>HYPERLINK("http://141.218.60.56/~jnz1568/getInfo.php?workbook=12_05.xlsx&amp;sheet=U0&amp;row=3435&amp;col=6&amp;number=4.1&amp;sourceID=14","4.1")</f>
        <v>4.1</v>
      </c>
      <c r="G3435" s="4" t="str">
        <f>HYPERLINK("http://141.218.60.56/~jnz1568/getInfo.php?workbook=12_05.xlsx&amp;sheet=U0&amp;row=3435&amp;col=7&amp;number=0.000545&amp;sourceID=14","0.000545")</f>
        <v>0.000545</v>
      </c>
    </row>
    <row r="3436" spans="1:7">
      <c r="A3436" s="3"/>
      <c r="B3436" s="3"/>
      <c r="C3436" s="3"/>
      <c r="D3436" s="3"/>
      <c r="E3436" s="3">
        <v>13</v>
      </c>
      <c r="F3436" s="4" t="str">
        <f>HYPERLINK("http://141.218.60.56/~jnz1568/getInfo.php?workbook=12_05.xlsx&amp;sheet=U0&amp;row=3436&amp;col=6&amp;number=4.2&amp;sourceID=14","4.2")</f>
        <v>4.2</v>
      </c>
      <c r="G3436" s="4" t="str">
        <f>HYPERLINK("http://141.218.60.56/~jnz1568/getInfo.php?workbook=12_05.xlsx&amp;sheet=U0&amp;row=3436&amp;col=7&amp;number=0.000546&amp;sourceID=14","0.000546")</f>
        <v>0.000546</v>
      </c>
    </row>
    <row r="3437" spans="1:7">
      <c r="A3437" s="3"/>
      <c r="B3437" s="3"/>
      <c r="C3437" s="3"/>
      <c r="D3437" s="3"/>
      <c r="E3437" s="3">
        <v>14</v>
      </c>
      <c r="F3437" s="4" t="str">
        <f>HYPERLINK("http://141.218.60.56/~jnz1568/getInfo.php?workbook=12_05.xlsx&amp;sheet=U0&amp;row=3437&amp;col=6&amp;number=4.3&amp;sourceID=14","4.3")</f>
        <v>4.3</v>
      </c>
      <c r="G3437" s="4" t="str">
        <f>HYPERLINK("http://141.218.60.56/~jnz1568/getInfo.php?workbook=12_05.xlsx&amp;sheet=U0&amp;row=3437&amp;col=7&amp;number=0.000549&amp;sourceID=14","0.000549")</f>
        <v>0.000549</v>
      </c>
    </row>
    <row r="3438" spans="1:7">
      <c r="A3438" s="3"/>
      <c r="B3438" s="3"/>
      <c r="C3438" s="3"/>
      <c r="D3438" s="3"/>
      <c r="E3438" s="3">
        <v>15</v>
      </c>
      <c r="F3438" s="4" t="str">
        <f>HYPERLINK("http://141.218.60.56/~jnz1568/getInfo.php?workbook=12_05.xlsx&amp;sheet=U0&amp;row=3438&amp;col=6&amp;number=4.4&amp;sourceID=14","4.4")</f>
        <v>4.4</v>
      </c>
      <c r="G3438" s="4" t="str">
        <f>HYPERLINK("http://141.218.60.56/~jnz1568/getInfo.php?workbook=12_05.xlsx&amp;sheet=U0&amp;row=3438&amp;col=7&amp;number=0.000551&amp;sourceID=14","0.000551")</f>
        <v>0.000551</v>
      </c>
    </row>
    <row r="3439" spans="1:7">
      <c r="A3439" s="3"/>
      <c r="B3439" s="3"/>
      <c r="C3439" s="3"/>
      <c r="D3439" s="3"/>
      <c r="E3439" s="3">
        <v>16</v>
      </c>
      <c r="F3439" s="4" t="str">
        <f>HYPERLINK("http://141.218.60.56/~jnz1568/getInfo.php?workbook=12_05.xlsx&amp;sheet=U0&amp;row=3439&amp;col=6&amp;number=4.5&amp;sourceID=14","4.5")</f>
        <v>4.5</v>
      </c>
      <c r="G3439" s="4" t="str">
        <f>HYPERLINK("http://141.218.60.56/~jnz1568/getInfo.php?workbook=12_05.xlsx&amp;sheet=U0&amp;row=3439&amp;col=7&amp;number=0.000555&amp;sourceID=14","0.000555")</f>
        <v>0.000555</v>
      </c>
    </row>
    <row r="3440" spans="1:7">
      <c r="A3440" s="3"/>
      <c r="B3440" s="3"/>
      <c r="C3440" s="3"/>
      <c r="D3440" s="3"/>
      <c r="E3440" s="3">
        <v>17</v>
      </c>
      <c r="F3440" s="4" t="str">
        <f>HYPERLINK("http://141.218.60.56/~jnz1568/getInfo.php?workbook=12_05.xlsx&amp;sheet=U0&amp;row=3440&amp;col=6&amp;number=4.6&amp;sourceID=14","4.6")</f>
        <v>4.6</v>
      </c>
      <c r="G3440" s="4" t="str">
        <f>HYPERLINK("http://141.218.60.56/~jnz1568/getInfo.php?workbook=12_05.xlsx&amp;sheet=U0&amp;row=3440&amp;col=7&amp;number=0.000559&amp;sourceID=14","0.000559")</f>
        <v>0.000559</v>
      </c>
    </row>
    <row r="3441" spans="1:7">
      <c r="A3441" s="3"/>
      <c r="B3441" s="3"/>
      <c r="C3441" s="3"/>
      <c r="D3441" s="3"/>
      <c r="E3441" s="3">
        <v>18</v>
      </c>
      <c r="F3441" s="4" t="str">
        <f>HYPERLINK("http://141.218.60.56/~jnz1568/getInfo.php?workbook=12_05.xlsx&amp;sheet=U0&amp;row=3441&amp;col=6&amp;number=4.7&amp;sourceID=14","4.7")</f>
        <v>4.7</v>
      </c>
      <c r="G3441" s="4" t="str">
        <f>HYPERLINK("http://141.218.60.56/~jnz1568/getInfo.php?workbook=12_05.xlsx&amp;sheet=U0&amp;row=3441&amp;col=7&amp;number=0.000565&amp;sourceID=14","0.000565")</f>
        <v>0.000565</v>
      </c>
    </row>
    <row r="3442" spans="1:7">
      <c r="A3442" s="3"/>
      <c r="B3442" s="3"/>
      <c r="C3442" s="3"/>
      <c r="D3442" s="3"/>
      <c r="E3442" s="3">
        <v>19</v>
      </c>
      <c r="F3442" s="4" t="str">
        <f>HYPERLINK("http://141.218.60.56/~jnz1568/getInfo.php?workbook=12_05.xlsx&amp;sheet=U0&amp;row=3442&amp;col=6&amp;number=4.8&amp;sourceID=14","4.8")</f>
        <v>4.8</v>
      </c>
      <c r="G3442" s="4" t="str">
        <f>HYPERLINK("http://141.218.60.56/~jnz1568/getInfo.php?workbook=12_05.xlsx&amp;sheet=U0&amp;row=3442&amp;col=7&amp;number=0.000571&amp;sourceID=14","0.000571")</f>
        <v>0.000571</v>
      </c>
    </row>
    <row r="3443" spans="1:7">
      <c r="A3443" s="3"/>
      <c r="B3443" s="3"/>
      <c r="C3443" s="3"/>
      <c r="D3443" s="3"/>
      <c r="E3443" s="3">
        <v>20</v>
      </c>
      <c r="F3443" s="4" t="str">
        <f>HYPERLINK("http://141.218.60.56/~jnz1568/getInfo.php?workbook=12_05.xlsx&amp;sheet=U0&amp;row=3443&amp;col=6&amp;number=4.9&amp;sourceID=14","4.9")</f>
        <v>4.9</v>
      </c>
      <c r="G3443" s="4" t="str">
        <f>HYPERLINK("http://141.218.60.56/~jnz1568/getInfo.php?workbook=12_05.xlsx&amp;sheet=U0&amp;row=3443&amp;col=7&amp;number=0.00058&amp;sourceID=14","0.00058")</f>
        <v>0.00058</v>
      </c>
    </row>
    <row r="3444" spans="1:7">
      <c r="A3444" s="3">
        <v>12</v>
      </c>
      <c r="B3444" s="3">
        <v>5</v>
      </c>
      <c r="C3444" s="3">
        <v>2</v>
      </c>
      <c r="D3444" s="3">
        <v>25</v>
      </c>
      <c r="E3444" s="3">
        <v>1</v>
      </c>
      <c r="F3444" s="4" t="str">
        <f>HYPERLINK("http://141.218.60.56/~jnz1568/getInfo.php?workbook=12_05.xlsx&amp;sheet=U0&amp;row=3444&amp;col=6&amp;number=3&amp;sourceID=14","3")</f>
        <v>3</v>
      </c>
      <c r="G3444" s="4" t="str">
        <f>HYPERLINK("http://141.218.60.56/~jnz1568/getInfo.php?workbook=12_05.xlsx&amp;sheet=U0&amp;row=3444&amp;col=7&amp;number=0.000203&amp;sourceID=14","0.000203")</f>
        <v>0.000203</v>
      </c>
    </row>
    <row r="3445" spans="1:7">
      <c r="A3445" s="3"/>
      <c r="B3445" s="3"/>
      <c r="C3445" s="3"/>
      <c r="D3445" s="3"/>
      <c r="E3445" s="3">
        <v>2</v>
      </c>
      <c r="F3445" s="4" t="str">
        <f>HYPERLINK("http://141.218.60.56/~jnz1568/getInfo.php?workbook=12_05.xlsx&amp;sheet=U0&amp;row=3445&amp;col=6&amp;number=3.1&amp;sourceID=14","3.1")</f>
        <v>3.1</v>
      </c>
      <c r="G3445" s="4" t="str">
        <f>HYPERLINK("http://141.218.60.56/~jnz1568/getInfo.php?workbook=12_05.xlsx&amp;sheet=U0&amp;row=3445&amp;col=7&amp;number=0.000203&amp;sourceID=14","0.000203")</f>
        <v>0.000203</v>
      </c>
    </row>
    <row r="3446" spans="1:7">
      <c r="A3446" s="3"/>
      <c r="B3446" s="3"/>
      <c r="C3446" s="3"/>
      <c r="D3446" s="3"/>
      <c r="E3446" s="3">
        <v>3</v>
      </c>
      <c r="F3446" s="4" t="str">
        <f>HYPERLINK("http://141.218.60.56/~jnz1568/getInfo.php?workbook=12_05.xlsx&amp;sheet=U0&amp;row=3446&amp;col=6&amp;number=3.2&amp;sourceID=14","3.2")</f>
        <v>3.2</v>
      </c>
      <c r="G3446" s="4" t="str">
        <f>HYPERLINK("http://141.218.60.56/~jnz1568/getInfo.php?workbook=12_05.xlsx&amp;sheet=U0&amp;row=3446&amp;col=7&amp;number=0.000203&amp;sourceID=14","0.000203")</f>
        <v>0.000203</v>
      </c>
    </row>
    <row r="3447" spans="1:7">
      <c r="A3447" s="3"/>
      <c r="B3447" s="3"/>
      <c r="C3447" s="3"/>
      <c r="D3447" s="3"/>
      <c r="E3447" s="3">
        <v>4</v>
      </c>
      <c r="F3447" s="4" t="str">
        <f>HYPERLINK("http://141.218.60.56/~jnz1568/getInfo.php?workbook=12_05.xlsx&amp;sheet=U0&amp;row=3447&amp;col=6&amp;number=3.3&amp;sourceID=14","3.3")</f>
        <v>3.3</v>
      </c>
      <c r="G3447" s="4" t="str">
        <f>HYPERLINK("http://141.218.60.56/~jnz1568/getInfo.php?workbook=12_05.xlsx&amp;sheet=U0&amp;row=3447&amp;col=7&amp;number=0.000203&amp;sourceID=14","0.000203")</f>
        <v>0.000203</v>
      </c>
    </row>
    <row r="3448" spans="1:7">
      <c r="A3448" s="3"/>
      <c r="B3448" s="3"/>
      <c r="C3448" s="3"/>
      <c r="D3448" s="3"/>
      <c r="E3448" s="3">
        <v>5</v>
      </c>
      <c r="F3448" s="4" t="str">
        <f>HYPERLINK("http://141.218.60.56/~jnz1568/getInfo.php?workbook=12_05.xlsx&amp;sheet=U0&amp;row=3448&amp;col=6&amp;number=3.4&amp;sourceID=14","3.4")</f>
        <v>3.4</v>
      </c>
      <c r="G3448" s="4" t="str">
        <f>HYPERLINK("http://141.218.60.56/~jnz1568/getInfo.php?workbook=12_05.xlsx&amp;sheet=U0&amp;row=3448&amp;col=7&amp;number=0.000203&amp;sourceID=14","0.000203")</f>
        <v>0.000203</v>
      </c>
    </row>
    <row r="3449" spans="1:7">
      <c r="A3449" s="3"/>
      <c r="B3449" s="3"/>
      <c r="C3449" s="3"/>
      <c r="D3449" s="3"/>
      <c r="E3449" s="3">
        <v>6</v>
      </c>
      <c r="F3449" s="4" t="str">
        <f>HYPERLINK("http://141.218.60.56/~jnz1568/getInfo.php?workbook=12_05.xlsx&amp;sheet=U0&amp;row=3449&amp;col=6&amp;number=3.5&amp;sourceID=14","3.5")</f>
        <v>3.5</v>
      </c>
      <c r="G3449" s="4" t="str">
        <f>HYPERLINK("http://141.218.60.56/~jnz1568/getInfo.php?workbook=12_05.xlsx&amp;sheet=U0&amp;row=3449&amp;col=7&amp;number=0.000203&amp;sourceID=14","0.000203")</f>
        <v>0.000203</v>
      </c>
    </row>
    <row r="3450" spans="1:7">
      <c r="A3450" s="3"/>
      <c r="B3450" s="3"/>
      <c r="C3450" s="3"/>
      <c r="D3450" s="3"/>
      <c r="E3450" s="3">
        <v>7</v>
      </c>
      <c r="F3450" s="4" t="str">
        <f>HYPERLINK("http://141.218.60.56/~jnz1568/getInfo.php?workbook=12_05.xlsx&amp;sheet=U0&amp;row=3450&amp;col=6&amp;number=3.6&amp;sourceID=14","3.6")</f>
        <v>3.6</v>
      </c>
      <c r="G3450" s="4" t="str">
        <f>HYPERLINK("http://141.218.60.56/~jnz1568/getInfo.php?workbook=12_05.xlsx&amp;sheet=U0&amp;row=3450&amp;col=7&amp;number=0.000203&amp;sourceID=14","0.000203")</f>
        <v>0.000203</v>
      </c>
    </row>
    <row r="3451" spans="1:7">
      <c r="A3451" s="3"/>
      <c r="B3451" s="3"/>
      <c r="C3451" s="3"/>
      <c r="D3451" s="3"/>
      <c r="E3451" s="3">
        <v>8</v>
      </c>
      <c r="F3451" s="4" t="str">
        <f>HYPERLINK("http://141.218.60.56/~jnz1568/getInfo.php?workbook=12_05.xlsx&amp;sheet=U0&amp;row=3451&amp;col=6&amp;number=3.7&amp;sourceID=14","3.7")</f>
        <v>3.7</v>
      </c>
      <c r="G3451" s="4" t="str">
        <f>HYPERLINK("http://141.218.60.56/~jnz1568/getInfo.php?workbook=12_05.xlsx&amp;sheet=U0&amp;row=3451&amp;col=7&amp;number=0.000202&amp;sourceID=14","0.000202")</f>
        <v>0.000202</v>
      </c>
    </row>
    <row r="3452" spans="1:7">
      <c r="A3452" s="3"/>
      <c r="B3452" s="3"/>
      <c r="C3452" s="3"/>
      <c r="D3452" s="3"/>
      <c r="E3452" s="3">
        <v>9</v>
      </c>
      <c r="F3452" s="4" t="str">
        <f>HYPERLINK("http://141.218.60.56/~jnz1568/getInfo.php?workbook=12_05.xlsx&amp;sheet=U0&amp;row=3452&amp;col=6&amp;number=3.8&amp;sourceID=14","3.8")</f>
        <v>3.8</v>
      </c>
      <c r="G3452" s="4" t="str">
        <f>HYPERLINK("http://141.218.60.56/~jnz1568/getInfo.php?workbook=12_05.xlsx&amp;sheet=U0&amp;row=3452&amp;col=7&amp;number=0.000202&amp;sourceID=14","0.000202")</f>
        <v>0.000202</v>
      </c>
    </row>
    <row r="3453" spans="1:7">
      <c r="A3453" s="3"/>
      <c r="B3453" s="3"/>
      <c r="C3453" s="3"/>
      <c r="D3453" s="3"/>
      <c r="E3453" s="3">
        <v>10</v>
      </c>
      <c r="F3453" s="4" t="str">
        <f>HYPERLINK("http://141.218.60.56/~jnz1568/getInfo.php?workbook=12_05.xlsx&amp;sheet=U0&amp;row=3453&amp;col=6&amp;number=3.9&amp;sourceID=14","3.9")</f>
        <v>3.9</v>
      </c>
      <c r="G3453" s="4" t="str">
        <f>HYPERLINK("http://141.218.60.56/~jnz1568/getInfo.php?workbook=12_05.xlsx&amp;sheet=U0&amp;row=3453&amp;col=7&amp;number=0.000202&amp;sourceID=14","0.000202")</f>
        <v>0.000202</v>
      </c>
    </row>
    <row r="3454" spans="1:7">
      <c r="A3454" s="3"/>
      <c r="B3454" s="3"/>
      <c r="C3454" s="3"/>
      <c r="D3454" s="3"/>
      <c r="E3454" s="3">
        <v>11</v>
      </c>
      <c r="F3454" s="4" t="str">
        <f>HYPERLINK("http://141.218.60.56/~jnz1568/getInfo.php?workbook=12_05.xlsx&amp;sheet=U0&amp;row=3454&amp;col=6&amp;number=4&amp;sourceID=14","4")</f>
        <v>4</v>
      </c>
      <c r="G3454" s="4" t="str">
        <f>HYPERLINK("http://141.218.60.56/~jnz1568/getInfo.php?workbook=12_05.xlsx&amp;sheet=U0&amp;row=3454&amp;col=7&amp;number=0.000202&amp;sourceID=14","0.000202")</f>
        <v>0.000202</v>
      </c>
    </row>
    <row r="3455" spans="1:7">
      <c r="A3455" s="3"/>
      <c r="B3455" s="3"/>
      <c r="C3455" s="3"/>
      <c r="D3455" s="3"/>
      <c r="E3455" s="3">
        <v>12</v>
      </c>
      <c r="F3455" s="4" t="str">
        <f>HYPERLINK("http://141.218.60.56/~jnz1568/getInfo.php?workbook=12_05.xlsx&amp;sheet=U0&amp;row=3455&amp;col=6&amp;number=4.1&amp;sourceID=14","4.1")</f>
        <v>4.1</v>
      </c>
      <c r="G3455" s="4" t="str">
        <f>HYPERLINK("http://141.218.60.56/~jnz1568/getInfo.php?workbook=12_05.xlsx&amp;sheet=U0&amp;row=3455&amp;col=7&amp;number=0.000202&amp;sourceID=14","0.000202")</f>
        <v>0.000202</v>
      </c>
    </row>
    <row r="3456" spans="1:7">
      <c r="A3456" s="3"/>
      <c r="B3456" s="3"/>
      <c r="C3456" s="3"/>
      <c r="D3456" s="3"/>
      <c r="E3456" s="3">
        <v>13</v>
      </c>
      <c r="F3456" s="4" t="str">
        <f>HYPERLINK("http://141.218.60.56/~jnz1568/getInfo.php?workbook=12_05.xlsx&amp;sheet=U0&amp;row=3456&amp;col=6&amp;number=4.2&amp;sourceID=14","4.2")</f>
        <v>4.2</v>
      </c>
      <c r="G3456" s="4" t="str">
        <f>HYPERLINK("http://141.218.60.56/~jnz1568/getInfo.php?workbook=12_05.xlsx&amp;sheet=U0&amp;row=3456&amp;col=7&amp;number=0.000202&amp;sourceID=14","0.000202")</f>
        <v>0.000202</v>
      </c>
    </row>
    <row r="3457" spans="1:7">
      <c r="A3457" s="3"/>
      <c r="B3457" s="3"/>
      <c r="C3457" s="3"/>
      <c r="D3457" s="3"/>
      <c r="E3457" s="3">
        <v>14</v>
      </c>
      <c r="F3457" s="4" t="str">
        <f>HYPERLINK("http://141.218.60.56/~jnz1568/getInfo.php?workbook=12_05.xlsx&amp;sheet=U0&amp;row=3457&amp;col=6&amp;number=4.3&amp;sourceID=14","4.3")</f>
        <v>4.3</v>
      </c>
      <c r="G3457" s="4" t="str">
        <f>HYPERLINK("http://141.218.60.56/~jnz1568/getInfo.php?workbook=12_05.xlsx&amp;sheet=U0&amp;row=3457&amp;col=7&amp;number=0.000202&amp;sourceID=14","0.000202")</f>
        <v>0.000202</v>
      </c>
    </row>
    <row r="3458" spans="1:7">
      <c r="A3458" s="3"/>
      <c r="B3458" s="3"/>
      <c r="C3458" s="3"/>
      <c r="D3458" s="3"/>
      <c r="E3458" s="3">
        <v>15</v>
      </c>
      <c r="F3458" s="4" t="str">
        <f>HYPERLINK("http://141.218.60.56/~jnz1568/getInfo.php?workbook=12_05.xlsx&amp;sheet=U0&amp;row=3458&amp;col=6&amp;number=4.4&amp;sourceID=14","4.4")</f>
        <v>4.4</v>
      </c>
      <c r="G3458" s="4" t="str">
        <f>HYPERLINK("http://141.218.60.56/~jnz1568/getInfo.php?workbook=12_05.xlsx&amp;sheet=U0&amp;row=3458&amp;col=7&amp;number=0.000201&amp;sourceID=14","0.000201")</f>
        <v>0.000201</v>
      </c>
    </row>
    <row r="3459" spans="1:7">
      <c r="A3459" s="3"/>
      <c r="B3459" s="3"/>
      <c r="C3459" s="3"/>
      <c r="D3459" s="3"/>
      <c r="E3459" s="3">
        <v>16</v>
      </c>
      <c r="F3459" s="4" t="str">
        <f>HYPERLINK("http://141.218.60.56/~jnz1568/getInfo.php?workbook=12_05.xlsx&amp;sheet=U0&amp;row=3459&amp;col=6&amp;number=4.5&amp;sourceID=14","4.5")</f>
        <v>4.5</v>
      </c>
      <c r="G3459" s="4" t="str">
        <f>HYPERLINK("http://141.218.60.56/~jnz1568/getInfo.php?workbook=12_05.xlsx&amp;sheet=U0&amp;row=3459&amp;col=7&amp;number=0.000201&amp;sourceID=14","0.000201")</f>
        <v>0.000201</v>
      </c>
    </row>
    <row r="3460" spans="1:7">
      <c r="A3460" s="3"/>
      <c r="B3460" s="3"/>
      <c r="C3460" s="3"/>
      <c r="D3460" s="3"/>
      <c r="E3460" s="3">
        <v>17</v>
      </c>
      <c r="F3460" s="4" t="str">
        <f>HYPERLINK("http://141.218.60.56/~jnz1568/getInfo.php?workbook=12_05.xlsx&amp;sheet=U0&amp;row=3460&amp;col=6&amp;number=4.6&amp;sourceID=14","4.6")</f>
        <v>4.6</v>
      </c>
      <c r="G3460" s="4" t="str">
        <f>HYPERLINK("http://141.218.60.56/~jnz1568/getInfo.php?workbook=12_05.xlsx&amp;sheet=U0&amp;row=3460&amp;col=7&amp;number=0.0002&amp;sourceID=14","0.0002")</f>
        <v>0.0002</v>
      </c>
    </row>
    <row r="3461" spans="1:7">
      <c r="A3461" s="3"/>
      <c r="B3461" s="3"/>
      <c r="C3461" s="3"/>
      <c r="D3461" s="3"/>
      <c r="E3461" s="3">
        <v>18</v>
      </c>
      <c r="F3461" s="4" t="str">
        <f>HYPERLINK("http://141.218.60.56/~jnz1568/getInfo.php?workbook=12_05.xlsx&amp;sheet=U0&amp;row=3461&amp;col=6&amp;number=4.7&amp;sourceID=14","4.7")</f>
        <v>4.7</v>
      </c>
      <c r="G3461" s="4" t="str">
        <f>HYPERLINK("http://141.218.60.56/~jnz1568/getInfo.php?workbook=12_05.xlsx&amp;sheet=U0&amp;row=3461&amp;col=7&amp;number=0.0002&amp;sourceID=14","0.0002")</f>
        <v>0.0002</v>
      </c>
    </row>
    <row r="3462" spans="1:7">
      <c r="A3462" s="3"/>
      <c r="B3462" s="3"/>
      <c r="C3462" s="3"/>
      <c r="D3462" s="3"/>
      <c r="E3462" s="3">
        <v>19</v>
      </c>
      <c r="F3462" s="4" t="str">
        <f>HYPERLINK("http://141.218.60.56/~jnz1568/getInfo.php?workbook=12_05.xlsx&amp;sheet=U0&amp;row=3462&amp;col=6&amp;number=4.8&amp;sourceID=14","4.8")</f>
        <v>4.8</v>
      </c>
      <c r="G3462" s="4" t="str">
        <f>HYPERLINK("http://141.218.60.56/~jnz1568/getInfo.php?workbook=12_05.xlsx&amp;sheet=U0&amp;row=3462&amp;col=7&amp;number=0.000199&amp;sourceID=14","0.000199")</f>
        <v>0.000199</v>
      </c>
    </row>
    <row r="3463" spans="1:7">
      <c r="A3463" s="3"/>
      <c r="B3463" s="3"/>
      <c r="C3463" s="3"/>
      <c r="D3463" s="3"/>
      <c r="E3463" s="3">
        <v>20</v>
      </c>
      <c r="F3463" s="4" t="str">
        <f>HYPERLINK("http://141.218.60.56/~jnz1568/getInfo.php?workbook=12_05.xlsx&amp;sheet=U0&amp;row=3463&amp;col=6&amp;number=4.9&amp;sourceID=14","4.9")</f>
        <v>4.9</v>
      </c>
      <c r="G3463" s="4" t="str">
        <f>HYPERLINK("http://141.218.60.56/~jnz1568/getInfo.php?workbook=12_05.xlsx&amp;sheet=U0&amp;row=3463&amp;col=7&amp;number=0.000198&amp;sourceID=14","0.000198")</f>
        <v>0.000198</v>
      </c>
    </row>
    <row r="3464" spans="1:7">
      <c r="A3464" s="3">
        <v>12</v>
      </c>
      <c r="B3464" s="3">
        <v>5</v>
      </c>
      <c r="C3464" s="3">
        <v>2</v>
      </c>
      <c r="D3464" s="3">
        <v>26</v>
      </c>
      <c r="E3464" s="3">
        <v>1</v>
      </c>
      <c r="F3464" s="4" t="str">
        <f>HYPERLINK("http://141.218.60.56/~jnz1568/getInfo.php?workbook=12_05.xlsx&amp;sheet=U0&amp;row=3464&amp;col=6&amp;number=3&amp;sourceID=14","3")</f>
        <v>3</v>
      </c>
      <c r="G3464" s="4" t="str">
        <f>HYPERLINK("http://141.218.60.56/~jnz1568/getInfo.php?workbook=12_05.xlsx&amp;sheet=U0&amp;row=3464&amp;col=7&amp;number=0.000419&amp;sourceID=14","0.000419")</f>
        <v>0.000419</v>
      </c>
    </row>
    <row r="3465" spans="1:7">
      <c r="A3465" s="3"/>
      <c r="B3465" s="3"/>
      <c r="C3465" s="3"/>
      <c r="D3465" s="3"/>
      <c r="E3465" s="3">
        <v>2</v>
      </c>
      <c r="F3465" s="4" t="str">
        <f>HYPERLINK("http://141.218.60.56/~jnz1568/getInfo.php?workbook=12_05.xlsx&amp;sheet=U0&amp;row=3465&amp;col=6&amp;number=3.1&amp;sourceID=14","3.1")</f>
        <v>3.1</v>
      </c>
      <c r="G3465" s="4" t="str">
        <f>HYPERLINK("http://141.218.60.56/~jnz1568/getInfo.php?workbook=12_05.xlsx&amp;sheet=U0&amp;row=3465&amp;col=7&amp;number=0.000419&amp;sourceID=14","0.000419")</f>
        <v>0.000419</v>
      </c>
    </row>
    <row r="3466" spans="1:7">
      <c r="A3466" s="3"/>
      <c r="B3466" s="3"/>
      <c r="C3466" s="3"/>
      <c r="D3466" s="3"/>
      <c r="E3466" s="3">
        <v>3</v>
      </c>
      <c r="F3466" s="4" t="str">
        <f>HYPERLINK("http://141.218.60.56/~jnz1568/getInfo.php?workbook=12_05.xlsx&amp;sheet=U0&amp;row=3466&amp;col=6&amp;number=3.2&amp;sourceID=14","3.2")</f>
        <v>3.2</v>
      </c>
      <c r="G3466" s="4" t="str">
        <f>HYPERLINK("http://141.218.60.56/~jnz1568/getInfo.php?workbook=12_05.xlsx&amp;sheet=U0&amp;row=3466&amp;col=7&amp;number=0.000419&amp;sourceID=14","0.000419")</f>
        <v>0.000419</v>
      </c>
    </row>
    <row r="3467" spans="1:7">
      <c r="A3467" s="3"/>
      <c r="B3467" s="3"/>
      <c r="C3467" s="3"/>
      <c r="D3467" s="3"/>
      <c r="E3467" s="3">
        <v>4</v>
      </c>
      <c r="F3467" s="4" t="str">
        <f>HYPERLINK("http://141.218.60.56/~jnz1568/getInfo.php?workbook=12_05.xlsx&amp;sheet=U0&amp;row=3467&amp;col=6&amp;number=3.3&amp;sourceID=14","3.3")</f>
        <v>3.3</v>
      </c>
      <c r="G3467" s="4" t="str">
        <f>HYPERLINK("http://141.218.60.56/~jnz1568/getInfo.php?workbook=12_05.xlsx&amp;sheet=U0&amp;row=3467&amp;col=7&amp;number=0.000419&amp;sourceID=14","0.000419")</f>
        <v>0.000419</v>
      </c>
    </row>
    <row r="3468" spans="1:7">
      <c r="A3468" s="3"/>
      <c r="B3468" s="3"/>
      <c r="C3468" s="3"/>
      <c r="D3468" s="3"/>
      <c r="E3468" s="3">
        <v>5</v>
      </c>
      <c r="F3468" s="4" t="str">
        <f>HYPERLINK("http://141.218.60.56/~jnz1568/getInfo.php?workbook=12_05.xlsx&amp;sheet=U0&amp;row=3468&amp;col=6&amp;number=3.4&amp;sourceID=14","3.4")</f>
        <v>3.4</v>
      </c>
      <c r="G3468" s="4" t="str">
        <f>HYPERLINK("http://141.218.60.56/~jnz1568/getInfo.php?workbook=12_05.xlsx&amp;sheet=U0&amp;row=3468&amp;col=7&amp;number=0.000419&amp;sourceID=14","0.000419")</f>
        <v>0.000419</v>
      </c>
    </row>
    <row r="3469" spans="1:7">
      <c r="A3469" s="3"/>
      <c r="B3469" s="3"/>
      <c r="C3469" s="3"/>
      <c r="D3469" s="3"/>
      <c r="E3469" s="3">
        <v>6</v>
      </c>
      <c r="F3469" s="4" t="str">
        <f>HYPERLINK("http://141.218.60.56/~jnz1568/getInfo.php?workbook=12_05.xlsx&amp;sheet=U0&amp;row=3469&amp;col=6&amp;number=3.5&amp;sourceID=14","3.5")</f>
        <v>3.5</v>
      </c>
      <c r="G3469" s="4" t="str">
        <f>HYPERLINK("http://141.218.60.56/~jnz1568/getInfo.php?workbook=12_05.xlsx&amp;sheet=U0&amp;row=3469&amp;col=7&amp;number=0.000419&amp;sourceID=14","0.000419")</f>
        <v>0.000419</v>
      </c>
    </row>
    <row r="3470" spans="1:7">
      <c r="A3470" s="3"/>
      <c r="B3470" s="3"/>
      <c r="C3470" s="3"/>
      <c r="D3470" s="3"/>
      <c r="E3470" s="3">
        <v>7</v>
      </c>
      <c r="F3470" s="4" t="str">
        <f>HYPERLINK("http://141.218.60.56/~jnz1568/getInfo.php?workbook=12_05.xlsx&amp;sheet=U0&amp;row=3470&amp;col=6&amp;number=3.6&amp;sourceID=14","3.6")</f>
        <v>3.6</v>
      </c>
      <c r="G3470" s="4" t="str">
        <f>HYPERLINK("http://141.218.60.56/~jnz1568/getInfo.php?workbook=12_05.xlsx&amp;sheet=U0&amp;row=3470&amp;col=7&amp;number=0.000419&amp;sourceID=14","0.000419")</f>
        <v>0.000419</v>
      </c>
    </row>
    <row r="3471" spans="1:7">
      <c r="A3471" s="3"/>
      <c r="B3471" s="3"/>
      <c r="C3471" s="3"/>
      <c r="D3471" s="3"/>
      <c r="E3471" s="3">
        <v>8</v>
      </c>
      <c r="F3471" s="4" t="str">
        <f>HYPERLINK("http://141.218.60.56/~jnz1568/getInfo.php?workbook=12_05.xlsx&amp;sheet=U0&amp;row=3471&amp;col=6&amp;number=3.7&amp;sourceID=14","3.7")</f>
        <v>3.7</v>
      </c>
      <c r="G3471" s="4" t="str">
        <f>HYPERLINK("http://141.218.60.56/~jnz1568/getInfo.php?workbook=12_05.xlsx&amp;sheet=U0&amp;row=3471&amp;col=7&amp;number=0.000419&amp;sourceID=14","0.000419")</f>
        <v>0.000419</v>
      </c>
    </row>
    <row r="3472" spans="1:7">
      <c r="A3472" s="3"/>
      <c r="B3472" s="3"/>
      <c r="C3472" s="3"/>
      <c r="D3472" s="3"/>
      <c r="E3472" s="3">
        <v>9</v>
      </c>
      <c r="F3472" s="4" t="str">
        <f>HYPERLINK("http://141.218.60.56/~jnz1568/getInfo.php?workbook=12_05.xlsx&amp;sheet=U0&amp;row=3472&amp;col=6&amp;number=3.8&amp;sourceID=14","3.8")</f>
        <v>3.8</v>
      </c>
      <c r="G3472" s="4" t="str">
        <f>HYPERLINK("http://141.218.60.56/~jnz1568/getInfo.php?workbook=12_05.xlsx&amp;sheet=U0&amp;row=3472&amp;col=7&amp;number=0.000419&amp;sourceID=14","0.000419")</f>
        <v>0.000419</v>
      </c>
    </row>
    <row r="3473" spans="1:7">
      <c r="A3473" s="3"/>
      <c r="B3473" s="3"/>
      <c r="C3473" s="3"/>
      <c r="D3473" s="3"/>
      <c r="E3473" s="3">
        <v>10</v>
      </c>
      <c r="F3473" s="4" t="str">
        <f>HYPERLINK("http://141.218.60.56/~jnz1568/getInfo.php?workbook=12_05.xlsx&amp;sheet=U0&amp;row=3473&amp;col=6&amp;number=3.9&amp;sourceID=14","3.9")</f>
        <v>3.9</v>
      </c>
      <c r="G3473" s="4" t="str">
        <f>HYPERLINK("http://141.218.60.56/~jnz1568/getInfo.php?workbook=12_05.xlsx&amp;sheet=U0&amp;row=3473&amp;col=7&amp;number=0.000419&amp;sourceID=14","0.000419")</f>
        <v>0.000419</v>
      </c>
    </row>
    <row r="3474" spans="1:7">
      <c r="A3474" s="3"/>
      <c r="B3474" s="3"/>
      <c r="C3474" s="3"/>
      <c r="D3474" s="3"/>
      <c r="E3474" s="3">
        <v>11</v>
      </c>
      <c r="F3474" s="4" t="str">
        <f>HYPERLINK("http://141.218.60.56/~jnz1568/getInfo.php?workbook=12_05.xlsx&amp;sheet=U0&amp;row=3474&amp;col=6&amp;number=4&amp;sourceID=14","4")</f>
        <v>4</v>
      </c>
      <c r="G3474" s="4" t="str">
        <f>HYPERLINK("http://141.218.60.56/~jnz1568/getInfo.php?workbook=12_05.xlsx&amp;sheet=U0&amp;row=3474&amp;col=7&amp;number=0.000418&amp;sourceID=14","0.000418")</f>
        <v>0.000418</v>
      </c>
    </row>
    <row r="3475" spans="1:7">
      <c r="A3475" s="3"/>
      <c r="B3475" s="3"/>
      <c r="C3475" s="3"/>
      <c r="D3475" s="3"/>
      <c r="E3475" s="3">
        <v>12</v>
      </c>
      <c r="F3475" s="4" t="str">
        <f>HYPERLINK("http://141.218.60.56/~jnz1568/getInfo.php?workbook=12_05.xlsx&amp;sheet=U0&amp;row=3475&amp;col=6&amp;number=4.1&amp;sourceID=14","4.1")</f>
        <v>4.1</v>
      </c>
      <c r="G3475" s="4" t="str">
        <f>HYPERLINK("http://141.218.60.56/~jnz1568/getInfo.php?workbook=12_05.xlsx&amp;sheet=U0&amp;row=3475&amp;col=7&amp;number=0.000418&amp;sourceID=14","0.000418")</f>
        <v>0.000418</v>
      </c>
    </row>
    <row r="3476" spans="1:7">
      <c r="A3476" s="3"/>
      <c r="B3476" s="3"/>
      <c r="C3476" s="3"/>
      <c r="D3476" s="3"/>
      <c r="E3476" s="3">
        <v>13</v>
      </c>
      <c r="F3476" s="4" t="str">
        <f>HYPERLINK("http://141.218.60.56/~jnz1568/getInfo.php?workbook=12_05.xlsx&amp;sheet=U0&amp;row=3476&amp;col=6&amp;number=4.2&amp;sourceID=14","4.2")</f>
        <v>4.2</v>
      </c>
      <c r="G3476" s="4" t="str">
        <f>HYPERLINK("http://141.218.60.56/~jnz1568/getInfo.php?workbook=12_05.xlsx&amp;sheet=U0&amp;row=3476&amp;col=7&amp;number=0.000418&amp;sourceID=14","0.000418")</f>
        <v>0.000418</v>
      </c>
    </row>
    <row r="3477" spans="1:7">
      <c r="A3477" s="3"/>
      <c r="B3477" s="3"/>
      <c r="C3477" s="3"/>
      <c r="D3477" s="3"/>
      <c r="E3477" s="3">
        <v>14</v>
      </c>
      <c r="F3477" s="4" t="str">
        <f>HYPERLINK("http://141.218.60.56/~jnz1568/getInfo.php?workbook=12_05.xlsx&amp;sheet=U0&amp;row=3477&amp;col=6&amp;number=4.3&amp;sourceID=14","4.3")</f>
        <v>4.3</v>
      </c>
      <c r="G3477" s="4" t="str">
        <f>HYPERLINK("http://141.218.60.56/~jnz1568/getInfo.php?workbook=12_05.xlsx&amp;sheet=U0&amp;row=3477&amp;col=7&amp;number=0.000418&amp;sourceID=14","0.000418")</f>
        <v>0.000418</v>
      </c>
    </row>
    <row r="3478" spans="1:7">
      <c r="A3478" s="3"/>
      <c r="B3478" s="3"/>
      <c r="C3478" s="3"/>
      <c r="D3478" s="3"/>
      <c r="E3478" s="3">
        <v>15</v>
      </c>
      <c r="F3478" s="4" t="str">
        <f>HYPERLINK("http://141.218.60.56/~jnz1568/getInfo.php?workbook=12_05.xlsx&amp;sheet=U0&amp;row=3478&amp;col=6&amp;number=4.4&amp;sourceID=14","4.4")</f>
        <v>4.4</v>
      </c>
      <c r="G3478" s="4" t="str">
        <f>HYPERLINK("http://141.218.60.56/~jnz1568/getInfo.php?workbook=12_05.xlsx&amp;sheet=U0&amp;row=3478&amp;col=7&amp;number=0.000418&amp;sourceID=14","0.000418")</f>
        <v>0.000418</v>
      </c>
    </row>
    <row r="3479" spans="1:7">
      <c r="A3479" s="3"/>
      <c r="B3479" s="3"/>
      <c r="C3479" s="3"/>
      <c r="D3479" s="3"/>
      <c r="E3479" s="3">
        <v>16</v>
      </c>
      <c r="F3479" s="4" t="str">
        <f>HYPERLINK("http://141.218.60.56/~jnz1568/getInfo.php?workbook=12_05.xlsx&amp;sheet=U0&amp;row=3479&amp;col=6&amp;number=4.5&amp;sourceID=14","4.5")</f>
        <v>4.5</v>
      </c>
      <c r="G3479" s="4" t="str">
        <f>HYPERLINK("http://141.218.60.56/~jnz1568/getInfo.php?workbook=12_05.xlsx&amp;sheet=U0&amp;row=3479&amp;col=7&amp;number=0.000418&amp;sourceID=14","0.000418")</f>
        <v>0.000418</v>
      </c>
    </row>
    <row r="3480" spans="1:7">
      <c r="A3480" s="3"/>
      <c r="B3480" s="3"/>
      <c r="C3480" s="3"/>
      <c r="D3480" s="3"/>
      <c r="E3480" s="3">
        <v>17</v>
      </c>
      <c r="F3480" s="4" t="str">
        <f>HYPERLINK("http://141.218.60.56/~jnz1568/getInfo.php?workbook=12_05.xlsx&amp;sheet=U0&amp;row=3480&amp;col=6&amp;number=4.6&amp;sourceID=14","4.6")</f>
        <v>4.6</v>
      </c>
      <c r="G3480" s="4" t="str">
        <f>HYPERLINK("http://141.218.60.56/~jnz1568/getInfo.php?workbook=12_05.xlsx&amp;sheet=U0&amp;row=3480&amp;col=7&amp;number=0.000417&amp;sourceID=14","0.000417")</f>
        <v>0.000417</v>
      </c>
    </row>
    <row r="3481" spans="1:7">
      <c r="A3481" s="3"/>
      <c r="B3481" s="3"/>
      <c r="C3481" s="3"/>
      <c r="D3481" s="3"/>
      <c r="E3481" s="3">
        <v>18</v>
      </c>
      <c r="F3481" s="4" t="str">
        <f>HYPERLINK("http://141.218.60.56/~jnz1568/getInfo.php?workbook=12_05.xlsx&amp;sheet=U0&amp;row=3481&amp;col=6&amp;number=4.7&amp;sourceID=14","4.7")</f>
        <v>4.7</v>
      </c>
      <c r="G3481" s="4" t="str">
        <f>HYPERLINK("http://141.218.60.56/~jnz1568/getInfo.php?workbook=12_05.xlsx&amp;sheet=U0&amp;row=3481&amp;col=7&amp;number=0.000417&amp;sourceID=14","0.000417")</f>
        <v>0.000417</v>
      </c>
    </row>
    <row r="3482" spans="1:7">
      <c r="A3482" s="3"/>
      <c r="B3482" s="3"/>
      <c r="C3482" s="3"/>
      <c r="D3482" s="3"/>
      <c r="E3482" s="3">
        <v>19</v>
      </c>
      <c r="F3482" s="4" t="str">
        <f>HYPERLINK("http://141.218.60.56/~jnz1568/getInfo.php?workbook=12_05.xlsx&amp;sheet=U0&amp;row=3482&amp;col=6&amp;number=4.8&amp;sourceID=14","4.8")</f>
        <v>4.8</v>
      </c>
      <c r="G3482" s="4" t="str">
        <f>HYPERLINK("http://141.218.60.56/~jnz1568/getInfo.php?workbook=12_05.xlsx&amp;sheet=U0&amp;row=3482&amp;col=7&amp;number=0.000416&amp;sourceID=14","0.000416")</f>
        <v>0.000416</v>
      </c>
    </row>
    <row r="3483" spans="1:7">
      <c r="A3483" s="3"/>
      <c r="B3483" s="3"/>
      <c r="C3483" s="3"/>
      <c r="D3483" s="3"/>
      <c r="E3483" s="3">
        <v>20</v>
      </c>
      <c r="F3483" s="4" t="str">
        <f>HYPERLINK("http://141.218.60.56/~jnz1568/getInfo.php?workbook=12_05.xlsx&amp;sheet=U0&amp;row=3483&amp;col=6&amp;number=4.9&amp;sourceID=14","4.9")</f>
        <v>4.9</v>
      </c>
      <c r="G3483" s="4" t="str">
        <f>HYPERLINK("http://141.218.60.56/~jnz1568/getInfo.php?workbook=12_05.xlsx&amp;sheet=U0&amp;row=3483&amp;col=7&amp;number=0.000416&amp;sourceID=14","0.000416")</f>
        <v>0.000416</v>
      </c>
    </row>
    <row r="3484" spans="1:7">
      <c r="A3484" s="3">
        <v>12</v>
      </c>
      <c r="B3484" s="3">
        <v>5</v>
      </c>
      <c r="C3484" s="3">
        <v>2</v>
      </c>
      <c r="D3484" s="3">
        <v>27</v>
      </c>
      <c r="E3484" s="3">
        <v>1</v>
      </c>
      <c r="F3484" s="4" t="str">
        <f>HYPERLINK("http://141.218.60.56/~jnz1568/getInfo.php?workbook=12_05.xlsx&amp;sheet=U0&amp;row=3484&amp;col=6&amp;number=3&amp;sourceID=14","3")</f>
        <v>3</v>
      </c>
      <c r="G3484" s="4" t="str">
        <f>HYPERLINK("http://141.218.60.56/~jnz1568/getInfo.php?workbook=12_05.xlsx&amp;sheet=U0&amp;row=3484&amp;col=7&amp;number=0.000161&amp;sourceID=14","0.000161")</f>
        <v>0.000161</v>
      </c>
    </row>
    <row r="3485" spans="1:7">
      <c r="A3485" s="3"/>
      <c r="B3485" s="3"/>
      <c r="C3485" s="3"/>
      <c r="D3485" s="3"/>
      <c r="E3485" s="3">
        <v>2</v>
      </c>
      <c r="F3485" s="4" t="str">
        <f>HYPERLINK("http://141.218.60.56/~jnz1568/getInfo.php?workbook=12_05.xlsx&amp;sheet=U0&amp;row=3485&amp;col=6&amp;number=3.1&amp;sourceID=14","3.1")</f>
        <v>3.1</v>
      </c>
      <c r="G3485" s="4" t="str">
        <f>HYPERLINK("http://141.218.60.56/~jnz1568/getInfo.php?workbook=12_05.xlsx&amp;sheet=U0&amp;row=3485&amp;col=7&amp;number=0.000161&amp;sourceID=14","0.000161")</f>
        <v>0.000161</v>
      </c>
    </row>
    <row r="3486" spans="1:7">
      <c r="A3486" s="3"/>
      <c r="B3486" s="3"/>
      <c r="C3486" s="3"/>
      <c r="D3486" s="3"/>
      <c r="E3486" s="3">
        <v>3</v>
      </c>
      <c r="F3486" s="4" t="str">
        <f>HYPERLINK("http://141.218.60.56/~jnz1568/getInfo.php?workbook=12_05.xlsx&amp;sheet=U0&amp;row=3486&amp;col=6&amp;number=3.2&amp;sourceID=14","3.2")</f>
        <v>3.2</v>
      </c>
      <c r="G3486" s="4" t="str">
        <f>HYPERLINK("http://141.218.60.56/~jnz1568/getInfo.php?workbook=12_05.xlsx&amp;sheet=U0&amp;row=3486&amp;col=7&amp;number=0.000161&amp;sourceID=14","0.000161")</f>
        <v>0.000161</v>
      </c>
    </row>
    <row r="3487" spans="1:7">
      <c r="A3487" s="3"/>
      <c r="B3487" s="3"/>
      <c r="C3487" s="3"/>
      <c r="D3487" s="3"/>
      <c r="E3487" s="3">
        <v>4</v>
      </c>
      <c r="F3487" s="4" t="str">
        <f>HYPERLINK("http://141.218.60.56/~jnz1568/getInfo.php?workbook=12_05.xlsx&amp;sheet=U0&amp;row=3487&amp;col=6&amp;number=3.3&amp;sourceID=14","3.3")</f>
        <v>3.3</v>
      </c>
      <c r="G3487" s="4" t="str">
        <f>HYPERLINK("http://141.218.60.56/~jnz1568/getInfo.php?workbook=12_05.xlsx&amp;sheet=U0&amp;row=3487&amp;col=7&amp;number=0.000161&amp;sourceID=14","0.000161")</f>
        <v>0.000161</v>
      </c>
    </row>
    <row r="3488" spans="1:7">
      <c r="A3488" s="3"/>
      <c r="B3488" s="3"/>
      <c r="C3488" s="3"/>
      <c r="D3488" s="3"/>
      <c r="E3488" s="3">
        <v>5</v>
      </c>
      <c r="F3488" s="4" t="str">
        <f>HYPERLINK("http://141.218.60.56/~jnz1568/getInfo.php?workbook=12_05.xlsx&amp;sheet=U0&amp;row=3488&amp;col=6&amp;number=3.4&amp;sourceID=14","3.4")</f>
        <v>3.4</v>
      </c>
      <c r="G3488" s="4" t="str">
        <f>HYPERLINK("http://141.218.60.56/~jnz1568/getInfo.php?workbook=12_05.xlsx&amp;sheet=U0&amp;row=3488&amp;col=7&amp;number=0.000161&amp;sourceID=14","0.000161")</f>
        <v>0.000161</v>
      </c>
    </row>
    <row r="3489" spans="1:7">
      <c r="A3489" s="3"/>
      <c r="B3489" s="3"/>
      <c r="C3489" s="3"/>
      <c r="D3489" s="3"/>
      <c r="E3489" s="3">
        <v>6</v>
      </c>
      <c r="F3489" s="4" t="str">
        <f>HYPERLINK("http://141.218.60.56/~jnz1568/getInfo.php?workbook=12_05.xlsx&amp;sheet=U0&amp;row=3489&amp;col=6&amp;number=3.5&amp;sourceID=14","3.5")</f>
        <v>3.5</v>
      </c>
      <c r="G3489" s="4" t="str">
        <f>HYPERLINK("http://141.218.60.56/~jnz1568/getInfo.php?workbook=12_05.xlsx&amp;sheet=U0&amp;row=3489&amp;col=7&amp;number=0.000161&amp;sourceID=14","0.000161")</f>
        <v>0.000161</v>
      </c>
    </row>
    <row r="3490" spans="1:7">
      <c r="A3490" s="3"/>
      <c r="B3490" s="3"/>
      <c r="C3490" s="3"/>
      <c r="D3490" s="3"/>
      <c r="E3490" s="3">
        <v>7</v>
      </c>
      <c r="F3490" s="4" t="str">
        <f>HYPERLINK("http://141.218.60.56/~jnz1568/getInfo.php?workbook=12_05.xlsx&amp;sheet=U0&amp;row=3490&amp;col=6&amp;number=3.6&amp;sourceID=14","3.6")</f>
        <v>3.6</v>
      </c>
      <c r="G3490" s="4" t="str">
        <f>HYPERLINK("http://141.218.60.56/~jnz1568/getInfo.php?workbook=12_05.xlsx&amp;sheet=U0&amp;row=3490&amp;col=7&amp;number=0.000161&amp;sourceID=14","0.000161")</f>
        <v>0.000161</v>
      </c>
    </row>
    <row r="3491" spans="1:7">
      <c r="A3491" s="3"/>
      <c r="B3491" s="3"/>
      <c r="C3491" s="3"/>
      <c r="D3491" s="3"/>
      <c r="E3491" s="3">
        <v>8</v>
      </c>
      <c r="F3491" s="4" t="str">
        <f>HYPERLINK("http://141.218.60.56/~jnz1568/getInfo.php?workbook=12_05.xlsx&amp;sheet=U0&amp;row=3491&amp;col=6&amp;number=3.7&amp;sourceID=14","3.7")</f>
        <v>3.7</v>
      </c>
      <c r="G3491" s="4" t="str">
        <f>HYPERLINK("http://141.218.60.56/~jnz1568/getInfo.php?workbook=12_05.xlsx&amp;sheet=U0&amp;row=3491&amp;col=7&amp;number=0.000161&amp;sourceID=14","0.000161")</f>
        <v>0.000161</v>
      </c>
    </row>
    <row r="3492" spans="1:7">
      <c r="A3492" s="3"/>
      <c r="B3492" s="3"/>
      <c r="C3492" s="3"/>
      <c r="D3492" s="3"/>
      <c r="E3492" s="3">
        <v>9</v>
      </c>
      <c r="F3492" s="4" t="str">
        <f>HYPERLINK("http://141.218.60.56/~jnz1568/getInfo.php?workbook=12_05.xlsx&amp;sheet=U0&amp;row=3492&amp;col=6&amp;number=3.8&amp;sourceID=14","3.8")</f>
        <v>3.8</v>
      </c>
      <c r="G3492" s="4" t="str">
        <f>HYPERLINK("http://141.218.60.56/~jnz1568/getInfo.php?workbook=12_05.xlsx&amp;sheet=U0&amp;row=3492&amp;col=7&amp;number=0.00016&amp;sourceID=14","0.00016")</f>
        <v>0.00016</v>
      </c>
    </row>
    <row r="3493" spans="1:7">
      <c r="A3493" s="3"/>
      <c r="B3493" s="3"/>
      <c r="C3493" s="3"/>
      <c r="D3493" s="3"/>
      <c r="E3493" s="3">
        <v>10</v>
      </c>
      <c r="F3493" s="4" t="str">
        <f>HYPERLINK("http://141.218.60.56/~jnz1568/getInfo.php?workbook=12_05.xlsx&amp;sheet=U0&amp;row=3493&amp;col=6&amp;number=3.9&amp;sourceID=14","3.9")</f>
        <v>3.9</v>
      </c>
      <c r="G3493" s="4" t="str">
        <f>HYPERLINK("http://141.218.60.56/~jnz1568/getInfo.php?workbook=12_05.xlsx&amp;sheet=U0&amp;row=3493&amp;col=7&amp;number=0.00016&amp;sourceID=14","0.00016")</f>
        <v>0.00016</v>
      </c>
    </row>
    <row r="3494" spans="1:7">
      <c r="A3494" s="3"/>
      <c r="B3494" s="3"/>
      <c r="C3494" s="3"/>
      <c r="D3494" s="3"/>
      <c r="E3494" s="3">
        <v>11</v>
      </c>
      <c r="F3494" s="4" t="str">
        <f>HYPERLINK("http://141.218.60.56/~jnz1568/getInfo.php?workbook=12_05.xlsx&amp;sheet=U0&amp;row=3494&amp;col=6&amp;number=4&amp;sourceID=14","4")</f>
        <v>4</v>
      </c>
      <c r="G3494" s="4" t="str">
        <f>HYPERLINK("http://141.218.60.56/~jnz1568/getInfo.php?workbook=12_05.xlsx&amp;sheet=U0&amp;row=3494&amp;col=7&amp;number=0.00016&amp;sourceID=14","0.00016")</f>
        <v>0.00016</v>
      </c>
    </row>
    <row r="3495" spans="1:7">
      <c r="A3495" s="3"/>
      <c r="B3495" s="3"/>
      <c r="C3495" s="3"/>
      <c r="D3495" s="3"/>
      <c r="E3495" s="3">
        <v>12</v>
      </c>
      <c r="F3495" s="4" t="str">
        <f>HYPERLINK("http://141.218.60.56/~jnz1568/getInfo.php?workbook=12_05.xlsx&amp;sheet=U0&amp;row=3495&amp;col=6&amp;number=4.1&amp;sourceID=14","4.1")</f>
        <v>4.1</v>
      </c>
      <c r="G3495" s="4" t="str">
        <f>HYPERLINK("http://141.218.60.56/~jnz1568/getInfo.php?workbook=12_05.xlsx&amp;sheet=U0&amp;row=3495&amp;col=7&amp;number=0.000159&amp;sourceID=14","0.000159")</f>
        <v>0.000159</v>
      </c>
    </row>
    <row r="3496" spans="1:7">
      <c r="A3496" s="3"/>
      <c r="B3496" s="3"/>
      <c r="C3496" s="3"/>
      <c r="D3496" s="3"/>
      <c r="E3496" s="3">
        <v>13</v>
      </c>
      <c r="F3496" s="4" t="str">
        <f>HYPERLINK("http://141.218.60.56/~jnz1568/getInfo.php?workbook=12_05.xlsx&amp;sheet=U0&amp;row=3496&amp;col=6&amp;number=4.2&amp;sourceID=14","4.2")</f>
        <v>4.2</v>
      </c>
      <c r="G3496" s="4" t="str">
        <f>HYPERLINK("http://141.218.60.56/~jnz1568/getInfo.php?workbook=12_05.xlsx&amp;sheet=U0&amp;row=3496&amp;col=7&amp;number=0.000159&amp;sourceID=14","0.000159")</f>
        <v>0.000159</v>
      </c>
    </row>
    <row r="3497" spans="1:7">
      <c r="A3497" s="3"/>
      <c r="B3497" s="3"/>
      <c r="C3497" s="3"/>
      <c r="D3497" s="3"/>
      <c r="E3497" s="3">
        <v>14</v>
      </c>
      <c r="F3497" s="4" t="str">
        <f>HYPERLINK("http://141.218.60.56/~jnz1568/getInfo.php?workbook=12_05.xlsx&amp;sheet=U0&amp;row=3497&amp;col=6&amp;number=4.3&amp;sourceID=14","4.3")</f>
        <v>4.3</v>
      </c>
      <c r="G3497" s="4" t="str">
        <f>HYPERLINK("http://141.218.60.56/~jnz1568/getInfo.php?workbook=12_05.xlsx&amp;sheet=U0&amp;row=3497&amp;col=7&amp;number=0.000158&amp;sourceID=14","0.000158")</f>
        <v>0.000158</v>
      </c>
    </row>
    <row r="3498" spans="1:7">
      <c r="A3498" s="3"/>
      <c r="B3498" s="3"/>
      <c r="C3498" s="3"/>
      <c r="D3498" s="3"/>
      <c r="E3498" s="3">
        <v>15</v>
      </c>
      <c r="F3498" s="4" t="str">
        <f>HYPERLINK("http://141.218.60.56/~jnz1568/getInfo.php?workbook=12_05.xlsx&amp;sheet=U0&amp;row=3498&amp;col=6&amp;number=4.4&amp;sourceID=14","4.4")</f>
        <v>4.4</v>
      </c>
      <c r="G3498" s="4" t="str">
        <f>HYPERLINK("http://141.218.60.56/~jnz1568/getInfo.php?workbook=12_05.xlsx&amp;sheet=U0&amp;row=3498&amp;col=7&amp;number=0.000157&amp;sourceID=14","0.000157")</f>
        <v>0.000157</v>
      </c>
    </row>
    <row r="3499" spans="1:7">
      <c r="A3499" s="3"/>
      <c r="B3499" s="3"/>
      <c r="C3499" s="3"/>
      <c r="D3499" s="3"/>
      <c r="E3499" s="3">
        <v>16</v>
      </c>
      <c r="F3499" s="4" t="str">
        <f>HYPERLINK("http://141.218.60.56/~jnz1568/getInfo.php?workbook=12_05.xlsx&amp;sheet=U0&amp;row=3499&amp;col=6&amp;number=4.5&amp;sourceID=14","4.5")</f>
        <v>4.5</v>
      </c>
      <c r="G3499" s="4" t="str">
        <f>HYPERLINK("http://141.218.60.56/~jnz1568/getInfo.php?workbook=12_05.xlsx&amp;sheet=U0&amp;row=3499&amp;col=7&amp;number=0.000156&amp;sourceID=14","0.000156")</f>
        <v>0.000156</v>
      </c>
    </row>
    <row r="3500" spans="1:7">
      <c r="A3500" s="3"/>
      <c r="B3500" s="3"/>
      <c r="C3500" s="3"/>
      <c r="D3500" s="3"/>
      <c r="E3500" s="3">
        <v>17</v>
      </c>
      <c r="F3500" s="4" t="str">
        <f>HYPERLINK("http://141.218.60.56/~jnz1568/getInfo.php?workbook=12_05.xlsx&amp;sheet=U0&amp;row=3500&amp;col=6&amp;number=4.6&amp;sourceID=14","4.6")</f>
        <v>4.6</v>
      </c>
      <c r="G3500" s="4" t="str">
        <f>HYPERLINK("http://141.218.60.56/~jnz1568/getInfo.php?workbook=12_05.xlsx&amp;sheet=U0&amp;row=3500&amp;col=7&amp;number=0.000154&amp;sourceID=14","0.000154")</f>
        <v>0.000154</v>
      </c>
    </row>
    <row r="3501" spans="1:7">
      <c r="A3501" s="3"/>
      <c r="B3501" s="3"/>
      <c r="C3501" s="3"/>
      <c r="D3501" s="3"/>
      <c r="E3501" s="3">
        <v>18</v>
      </c>
      <c r="F3501" s="4" t="str">
        <f>HYPERLINK("http://141.218.60.56/~jnz1568/getInfo.php?workbook=12_05.xlsx&amp;sheet=U0&amp;row=3501&amp;col=6&amp;number=4.7&amp;sourceID=14","4.7")</f>
        <v>4.7</v>
      </c>
      <c r="G3501" s="4" t="str">
        <f>HYPERLINK("http://141.218.60.56/~jnz1568/getInfo.php?workbook=12_05.xlsx&amp;sheet=U0&amp;row=3501&amp;col=7&amp;number=0.000153&amp;sourceID=14","0.000153")</f>
        <v>0.000153</v>
      </c>
    </row>
    <row r="3502" spans="1:7">
      <c r="A3502" s="3"/>
      <c r="B3502" s="3"/>
      <c r="C3502" s="3"/>
      <c r="D3502" s="3"/>
      <c r="E3502" s="3">
        <v>19</v>
      </c>
      <c r="F3502" s="4" t="str">
        <f>HYPERLINK("http://141.218.60.56/~jnz1568/getInfo.php?workbook=12_05.xlsx&amp;sheet=U0&amp;row=3502&amp;col=6&amp;number=4.8&amp;sourceID=14","4.8")</f>
        <v>4.8</v>
      </c>
      <c r="G3502" s="4" t="str">
        <f>HYPERLINK("http://141.218.60.56/~jnz1568/getInfo.php?workbook=12_05.xlsx&amp;sheet=U0&amp;row=3502&amp;col=7&amp;number=0.000151&amp;sourceID=14","0.000151")</f>
        <v>0.000151</v>
      </c>
    </row>
    <row r="3503" spans="1:7">
      <c r="A3503" s="3"/>
      <c r="B3503" s="3"/>
      <c r="C3503" s="3"/>
      <c r="D3503" s="3"/>
      <c r="E3503" s="3">
        <v>20</v>
      </c>
      <c r="F3503" s="4" t="str">
        <f>HYPERLINK("http://141.218.60.56/~jnz1568/getInfo.php?workbook=12_05.xlsx&amp;sheet=U0&amp;row=3503&amp;col=6&amp;number=4.9&amp;sourceID=14","4.9")</f>
        <v>4.9</v>
      </c>
      <c r="G3503" s="4" t="str">
        <f>HYPERLINK("http://141.218.60.56/~jnz1568/getInfo.php?workbook=12_05.xlsx&amp;sheet=U0&amp;row=3503&amp;col=7&amp;number=0.000148&amp;sourceID=14","0.000148")</f>
        <v>0.000148</v>
      </c>
    </row>
    <row r="3504" spans="1:7">
      <c r="A3504" s="3">
        <v>12</v>
      </c>
      <c r="B3504" s="3">
        <v>5</v>
      </c>
      <c r="C3504" s="3">
        <v>2</v>
      </c>
      <c r="D3504" s="3">
        <v>28</v>
      </c>
      <c r="E3504" s="3">
        <v>1</v>
      </c>
      <c r="F3504" s="4" t="str">
        <f>HYPERLINK("http://141.218.60.56/~jnz1568/getInfo.php?workbook=12_05.xlsx&amp;sheet=U0&amp;row=3504&amp;col=6&amp;number=3&amp;sourceID=14","3")</f>
        <v>3</v>
      </c>
      <c r="G3504" s="4" t="str">
        <f>HYPERLINK("http://141.218.60.56/~jnz1568/getInfo.php?workbook=12_05.xlsx&amp;sheet=U0&amp;row=3504&amp;col=7&amp;number=0.000633&amp;sourceID=14","0.000633")</f>
        <v>0.000633</v>
      </c>
    </row>
    <row r="3505" spans="1:7">
      <c r="A3505" s="3"/>
      <c r="B3505" s="3"/>
      <c r="C3505" s="3"/>
      <c r="D3505" s="3"/>
      <c r="E3505" s="3">
        <v>2</v>
      </c>
      <c r="F3505" s="4" t="str">
        <f>HYPERLINK("http://141.218.60.56/~jnz1568/getInfo.php?workbook=12_05.xlsx&amp;sheet=U0&amp;row=3505&amp;col=6&amp;number=3.1&amp;sourceID=14","3.1")</f>
        <v>3.1</v>
      </c>
      <c r="G3505" s="4" t="str">
        <f>HYPERLINK("http://141.218.60.56/~jnz1568/getInfo.php?workbook=12_05.xlsx&amp;sheet=U0&amp;row=3505&amp;col=7&amp;number=0.000633&amp;sourceID=14","0.000633")</f>
        <v>0.000633</v>
      </c>
    </row>
    <row r="3506" spans="1:7">
      <c r="A3506" s="3"/>
      <c r="B3506" s="3"/>
      <c r="C3506" s="3"/>
      <c r="D3506" s="3"/>
      <c r="E3506" s="3">
        <v>3</v>
      </c>
      <c r="F3506" s="4" t="str">
        <f>HYPERLINK("http://141.218.60.56/~jnz1568/getInfo.php?workbook=12_05.xlsx&amp;sheet=U0&amp;row=3506&amp;col=6&amp;number=3.2&amp;sourceID=14","3.2")</f>
        <v>3.2</v>
      </c>
      <c r="G3506" s="4" t="str">
        <f>HYPERLINK("http://141.218.60.56/~jnz1568/getInfo.php?workbook=12_05.xlsx&amp;sheet=U0&amp;row=3506&amp;col=7&amp;number=0.000633&amp;sourceID=14","0.000633")</f>
        <v>0.000633</v>
      </c>
    </row>
    <row r="3507" spans="1:7">
      <c r="A3507" s="3"/>
      <c r="B3507" s="3"/>
      <c r="C3507" s="3"/>
      <c r="D3507" s="3"/>
      <c r="E3507" s="3">
        <v>4</v>
      </c>
      <c r="F3507" s="4" t="str">
        <f>HYPERLINK("http://141.218.60.56/~jnz1568/getInfo.php?workbook=12_05.xlsx&amp;sheet=U0&amp;row=3507&amp;col=6&amp;number=3.3&amp;sourceID=14","3.3")</f>
        <v>3.3</v>
      </c>
      <c r="G3507" s="4" t="str">
        <f>HYPERLINK("http://141.218.60.56/~jnz1568/getInfo.php?workbook=12_05.xlsx&amp;sheet=U0&amp;row=3507&amp;col=7&amp;number=0.000634&amp;sourceID=14","0.000634")</f>
        <v>0.000634</v>
      </c>
    </row>
    <row r="3508" spans="1:7">
      <c r="A3508" s="3"/>
      <c r="B3508" s="3"/>
      <c r="C3508" s="3"/>
      <c r="D3508" s="3"/>
      <c r="E3508" s="3">
        <v>5</v>
      </c>
      <c r="F3508" s="4" t="str">
        <f>HYPERLINK("http://141.218.60.56/~jnz1568/getInfo.php?workbook=12_05.xlsx&amp;sheet=U0&amp;row=3508&amp;col=6&amp;number=3.4&amp;sourceID=14","3.4")</f>
        <v>3.4</v>
      </c>
      <c r="G3508" s="4" t="str">
        <f>HYPERLINK("http://141.218.60.56/~jnz1568/getInfo.php?workbook=12_05.xlsx&amp;sheet=U0&amp;row=3508&amp;col=7&amp;number=0.000634&amp;sourceID=14","0.000634")</f>
        <v>0.000634</v>
      </c>
    </row>
    <row r="3509" spans="1:7">
      <c r="A3509" s="3"/>
      <c r="B3509" s="3"/>
      <c r="C3509" s="3"/>
      <c r="D3509" s="3"/>
      <c r="E3509" s="3">
        <v>6</v>
      </c>
      <c r="F3509" s="4" t="str">
        <f>HYPERLINK("http://141.218.60.56/~jnz1568/getInfo.php?workbook=12_05.xlsx&amp;sheet=U0&amp;row=3509&amp;col=6&amp;number=3.5&amp;sourceID=14","3.5")</f>
        <v>3.5</v>
      </c>
      <c r="G3509" s="4" t="str">
        <f>HYPERLINK("http://141.218.60.56/~jnz1568/getInfo.php?workbook=12_05.xlsx&amp;sheet=U0&amp;row=3509&amp;col=7&amp;number=0.000634&amp;sourceID=14","0.000634")</f>
        <v>0.000634</v>
      </c>
    </row>
    <row r="3510" spans="1:7">
      <c r="A3510" s="3"/>
      <c r="B3510" s="3"/>
      <c r="C3510" s="3"/>
      <c r="D3510" s="3"/>
      <c r="E3510" s="3">
        <v>7</v>
      </c>
      <c r="F3510" s="4" t="str">
        <f>HYPERLINK("http://141.218.60.56/~jnz1568/getInfo.php?workbook=12_05.xlsx&amp;sheet=U0&amp;row=3510&amp;col=6&amp;number=3.6&amp;sourceID=14","3.6")</f>
        <v>3.6</v>
      </c>
      <c r="G3510" s="4" t="str">
        <f>HYPERLINK("http://141.218.60.56/~jnz1568/getInfo.php?workbook=12_05.xlsx&amp;sheet=U0&amp;row=3510&amp;col=7&amp;number=0.000634&amp;sourceID=14","0.000634")</f>
        <v>0.000634</v>
      </c>
    </row>
    <row r="3511" spans="1:7">
      <c r="A3511" s="3"/>
      <c r="B3511" s="3"/>
      <c r="C3511" s="3"/>
      <c r="D3511" s="3"/>
      <c r="E3511" s="3">
        <v>8</v>
      </c>
      <c r="F3511" s="4" t="str">
        <f>HYPERLINK("http://141.218.60.56/~jnz1568/getInfo.php?workbook=12_05.xlsx&amp;sheet=U0&amp;row=3511&amp;col=6&amp;number=3.7&amp;sourceID=14","3.7")</f>
        <v>3.7</v>
      </c>
      <c r="G3511" s="4" t="str">
        <f>HYPERLINK("http://141.218.60.56/~jnz1568/getInfo.php?workbook=12_05.xlsx&amp;sheet=U0&amp;row=3511&amp;col=7&amp;number=0.000634&amp;sourceID=14","0.000634")</f>
        <v>0.000634</v>
      </c>
    </row>
    <row r="3512" spans="1:7">
      <c r="A3512" s="3"/>
      <c r="B3512" s="3"/>
      <c r="C3512" s="3"/>
      <c r="D3512" s="3"/>
      <c r="E3512" s="3">
        <v>9</v>
      </c>
      <c r="F3512" s="4" t="str">
        <f>HYPERLINK("http://141.218.60.56/~jnz1568/getInfo.php?workbook=12_05.xlsx&amp;sheet=U0&amp;row=3512&amp;col=6&amp;number=3.8&amp;sourceID=14","3.8")</f>
        <v>3.8</v>
      </c>
      <c r="G3512" s="4" t="str">
        <f>HYPERLINK("http://141.218.60.56/~jnz1568/getInfo.php?workbook=12_05.xlsx&amp;sheet=U0&amp;row=3512&amp;col=7&amp;number=0.000635&amp;sourceID=14","0.000635")</f>
        <v>0.000635</v>
      </c>
    </row>
    <row r="3513" spans="1:7">
      <c r="A3513" s="3"/>
      <c r="B3513" s="3"/>
      <c r="C3513" s="3"/>
      <c r="D3513" s="3"/>
      <c r="E3513" s="3">
        <v>10</v>
      </c>
      <c r="F3513" s="4" t="str">
        <f>HYPERLINK("http://141.218.60.56/~jnz1568/getInfo.php?workbook=12_05.xlsx&amp;sheet=U0&amp;row=3513&amp;col=6&amp;number=3.9&amp;sourceID=14","3.9")</f>
        <v>3.9</v>
      </c>
      <c r="G3513" s="4" t="str">
        <f>HYPERLINK("http://141.218.60.56/~jnz1568/getInfo.php?workbook=12_05.xlsx&amp;sheet=U0&amp;row=3513&amp;col=7&amp;number=0.000635&amp;sourceID=14","0.000635")</f>
        <v>0.000635</v>
      </c>
    </row>
    <row r="3514" spans="1:7">
      <c r="A3514" s="3"/>
      <c r="B3514" s="3"/>
      <c r="C3514" s="3"/>
      <c r="D3514" s="3"/>
      <c r="E3514" s="3">
        <v>11</v>
      </c>
      <c r="F3514" s="4" t="str">
        <f>HYPERLINK("http://141.218.60.56/~jnz1568/getInfo.php?workbook=12_05.xlsx&amp;sheet=U0&amp;row=3514&amp;col=6&amp;number=4&amp;sourceID=14","4")</f>
        <v>4</v>
      </c>
      <c r="G3514" s="4" t="str">
        <f>HYPERLINK("http://141.218.60.56/~jnz1568/getInfo.php?workbook=12_05.xlsx&amp;sheet=U0&amp;row=3514&amp;col=7&amp;number=0.000636&amp;sourceID=14","0.000636")</f>
        <v>0.000636</v>
      </c>
    </row>
    <row r="3515" spans="1:7">
      <c r="A3515" s="3"/>
      <c r="B3515" s="3"/>
      <c r="C3515" s="3"/>
      <c r="D3515" s="3"/>
      <c r="E3515" s="3">
        <v>12</v>
      </c>
      <c r="F3515" s="4" t="str">
        <f>HYPERLINK("http://141.218.60.56/~jnz1568/getInfo.php?workbook=12_05.xlsx&amp;sheet=U0&amp;row=3515&amp;col=6&amp;number=4.1&amp;sourceID=14","4.1")</f>
        <v>4.1</v>
      </c>
      <c r="G3515" s="4" t="str">
        <f>HYPERLINK("http://141.218.60.56/~jnz1568/getInfo.php?workbook=12_05.xlsx&amp;sheet=U0&amp;row=3515&amp;col=7&amp;number=0.000637&amp;sourceID=14","0.000637")</f>
        <v>0.000637</v>
      </c>
    </row>
    <row r="3516" spans="1:7">
      <c r="A3516" s="3"/>
      <c r="B3516" s="3"/>
      <c r="C3516" s="3"/>
      <c r="D3516" s="3"/>
      <c r="E3516" s="3">
        <v>13</v>
      </c>
      <c r="F3516" s="4" t="str">
        <f>HYPERLINK("http://141.218.60.56/~jnz1568/getInfo.php?workbook=12_05.xlsx&amp;sheet=U0&amp;row=3516&amp;col=6&amp;number=4.2&amp;sourceID=14","4.2")</f>
        <v>4.2</v>
      </c>
      <c r="G3516" s="4" t="str">
        <f>HYPERLINK("http://141.218.60.56/~jnz1568/getInfo.php?workbook=12_05.xlsx&amp;sheet=U0&amp;row=3516&amp;col=7&amp;number=0.000638&amp;sourceID=14","0.000638")</f>
        <v>0.000638</v>
      </c>
    </row>
    <row r="3517" spans="1:7">
      <c r="A3517" s="3"/>
      <c r="B3517" s="3"/>
      <c r="C3517" s="3"/>
      <c r="D3517" s="3"/>
      <c r="E3517" s="3">
        <v>14</v>
      </c>
      <c r="F3517" s="4" t="str">
        <f>HYPERLINK("http://141.218.60.56/~jnz1568/getInfo.php?workbook=12_05.xlsx&amp;sheet=U0&amp;row=3517&amp;col=6&amp;number=4.3&amp;sourceID=14","4.3")</f>
        <v>4.3</v>
      </c>
      <c r="G3517" s="4" t="str">
        <f>HYPERLINK("http://141.218.60.56/~jnz1568/getInfo.php?workbook=12_05.xlsx&amp;sheet=U0&amp;row=3517&amp;col=7&amp;number=0.000639&amp;sourceID=14","0.000639")</f>
        <v>0.000639</v>
      </c>
    </row>
    <row r="3518" spans="1:7">
      <c r="A3518" s="3"/>
      <c r="B3518" s="3"/>
      <c r="C3518" s="3"/>
      <c r="D3518" s="3"/>
      <c r="E3518" s="3">
        <v>15</v>
      </c>
      <c r="F3518" s="4" t="str">
        <f>HYPERLINK("http://141.218.60.56/~jnz1568/getInfo.php?workbook=12_05.xlsx&amp;sheet=U0&amp;row=3518&amp;col=6&amp;number=4.4&amp;sourceID=14","4.4")</f>
        <v>4.4</v>
      </c>
      <c r="G3518" s="4" t="str">
        <f>HYPERLINK("http://141.218.60.56/~jnz1568/getInfo.php?workbook=12_05.xlsx&amp;sheet=U0&amp;row=3518&amp;col=7&amp;number=0.00064&amp;sourceID=14","0.00064")</f>
        <v>0.00064</v>
      </c>
    </row>
    <row r="3519" spans="1:7">
      <c r="A3519" s="3"/>
      <c r="B3519" s="3"/>
      <c r="C3519" s="3"/>
      <c r="D3519" s="3"/>
      <c r="E3519" s="3">
        <v>16</v>
      </c>
      <c r="F3519" s="4" t="str">
        <f>HYPERLINK("http://141.218.60.56/~jnz1568/getInfo.php?workbook=12_05.xlsx&amp;sheet=U0&amp;row=3519&amp;col=6&amp;number=4.5&amp;sourceID=14","4.5")</f>
        <v>4.5</v>
      </c>
      <c r="G3519" s="4" t="str">
        <f>HYPERLINK("http://141.218.60.56/~jnz1568/getInfo.php?workbook=12_05.xlsx&amp;sheet=U0&amp;row=3519&amp;col=7&amp;number=0.000642&amp;sourceID=14","0.000642")</f>
        <v>0.000642</v>
      </c>
    </row>
    <row r="3520" spans="1:7">
      <c r="A3520" s="3"/>
      <c r="B3520" s="3"/>
      <c r="C3520" s="3"/>
      <c r="D3520" s="3"/>
      <c r="E3520" s="3">
        <v>17</v>
      </c>
      <c r="F3520" s="4" t="str">
        <f>HYPERLINK("http://141.218.60.56/~jnz1568/getInfo.php?workbook=12_05.xlsx&amp;sheet=U0&amp;row=3520&amp;col=6&amp;number=4.6&amp;sourceID=14","4.6")</f>
        <v>4.6</v>
      </c>
      <c r="G3520" s="4" t="str">
        <f>HYPERLINK("http://141.218.60.56/~jnz1568/getInfo.php?workbook=12_05.xlsx&amp;sheet=U0&amp;row=3520&amp;col=7&amp;number=0.000645&amp;sourceID=14","0.000645")</f>
        <v>0.000645</v>
      </c>
    </row>
    <row r="3521" spans="1:7">
      <c r="A3521" s="3"/>
      <c r="B3521" s="3"/>
      <c r="C3521" s="3"/>
      <c r="D3521" s="3"/>
      <c r="E3521" s="3">
        <v>18</v>
      </c>
      <c r="F3521" s="4" t="str">
        <f>HYPERLINK("http://141.218.60.56/~jnz1568/getInfo.php?workbook=12_05.xlsx&amp;sheet=U0&amp;row=3521&amp;col=6&amp;number=4.7&amp;sourceID=14","4.7")</f>
        <v>4.7</v>
      </c>
      <c r="G3521" s="4" t="str">
        <f>HYPERLINK("http://141.218.60.56/~jnz1568/getInfo.php?workbook=12_05.xlsx&amp;sheet=U0&amp;row=3521&amp;col=7&amp;number=0.000648&amp;sourceID=14","0.000648")</f>
        <v>0.000648</v>
      </c>
    </row>
    <row r="3522" spans="1:7">
      <c r="A3522" s="3"/>
      <c r="B3522" s="3"/>
      <c r="C3522" s="3"/>
      <c r="D3522" s="3"/>
      <c r="E3522" s="3">
        <v>19</v>
      </c>
      <c r="F3522" s="4" t="str">
        <f>HYPERLINK("http://141.218.60.56/~jnz1568/getInfo.php?workbook=12_05.xlsx&amp;sheet=U0&amp;row=3522&amp;col=6&amp;number=4.8&amp;sourceID=14","4.8")</f>
        <v>4.8</v>
      </c>
      <c r="G3522" s="4" t="str">
        <f>HYPERLINK("http://141.218.60.56/~jnz1568/getInfo.php?workbook=12_05.xlsx&amp;sheet=U0&amp;row=3522&amp;col=7&amp;number=0.000652&amp;sourceID=14","0.000652")</f>
        <v>0.000652</v>
      </c>
    </row>
    <row r="3523" spans="1:7">
      <c r="A3523" s="3"/>
      <c r="B3523" s="3"/>
      <c r="C3523" s="3"/>
      <c r="D3523" s="3"/>
      <c r="E3523" s="3">
        <v>20</v>
      </c>
      <c r="F3523" s="4" t="str">
        <f>HYPERLINK("http://141.218.60.56/~jnz1568/getInfo.php?workbook=12_05.xlsx&amp;sheet=U0&amp;row=3523&amp;col=6&amp;number=4.9&amp;sourceID=14","4.9")</f>
        <v>4.9</v>
      </c>
      <c r="G3523" s="4" t="str">
        <f>HYPERLINK("http://141.218.60.56/~jnz1568/getInfo.php?workbook=12_05.xlsx&amp;sheet=U0&amp;row=3523&amp;col=7&amp;number=0.000657&amp;sourceID=14","0.000657")</f>
        <v>0.000657</v>
      </c>
    </row>
    <row r="3524" spans="1:7">
      <c r="A3524" s="3">
        <v>12</v>
      </c>
      <c r="B3524" s="3">
        <v>5</v>
      </c>
      <c r="C3524" s="3">
        <v>2</v>
      </c>
      <c r="D3524" s="3">
        <v>29</v>
      </c>
      <c r="E3524" s="3">
        <v>1</v>
      </c>
      <c r="F3524" s="4" t="str">
        <f>HYPERLINK("http://141.218.60.56/~jnz1568/getInfo.php?workbook=12_05.xlsx&amp;sheet=U0&amp;row=3524&amp;col=6&amp;number=3&amp;sourceID=14","3")</f>
        <v>3</v>
      </c>
      <c r="G3524" s="4" t="str">
        <f>HYPERLINK("http://141.218.60.56/~jnz1568/getInfo.php?workbook=12_05.xlsx&amp;sheet=U0&amp;row=3524&amp;col=7&amp;number=0.0008&amp;sourceID=14","0.0008")</f>
        <v>0.0008</v>
      </c>
    </row>
    <row r="3525" spans="1:7">
      <c r="A3525" s="3"/>
      <c r="B3525" s="3"/>
      <c r="C3525" s="3"/>
      <c r="D3525" s="3"/>
      <c r="E3525" s="3">
        <v>2</v>
      </c>
      <c r="F3525" s="4" t="str">
        <f>HYPERLINK("http://141.218.60.56/~jnz1568/getInfo.php?workbook=12_05.xlsx&amp;sheet=U0&amp;row=3525&amp;col=6&amp;number=3.1&amp;sourceID=14","3.1")</f>
        <v>3.1</v>
      </c>
      <c r="G3525" s="4" t="str">
        <f>HYPERLINK("http://141.218.60.56/~jnz1568/getInfo.php?workbook=12_05.xlsx&amp;sheet=U0&amp;row=3525&amp;col=7&amp;number=0.0008&amp;sourceID=14","0.0008")</f>
        <v>0.0008</v>
      </c>
    </row>
    <row r="3526" spans="1:7">
      <c r="A3526" s="3"/>
      <c r="B3526" s="3"/>
      <c r="C3526" s="3"/>
      <c r="D3526" s="3"/>
      <c r="E3526" s="3">
        <v>3</v>
      </c>
      <c r="F3526" s="4" t="str">
        <f>HYPERLINK("http://141.218.60.56/~jnz1568/getInfo.php?workbook=12_05.xlsx&amp;sheet=U0&amp;row=3526&amp;col=6&amp;number=3.2&amp;sourceID=14","3.2")</f>
        <v>3.2</v>
      </c>
      <c r="G3526" s="4" t="str">
        <f>HYPERLINK("http://141.218.60.56/~jnz1568/getInfo.php?workbook=12_05.xlsx&amp;sheet=U0&amp;row=3526&amp;col=7&amp;number=0.0008&amp;sourceID=14","0.0008")</f>
        <v>0.0008</v>
      </c>
    </row>
    <row r="3527" spans="1:7">
      <c r="A3527" s="3"/>
      <c r="B3527" s="3"/>
      <c r="C3527" s="3"/>
      <c r="D3527" s="3"/>
      <c r="E3527" s="3">
        <v>4</v>
      </c>
      <c r="F3527" s="4" t="str">
        <f>HYPERLINK("http://141.218.60.56/~jnz1568/getInfo.php?workbook=12_05.xlsx&amp;sheet=U0&amp;row=3527&amp;col=6&amp;number=3.3&amp;sourceID=14","3.3")</f>
        <v>3.3</v>
      </c>
      <c r="G3527" s="4" t="str">
        <f>HYPERLINK("http://141.218.60.56/~jnz1568/getInfo.php?workbook=12_05.xlsx&amp;sheet=U0&amp;row=3527&amp;col=7&amp;number=0.0008&amp;sourceID=14","0.0008")</f>
        <v>0.0008</v>
      </c>
    </row>
    <row r="3528" spans="1:7">
      <c r="A3528" s="3"/>
      <c r="B3528" s="3"/>
      <c r="C3528" s="3"/>
      <c r="D3528" s="3"/>
      <c r="E3528" s="3">
        <v>5</v>
      </c>
      <c r="F3528" s="4" t="str">
        <f>HYPERLINK("http://141.218.60.56/~jnz1568/getInfo.php?workbook=12_05.xlsx&amp;sheet=U0&amp;row=3528&amp;col=6&amp;number=3.4&amp;sourceID=14","3.4")</f>
        <v>3.4</v>
      </c>
      <c r="G3528" s="4" t="str">
        <f>HYPERLINK("http://141.218.60.56/~jnz1568/getInfo.php?workbook=12_05.xlsx&amp;sheet=U0&amp;row=3528&amp;col=7&amp;number=0.0008&amp;sourceID=14","0.0008")</f>
        <v>0.0008</v>
      </c>
    </row>
    <row r="3529" spans="1:7">
      <c r="A3529" s="3"/>
      <c r="B3529" s="3"/>
      <c r="C3529" s="3"/>
      <c r="D3529" s="3"/>
      <c r="E3529" s="3">
        <v>6</v>
      </c>
      <c r="F3529" s="4" t="str">
        <f>HYPERLINK("http://141.218.60.56/~jnz1568/getInfo.php?workbook=12_05.xlsx&amp;sheet=U0&amp;row=3529&amp;col=6&amp;number=3.5&amp;sourceID=14","3.5")</f>
        <v>3.5</v>
      </c>
      <c r="G3529" s="4" t="str">
        <f>HYPERLINK("http://141.218.60.56/~jnz1568/getInfo.php?workbook=12_05.xlsx&amp;sheet=U0&amp;row=3529&amp;col=7&amp;number=0.0008&amp;sourceID=14","0.0008")</f>
        <v>0.0008</v>
      </c>
    </row>
    <row r="3530" spans="1:7">
      <c r="A3530" s="3"/>
      <c r="B3530" s="3"/>
      <c r="C3530" s="3"/>
      <c r="D3530" s="3"/>
      <c r="E3530" s="3">
        <v>7</v>
      </c>
      <c r="F3530" s="4" t="str">
        <f>HYPERLINK("http://141.218.60.56/~jnz1568/getInfo.php?workbook=12_05.xlsx&amp;sheet=U0&amp;row=3530&amp;col=6&amp;number=3.6&amp;sourceID=14","3.6")</f>
        <v>3.6</v>
      </c>
      <c r="G3530" s="4" t="str">
        <f>HYPERLINK("http://141.218.60.56/~jnz1568/getInfo.php?workbook=12_05.xlsx&amp;sheet=U0&amp;row=3530&amp;col=7&amp;number=0.0008&amp;sourceID=14","0.0008")</f>
        <v>0.0008</v>
      </c>
    </row>
    <row r="3531" spans="1:7">
      <c r="A3531" s="3"/>
      <c r="B3531" s="3"/>
      <c r="C3531" s="3"/>
      <c r="D3531" s="3"/>
      <c r="E3531" s="3">
        <v>8</v>
      </c>
      <c r="F3531" s="4" t="str">
        <f>HYPERLINK("http://141.218.60.56/~jnz1568/getInfo.php?workbook=12_05.xlsx&amp;sheet=U0&amp;row=3531&amp;col=6&amp;number=3.7&amp;sourceID=14","3.7")</f>
        <v>3.7</v>
      </c>
      <c r="G3531" s="4" t="str">
        <f>HYPERLINK("http://141.218.60.56/~jnz1568/getInfo.php?workbook=12_05.xlsx&amp;sheet=U0&amp;row=3531&amp;col=7&amp;number=0.000801&amp;sourceID=14","0.000801")</f>
        <v>0.000801</v>
      </c>
    </row>
    <row r="3532" spans="1:7">
      <c r="A3532" s="3"/>
      <c r="B3532" s="3"/>
      <c r="C3532" s="3"/>
      <c r="D3532" s="3"/>
      <c r="E3532" s="3">
        <v>9</v>
      </c>
      <c r="F3532" s="4" t="str">
        <f>HYPERLINK("http://141.218.60.56/~jnz1568/getInfo.php?workbook=12_05.xlsx&amp;sheet=U0&amp;row=3532&amp;col=6&amp;number=3.8&amp;sourceID=14","3.8")</f>
        <v>3.8</v>
      </c>
      <c r="G3532" s="4" t="str">
        <f>HYPERLINK("http://141.218.60.56/~jnz1568/getInfo.php?workbook=12_05.xlsx&amp;sheet=U0&amp;row=3532&amp;col=7&amp;number=0.000801&amp;sourceID=14","0.000801")</f>
        <v>0.000801</v>
      </c>
    </row>
    <row r="3533" spans="1:7">
      <c r="A3533" s="3"/>
      <c r="B3533" s="3"/>
      <c r="C3533" s="3"/>
      <c r="D3533" s="3"/>
      <c r="E3533" s="3">
        <v>10</v>
      </c>
      <c r="F3533" s="4" t="str">
        <f>HYPERLINK("http://141.218.60.56/~jnz1568/getInfo.php?workbook=12_05.xlsx&amp;sheet=U0&amp;row=3533&amp;col=6&amp;number=3.9&amp;sourceID=14","3.9")</f>
        <v>3.9</v>
      </c>
      <c r="G3533" s="4" t="str">
        <f>HYPERLINK("http://141.218.60.56/~jnz1568/getInfo.php?workbook=12_05.xlsx&amp;sheet=U0&amp;row=3533&amp;col=7&amp;number=0.000801&amp;sourceID=14","0.000801")</f>
        <v>0.000801</v>
      </c>
    </row>
    <row r="3534" spans="1:7">
      <c r="A3534" s="3"/>
      <c r="B3534" s="3"/>
      <c r="C3534" s="3"/>
      <c r="D3534" s="3"/>
      <c r="E3534" s="3">
        <v>11</v>
      </c>
      <c r="F3534" s="4" t="str">
        <f>HYPERLINK("http://141.218.60.56/~jnz1568/getInfo.php?workbook=12_05.xlsx&amp;sheet=U0&amp;row=3534&amp;col=6&amp;number=4&amp;sourceID=14","4")</f>
        <v>4</v>
      </c>
      <c r="G3534" s="4" t="str">
        <f>HYPERLINK("http://141.218.60.56/~jnz1568/getInfo.php?workbook=12_05.xlsx&amp;sheet=U0&amp;row=3534&amp;col=7&amp;number=0.000802&amp;sourceID=14","0.000802")</f>
        <v>0.000802</v>
      </c>
    </row>
    <row r="3535" spans="1:7">
      <c r="A3535" s="3"/>
      <c r="B3535" s="3"/>
      <c r="C3535" s="3"/>
      <c r="D3535" s="3"/>
      <c r="E3535" s="3">
        <v>12</v>
      </c>
      <c r="F3535" s="4" t="str">
        <f>HYPERLINK("http://141.218.60.56/~jnz1568/getInfo.php?workbook=12_05.xlsx&amp;sheet=U0&amp;row=3535&amp;col=6&amp;number=4.1&amp;sourceID=14","4.1")</f>
        <v>4.1</v>
      </c>
      <c r="G3535" s="4" t="str">
        <f>HYPERLINK("http://141.218.60.56/~jnz1568/getInfo.php?workbook=12_05.xlsx&amp;sheet=U0&amp;row=3535&amp;col=7&amp;number=0.000802&amp;sourceID=14","0.000802")</f>
        <v>0.000802</v>
      </c>
    </row>
    <row r="3536" spans="1:7">
      <c r="A3536" s="3"/>
      <c r="B3536" s="3"/>
      <c r="C3536" s="3"/>
      <c r="D3536" s="3"/>
      <c r="E3536" s="3">
        <v>13</v>
      </c>
      <c r="F3536" s="4" t="str">
        <f>HYPERLINK("http://141.218.60.56/~jnz1568/getInfo.php?workbook=12_05.xlsx&amp;sheet=U0&amp;row=3536&amp;col=6&amp;number=4.2&amp;sourceID=14","4.2")</f>
        <v>4.2</v>
      </c>
      <c r="G3536" s="4" t="str">
        <f>HYPERLINK("http://141.218.60.56/~jnz1568/getInfo.php?workbook=12_05.xlsx&amp;sheet=U0&amp;row=3536&amp;col=7&amp;number=0.000803&amp;sourceID=14","0.000803")</f>
        <v>0.000803</v>
      </c>
    </row>
    <row r="3537" spans="1:7">
      <c r="A3537" s="3"/>
      <c r="B3537" s="3"/>
      <c r="C3537" s="3"/>
      <c r="D3537" s="3"/>
      <c r="E3537" s="3">
        <v>14</v>
      </c>
      <c r="F3537" s="4" t="str">
        <f>HYPERLINK("http://141.218.60.56/~jnz1568/getInfo.php?workbook=12_05.xlsx&amp;sheet=U0&amp;row=3537&amp;col=6&amp;number=4.3&amp;sourceID=14","4.3")</f>
        <v>4.3</v>
      </c>
      <c r="G3537" s="4" t="str">
        <f>HYPERLINK("http://141.218.60.56/~jnz1568/getInfo.php?workbook=12_05.xlsx&amp;sheet=U0&amp;row=3537&amp;col=7&amp;number=0.000804&amp;sourceID=14","0.000804")</f>
        <v>0.000804</v>
      </c>
    </row>
    <row r="3538" spans="1:7">
      <c r="A3538" s="3"/>
      <c r="B3538" s="3"/>
      <c r="C3538" s="3"/>
      <c r="D3538" s="3"/>
      <c r="E3538" s="3">
        <v>15</v>
      </c>
      <c r="F3538" s="4" t="str">
        <f>HYPERLINK("http://141.218.60.56/~jnz1568/getInfo.php?workbook=12_05.xlsx&amp;sheet=U0&amp;row=3538&amp;col=6&amp;number=4.4&amp;sourceID=14","4.4")</f>
        <v>4.4</v>
      </c>
      <c r="G3538" s="4" t="str">
        <f>HYPERLINK("http://141.218.60.56/~jnz1568/getInfo.php?workbook=12_05.xlsx&amp;sheet=U0&amp;row=3538&amp;col=7&amp;number=0.000805&amp;sourceID=14","0.000805")</f>
        <v>0.000805</v>
      </c>
    </row>
    <row r="3539" spans="1:7">
      <c r="A3539" s="3"/>
      <c r="B3539" s="3"/>
      <c r="C3539" s="3"/>
      <c r="D3539" s="3"/>
      <c r="E3539" s="3">
        <v>16</v>
      </c>
      <c r="F3539" s="4" t="str">
        <f>HYPERLINK("http://141.218.60.56/~jnz1568/getInfo.php?workbook=12_05.xlsx&amp;sheet=U0&amp;row=3539&amp;col=6&amp;number=4.5&amp;sourceID=14","4.5")</f>
        <v>4.5</v>
      </c>
      <c r="G3539" s="4" t="str">
        <f>HYPERLINK("http://141.218.60.56/~jnz1568/getInfo.php?workbook=12_05.xlsx&amp;sheet=U0&amp;row=3539&amp;col=7&amp;number=0.000807&amp;sourceID=14","0.000807")</f>
        <v>0.000807</v>
      </c>
    </row>
    <row r="3540" spans="1:7">
      <c r="A3540" s="3"/>
      <c r="B3540" s="3"/>
      <c r="C3540" s="3"/>
      <c r="D3540" s="3"/>
      <c r="E3540" s="3">
        <v>17</v>
      </c>
      <c r="F3540" s="4" t="str">
        <f>HYPERLINK("http://141.218.60.56/~jnz1568/getInfo.php?workbook=12_05.xlsx&amp;sheet=U0&amp;row=3540&amp;col=6&amp;number=4.6&amp;sourceID=14","4.6")</f>
        <v>4.6</v>
      </c>
      <c r="G3540" s="4" t="str">
        <f>HYPERLINK("http://141.218.60.56/~jnz1568/getInfo.php?workbook=12_05.xlsx&amp;sheet=U0&amp;row=3540&amp;col=7&amp;number=0.000808&amp;sourceID=14","0.000808")</f>
        <v>0.000808</v>
      </c>
    </row>
    <row r="3541" spans="1:7">
      <c r="A3541" s="3"/>
      <c r="B3541" s="3"/>
      <c r="C3541" s="3"/>
      <c r="D3541" s="3"/>
      <c r="E3541" s="3">
        <v>18</v>
      </c>
      <c r="F3541" s="4" t="str">
        <f>HYPERLINK("http://141.218.60.56/~jnz1568/getInfo.php?workbook=12_05.xlsx&amp;sheet=U0&amp;row=3541&amp;col=6&amp;number=4.7&amp;sourceID=14","4.7")</f>
        <v>4.7</v>
      </c>
      <c r="G3541" s="4" t="str">
        <f>HYPERLINK("http://141.218.60.56/~jnz1568/getInfo.php?workbook=12_05.xlsx&amp;sheet=U0&amp;row=3541&amp;col=7&amp;number=0.000811&amp;sourceID=14","0.000811")</f>
        <v>0.000811</v>
      </c>
    </row>
    <row r="3542" spans="1:7">
      <c r="A3542" s="3"/>
      <c r="B3542" s="3"/>
      <c r="C3542" s="3"/>
      <c r="D3542" s="3"/>
      <c r="E3542" s="3">
        <v>19</v>
      </c>
      <c r="F3542" s="4" t="str">
        <f>HYPERLINK("http://141.218.60.56/~jnz1568/getInfo.php?workbook=12_05.xlsx&amp;sheet=U0&amp;row=3542&amp;col=6&amp;number=4.8&amp;sourceID=14","4.8")</f>
        <v>4.8</v>
      </c>
      <c r="G3542" s="4" t="str">
        <f>HYPERLINK("http://141.218.60.56/~jnz1568/getInfo.php?workbook=12_05.xlsx&amp;sheet=U0&amp;row=3542&amp;col=7&amp;number=0.000814&amp;sourceID=14","0.000814")</f>
        <v>0.000814</v>
      </c>
    </row>
    <row r="3543" spans="1:7">
      <c r="A3543" s="3"/>
      <c r="B3543" s="3"/>
      <c r="C3543" s="3"/>
      <c r="D3543" s="3"/>
      <c r="E3543" s="3">
        <v>20</v>
      </c>
      <c r="F3543" s="4" t="str">
        <f>HYPERLINK("http://141.218.60.56/~jnz1568/getInfo.php?workbook=12_05.xlsx&amp;sheet=U0&amp;row=3543&amp;col=6&amp;number=4.9&amp;sourceID=14","4.9")</f>
        <v>4.9</v>
      </c>
      <c r="G3543" s="4" t="str">
        <f>HYPERLINK("http://141.218.60.56/~jnz1568/getInfo.php?workbook=12_05.xlsx&amp;sheet=U0&amp;row=3543&amp;col=7&amp;number=0.000817&amp;sourceID=14","0.000817")</f>
        <v>0.000817</v>
      </c>
    </row>
    <row r="3544" spans="1:7">
      <c r="A3544" s="3">
        <v>12</v>
      </c>
      <c r="B3544" s="3">
        <v>5</v>
      </c>
      <c r="C3544" s="3">
        <v>2</v>
      </c>
      <c r="D3544" s="3">
        <v>30</v>
      </c>
      <c r="E3544" s="3">
        <v>1</v>
      </c>
      <c r="F3544" s="4" t="str">
        <f>HYPERLINK("http://141.218.60.56/~jnz1568/getInfo.php?workbook=12_05.xlsx&amp;sheet=U0&amp;row=3544&amp;col=6&amp;number=3&amp;sourceID=14","3")</f>
        <v>3</v>
      </c>
      <c r="G3544" s="4" t="str">
        <f>HYPERLINK("http://141.218.60.56/~jnz1568/getInfo.php?workbook=12_05.xlsx&amp;sheet=U0&amp;row=3544&amp;col=7&amp;number=0.00101&amp;sourceID=14","0.00101")</f>
        <v>0.00101</v>
      </c>
    </row>
    <row r="3545" spans="1:7">
      <c r="A3545" s="3"/>
      <c r="B3545" s="3"/>
      <c r="C3545" s="3"/>
      <c r="D3545" s="3"/>
      <c r="E3545" s="3">
        <v>2</v>
      </c>
      <c r="F3545" s="4" t="str">
        <f>HYPERLINK("http://141.218.60.56/~jnz1568/getInfo.php?workbook=12_05.xlsx&amp;sheet=U0&amp;row=3545&amp;col=6&amp;number=3.1&amp;sourceID=14","3.1")</f>
        <v>3.1</v>
      </c>
      <c r="G3545" s="4" t="str">
        <f>HYPERLINK("http://141.218.60.56/~jnz1568/getInfo.php?workbook=12_05.xlsx&amp;sheet=U0&amp;row=3545&amp;col=7&amp;number=0.00101&amp;sourceID=14","0.00101")</f>
        <v>0.00101</v>
      </c>
    </row>
    <row r="3546" spans="1:7">
      <c r="A3546" s="3"/>
      <c r="B3546" s="3"/>
      <c r="C3546" s="3"/>
      <c r="D3546" s="3"/>
      <c r="E3546" s="3">
        <v>3</v>
      </c>
      <c r="F3546" s="4" t="str">
        <f>HYPERLINK("http://141.218.60.56/~jnz1568/getInfo.php?workbook=12_05.xlsx&amp;sheet=U0&amp;row=3546&amp;col=6&amp;number=3.2&amp;sourceID=14","3.2")</f>
        <v>3.2</v>
      </c>
      <c r="G3546" s="4" t="str">
        <f>HYPERLINK("http://141.218.60.56/~jnz1568/getInfo.php?workbook=12_05.xlsx&amp;sheet=U0&amp;row=3546&amp;col=7&amp;number=0.00101&amp;sourceID=14","0.00101")</f>
        <v>0.00101</v>
      </c>
    </row>
    <row r="3547" spans="1:7">
      <c r="A3547" s="3"/>
      <c r="B3547" s="3"/>
      <c r="C3547" s="3"/>
      <c r="D3547" s="3"/>
      <c r="E3547" s="3">
        <v>4</v>
      </c>
      <c r="F3547" s="4" t="str">
        <f>HYPERLINK("http://141.218.60.56/~jnz1568/getInfo.php?workbook=12_05.xlsx&amp;sheet=U0&amp;row=3547&amp;col=6&amp;number=3.3&amp;sourceID=14","3.3")</f>
        <v>3.3</v>
      </c>
      <c r="G3547" s="4" t="str">
        <f>HYPERLINK("http://141.218.60.56/~jnz1568/getInfo.php?workbook=12_05.xlsx&amp;sheet=U0&amp;row=3547&amp;col=7&amp;number=0.00101&amp;sourceID=14","0.00101")</f>
        <v>0.00101</v>
      </c>
    </row>
    <row r="3548" spans="1:7">
      <c r="A3548" s="3"/>
      <c r="B3548" s="3"/>
      <c r="C3548" s="3"/>
      <c r="D3548" s="3"/>
      <c r="E3548" s="3">
        <v>5</v>
      </c>
      <c r="F3548" s="4" t="str">
        <f>HYPERLINK("http://141.218.60.56/~jnz1568/getInfo.php?workbook=12_05.xlsx&amp;sheet=U0&amp;row=3548&amp;col=6&amp;number=3.4&amp;sourceID=14","3.4")</f>
        <v>3.4</v>
      </c>
      <c r="G3548" s="4" t="str">
        <f>HYPERLINK("http://141.218.60.56/~jnz1568/getInfo.php?workbook=12_05.xlsx&amp;sheet=U0&amp;row=3548&amp;col=7&amp;number=0.00101&amp;sourceID=14","0.00101")</f>
        <v>0.00101</v>
      </c>
    </row>
    <row r="3549" spans="1:7">
      <c r="A3549" s="3"/>
      <c r="B3549" s="3"/>
      <c r="C3549" s="3"/>
      <c r="D3549" s="3"/>
      <c r="E3549" s="3">
        <v>6</v>
      </c>
      <c r="F3549" s="4" t="str">
        <f>HYPERLINK("http://141.218.60.56/~jnz1568/getInfo.php?workbook=12_05.xlsx&amp;sheet=U0&amp;row=3549&amp;col=6&amp;number=3.5&amp;sourceID=14","3.5")</f>
        <v>3.5</v>
      </c>
      <c r="G3549" s="4" t="str">
        <f>HYPERLINK("http://141.218.60.56/~jnz1568/getInfo.php?workbook=12_05.xlsx&amp;sheet=U0&amp;row=3549&amp;col=7&amp;number=0.00101&amp;sourceID=14","0.00101")</f>
        <v>0.00101</v>
      </c>
    </row>
    <row r="3550" spans="1:7">
      <c r="A3550" s="3"/>
      <c r="B3550" s="3"/>
      <c r="C3550" s="3"/>
      <c r="D3550" s="3"/>
      <c r="E3550" s="3">
        <v>7</v>
      </c>
      <c r="F3550" s="4" t="str">
        <f>HYPERLINK("http://141.218.60.56/~jnz1568/getInfo.php?workbook=12_05.xlsx&amp;sheet=U0&amp;row=3550&amp;col=6&amp;number=3.6&amp;sourceID=14","3.6")</f>
        <v>3.6</v>
      </c>
      <c r="G3550" s="4" t="str">
        <f>HYPERLINK("http://141.218.60.56/~jnz1568/getInfo.php?workbook=12_05.xlsx&amp;sheet=U0&amp;row=3550&amp;col=7&amp;number=0.00101&amp;sourceID=14","0.00101")</f>
        <v>0.00101</v>
      </c>
    </row>
    <row r="3551" spans="1:7">
      <c r="A3551" s="3"/>
      <c r="B3551" s="3"/>
      <c r="C3551" s="3"/>
      <c r="D3551" s="3"/>
      <c r="E3551" s="3">
        <v>8</v>
      </c>
      <c r="F3551" s="4" t="str">
        <f>HYPERLINK("http://141.218.60.56/~jnz1568/getInfo.php?workbook=12_05.xlsx&amp;sheet=U0&amp;row=3551&amp;col=6&amp;number=3.7&amp;sourceID=14","3.7")</f>
        <v>3.7</v>
      </c>
      <c r="G3551" s="4" t="str">
        <f>HYPERLINK("http://141.218.60.56/~jnz1568/getInfo.php?workbook=12_05.xlsx&amp;sheet=U0&amp;row=3551&amp;col=7&amp;number=0.00101&amp;sourceID=14","0.00101")</f>
        <v>0.00101</v>
      </c>
    </row>
    <row r="3552" spans="1:7">
      <c r="A3552" s="3"/>
      <c r="B3552" s="3"/>
      <c r="C3552" s="3"/>
      <c r="D3552" s="3"/>
      <c r="E3552" s="3">
        <v>9</v>
      </c>
      <c r="F3552" s="4" t="str">
        <f>HYPERLINK("http://141.218.60.56/~jnz1568/getInfo.php?workbook=12_05.xlsx&amp;sheet=U0&amp;row=3552&amp;col=6&amp;number=3.8&amp;sourceID=14","3.8")</f>
        <v>3.8</v>
      </c>
      <c r="G3552" s="4" t="str">
        <f>HYPERLINK("http://141.218.60.56/~jnz1568/getInfo.php?workbook=12_05.xlsx&amp;sheet=U0&amp;row=3552&amp;col=7&amp;number=0.00101&amp;sourceID=14","0.00101")</f>
        <v>0.00101</v>
      </c>
    </row>
    <row r="3553" spans="1:7">
      <c r="A3553" s="3"/>
      <c r="B3553" s="3"/>
      <c r="C3553" s="3"/>
      <c r="D3553" s="3"/>
      <c r="E3553" s="3">
        <v>10</v>
      </c>
      <c r="F3553" s="4" t="str">
        <f>HYPERLINK("http://141.218.60.56/~jnz1568/getInfo.php?workbook=12_05.xlsx&amp;sheet=U0&amp;row=3553&amp;col=6&amp;number=3.9&amp;sourceID=14","3.9")</f>
        <v>3.9</v>
      </c>
      <c r="G3553" s="4" t="str">
        <f>HYPERLINK("http://141.218.60.56/~jnz1568/getInfo.php?workbook=12_05.xlsx&amp;sheet=U0&amp;row=3553&amp;col=7&amp;number=0.00101&amp;sourceID=14","0.00101")</f>
        <v>0.00101</v>
      </c>
    </row>
    <row r="3554" spans="1:7">
      <c r="A3554" s="3"/>
      <c r="B3554" s="3"/>
      <c r="C3554" s="3"/>
      <c r="D3554" s="3"/>
      <c r="E3554" s="3">
        <v>11</v>
      </c>
      <c r="F3554" s="4" t="str">
        <f>HYPERLINK("http://141.218.60.56/~jnz1568/getInfo.php?workbook=12_05.xlsx&amp;sheet=U0&amp;row=3554&amp;col=6&amp;number=4&amp;sourceID=14","4")</f>
        <v>4</v>
      </c>
      <c r="G3554" s="4" t="str">
        <f>HYPERLINK("http://141.218.60.56/~jnz1568/getInfo.php?workbook=12_05.xlsx&amp;sheet=U0&amp;row=3554&amp;col=7&amp;number=0.00101&amp;sourceID=14","0.00101")</f>
        <v>0.00101</v>
      </c>
    </row>
    <row r="3555" spans="1:7">
      <c r="A3555" s="3"/>
      <c r="B3555" s="3"/>
      <c r="C3555" s="3"/>
      <c r="D3555" s="3"/>
      <c r="E3555" s="3">
        <v>12</v>
      </c>
      <c r="F3555" s="4" t="str">
        <f>HYPERLINK("http://141.218.60.56/~jnz1568/getInfo.php?workbook=12_05.xlsx&amp;sheet=U0&amp;row=3555&amp;col=6&amp;number=4.1&amp;sourceID=14","4.1")</f>
        <v>4.1</v>
      </c>
      <c r="G3555" s="4" t="str">
        <f>HYPERLINK("http://141.218.60.56/~jnz1568/getInfo.php?workbook=12_05.xlsx&amp;sheet=U0&amp;row=3555&amp;col=7&amp;number=0.00101&amp;sourceID=14","0.00101")</f>
        <v>0.00101</v>
      </c>
    </row>
    <row r="3556" spans="1:7">
      <c r="A3556" s="3"/>
      <c r="B3556" s="3"/>
      <c r="C3556" s="3"/>
      <c r="D3556" s="3"/>
      <c r="E3556" s="3">
        <v>13</v>
      </c>
      <c r="F3556" s="4" t="str">
        <f>HYPERLINK("http://141.218.60.56/~jnz1568/getInfo.php?workbook=12_05.xlsx&amp;sheet=U0&amp;row=3556&amp;col=6&amp;number=4.2&amp;sourceID=14","4.2")</f>
        <v>4.2</v>
      </c>
      <c r="G3556" s="4" t="str">
        <f>HYPERLINK("http://141.218.60.56/~jnz1568/getInfo.php?workbook=12_05.xlsx&amp;sheet=U0&amp;row=3556&amp;col=7&amp;number=0.00102&amp;sourceID=14","0.00102")</f>
        <v>0.00102</v>
      </c>
    </row>
    <row r="3557" spans="1:7">
      <c r="A3557" s="3"/>
      <c r="B3557" s="3"/>
      <c r="C3557" s="3"/>
      <c r="D3557" s="3"/>
      <c r="E3557" s="3">
        <v>14</v>
      </c>
      <c r="F3557" s="4" t="str">
        <f>HYPERLINK("http://141.218.60.56/~jnz1568/getInfo.php?workbook=12_05.xlsx&amp;sheet=U0&amp;row=3557&amp;col=6&amp;number=4.3&amp;sourceID=14","4.3")</f>
        <v>4.3</v>
      </c>
      <c r="G3557" s="4" t="str">
        <f>HYPERLINK("http://141.218.60.56/~jnz1568/getInfo.php?workbook=12_05.xlsx&amp;sheet=U0&amp;row=3557&amp;col=7&amp;number=0.00102&amp;sourceID=14","0.00102")</f>
        <v>0.00102</v>
      </c>
    </row>
    <row r="3558" spans="1:7">
      <c r="A3558" s="3"/>
      <c r="B3558" s="3"/>
      <c r="C3558" s="3"/>
      <c r="D3558" s="3"/>
      <c r="E3558" s="3">
        <v>15</v>
      </c>
      <c r="F3558" s="4" t="str">
        <f>HYPERLINK("http://141.218.60.56/~jnz1568/getInfo.php?workbook=12_05.xlsx&amp;sheet=U0&amp;row=3558&amp;col=6&amp;number=4.4&amp;sourceID=14","4.4")</f>
        <v>4.4</v>
      </c>
      <c r="G3558" s="4" t="str">
        <f>HYPERLINK("http://141.218.60.56/~jnz1568/getInfo.php?workbook=12_05.xlsx&amp;sheet=U0&amp;row=3558&amp;col=7&amp;number=0.00102&amp;sourceID=14","0.00102")</f>
        <v>0.00102</v>
      </c>
    </row>
    <row r="3559" spans="1:7">
      <c r="A3559" s="3"/>
      <c r="B3559" s="3"/>
      <c r="C3559" s="3"/>
      <c r="D3559" s="3"/>
      <c r="E3559" s="3">
        <v>16</v>
      </c>
      <c r="F3559" s="4" t="str">
        <f>HYPERLINK("http://141.218.60.56/~jnz1568/getInfo.php?workbook=12_05.xlsx&amp;sheet=U0&amp;row=3559&amp;col=6&amp;number=4.5&amp;sourceID=14","4.5")</f>
        <v>4.5</v>
      </c>
      <c r="G3559" s="4" t="str">
        <f>HYPERLINK("http://141.218.60.56/~jnz1568/getInfo.php?workbook=12_05.xlsx&amp;sheet=U0&amp;row=3559&amp;col=7&amp;number=0.00102&amp;sourceID=14","0.00102")</f>
        <v>0.00102</v>
      </c>
    </row>
    <row r="3560" spans="1:7">
      <c r="A3560" s="3"/>
      <c r="B3560" s="3"/>
      <c r="C3560" s="3"/>
      <c r="D3560" s="3"/>
      <c r="E3560" s="3">
        <v>17</v>
      </c>
      <c r="F3560" s="4" t="str">
        <f>HYPERLINK("http://141.218.60.56/~jnz1568/getInfo.php?workbook=12_05.xlsx&amp;sheet=U0&amp;row=3560&amp;col=6&amp;number=4.6&amp;sourceID=14","4.6")</f>
        <v>4.6</v>
      </c>
      <c r="G3560" s="4" t="str">
        <f>HYPERLINK("http://141.218.60.56/~jnz1568/getInfo.php?workbook=12_05.xlsx&amp;sheet=U0&amp;row=3560&amp;col=7&amp;number=0.00103&amp;sourceID=14","0.00103")</f>
        <v>0.00103</v>
      </c>
    </row>
    <row r="3561" spans="1:7">
      <c r="A3561" s="3"/>
      <c r="B3561" s="3"/>
      <c r="C3561" s="3"/>
      <c r="D3561" s="3"/>
      <c r="E3561" s="3">
        <v>18</v>
      </c>
      <c r="F3561" s="4" t="str">
        <f>HYPERLINK("http://141.218.60.56/~jnz1568/getInfo.php?workbook=12_05.xlsx&amp;sheet=U0&amp;row=3561&amp;col=6&amp;number=4.7&amp;sourceID=14","4.7")</f>
        <v>4.7</v>
      </c>
      <c r="G3561" s="4" t="str">
        <f>HYPERLINK("http://141.218.60.56/~jnz1568/getInfo.php?workbook=12_05.xlsx&amp;sheet=U0&amp;row=3561&amp;col=7&amp;number=0.00103&amp;sourceID=14","0.00103")</f>
        <v>0.00103</v>
      </c>
    </row>
    <row r="3562" spans="1:7">
      <c r="A3562" s="3"/>
      <c r="B3562" s="3"/>
      <c r="C3562" s="3"/>
      <c r="D3562" s="3"/>
      <c r="E3562" s="3">
        <v>19</v>
      </c>
      <c r="F3562" s="4" t="str">
        <f>HYPERLINK("http://141.218.60.56/~jnz1568/getInfo.php?workbook=12_05.xlsx&amp;sheet=U0&amp;row=3562&amp;col=6&amp;number=4.8&amp;sourceID=14","4.8")</f>
        <v>4.8</v>
      </c>
      <c r="G3562" s="4" t="str">
        <f>HYPERLINK("http://141.218.60.56/~jnz1568/getInfo.php?workbook=12_05.xlsx&amp;sheet=U0&amp;row=3562&amp;col=7&amp;number=0.00104&amp;sourceID=14","0.00104")</f>
        <v>0.00104</v>
      </c>
    </row>
    <row r="3563" spans="1:7">
      <c r="A3563" s="3"/>
      <c r="B3563" s="3"/>
      <c r="C3563" s="3"/>
      <c r="D3563" s="3"/>
      <c r="E3563" s="3">
        <v>20</v>
      </c>
      <c r="F3563" s="4" t="str">
        <f>HYPERLINK("http://141.218.60.56/~jnz1568/getInfo.php?workbook=12_05.xlsx&amp;sheet=U0&amp;row=3563&amp;col=6&amp;number=4.9&amp;sourceID=14","4.9")</f>
        <v>4.9</v>
      </c>
      <c r="G3563" s="4" t="str">
        <f>HYPERLINK("http://141.218.60.56/~jnz1568/getInfo.php?workbook=12_05.xlsx&amp;sheet=U0&amp;row=3563&amp;col=7&amp;number=0.00104&amp;sourceID=14","0.00104")</f>
        <v>0.00104</v>
      </c>
    </row>
    <row r="3564" spans="1:7">
      <c r="A3564" s="3">
        <v>12</v>
      </c>
      <c r="B3564" s="3">
        <v>5</v>
      </c>
      <c r="C3564" s="3">
        <v>2</v>
      </c>
      <c r="D3564" s="3">
        <v>31</v>
      </c>
      <c r="E3564" s="3">
        <v>1</v>
      </c>
      <c r="F3564" s="4" t="str">
        <f>HYPERLINK("http://141.218.60.56/~jnz1568/getInfo.php?workbook=12_05.xlsx&amp;sheet=U0&amp;row=3564&amp;col=6&amp;number=3&amp;sourceID=14","3")</f>
        <v>3</v>
      </c>
      <c r="G3564" s="4" t="str">
        <f>HYPERLINK("http://141.218.60.56/~jnz1568/getInfo.php?workbook=12_05.xlsx&amp;sheet=U0&amp;row=3564&amp;col=7&amp;number=0.102&amp;sourceID=14","0.102")</f>
        <v>0.102</v>
      </c>
    </row>
    <row r="3565" spans="1:7">
      <c r="A3565" s="3"/>
      <c r="B3565" s="3"/>
      <c r="C3565" s="3"/>
      <c r="D3565" s="3"/>
      <c r="E3565" s="3">
        <v>2</v>
      </c>
      <c r="F3565" s="4" t="str">
        <f>HYPERLINK("http://141.218.60.56/~jnz1568/getInfo.php?workbook=12_05.xlsx&amp;sheet=U0&amp;row=3565&amp;col=6&amp;number=3.1&amp;sourceID=14","3.1")</f>
        <v>3.1</v>
      </c>
      <c r="G3565" s="4" t="str">
        <f>HYPERLINK("http://141.218.60.56/~jnz1568/getInfo.php?workbook=12_05.xlsx&amp;sheet=U0&amp;row=3565&amp;col=7&amp;number=0.102&amp;sourceID=14","0.102")</f>
        <v>0.102</v>
      </c>
    </row>
    <row r="3566" spans="1:7">
      <c r="A3566" s="3"/>
      <c r="B3566" s="3"/>
      <c r="C3566" s="3"/>
      <c r="D3566" s="3"/>
      <c r="E3566" s="3">
        <v>3</v>
      </c>
      <c r="F3566" s="4" t="str">
        <f>HYPERLINK("http://141.218.60.56/~jnz1568/getInfo.php?workbook=12_05.xlsx&amp;sheet=U0&amp;row=3566&amp;col=6&amp;number=3.2&amp;sourceID=14","3.2")</f>
        <v>3.2</v>
      </c>
      <c r="G3566" s="4" t="str">
        <f>HYPERLINK("http://141.218.60.56/~jnz1568/getInfo.php?workbook=12_05.xlsx&amp;sheet=U0&amp;row=3566&amp;col=7&amp;number=0.102&amp;sourceID=14","0.102")</f>
        <v>0.102</v>
      </c>
    </row>
    <row r="3567" spans="1:7">
      <c r="A3567" s="3"/>
      <c r="B3567" s="3"/>
      <c r="C3567" s="3"/>
      <c r="D3567" s="3"/>
      <c r="E3567" s="3">
        <v>4</v>
      </c>
      <c r="F3567" s="4" t="str">
        <f>HYPERLINK("http://141.218.60.56/~jnz1568/getInfo.php?workbook=12_05.xlsx&amp;sheet=U0&amp;row=3567&amp;col=6&amp;number=3.3&amp;sourceID=14","3.3")</f>
        <v>3.3</v>
      </c>
      <c r="G3567" s="4" t="str">
        <f>HYPERLINK("http://141.218.60.56/~jnz1568/getInfo.php?workbook=12_05.xlsx&amp;sheet=U0&amp;row=3567&amp;col=7&amp;number=0.102&amp;sourceID=14","0.102")</f>
        <v>0.102</v>
      </c>
    </row>
    <row r="3568" spans="1:7">
      <c r="A3568" s="3"/>
      <c r="B3568" s="3"/>
      <c r="C3568" s="3"/>
      <c r="D3568" s="3"/>
      <c r="E3568" s="3">
        <v>5</v>
      </c>
      <c r="F3568" s="4" t="str">
        <f>HYPERLINK("http://141.218.60.56/~jnz1568/getInfo.php?workbook=12_05.xlsx&amp;sheet=U0&amp;row=3568&amp;col=6&amp;number=3.4&amp;sourceID=14","3.4")</f>
        <v>3.4</v>
      </c>
      <c r="G3568" s="4" t="str">
        <f>HYPERLINK("http://141.218.60.56/~jnz1568/getInfo.php?workbook=12_05.xlsx&amp;sheet=U0&amp;row=3568&amp;col=7&amp;number=0.102&amp;sourceID=14","0.102")</f>
        <v>0.102</v>
      </c>
    </row>
    <row r="3569" spans="1:7">
      <c r="A3569" s="3"/>
      <c r="B3569" s="3"/>
      <c r="C3569" s="3"/>
      <c r="D3569" s="3"/>
      <c r="E3569" s="3">
        <v>6</v>
      </c>
      <c r="F3569" s="4" t="str">
        <f>HYPERLINK("http://141.218.60.56/~jnz1568/getInfo.php?workbook=12_05.xlsx&amp;sheet=U0&amp;row=3569&amp;col=6&amp;number=3.5&amp;sourceID=14","3.5")</f>
        <v>3.5</v>
      </c>
      <c r="G3569" s="4" t="str">
        <f>HYPERLINK("http://141.218.60.56/~jnz1568/getInfo.php?workbook=12_05.xlsx&amp;sheet=U0&amp;row=3569&amp;col=7&amp;number=0.102&amp;sourceID=14","0.102")</f>
        <v>0.102</v>
      </c>
    </row>
    <row r="3570" spans="1:7">
      <c r="A3570" s="3"/>
      <c r="B3570" s="3"/>
      <c r="C3570" s="3"/>
      <c r="D3570" s="3"/>
      <c r="E3570" s="3">
        <v>7</v>
      </c>
      <c r="F3570" s="4" t="str">
        <f>HYPERLINK("http://141.218.60.56/~jnz1568/getInfo.php?workbook=12_05.xlsx&amp;sheet=U0&amp;row=3570&amp;col=6&amp;number=3.6&amp;sourceID=14","3.6")</f>
        <v>3.6</v>
      </c>
      <c r="G3570" s="4" t="str">
        <f>HYPERLINK("http://141.218.60.56/~jnz1568/getInfo.php?workbook=12_05.xlsx&amp;sheet=U0&amp;row=3570&amp;col=7&amp;number=0.102&amp;sourceID=14","0.102")</f>
        <v>0.102</v>
      </c>
    </row>
    <row r="3571" spans="1:7">
      <c r="A3571" s="3"/>
      <c r="B3571" s="3"/>
      <c r="C3571" s="3"/>
      <c r="D3571" s="3"/>
      <c r="E3571" s="3">
        <v>8</v>
      </c>
      <c r="F3571" s="4" t="str">
        <f>HYPERLINK("http://141.218.60.56/~jnz1568/getInfo.php?workbook=12_05.xlsx&amp;sheet=U0&amp;row=3571&amp;col=6&amp;number=3.7&amp;sourceID=14","3.7")</f>
        <v>3.7</v>
      </c>
      <c r="G3571" s="4" t="str">
        <f>HYPERLINK("http://141.218.60.56/~jnz1568/getInfo.php?workbook=12_05.xlsx&amp;sheet=U0&amp;row=3571&amp;col=7&amp;number=0.102&amp;sourceID=14","0.102")</f>
        <v>0.102</v>
      </c>
    </row>
    <row r="3572" spans="1:7">
      <c r="A3572" s="3"/>
      <c r="B3572" s="3"/>
      <c r="C3572" s="3"/>
      <c r="D3572" s="3"/>
      <c r="E3572" s="3">
        <v>9</v>
      </c>
      <c r="F3572" s="4" t="str">
        <f>HYPERLINK("http://141.218.60.56/~jnz1568/getInfo.php?workbook=12_05.xlsx&amp;sheet=U0&amp;row=3572&amp;col=6&amp;number=3.8&amp;sourceID=14","3.8")</f>
        <v>3.8</v>
      </c>
      <c r="G3572" s="4" t="str">
        <f>HYPERLINK("http://141.218.60.56/~jnz1568/getInfo.php?workbook=12_05.xlsx&amp;sheet=U0&amp;row=3572&amp;col=7&amp;number=0.102&amp;sourceID=14","0.102")</f>
        <v>0.102</v>
      </c>
    </row>
    <row r="3573" spans="1:7">
      <c r="A3573" s="3"/>
      <c r="B3573" s="3"/>
      <c r="C3573" s="3"/>
      <c r="D3573" s="3"/>
      <c r="E3573" s="3">
        <v>10</v>
      </c>
      <c r="F3573" s="4" t="str">
        <f>HYPERLINK("http://141.218.60.56/~jnz1568/getInfo.php?workbook=12_05.xlsx&amp;sheet=U0&amp;row=3573&amp;col=6&amp;number=3.9&amp;sourceID=14","3.9")</f>
        <v>3.9</v>
      </c>
      <c r="G3573" s="4" t="str">
        <f>HYPERLINK("http://141.218.60.56/~jnz1568/getInfo.php?workbook=12_05.xlsx&amp;sheet=U0&amp;row=3573&amp;col=7&amp;number=0.102&amp;sourceID=14","0.102")</f>
        <v>0.102</v>
      </c>
    </row>
    <row r="3574" spans="1:7">
      <c r="A3574" s="3"/>
      <c r="B3574" s="3"/>
      <c r="C3574" s="3"/>
      <c r="D3574" s="3"/>
      <c r="E3574" s="3">
        <v>11</v>
      </c>
      <c r="F3574" s="4" t="str">
        <f>HYPERLINK("http://141.218.60.56/~jnz1568/getInfo.php?workbook=12_05.xlsx&amp;sheet=U0&amp;row=3574&amp;col=6&amp;number=4&amp;sourceID=14","4")</f>
        <v>4</v>
      </c>
      <c r="G3574" s="4" t="str">
        <f>HYPERLINK("http://141.218.60.56/~jnz1568/getInfo.php?workbook=12_05.xlsx&amp;sheet=U0&amp;row=3574&amp;col=7&amp;number=0.102&amp;sourceID=14","0.102")</f>
        <v>0.102</v>
      </c>
    </row>
    <row r="3575" spans="1:7">
      <c r="A3575" s="3"/>
      <c r="B3575" s="3"/>
      <c r="C3575" s="3"/>
      <c r="D3575" s="3"/>
      <c r="E3575" s="3">
        <v>12</v>
      </c>
      <c r="F3575" s="4" t="str">
        <f>HYPERLINK("http://141.218.60.56/~jnz1568/getInfo.php?workbook=12_05.xlsx&amp;sheet=U0&amp;row=3575&amp;col=6&amp;number=4.1&amp;sourceID=14","4.1")</f>
        <v>4.1</v>
      </c>
      <c r="G3575" s="4" t="str">
        <f>HYPERLINK("http://141.218.60.56/~jnz1568/getInfo.php?workbook=12_05.xlsx&amp;sheet=U0&amp;row=3575&amp;col=7&amp;number=0.102&amp;sourceID=14","0.102")</f>
        <v>0.102</v>
      </c>
    </row>
    <row r="3576" spans="1:7">
      <c r="A3576" s="3"/>
      <c r="B3576" s="3"/>
      <c r="C3576" s="3"/>
      <c r="D3576" s="3"/>
      <c r="E3576" s="3">
        <v>13</v>
      </c>
      <c r="F3576" s="4" t="str">
        <f>HYPERLINK("http://141.218.60.56/~jnz1568/getInfo.php?workbook=12_05.xlsx&amp;sheet=U0&amp;row=3576&amp;col=6&amp;number=4.2&amp;sourceID=14","4.2")</f>
        <v>4.2</v>
      </c>
      <c r="G3576" s="4" t="str">
        <f>HYPERLINK("http://141.218.60.56/~jnz1568/getInfo.php?workbook=12_05.xlsx&amp;sheet=U0&amp;row=3576&amp;col=7&amp;number=0.101&amp;sourceID=14","0.101")</f>
        <v>0.101</v>
      </c>
    </row>
    <row r="3577" spans="1:7">
      <c r="A3577" s="3"/>
      <c r="B3577" s="3"/>
      <c r="C3577" s="3"/>
      <c r="D3577" s="3"/>
      <c r="E3577" s="3">
        <v>14</v>
      </c>
      <c r="F3577" s="4" t="str">
        <f>HYPERLINK("http://141.218.60.56/~jnz1568/getInfo.php?workbook=12_05.xlsx&amp;sheet=U0&amp;row=3577&amp;col=6&amp;number=4.3&amp;sourceID=14","4.3")</f>
        <v>4.3</v>
      </c>
      <c r="G3577" s="4" t="str">
        <f>HYPERLINK("http://141.218.60.56/~jnz1568/getInfo.php?workbook=12_05.xlsx&amp;sheet=U0&amp;row=3577&amp;col=7&amp;number=0.101&amp;sourceID=14","0.101")</f>
        <v>0.101</v>
      </c>
    </row>
    <row r="3578" spans="1:7">
      <c r="A3578" s="3"/>
      <c r="B3578" s="3"/>
      <c r="C3578" s="3"/>
      <c r="D3578" s="3"/>
      <c r="E3578" s="3">
        <v>15</v>
      </c>
      <c r="F3578" s="4" t="str">
        <f>HYPERLINK("http://141.218.60.56/~jnz1568/getInfo.php?workbook=12_05.xlsx&amp;sheet=U0&amp;row=3578&amp;col=6&amp;number=4.4&amp;sourceID=14","4.4")</f>
        <v>4.4</v>
      </c>
      <c r="G3578" s="4" t="str">
        <f>HYPERLINK("http://141.218.60.56/~jnz1568/getInfo.php?workbook=12_05.xlsx&amp;sheet=U0&amp;row=3578&amp;col=7&amp;number=0.101&amp;sourceID=14","0.101")</f>
        <v>0.101</v>
      </c>
    </row>
    <row r="3579" spans="1:7">
      <c r="A3579" s="3"/>
      <c r="B3579" s="3"/>
      <c r="C3579" s="3"/>
      <c r="D3579" s="3"/>
      <c r="E3579" s="3">
        <v>16</v>
      </c>
      <c r="F3579" s="4" t="str">
        <f>HYPERLINK("http://141.218.60.56/~jnz1568/getInfo.php?workbook=12_05.xlsx&amp;sheet=U0&amp;row=3579&amp;col=6&amp;number=4.5&amp;sourceID=14","4.5")</f>
        <v>4.5</v>
      </c>
      <c r="G3579" s="4" t="str">
        <f>HYPERLINK("http://141.218.60.56/~jnz1568/getInfo.php?workbook=12_05.xlsx&amp;sheet=U0&amp;row=3579&amp;col=7&amp;number=0.101&amp;sourceID=14","0.101")</f>
        <v>0.101</v>
      </c>
    </row>
    <row r="3580" spans="1:7">
      <c r="A3580" s="3"/>
      <c r="B3580" s="3"/>
      <c r="C3580" s="3"/>
      <c r="D3580" s="3"/>
      <c r="E3580" s="3">
        <v>17</v>
      </c>
      <c r="F3580" s="4" t="str">
        <f>HYPERLINK("http://141.218.60.56/~jnz1568/getInfo.php?workbook=12_05.xlsx&amp;sheet=U0&amp;row=3580&amp;col=6&amp;number=4.6&amp;sourceID=14","4.6")</f>
        <v>4.6</v>
      </c>
      <c r="G3580" s="4" t="str">
        <f>HYPERLINK("http://141.218.60.56/~jnz1568/getInfo.php?workbook=12_05.xlsx&amp;sheet=U0&amp;row=3580&amp;col=7&amp;number=0.1&amp;sourceID=14","0.1")</f>
        <v>0.1</v>
      </c>
    </row>
    <row r="3581" spans="1:7">
      <c r="A3581" s="3"/>
      <c r="B3581" s="3"/>
      <c r="C3581" s="3"/>
      <c r="D3581" s="3"/>
      <c r="E3581" s="3">
        <v>18</v>
      </c>
      <c r="F3581" s="4" t="str">
        <f>HYPERLINK("http://141.218.60.56/~jnz1568/getInfo.php?workbook=12_05.xlsx&amp;sheet=U0&amp;row=3581&amp;col=6&amp;number=4.7&amp;sourceID=14","4.7")</f>
        <v>4.7</v>
      </c>
      <c r="G3581" s="4" t="str">
        <f>HYPERLINK("http://141.218.60.56/~jnz1568/getInfo.php?workbook=12_05.xlsx&amp;sheet=U0&amp;row=3581&amp;col=7&amp;number=0.1&amp;sourceID=14","0.1")</f>
        <v>0.1</v>
      </c>
    </row>
    <row r="3582" spans="1:7">
      <c r="A3582" s="3"/>
      <c r="B3582" s="3"/>
      <c r="C3582" s="3"/>
      <c r="D3582" s="3"/>
      <c r="E3582" s="3">
        <v>19</v>
      </c>
      <c r="F3582" s="4" t="str">
        <f>HYPERLINK("http://141.218.60.56/~jnz1568/getInfo.php?workbook=12_05.xlsx&amp;sheet=U0&amp;row=3582&amp;col=6&amp;number=4.8&amp;sourceID=14","4.8")</f>
        <v>4.8</v>
      </c>
      <c r="G3582" s="4" t="str">
        <f>HYPERLINK("http://141.218.60.56/~jnz1568/getInfo.php?workbook=12_05.xlsx&amp;sheet=U0&amp;row=3582&amp;col=7&amp;number=0.0996&amp;sourceID=14","0.0996")</f>
        <v>0.0996</v>
      </c>
    </row>
    <row r="3583" spans="1:7">
      <c r="A3583" s="3"/>
      <c r="B3583" s="3"/>
      <c r="C3583" s="3"/>
      <c r="D3583" s="3"/>
      <c r="E3583" s="3">
        <v>20</v>
      </c>
      <c r="F3583" s="4" t="str">
        <f>HYPERLINK("http://141.218.60.56/~jnz1568/getInfo.php?workbook=12_05.xlsx&amp;sheet=U0&amp;row=3583&amp;col=6&amp;number=4.9&amp;sourceID=14","4.9")</f>
        <v>4.9</v>
      </c>
      <c r="G3583" s="4" t="str">
        <f>HYPERLINK("http://141.218.60.56/~jnz1568/getInfo.php?workbook=12_05.xlsx&amp;sheet=U0&amp;row=3583&amp;col=7&amp;number=0.099&amp;sourceID=14","0.099")</f>
        <v>0.099</v>
      </c>
    </row>
    <row r="3584" spans="1:7">
      <c r="A3584" s="3">
        <v>12</v>
      </c>
      <c r="B3584" s="3">
        <v>5</v>
      </c>
      <c r="C3584" s="3">
        <v>2</v>
      </c>
      <c r="D3584" s="3">
        <v>32</v>
      </c>
      <c r="E3584" s="3">
        <v>1</v>
      </c>
      <c r="F3584" s="4" t="str">
        <f>HYPERLINK("http://141.218.60.56/~jnz1568/getInfo.php?workbook=12_05.xlsx&amp;sheet=U0&amp;row=3584&amp;col=6&amp;number=3&amp;sourceID=14","3")</f>
        <v>3</v>
      </c>
      <c r="G3584" s="4" t="str">
        <f>HYPERLINK("http://141.218.60.56/~jnz1568/getInfo.php?workbook=12_05.xlsx&amp;sheet=U0&amp;row=3584&amp;col=7&amp;number=0.0116&amp;sourceID=14","0.0116")</f>
        <v>0.0116</v>
      </c>
    </row>
    <row r="3585" spans="1:7">
      <c r="A3585" s="3"/>
      <c r="B3585" s="3"/>
      <c r="C3585" s="3"/>
      <c r="D3585" s="3"/>
      <c r="E3585" s="3">
        <v>2</v>
      </c>
      <c r="F3585" s="4" t="str">
        <f>HYPERLINK("http://141.218.60.56/~jnz1568/getInfo.php?workbook=12_05.xlsx&amp;sheet=U0&amp;row=3585&amp;col=6&amp;number=3.1&amp;sourceID=14","3.1")</f>
        <v>3.1</v>
      </c>
      <c r="G3585" s="4" t="str">
        <f>HYPERLINK("http://141.218.60.56/~jnz1568/getInfo.php?workbook=12_05.xlsx&amp;sheet=U0&amp;row=3585&amp;col=7&amp;number=0.0116&amp;sourceID=14","0.0116")</f>
        <v>0.0116</v>
      </c>
    </row>
    <row r="3586" spans="1:7">
      <c r="A3586" s="3"/>
      <c r="B3586" s="3"/>
      <c r="C3586" s="3"/>
      <c r="D3586" s="3"/>
      <c r="E3586" s="3">
        <v>3</v>
      </c>
      <c r="F3586" s="4" t="str">
        <f>HYPERLINK("http://141.218.60.56/~jnz1568/getInfo.php?workbook=12_05.xlsx&amp;sheet=U0&amp;row=3586&amp;col=6&amp;number=3.2&amp;sourceID=14","3.2")</f>
        <v>3.2</v>
      </c>
      <c r="G3586" s="4" t="str">
        <f>HYPERLINK("http://141.218.60.56/~jnz1568/getInfo.php?workbook=12_05.xlsx&amp;sheet=U0&amp;row=3586&amp;col=7&amp;number=0.0116&amp;sourceID=14","0.0116")</f>
        <v>0.0116</v>
      </c>
    </row>
    <row r="3587" spans="1:7">
      <c r="A3587" s="3"/>
      <c r="B3587" s="3"/>
      <c r="C3587" s="3"/>
      <c r="D3587" s="3"/>
      <c r="E3587" s="3">
        <v>4</v>
      </c>
      <c r="F3587" s="4" t="str">
        <f>HYPERLINK("http://141.218.60.56/~jnz1568/getInfo.php?workbook=12_05.xlsx&amp;sheet=U0&amp;row=3587&amp;col=6&amp;number=3.3&amp;sourceID=14","3.3")</f>
        <v>3.3</v>
      </c>
      <c r="G3587" s="4" t="str">
        <f>HYPERLINK("http://141.218.60.56/~jnz1568/getInfo.php?workbook=12_05.xlsx&amp;sheet=U0&amp;row=3587&amp;col=7&amp;number=0.0116&amp;sourceID=14","0.0116")</f>
        <v>0.0116</v>
      </c>
    </row>
    <row r="3588" spans="1:7">
      <c r="A3588" s="3"/>
      <c r="B3588" s="3"/>
      <c r="C3588" s="3"/>
      <c r="D3588" s="3"/>
      <c r="E3588" s="3">
        <v>5</v>
      </c>
      <c r="F3588" s="4" t="str">
        <f>HYPERLINK("http://141.218.60.56/~jnz1568/getInfo.php?workbook=12_05.xlsx&amp;sheet=U0&amp;row=3588&amp;col=6&amp;number=3.4&amp;sourceID=14","3.4")</f>
        <v>3.4</v>
      </c>
      <c r="G3588" s="4" t="str">
        <f>HYPERLINK("http://141.218.60.56/~jnz1568/getInfo.php?workbook=12_05.xlsx&amp;sheet=U0&amp;row=3588&amp;col=7&amp;number=0.0116&amp;sourceID=14","0.0116")</f>
        <v>0.0116</v>
      </c>
    </row>
    <row r="3589" spans="1:7">
      <c r="A3589" s="3"/>
      <c r="B3589" s="3"/>
      <c r="C3589" s="3"/>
      <c r="D3589" s="3"/>
      <c r="E3589" s="3">
        <v>6</v>
      </c>
      <c r="F3589" s="4" t="str">
        <f>HYPERLINK("http://141.218.60.56/~jnz1568/getInfo.php?workbook=12_05.xlsx&amp;sheet=U0&amp;row=3589&amp;col=6&amp;number=3.5&amp;sourceID=14","3.5")</f>
        <v>3.5</v>
      </c>
      <c r="G3589" s="4" t="str">
        <f>HYPERLINK("http://141.218.60.56/~jnz1568/getInfo.php?workbook=12_05.xlsx&amp;sheet=U0&amp;row=3589&amp;col=7&amp;number=0.0116&amp;sourceID=14","0.0116")</f>
        <v>0.0116</v>
      </c>
    </row>
    <row r="3590" spans="1:7">
      <c r="A3590" s="3"/>
      <c r="B3590" s="3"/>
      <c r="C3590" s="3"/>
      <c r="D3590" s="3"/>
      <c r="E3590" s="3">
        <v>7</v>
      </c>
      <c r="F3590" s="4" t="str">
        <f>HYPERLINK("http://141.218.60.56/~jnz1568/getInfo.php?workbook=12_05.xlsx&amp;sheet=U0&amp;row=3590&amp;col=6&amp;number=3.6&amp;sourceID=14","3.6")</f>
        <v>3.6</v>
      </c>
      <c r="G3590" s="4" t="str">
        <f>HYPERLINK("http://141.218.60.56/~jnz1568/getInfo.php?workbook=12_05.xlsx&amp;sheet=U0&amp;row=3590&amp;col=7&amp;number=0.0116&amp;sourceID=14","0.0116")</f>
        <v>0.0116</v>
      </c>
    </row>
    <row r="3591" spans="1:7">
      <c r="A3591" s="3"/>
      <c r="B3591" s="3"/>
      <c r="C3591" s="3"/>
      <c r="D3591" s="3"/>
      <c r="E3591" s="3">
        <v>8</v>
      </c>
      <c r="F3591" s="4" t="str">
        <f>HYPERLINK("http://141.218.60.56/~jnz1568/getInfo.php?workbook=12_05.xlsx&amp;sheet=U0&amp;row=3591&amp;col=6&amp;number=3.7&amp;sourceID=14","3.7")</f>
        <v>3.7</v>
      </c>
      <c r="G3591" s="4" t="str">
        <f>HYPERLINK("http://141.218.60.56/~jnz1568/getInfo.php?workbook=12_05.xlsx&amp;sheet=U0&amp;row=3591&amp;col=7&amp;number=0.0117&amp;sourceID=14","0.0117")</f>
        <v>0.0117</v>
      </c>
    </row>
    <row r="3592" spans="1:7">
      <c r="A3592" s="3"/>
      <c r="B3592" s="3"/>
      <c r="C3592" s="3"/>
      <c r="D3592" s="3"/>
      <c r="E3592" s="3">
        <v>9</v>
      </c>
      <c r="F3592" s="4" t="str">
        <f>HYPERLINK("http://141.218.60.56/~jnz1568/getInfo.php?workbook=12_05.xlsx&amp;sheet=U0&amp;row=3592&amp;col=6&amp;number=3.8&amp;sourceID=14","3.8")</f>
        <v>3.8</v>
      </c>
      <c r="G3592" s="4" t="str">
        <f>HYPERLINK("http://141.218.60.56/~jnz1568/getInfo.php?workbook=12_05.xlsx&amp;sheet=U0&amp;row=3592&amp;col=7&amp;number=0.0117&amp;sourceID=14","0.0117")</f>
        <v>0.0117</v>
      </c>
    </row>
    <row r="3593" spans="1:7">
      <c r="A3593" s="3"/>
      <c r="B3593" s="3"/>
      <c r="C3593" s="3"/>
      <c r="D3593" s="3"/>
      <c r="E3593" s="3">
        <v>10</v>
      </c>
      <c r="F3593" s="4" t="str">
        <f>HYPERLINK("http://141.218.60.56/~jnz1568/getInfo.php?workbook=12_05.xlsx&amp;sheet=U0&amp;row=3593&amp;col=6&amp;number=3.9&amp;sourceID=14","3.9")</f>
        <v>3.9</v>
      </c>
      <c r="G3593" s="4" t="str">
        <f>HYPERLINK("http://141.218.60.56/~jnz1568/getInfo.php?workbook=12_05.xlsx&amp;sheet=U0&amp;row=3593&amp;col=7&amp;number=0.0117&amp;sourceID=14","0.0117")</f>
        <v>0.0117</v>
      </c>
    </row>
    <row r="3594" spans="1:7">
      <c r="A3594" s="3"/>
      <c r="B3594" s="3"/>
      <c r="C3594" s="3"/>
      <c r="D3594" s="3"/>
      <c r="E3594" s="3">
        <v>11</v>
      </c>
      <c r="F3594" s="4" t="str">
        <f>HYPERLINK("http://141.218.60.56/~jnz1568/getInfo.php?workbook=12_05.xlsx&amp;sheet=U0&amp;row=3594&amp;col=6&amp;number=4&amp;sourceID=14","4")</f>
        <v>4</v>
      </c>
      <c r="G3594" s="4" t="str">
        <f>HYPERLINK("http://141.218.60.56/~jnz1568/getInfo.php?workbook=12_05.xlsx&amp;sheet=U0&amp;row=3594&amp;col=7&amp;number=0.0118&amp;sourceID=14","0.0118")</f>
        <v>0.0118</v>
      </c>
    </row>
    <row r="3595" spans="1:7">
      <c r="A3595" s="3"/>
      <c r="B3595" s="3"/>
      <c r="C3595" s="3"/>
      <c r="D3595" s="3"/>
      <c r="E3595" s="3">
        <v>12</v>
      </c>
      <c r="F3595" s="4" t="str">
        <f>HYPERLINK("http://141.218.60.56/~jnz1568/getInfo.php?workbook=12_05.xlsx&amp;sheet=U0&amp;row=3595&amp;col=6&amp;number=4.1&amp;sourceID=14","4.1")</f>
        <v>4.1</v>
      </c>
      <c r="G3595" s="4" t="str">
        <f>HYPERLINK("http://141.218.60.56/~jnz1568/getInfo.php?workbook=12_05.xlsx&amp;sheet=U0&amp;row=3595&amp;col=7&amp;number=0.0119&amp;sourceID=14","0.0119")</f>
        <v>0.0119</v>
      </c>
    </row>
    <row r="3596" spans="1:7">
      <c r="A3596" s="3"/>
      <c r="B3596" s="3"/>
      <c r="C3596" s="3"/>
      <c r="D3596" s="3"/>
      <c r="E3596" s="3">
        <v>13</v>
      </c>
      <c r="F3596" s="4" t="str">
        <f>HYPERLINK("http://141.218.60.56/~jnz1568/getInfo.php?workbook=12_05.xlsx&amp;sheet=U0&amp;row=3596&amp;col=6&amp;number=4.2&amp;sourceID=14","4.2")</f>
        <v>4.2</v>
      </c>
      <c r="G3596" s="4" t="str">
        <f>HYPERLINK("http://141.218.60.56/~jnz1568/getInfo.php?workbook=12_05.xlsx&amp;sheet=U0&amp;row=3596&amp;col=7&amp;number=0.0119&amp;sourceID=14","0.0119")</f>
        <v>0.0119</v>
      </c>
    </row>
    <row r="3597" spans="1:7">
      <c r="A3597" s="3"/>
      <c r="B3597" s="3"/>
      <c r="C3597" s="3"/>
      <c r="D3597" s="3"/>
      <c r="E3597" s="3">
        <v>14</v>
      </c>
      <c r="F3597" s="4" t="str">
        <f>HYPERLINK("http://141.218.60.56/~jnz1568/getInfo.php?workbook=12_05.xlsx&amp;sheet=U0&amp;row=3597&amp;col=6&amp;number=4.3&amp;sourceID=14","4.3")</f>
        <v>4.3</v>
      </c>
      <c r="G3597" s="4" t="str">
        <f>HYPERLINK("http://141.218.60.56/~jnz1568/getInfo.php?workbook=12_05.xlsx&amp;sheet=U0&amp;row=3597&amp;col=7&amp;number=0.012&amp;sourceID=14","0.012")</f>
        <v>0.012</v>
      </c>
    </row>
    <row r="3598" spans="1:7">
      <c r="A3598" s="3"/>
      <c r="B3598" s="3"/>
      <c r="C3598" s="3"/>
      <c r="D3598" s="3"/>
      <c r="E3598" s="3">
        <v>15</v>
      </c>
      <c r="F3598" s="4" t="str">
        <f>HYPERLINK("http://141.218.60.56/~jnz1568/getInfo.php?workbook=12_05.xlsx&amp;sheet=U0&amp;row=3598&amp;col=6&amp;number=4.4&amp;sourceID=14","4.4")</f>
        <v>4.4</v>
      </c>
      <c r="G3598" s="4" t="str">
        <f>HYPERLINK("http://141.218.60.56/~jnz1568/getInfo.php?workbook=12_05.xlsx&amp;sheet=U0&amp;row=3598&amp;col=7&amp;number=0.0122&amp;sourceID=14","0.0122")</f>
        <v>0.0122</v>
      </c>
    </row>
    <row r="3599" spans="1:7">
      <c r="A3599" s="3"/>
      <c r="B3599" s="3"/>
      <c r="C3599" s="3"/>
      <c r="D3599" s="3"/>
      <c r="E3599" s="3">
        <v>16</v>
      </c>
      <c r="F3599" s="4" t="str">
        <f>HYPERLINK("http://141.218.60.56/~jnz1568/getInfo.php?workbook=12_05.xlsx&amp;sheet=U0&amp;row=3599&amp;col=6&amp;number=4.5&amp;sourceID=14","4.5")</f>
        <v>4.5</v>
      </c>
      <c r="G3599" s="4" t="str">
        <f>HYPERLINK("http://141.218.60.56/~jnz1568/getInfo.php?workbook=12_05.xlsx&amp;sheet=U0&amp;row=3599&amp;col=7&amp;number=0.0123&amp;sourceID=14","0.0123")</f>
        <v>0.0123</v>
      </c>
    </row>
    <row r="3600" spans="1:7">
      <c r="A3600" s="3"/>
      <c r="B3600" s="3"/>
      <c r="C3600" s="3"/>
      <c r="D3600" s="3"/>
      <c r="E3600" s="3">
        <v>17</v>
      </c>
      <c r="F3600" s="4" t="str">
        <f>HYPERLINK("http://141.218.60.56/~jnz1568/getInfo.php?workbook=12_05.xlsx&amp;sheet=U0&amp;row=3600&amp;col=6&amp;number=4.6&amp;sourceID=14","4.6")</f>
        <v>4.6</v>
      </c>
      <c r="G3600" s="4" t="str">
        <f>HYPERLINK("http://141.218.60.56/~jnz1568/getInfo.php?workbook=12_05.xlsx&amp;sheet=U0&amp;row=3600&amp;col=7&amp;number=0.0125&amp;sourceID=14","0.0125")</f>
        <v>0.0125</v>
      </c>
    </row>
    <row r="3601" spans="1:7">
      <c r="A3601" s="3"/>
      <c r="B3601" s="3"/>
      <c r="C3601" s="3"/>
      <c r="D3601" s="3"/>
      <c r="E3601" s="3">
        <v>18</v>
      </c>
      <c r="F3601" s="4" t="str">
        <f>HYPERLINK("http://141.218.60.56/~jnz1568/getInfo.php?workbook=12_05.xlsx&amp;sheet=U0&amp;row=3601&amp;col=6&amp;number=4.7&amp;sourceID=14","4.7")</f>
        <v>4.7</v>
      </c>
      <c r="G3601" s="4" t="str">
        <f>HYPERLINK("http://141.218.60.56/~jnz1568/getInfo.php?workbook=12_05.xlsx&amp;sheet=U0&amp;row=3601&amp;col=7&amp;number=0.0127&amp;sourceID=14","0.0127")</f>
        <v>0.0127</v>
      </c>
    </row>
    <row r="3602" spans="1:7">
      <c r="A3602" s="3"/>
      <c r="B3602" s="3"/>
      <c r="C3602" s="3"/>
      <c r="D3602" s="3"/>
      <c r="E3602" s="3">
        <v>19</v>
      </c>
      <c r="F3602" s="4" t="str">
        <f>HYPERLINK("http://141.218.60.56/~jnz1568/getInfo.php?workbook=12_05.xlsx&amp;sheet=U0&amp;row=3602&amp;col=6&amp;number=4.8&amp;sourceID=14","4.8")</f>
        <v>4.8</v>
      </c>
      <c r="G3602" s="4" t="str">
        <f>HYPERLINK("http://141.218.60.56/~jnz1568/getInfo.php?workbook=12_05.xlsx&amp;sheet=U0&amp;row=3602&amp;col=7&amp;number=0.013&amp;sourceID=14","0.013")</f>
        <v>0.013</v>
      </c>
    </row>
    <row r="3603" spans="1:7">
      <c r="A3603" s="3"/>
      <c r="B3603" s="3"/>
      <c r="C3603" s="3"/>
      <c r="D3603" s="3"/>
      <c r="E3603" s="3">
        <v>20</v>
      </c>
      <c r="F3603" s="4" t="str">
        <f>HYPERLINK("http://141.218.60.56/~jnz1568/getInfo.php?workbook=12_05.xlsx&amp;sheet=U0&amp;row=3603&amp;col=6&amp;number=4.9&amp;sourceID=14","4.9")</f>
        <v>4.9</v>
      </c>
      <c r="G3603" s="4" t="str">
        <f>HYPERLINK("http://141.218.60.56/~jnz1568/getInfo.php?workbook=12_05.xlsx&amp;sheet=U0&amp;row=3603&amp;col=7&amp;number=0.0134&amp;sourceID=14","0.0134")</f>
        <v>0.0134</v>
      </c>
    </row>
    <row r="3604" spans="1:7">
      <c r="A3604" s="3">
        <v>12</v>
      </c>
      <c r="B3604" s="3">
        <v>5</v>
      </c>
      <c r="C3604" s="3">
        <v>2</v>
      </c>
      <c r="D3604" s="3">
        <v>33</v>
      </c>
      <c r="E3604" s="3">
        <v>1</v>
      </c>
      <c r="F3604" s="4" t="str">
        <f>HYPERLINK("http://141.218.60.56/~jnz1568/getInfo.php?workbook=12_05.xlsx&amp;sheet=U0&amp;row=3604&amp;col=6&amp;number=3&amp;sourceID=14","3")</f>
        <v>3</v>
      </c>
      <c r="G3604" s="4" t="str">
        <f>HYPERLINK("http://141.218.60.56/~jnz1568/getInfo.php?workbook=12_05.xlsx&amp;sheet=U0&amp;row=3604&amp;col=7&amp;number=0.00624&amp;sourceID=14","0.00624")</f>
        <v>0.00624</v>
      </c>
    </row>
    <row r="3605" spans="1:7">
      <c r="A3605" s="3"/>
      <c r="B3605" s="3"/>
      <c r="C3605" s="3"/>
      <c r="D3605" s="3"/>
      <c r="E3605" s="3">
        <v>2</v>
      </c>
      <c r="F3605" s="4" t="str">
        <f>HYPERLINK("http://141.218.60.56/~jnz1568/getInfo.php?workbook=12_05.xlsx&amp;sheet=U0&amp;row=3605&amp;col=6&amp;number=3.1&amp;sourceID=14","3.1")</f>
        <v>3.1</v>
      </c>
      <c r="G3605" s="4" t="str">
        <f>HYPERLINK("http://141.218.60.56/~jnz1568/getInfo.php?workbook=12_05.xlsx&amp;sheet=U0&amp;row=3605&amp;col=7&amp;number=0.00624&amp;sourceID=14","0.00624")</f>
        <v>0.00624</v>
      </c>
    </row>
    <row r="3606" spans="1:7">
      <c r="A3606" s="3"/>
      <c r="B3606" s="3"/>
      <c r="C3606" s="3"/>
      <c r="D3606" s="3"/>
      <c r="E3606" s="3">
        <v>3</v>
      </c>
      <c r="F3606" s="4" t="str">
        <f>HYPERLINK("http://141.218.60.56/~jnz1568/getInfo.php?workbook=12_05.xlsx&amp;sheet=U0&amp;row=3606&amp;col=6&amp;number=3.2&amp;sourceID=14","3.2")</f>
        <v>3.2</v>
      </c>
      <c r="G3606" s="4" t="str">
        <f>HYPERLINK("http://141.218.60.56/~jnz1568/getInfo.php?workbook=12_05.xlsx&amp;sheet=U0&amp;row=3606&amp;col=7&amp;number=0.00624&amp;sourceID=14","0.00624")</f>
        <v>0.00624</v>
      </c>
    </row>
    <row r="3607" spans="1:7">
      <c r="A3607" s="3"/>
      <c r="B3607" s="3"/>
      <c r="C3607" s="3"/>
      <c r="D3607" s="3"/>
      <c r="E3607" s="3">
        <v>4</v>
      </c>
      <c r="F3607" s="4" t="str">
        <f>HYPERLINK("http://141.218.60.56/~jnz1568/getInfo.php?workbook=12_05.xlsx&amp;sheet=U0&amp;row=3607&amp;col=6&amp;number=3.3&amp;sourceID=14","3.3")</f>
        <v>3.3</v>
      </c>
      <c r="G3607" s="4" t="str">
        <f>HYPERLINK("http://141.218.60.56/~jnz1568/getInfo.php?workbook=12_05.xlsx&amp;sheet=U0&amp;row=3607&amp;col=7&amp;number=0.00625&amp;sourceID=14","0.00625")</f>
        <v>0.00625</v>
      </c>
    </row>
    <row r="3608" spans="1:7">
      <c r="A3608" s="3"/>
      <c r="B3608" s="3"/>
      <c r="C3608" s="3"/>
      <c r="D3608" s="3"/>
      <c r="E3608" s="3">
        <v>5</v>
      </c>
      <c r="F3608" s="4" t="str">
        <f>HYPERLINK("http://141.218.60.56/~jnz1568/getInfo.php?workbook=12_05.xlsx&amp;sheet=U0&amp;row=3608&amp;col=6&amp;number=3.4&amp;sourceID=14","3.4")</f>
        <v>3.4</v>
      </c>
      <c r="G3608" s="4" t="str">
        <f>HYPERLINK("http://141.218.60.56/~jnz1568/getInfo.php?workbook=12_05.xlsx&amp;sheet=U0&amp;row=3608&amp;col=7&amp;number=0.00625&amp;sourceID=14","0.00625")</f>
        <v>0.00625</v>
      </c>
    </row>
    <row r="3609" spans="1:7">
      <c r="A3609" s="3"/>
      <c r="B3609" s="3"/>
      <c r="C3609" s="3"/>
      <c r="D3609" s="3"/>
      <c r="E3609" s="3">
        <v>6</v>
      </c>
      <c r="F3609" s="4" t="str">
        <f>HYPERLINK("http://141.218.60.56/~jnz1568/getInfo.php?workbook=12_05.xlsx&amp;sheet=U0&amp;row=3609&amp;col=6&amp;number=3.5&amp;sourceID=14","3.5")</f>
        <v>3.5</v>
      </c>
      <c r="G3609" s="4" t="str">
        <f>HYPERLINK("http://141.218.60.56/~jnz1568/getInfo.php?workbook=12_05.xlsx&amp;sheet=U0&amp;row=3609&amp;col=7&amp;number=0.00625&amp;sourceID=14","0.00625")</f>
        <v>0.00625</v>
      </c>
    </row>
    <row r="3610" spans="1:7">
      <c r="A3610" s="3"/>
      <c r="B3610" s="3"/>
      <c r="C3610" s="3"/>
      <c r="D3610" s="3"/>
      <c r="E3610" s="3">
        <v>7</v>
      </c>
      <c r="F3610" s="4" t="str">
        <f>HYPERLINK("http://141.218.60.56/~jnz1568/getInfo.php?workbook=12_05.xlsx&amp;sheet=U0&amp;row=3610&amp;col=6&amp;number=3.6&amp;sourceID=14","3.6")</f>
        <v>3.6</v>
      </c>
      <c r="G3610" s="4" t="str">
        <f>HYPERLINK("http://141.218.60.56/~jnz1568/getInfo.php?workbook=12_05.xlsx&amp;sheet=U0&amp;row=3610&amp;col=7&amp;number=0.00626&amp;sourceID=14","0.00626")</f>
        <v>0.00626</v>
      </c>
    </row>
    <row r="3611" spans="1:7">
      <c r="A3611" s="3"/>
      <c r="B3611" s="3"/>
      <c r="C3611" s="3"/>
      <c r="D3611" s="3"/>
      <c r="E3611" s="3">
        <v>8</v>
      </c>
      <c r="F3611" s="4" t="str">
        <f>HYPERLINK("http://141.218.60.56/~jnz1568/getInfo.php?workbook=12_05.xlsx&amp;sheet=U0&amp;row=3611&amp;col=6&amp;number=3.7&amp;sourceID=14","3.7")</f>
        <v>3.7</v>
      </c>
      <c r="G3611" s="4" t="str">
        <f>HYPERLINK("http://141.218.60.56/~jnz1568/getInfo.php?workbook=12_05.xlsx&amp;sheet=U0&amp;row=3611&amp;col=7&amp;number=0.00626&amp;sourceID=14","0.00626")</f>
        <v>0.00626</v>
      </c>
    </row>
    <row r="3612" spans="1:7">
      <c r="A3612" s="3"/>
      <c r="B3612" s="3"/>
      <c r="C3612" s="3"/>
      <c r="D3612" s="3"/>
      <c r="E3612" s="3">
        <v>9</v>
      </c>
      <c r="F3612" s="4" t="str">
        <f>HYPERLINK("http://141.218.60.56/~jnz1568/getInfo.php?workbook=12_05.xlsx&amp;sheet=U0&amp;row=3612&amp;col=6&amp;number=3.8&amp;sourceID=14","3.8")</f>
        <v>3.8</v>
      </c>
      <c r="G3612" s="4" t="str">
        <f>HYPERLINK("http://141.218.60.56/~jnz1568/getInfo.php?workbook=12_05.xlsx&amp;sheet=U0&amp;row=3612&amp;col=7&amp;number=0.00627&amp;sourceID=14","0.00627")</f>
        <v>0.00627</v>
      </c>
    </row>
    <row r="3613" spans="1:7">
      <c r="A3613" s="3"/>
      <c r="B3613" s="3"/>
      <c r="C3613" s="3"/>
      <c r="D3613" s="3"/>
      <c r="E3613" s="3">
        <v>10</v>
      </c>
      <c r="F3613" s="4" t="str">
        <f>HYPERLINK("http://141.218.60.56/~jnz1568/getInfo.php?workbook=12_05.xlsx&amp;sheet=U0&amp;row=3613&amp;col=6&amp;number=3.9&amp;sourceID=14","3.9")</f>
        <v>3.9</v>
      </c>
      <c r="G3613" s="4" t="str">
        <f>HYPERLINK("http://141.218.60.56/~jnz1568/getInfo.php?workbook=12_05.xlsx&amp;sheet=U0&amp;row=3613&amp;col=7&amp;number=0.00628&amp;sourceID=14","0.00628")</f>
        <v>0.00628</v>
      </c>
    </row>
    <row r="3614" spans="1:7">
      <c r="A3614" s="3"/>
      <c r="B3614" s="3"/>
      <c r="C3614" s="3"/>
      <c r="D3614" s="3"/>
      <c r="E3614" s="3">
        <v>11</v>
      </c>
      <c r="F3614" s="4" t="str">
        <f>HYPERLINK("http://141.218.60.56/~jnz1568/getInfo.php?workbook=12_05.xlsx&amp;sheet=U0&amp;row=3614&amp;col=6&amp;number=4&amp;sourceID=14","4")</f>
        <v>4</v>
      </c>
      <c r="G3614" s="4" t="str">
        <f>HYPERLINK("http://141.218.60.56/~jnz1568/getInfo.php?workbook=12_05.xlsx&amp;sheet=U0&amp;row=3614&amp;col=7&amp;number=0.00629&amp;sourceID=14","0.00629")</f>
        <v>0.00629</v>
      </c>
    </row>
    <row r="3615" spans="1:7">
      <c r="A3615" s="3"/>
      <c r="B3615" s="3"/>
      <c r="C3615" s="3"/>
      <c r="D3615" s="3"/>
      <c r="E3615" s="3">
        <v>12</v>
      </c>
      <c r="F3615" s="4" t="str">
        <f>HYPERLINK("http://141.218.60.56/~jnz1568/getInfo.php?workbook=12_05.xlsx&amp;sheet=U0&amp;row=3615&amp;col=6&amp;number=4.1&amp;sourceID=14","4.1")</f>
        <v>4.1</v>
      </c>
      <c r="G3615" s="4" t="str">
        <f>HYPERLINK("http://141.218.60.56/~jnz1568/getInfo.php?workbook=12_05.xlsx&amp;sheet=U0&amp;row=3615&amp;col=7&amp;number=0.0063&amp;sourceID=14","0.0063")</f>
        <v>0.0063</v>
      </c>
    </row>
    <row r="3616" spans="1:7">
      <c r="A3616" s="3"/>
      <c r="B3616" s="3"/>
      <c r="C3616" s="3"/>
      <c r="D3616" s="3"/>
      <c r="E3616" s="3">
        <v>13</v>
      </c>
      <c r="F3616" s="4" t="str">
        <f>HYPERLINK("http://141.218.60.56/~jnz1568/getInfo.php?workbook=12_05.xlsx&amp;sheet=U0&amp;row=3616&amp;col=6&amp;number=4.2&amp;sourceID=14","4.2")</f>
        <v>4.2</v>
      </c>
      <c r="G3616" s="4" t="str">
        <f>HYPERLINK("http://141.218.60.56/~jnz1568/getInfo.php?workbook=12_05.xlsx&amp;sheet=U0&amp;row=3616&amp;col=7&amp;number=0.00632&amp;sourceID=14","0.00632")</f>
        <v>0.00632</v>
      </c>
    </row>
    <row r="3617" spans="1:7">
      <c r="A3617" s="3"/>
      <c r="B3617" s="3"/>
      <c r="C3617" s="3"/>
      <c r="D3617" s="3"/>
      <c r="E3617" s="3">
        <v>14</v>
      </c>
      <c r="F3617" s="4" t="str">
        <f>HYPERLINK("http://141.218.60.56/~jnz1568/getInfo.php?workbook=12_05.xlsx&amp;sheet=U0&amp;row=3617&amp;col=6&amp;number=4.3&amp;sourceID=14","4.3")</f>
        <v>4.3</v>
      </c>
      <c r="G3617" s="4" t="str">
        <f>HYPERLINK("http://141.218.60.56/~jnz1568/getInfo.php?workbook=12_05.xlsx&amp;sheet=U0&amp;row=3617&amp;col=7&amp;number=0.00634&amp;sourceID=14","0.00634")</f>
        <v>0.00634</v>
      </c>
    </row>
    <row r="3618" spans="1:7">
      <c r="A3618" s="3"/>
      <c r="B3618" s="3"/>
      <c r="C3618" s="3"/>
      <c r="D3618" s="3"/>
      <c r="E3618" s="3">
        <v>15</v>
      </c>
      <c r="F3618" s="4" t="str">
        <f>HYPERLINK("http://141.218.60.56/~jnz1568/getInfo.php?workbook=12_05.xlsx&amp;sheet=U0&amp;row=3618&amp;col=6&amp;number=4.4&amp;sourceID=14","4.4")</f>
        <v>4.4</v>
      </c>
      <c r="G3618" s="4" t="str">
        <f>HYPERLINK("http://141.218.60.56/~jnz1568/getInfo.php?workbook=12_05.xlsx&amp;sheet=U0&amp;row=3618&amp;col=7&amp;number=0.00636&amp;sourceID=14","0.00636")</f>
        <v>0.00636</v>
      </c>
    </row>
    <row r="3619" spans="1:7">
      <c r="A3619" s="3"/>
      <c r="B3619" s="3"/>
      <c r="C3619" s="3"/>
      <c r="D3619" s="3"/>
      <c r="E3619" s="3">
        <v>16</v>
      </c>
      <c r="F3619" s="4" t="str">
        <f>HYPERLINK("http://141.218.60.56/~jnz1568/getInfo.php?workbook=12_05.xlsx&amp;sheet=U0&amp;row=3619&amp;col=6&amp;number=4.5&amp;sourceID=14","4.5")</f>
        <v>4.5</v>
      </c>
      <c r="G3619" s="4" t="str">
        <f>HYPERLINK("http://141.218.60.56/~jnz1568/getInfo.php?workbook=12_05.xlsx&amp;sheet=U0&amp;row=3619&amp;col=7&amp;number=0.0064&amp;sourceID=14","0.0064")</f>
        <v>0.0064</v>
      </c>
    </row>
    <row r="3620" spans="1:7">
      <c r="A3620" s="3"/>
      <c r="B3620" s="3"/>
      <c r="C3620" s="3"/>
      <c r="D3620" s="3"/>
      <c r="E3620" s="3">
        <v>17</v>
      </c>
      <c r="F3620" s="4" t="str">
        <f>HYPERLINK("http://141.218.60.56/~jnz1568/getInfo.php?workbook=12_05.xlsx&amp;sheet=U0&amp;row=3620&amp;col=6&amp;number=4.6&amp;sourceID=14","4.6")</f>
        <v>4.6</v>
      </c>
      <c r="G3620" s="4" t="str">
        <f>HYPERLINK("http://141.218.60.56/~jnz1568/getInfo.php?workbook=12_05.xlsx&amp;sheet=U0&amp;row=3620&amp;col=7&amp;number=0.00644&amp;sourceID=14","0.00644")</f>
        <v>0.00644</v>
      </c>
    </row>
    <row r="3621" spans="1:7">
      <c r="A3621" s="3"/>
      <c r="B3621" s="3"/>
      <c r="C3621" s="3"/>
      <c r="D3621" s="3"/>
      <c r="E3621" s="3">
        <v>18</v>
      </c>
      <c r="F3621" s="4" t="str">
        <f>HYPERLINK("http://141.218.60.56/~jnz1568/getInfo.php?workbook=12_05.xlsx&amp;sheet=U0&amp;row=3621&amp;col=6&amp;number=4.7&amp;sourceID=14","4.7")</f>
        <v>4.7</v>
      </c>
      <c r="G3621" s="4" t="str">
        <f>HYPERLINK("http://141.218.60.56/~jnz1568/getInfo.php?workbook=12_05.xlsx&amp;sheet=U0&amp;row=3621&amp;col=7&amp;number=0.00649&amp;sourceID=14","0.00649")</f>
        <v>0.00649</v>
      </c>
    </row>
    <row r="3622" spans="1:7">
      <c r="A3622" s="3"/>
      <c r="B3622" s="3"/>
      <c r="C3622" s="3"/>
      <c r="D3622" s="3"/>
      <c r="E3622" s="3">
        <v>19</v>
      </c>
      <c r="F3622" s="4" t="str">
        <f>HYPERLINK("http://141.218.60.56/~jnz1568/getInfo.php?workbook=12_05.xlsx&amp;sheet=U0&amp;row=3622&amp;col=6&amp;number=4.8&amp;sourceID=14","4.8")</f>
        <v>4.8</v>
      </c>
      <c r="G3622" s="4" t="str">
        <f>HYPERLINK("http://141.218.60.56/~jnz1568/getInfo.php?workbook=12_05.xlsx&amp;sheet=U0&amp;row=3622&amp;col=7&amp;number=0.00655&amp;sourceID=14","0.00655")</f>
        <v>0.00655</v>
      </c>
    </row>
    <row r="3623" spans="1:7">
      <c r="A3623" s="3"/>
      <c r="B3623" s="3"/>
      <c r="C3623" s="3"/>
      <c r="D3623" s="3"/>
      <c r="E3623" s="3">
        <v>20</v>
      </c>
      <c r="F3623" s="4" t="str">
        <f>HYPERLINK("http://141.218.60.56/~jnz1568/getInfo.php?workbook=12_05.xlsx&amp;sheet=U0&amp;row=3623&amp;col=6&amp;number=4.9&amp;sourceID=14","4.9")</f>
        <v>4.9</v>
      </c>
      <c r="G3623" s="4" t="str">
        <f>HYPERLINK("http://141.218.60.56/~jnz1568/getInfo.php?workbook=12_05.xlsx&amp;sheet=U0&amp;row=3623&amp;col=7&amp;number=0.00663&amp;sourceID=14","0.00663")</f>
        <v>0.00663</v>
      </c>
    </row>
    <row r="3624" spans="1:7">
      <c r="A3624" s="3">
        <v>12</v>
      </c>
      <c r="B3624" s="3">
        <v>5</v>
      </c>
      <c r="C3624" s="3">
        <v>2</v>
      </c>
      <c r="D3624" s="3">
        <v>34</v>
      </c>
      <c r="E3624" s="3">
        <v>1</v>
      </c>
      <c r="F3624" s="4" t="str">
        <f>HYPERLINK("http://141.218.60.56/~jnz1568/getInfo.php?workbook=12_05.xlsx&amp;sheet=U0&amp;row=3624&amp;col=6&amp;number=3&amp;sourceID=14","3")</f>
        <v>3</v>
      </c>
      <c r="G3624" s="4" t="str">
        <f>HYPERLINK("http://141.218.60.56/~jnz1568/getInfo.php?workbook=12_05.xlsx&amp;sheet=U0&amp;row=3624&amp;col=7&amp;number=0.00414&amp;sourceID=14","0.00414")</f>
        <v>0.00414</v>
      </c>
    </row>
    <row r="3625" spans="1:7">
      <c r="A3625" s="3"/>
      <c r="B3625" s="3"/>
      <c r="C3625" s="3"/>
      <c r="D3625" s="3"/>
      <c r="E3625" s="3">
        <v>2</v>
      </c>
      <c r="F3625" s="4" t="str">
        <f>HYPERLINK("http://141.218.60.56/~jnz1568/getInfo.php?workbook=12_05.xlsx&amp;sheet=U0&amp;row=3625&amp;col=6&amp;number=3.1&amp;sourceID=14","3.1")</f>
        <v>3.1</v>
      </c>
      <c r="G3625" s="4" t="str">
        <f>HYPERLINK("http://141.218.60.56/~jnz1568/getInfo.php?workbook=12_05.xlsx&amp;sheet=U0&amp;row=3625&amp;col=7&amp;number=0.00413&amp;sourceID=14","0.00413")</f>
        <v>0.00413</v>
      </c>
    </row>
    <row r="3626" spans="1:7">
      <c r="A3626" s="3"/>
      <c r="B3626" s="3"/>
      <c r="C3626" s="3"/>
      <c r="D3626" s="3"/>
      <c r="E3626" s="3">
        <v>3</v>
      </c>
      <c r="F3626" s="4" t="str">
        <f>HYPERLINK("http://141.218.60.56/~jnz1568/getInfo.php?workbook=12_05.xlsx&amp;sheet=U0&amp;row=3626&amp;col=6&amp;number=3.2&amp;sourceID=14","3.2")</f>
        <v>3.2</v>
      </c>
      <c r="G3626" s="4" t="str">
        <f>HYPERLINK("http://141.218.60.56/~jnz1568/getInfo.php?workbook=12_05.xlsx&amp;sheet=U0&amp;row=3626&amp;col=7&amp;number=0.00413&amp;sourceID=14","0.00413")</f>
        <v>0.00413</v>
      </c>
    </row>
    <row r="3627" spans="1:7">
      <c r="A3627" s="3"/>
      <c r="B3627" s="3"/>
      <c r="C3627" s="3"/>
      <c r="D3627" s="3"/>
      <c r="E3627" s="3">
        <v>4</v>
      </c>
      <c r="F3627" s="4" t="str">
        <f>HYPERLINK("http://141.218.60.56/~jnz1568/getInfo.php?workbook=12_05.xlsx&amp;sheet=U0&amp;row=3627&amp;col=6&amp;number=3.3&amp;sourceID=14","3.3")</f>
        <v>3.3</v>
      </c>
      <c r="G3627" s="4" t="str">
        <f>HYPERLINK("http://141.218.60.56/~jnz1568/getInfo.php?workbook=12_05.xlsx&amp;sheet=U0&amp;row=3627&amp;col=7&amp;number=0.00413&amp;sourceID=14","0.00413")</f>
        <v>0.00413</v>
      </c>
    </row>
    <row r="3628" spans="1:7">
      <c r="A3628" s="3"/>
      <c r="B3628" s="3"/>
      <c r="C3628" s="3"/>
      <c r="D3628" s="3"/>
      <c r="E3628" s="3">
        <v>5</v>
      </c>
      <c r="F3628" s="4" t="str">
        <f>HYPERLINK("http://141.218.60.56/~jnz1568/getInfo.php?workbook=12_05.xlsx&amp;sheet=U0&amp;row=3628&amp;col=6&amp;number=3.4&amp;sourceID=14","3.4")</f>
        <v>3.4</v>
      </c>
      <c r="G3628" s="4" t="str">
        <f>HYPERLINK("http://141.218.60.56/~jnz1568/getInfo.php?workbook=12_05.xlsx&amp;sheet=U0&amp;row=3628&amp;col=7&amp;number=0.00413&amp;sourceID=14","0.00413")</f>
        <v>0.00413</v>
      </c>
    </row>
    <row r="3629" spans="1:7">
      <c r="A3629" s="3"/>
      <c r="B3629" s="3"/>
      <c r="C3629" s="3"/>
      <c r="D3629" s="3"/>
      <c r="E3629" s="3">
        <v>6</v>
      </c>
      <c r="F3629" s="4" t="str">
        <f>HYPERLINK("http://141.218.60.56/~jnz1568/getInfo.php?workbook=12_05.xlsx&amp;sheet=U0&amp;row=3629&amp;col=6&amp;number=3.5&amp;sourceID=14","3.5")</f>
        <v>3.5</v>
      </c>
      <c r="G3629" s="4" t="str">
        <f>HYPERLINK("http://141.218.60.56/~jnz1568/getInfo.php?workbook=12_05.xlsx&amp;sheet=U0&amp;row=3629&amp;col=7&amp;number=0.00413&amp;sourceID=14","0.00413")</f>
        <v>0.00413</v>
      </c>
    </row>
    <row r="3630" spans="1:7">
      <c r="A3630" s="3"/>
      <c r="B3630" s="3"/>
      <c r="C3630" s="3"/>
      <c r="D3630" s="3"/>
      <c r="E3630" s="3">
        <v>7</v>
      </c>
      <c r="F3630" s="4" t="str">
        <f>HYPERLINK("http://141.218.60.56/~jnz1568/getInfo.php?workbook=12_05.xlsx&amp;sheet=U0&amp;row=3630&amp;col=6&amp;number=3.6&amp;sourceID=14","3.6")</f>
        <v>3.6</v>
      </c>
      <c r="G3630" s="4" t="str">
        <f>HYPERLINK("http://141.218.60.56/~jnz1568/getInfo.php?workbook=12_05.xlsx&amp;sheet=U0&amp;row=3630&amp;col=7&amp;number=0.00412&amp;sourceID=14","0.00412")</f>
        <v>0.00412</v>
      </c>
    </row>
    <row r="3631" spans="1:7">
      <c r="A3631" s="3"/>
      <c r="B3631" s="3"/>
      <c r="C3631" s="3"/>
      <c r="D3631" s="3"/>
      <c r="E3631" s="3">
        <v>8</v>
      </c>
      <c r="F3631" s="4" t="str">
        <f>HYPERLINK("http://141.218.60.56/~jnz1568/getInfo.php?workbook=12_05.xlsx&amp;sheet=U0&amp;row=3631&amp;col=6&amp;number=3.7&amp;sourceID=14","3.7")</f>
        <v>3.7</v>
      </c>
      <c r="G3631" s="4" t="str">
        <f>HYPERLINK("http://141.218.60.56/~jnz1568/getInfo.php?workbook=12_05.xlsx&amp;sheet=U0&amp;row=3631&amp;col=7&amp;number=0.00412&amp;sourceID=14","0.00412")</f>
        <v>0.00412</v>
      </c>
    </row>
    <row r="3632" spans="1:7">
      <c r="A3632" s="3"/>
      <c r="B3632" s="3"/>
      <c r="C3632" s="3"/>
      <c r="D3632" s="3"/>
      <c r="E3632" s="3">
        <v>9</v>
      </c>
      <c r="F3632" s="4" t="str">
        <f>HYPERLINK("http://141.218.60.56/~jnz1568/getInfo.php?workbook=12_05.xlsx&amp;sheet=U0&amp;row=3632&amp;col=6&amp;number=3.8&amp;sourceID=14","3.8")</f>
        <v>3.8</v>
      </c>
      <c r="G3632" s="4" t="str">
        <f>HYPERLINK("http://141.218.60.56/~jnz1568/getInfo.php?workbook=12_05.xlsx&amp;sheet=U0&amp;row=3632&amp;col=7&amp;number=0.00412&amp;sourceID=14","0.00412")</f>
        <v>0.00412</v>
      </c>
    </row>
    <row r="3633" spans="1:7">
      <c r="A3633" s="3"/>
      <c r="B3633" s="3"/>
      <c r="C3633" s="3"/>
      <c r="D3633" s="3"/>
      <c r="E3633" s="3">
        <v>10</v>
      </c>
      <c r="F3633" s="4" t="str">
        <f>HYPERLINK("http://141.218.60.56/~jnz1568/getInfo.php?workbook=12_05.xlsx&amp;sheet=U0&amp;row=3633&amp;col=6&amp;number=3.9&amp;sourceID=14","3.9")</f>
        <v>3.9</v>
      </c>
      <c r="G3633" s="4" t="str">
        <f>HYPERLINK("http://141.218.60.56/~jnz1568/getInfo.php?workbook=12_05.xlsx&amp;sheet=U0&amp;row=3633&amp;col=7&amp;number=0.00411&amp;sourceID=14","0.00411")</f>
        <v>0.00411</v>
      </c>
    </row>
    <row r="3634" spans="1:7">
      <c r="A3634" s="3"/>
      <c r="B3634" s="3"/>
      <c r="C3634" s="3"/>
      <c r="D3634" s="3"/>
      <c r="E3634" s="3">
        <v>11</v>
      </c>
      <c r="F3634" s="4" t="str">
        <f>HYPERLINK("http://141.218.60.56/~jnz1568/getInfo.php?workbook=12_05.xlsx&amp;sheet=U0&amp;row=3634&amp;col=6&amp;number=4&amp;sourceID=14","4")</f>
        <v>4</v>
      </c>
      <c r="G3634" s="4" t="str">
        <f>HYPERLINK("http://141.218.60.56/~jnz1568/getInfo.php?workbook=12_05.xlsx&amp;sheet=U0&amp;row=3634&amp;col=7&amp;number=0.0041&amp;sourceID=14","0.0041")</f>
        <v>0.0041</v>
      </c>
    </row>
    <row r="3635" spans="1:7">
      <c r="A3635" s="3"/>
      <c r="B3635" s="3"/>
      <c r="C3635" s="3"/>
      <c r="D3635" s="3"/>
      <c r="E3635" s="3">
        <v>12</v>
      </c>
      <c r="F3635" s="4" t="str">
        <f>HYPERLINK("http://141.218.60.56/~jnz1568/getInfo.php?workbook=12_05.xlsx&amp;sheet=U0&amp;row=3635&amp;col=6&amp;number=4.1&amp;sourceID=14","4.1")</f>
        <v>4.1</v>
      </c>
      <c r="G3635" s="4" t="str">
        <f>HYPERLINK("http://141.218.60.56/~jnz1568/getInfo.php?workbook=12_05.xlsx&amp;sheet=U0&amp;row=3635&amp;col=7&amp;number=0.00409&amp;sourceID=14","0.00409")</f>
        <v>0.00409</v>
      </c>
    </row>
    <row r="3636" spans="1:7">
      <c r="A3636" s="3"/>
      <c r="B3636" s="3"/>
      <c r="C3636" s="3"/>
      <c r="D3636" s="3"/>
      <c r="E3636" s="3">
        <v>13</v>
      </c>
      <c r="F3636" s="4" t="str">
        <f>HYPERLINK("http://141.218.60.56/~jnz1568/getInfo.php?workbook=12_05.xlsx&amp;sheet=U0&amp;row=3636&amp;col=6&amp;number=4.2&amp;sourceID=14","4.2")</f>
        <v>4.2</v>
      </c>
      <c r="G3636" s="4" t="str">
        <f>HYPERLINK("http://141.218.60.56/~jnz1568/getInfo.php?workbook=12_05.xlsx&amp;sheet=U0&amp;row=3636&amp;col=7&amp;number=0.00408&amp;sourceID=14","0.00408")</f>
        <v>0.00408</v>
      </c>
    </row>
    <row r="3637" spans="1:7">
      <c r="A3637" s="3"/>
      <c r="B3637" s="3"/>
      <c r="C3637" s="3"/>
      <c r="D3637" s="3"/>
      <c r="E3637" s="3">
        <v>14</v>
      </c>
      <c r="F3637" s="4" t="str">
        <f>HYPERLINK("http://141.218.60.56/~jnz1568/getInfo.php?workbook=12_05.xlsx&amp;sheet=U0&amp;row=3637&amp;col=6&amp;number=4.3&amp;sourceID=14","4.3")</f>
        <v>4.3</v>
      </c>
      <c r="G3637" s="4" t="str">
        <f>HYPERLINK("http://141.218.60.56/~jnz1568/getInfo.php?workbook=12_05.xlsx&amp;sheet=U0&amp;row=3637&amp;col=7&amp;number=0.00407&amp;sourceID=14","0.00407")</f>
        <v>0.00407</v>
      </c>
    </row>
    <row r="3638" spans="1:7">
      <c r="A3638" s="3"/>
      <c r="B3638" s="3"/>
      <c r="C3638" s="3"/>
      <c r="D3638" s="3"/>
      <c r="E3638" s="3">
        <v>15</v>
      </c>
      <c r="F3638" s="4" t="str">
        <f>HYPERLINK("http://141.218.60.56/~jnz1568/getInfo.php?workbook=12_05.xlsx&amp;sheet=U0&amp;row=3638&amp;col=6&amp;number=4.4&amp;sourceID=14","4.4")</f>
        <v>4.4</v>
      </c>
      <c r="G3638" s="4" t="str">
        <f>HYPERLINK("http://141.218.60.56/~jnz1568/getInfo.php?workbook=12_05.xlsx&amp;sheet=U0&amp;row=3638&amp;col=7&amp;number=0.00405&amp;sourceID=14","0.00405")</f>
        <v>0.00405</v>
      </c>
    </row>
    <row r="3639" spans="1:7">
      <c r="A3639" s="3"/>
      <c r="B3639" s="3"/>
      <c r="C3639" s="3"/>
      <c r="D3639" s="3"/>
      <c r="E3639" s="3">
        <v>16</v>
      </c>
      <c r="F3639" s="4" t="str">
        <f>HYPERLINK("http://141.218.60.56/~jnz1568/getInfo.php?workbook=12_05.xlsx&amp;sheet=U0&amp;row=3639&amp;col=6&amp;number=4.5&amp;sourceID=14","4.5")</f>
        <v>4.5</v>
      </c>
      <c r="G3639" s="4" t="str">
        <f>HYPERLINK("http://141.218.60.56/~jnz1568/getInfo.php?workbook=12_05.xlsx&amp;sheet=U0&amp;row=3639&amp;col=7&amp;number=0.00403&amp;sourceID=14","0.00403")</f>
        <v>0.00403</v>
      </c>
    </row>
    <row r="3640" spans="1:7">
      <c r="A3640" s="3"/>
      <c r="B3640" s="3"/>
      <c r="C3640" s="3"/>
      <c r="D3640" s="3"/>
      <c r="E3640" s="3">
        <v>17</v>
      </c>
      <c r="F3640" s="4" t="str">
        <f>HYPERLINK("http://141.218.60.56/~jnz1568/getInfo.php?workbook=12_05.xlsx&amp;sheet=U0&amp;row=3640&amp;col=6&amp;number=4.6&amp;sourceID=14","4.6")</f>
        <v>4.6</v>
      </c>
      <c r="G3640" s="4" t="str">
        <f>HYPERLINK("http://141.218.60.56/~jnz1568/getInfo.php?workbook=12_05.xlsx&amp;sheet=U0&amp;row=3640&amp;col=7&amp;number=0.004&amp;sourceID=14","0.004")</f>
        <v>0.004</v>
      </c>
    </row>
    <row r="3641" spans="1:7">
      <c r="A3641" s="3"/>
      <c r="B3641" s="3"/>
      <c r="C3641" s="3"/>
      <c r="D3641" s="3"/>
      <c r="E3641" s="3">
        <v>18</v>
      </c>
      <c r="F3641" s="4" t="str">
        <f>HYPERLINK("http://141.218.60.56/~jnz1568/getInfo.php?workbook=12_05.xlsx&amp;sheet=U0&amp;row=3641&amp;col=6&amp;number=4.7&amp;sourceID=14","4.7")</f>
        <v>4.7</v>
      </c>
      <c r="G3641" s="4" t="str">
        <f>HYPERLINK("http://141.218.60.56/~jnz1568/getInfo.php?workbook=12_05.xlsx&amp;sheet=U0&amp;row=3641&amp;col=7&amp;number=0.00396&amp;sourceID=14","0.00396")</f>
        <v>0.00396</v>
      </c>
    </row>
    <row r="3642" spans="1:7">
      <c r="A3642" s="3"/>
      <c r="B3642" s="3"/>
      <c r="C3642" s="3"/>
      <c r="D3642" s="3"/>
      <c r="E3642" s="3">
        <v>19</v>
      </c>
      <c r="F3642" s="4" t="str">
        <f>HYPERLINK("http://141.218.60.56/~jnz1568/getInfo.php?workbook=12_05.xlsx&amp;sheet=U0&amp;row=3642&amp;col=6&amp;number=4.8&amp;sourceID=14","4.8")</f>
        <v>4.8</v>
      </c>
      <c r="G3642" s="4" t="str">
        <f>HYPERLINK("http://141.218.60.56/~jnz1568/getInfo.php?workbook=12_05.xlsx&amp;sheet=U0&amp;row=3642&amp;col=7&amp;number=0.00392&amp;sourceID=14","0.00392")</f>
        <v>0.00392</v>
      </c>
    </row>
    <row r="3643" spans="1:7">
      <c r="A3643" s="3"/>
      <c r="B3643" s="3"/>
      <c r="C3643" s="3"/>
      <c r="D3643" s="3"/>
      <c r="E3643" s="3">
        <v>20</v>
      </c>
      <c r="F3643" s="4" t="str">
        <f>HYPERLINK("http://141.218.60.56/~jnz1568/getInfo.php?workbook=12_05.xlsx&amp;sheet=U0&amp;row=3643&amp;col=6&amp;number=4.9&amp;sourceID=14","4.9")</f>
        <v>4.9</v>
      </c>
      <c r="G3643" s="4" t="str">
        <f>HYPERLINK("http://141.218.60.56/~jnz1568/getInfo.php?workbook=12_05.xlsx&amp;sheet=U0&amp;row=3643&amp;col=7&amp;number=0.00386&amp;sourceID=14","0.00386")</f>
        <v>0.00386</v>
      </c>
    </row>
    <row r="3644" spans="1:7">
      <c r="A3644" s="3">
        <v>12</v>
      </c>
      <c r="B3644" s="3">
        <v>5</v>
      </c>
      <c r="C3644" s="3">
        <v>2</v>
      </c>
      <c r="D3644" s="3">
        <v>35</v>
      </c>
      <c r="E3644" s="3">
        <v>1</v>
      </c>
      <c r="F3644" s="4" t="str">
        <f>HYPERLINK("http://141.218.60.56/~jnz1568/getInfo.php?workbook=12_05.xlsx&amp;sheet=U0&amp;row=3644&amp;col=6&amp;number=3&amp;sourceID=14","3")</f>
        <v>3</v>
      </c>
      <c r="G3644" s="4" t="str">
        <f>HYPERLINK("http://141.218.60.56/~jnz1568/getInfo.php?workbook=12_05.xlsx&amp;sheet=U0&amp;row=3644&amp;col=7&amp;number=0.00445&amp;sourceID=14","0.00445")</f>
        <v>0.00445</v>
      </c>
    </row>
    <row r="3645" spans="1:7">
      <c r="A3645" s="3"/>
      <c r="B3645" s="3"/>
      <c r="C3645" s="3"/>
      <c r="D3645" s="3"/>
      <c r="E3645" s="3">
        <v>2</v>
      </c>
      <c r="F3645" s="4" t="str">
        <f>HYPERLINK("http://141.218.60.56/~jnz1568/getInfo.php?workbook=12_05.xlsx&amp;sheet=U0&amp;row=3645&amp;col=6&amp;number=3.1&amp;sourceID=14","3.1")</f>
        <v>3.1</v>
      </c>
      <c r="G3645" s="4" t="str">
        <f>HYPERLINK("http://141.218.60.56/~jnz1568/getInfo.php?workbook=12_05.xlsx&amp;sheet=U0&amp;row=3645&amp;col=7&amp;number=0.00445&amp;sourceID=14","0.00445")</f>
        <v>0.00445</v>
      </c>
    </row>
    <row r="3646" spans="1:7">
      <c r="A3646" s="3"/>
      <c r="B3646" s="3"/>
      <c r="C3646" s="3"/>
      <c r="D3646" s="3"/>
      <c r="E3646" s="3">
        <v>3</v>
      </c>
      <c r="F3646" s="4" t="str">
        <f>HYPERLINK("http://141.218.60.56/~jnz1568/getInfo.php?workbook=12_05.xlsx&amp;sheet=U0&amp;row=3646&amp;col=6&amp;number=3.2&amp;sourceID=14","3.2")</f>
        <v>3.2</v>
      </c>
      <c r="G3646" s="4" t="str">
        <f>HYPERLINK("http://141.218.60.56/~jnz1568/getInfo.php?workbook=12_05.xlsx&amp;sheet=U0&amp;row=3646&amp;col=7&amp;number=0.00445&amp;sourceID=14","0.00445")</f>
        <v>0.00445</v>
      </c>
    </row>
    <row r="3647" spans="1:7">
      <c r="A3647" s="3"/>
      <c r="B3647" s="3"/>
      <c r="C3647" s="3"/>
      <c r="D3647" s="3"/>
      <c r="E3647" s="3">
        <v>4</v>
      </c>
      <c r="F3647" s="4" t="str">
        <f>HYPERLINK("http://141.218.60.56/~jnz1568/getInfo.php?workbook=12_05.xlsx&amp;sheet=U0&amp;row=3647&amp;col=6&amp;number=3.3&amp;sourceID=14","3.3")</f>
        <v>3.3</v>
      </c>
      <c r="G3647" s="4" t="str">
        <f>HYPERLINK("http://141.218.60.56/~jnz1568/getInfo.php?workbook=12_05.xlsx&amp;sheet=U0&amp;row=3647&amp;col=7&amp;number=0.00444&amp;sourceID=14","0.00444")</f>
        <v>0.00444</v>
      </c>
    </row>
    <row r="3648" spans="1:7">
      <c r="A3648" s="3"/>
      <c r="B3648" s="3"/>
      <c r="C3648" s="3"/>
      <c r="D3648" s="3"/>
      <c r="E3648" s="3">
        <v>5</v>
      </c>
      <c r="F3648" s="4" t="str">
        <f>HYPERLINK("http://141.218.60.56/~jnz1568/getInfo.php?workbook=12_05.xlsx&amp;sheet=U0&amp;row=3648&amp;col=6&amp;number=3.4&amp;sourceID=14","3.4")</f>
        <v>3.4</v>
      </c>
      <c r="G3648" s="4" t="str">
        <f>HYPERLINK("http://141.218.60.56/~jnz1568/getInfo.php?workbook=12_05.xlsx&amp;sheet=U0&amp;row=3648&amp;col=7&amp;number=0.00444&amp;sourceID=14","0.00444")</f>
        <v>0.00444</v>
      </c>
    </row>
    <row r="3649" spans="1:7">
      <c r="A3649" s="3"/>
      <c r="B3649" s="3"/>
      <c r="C3649" s="3"/>
      <c r="D3649" s="3"/>
      <c r="E3649" s="3">
        <v>6</v>
      </c>
      <c r="F3649" s="4" t="str">
        <f>HYPERLINK("http://141.218.60.56/~jnz1568/getInfo.php?workbook=12_05.xlsx&amp;sheet=U0&amp;row=3649&amp;col=6&amp;number=3.5&amp;sourceID=14","3.5")</f>
        <v>3.5</v>
      </c>
      <c r="G3649" s="4" t="str">
        <f>HYPERLINK("http://141.218.60.56/~jnz1568/getInfo.php?workbook=12_05.xlsx&amp;sheet=U0&amp;row=3649&amp;col=7&amp;number=0.00444&amp;sourceID=14","0.00444")</f>
        <v>0.00444</v>
      </c>
    </row>
    <row r="3650" spans="1:7">
      <c r="A3650" s="3"/>
      <c r="B3650" s="3"/>
      <c r="C3650" s="3"/>
      <c r="D3650" s="3"/>
      <c r="E3650" s="3">
        <v>7</v>
      </c>
      <c r="F3650" s="4" t="str">
        <f>HYPERLINK("http://141.218.60.56/~jnz1568/getInfo.php?workbook=12_05.xlsx&amp;sheet=U0&amp;row=3650&amp;col=6&amp;number=3.6&amp;sourceID=14","3.6")</f>
        <v>3.6</v>
      </c>
      <c r="G3650" s="4" t="str">
        <f>HYPERLINK("http://141.218.60.56/~jnz1568/getInfo.php?workbook=12_05.xlsx&amp;sheet=U0&amp;row=3650&amp;col=7&amp;number=0.00444&amp;sourceID=14","0.00444")</f>
        <v>0.00444</v>
      </c>
    </row>
    <row r="3651" spans="1:7">
      <c r="A3651" s="3"/>
      <c r="B3651" s="3"/>
      <c r="C3651" s="3"/>
      <c r="D3651" s="3"/>
      <c r="E3651" s="3">
        <v>8</v>
      </c>
      <c r="F3651" s="4" t="str">
        <f>HYPERLINK("http://141.218.60.56/~jnz1568/getInfo.php?workbook=12_05.xlsx&amp;sheet=U0&amp;row=3651&amp;col=6&amp;number=3.7&amp;sourceID=14","3.7")</f>
        <v>3.7</v>
      </c>
      <c r="G3651" s="4" t="str">
        <f>HYPERLINK("http://141.218.60.56/~jnz1568/getInfo.php?workbook=12_05.xlsx&amp;sheet=U0&amp;row=3651&amp;col=7&amp;number=0.00443&amp;sourceID=14","0.00443")</f>
        <v>0.00443</v>
      </c>
    </row>
    <row r="3652" spans="1:7">
      <c r="A3652" s="3"/>
      <c r="B3652" s="3"/>
      <c r="C3652" s="3"/>
      <c r="D3652" s="3"/>
      <c r="E3652" s="3">
        <v>9</v>
      </c>
      <c r="F3652" s="4" t="str">
        <f>HYPERLINK("http://141.218.60.56/~jnz1568/getInfo.php?workbook=12_05.xlsx&amp;sheet=U0&amp;row=3652&amp;col=6&amp;number=3.8&amp;sourceID=14","3.8")</f>
        <v>3.8</v>
      </c>
      <c r="G3652" s="4" t="str">
        <f>HYPERLINK("http://141.218.60.56/~jnz1568/getInfo.php?workbook=12_05.xlsx&amp;sheet=U0&amp;row=3652&amp;col=7&amp;number=0.00443&amp;sourceID=14","0.00443")</f>
        <v>0.00443</v>
      </c>
    </row>
    <row r="3653" spans="1:7">
      <c r="A3653" s="3"/>
      <c r="B3653" s="3"/>
      <c r="C3653" s="3"/>
      <c r="D3653" s="3"/>
      <c r="E3653" s="3">
        <v>10</v>
      </c>
      <c r="F3653" s="4" t="str">
        <f>HYPERLINK("http://141.218.60.56/~jnz1568/getInfo.php?workbook=12_05.xlsx&amp;sheet=U0&amp;row=3653&amp;col=6&amp;number=3.9&amp;sourceID=14","3.9")</f>
        <v>3.9</v>
      </c>
      <c r="G3653" s="4" t="str">
        <f>HYPERLINK("http://141.218.60.56/~jnz1568/getInfo.php?workbook=12_05.xlsx&amp;sheet=U0&amp;row=3653&amp;col=7&amp;number=0.00442&amp;sourceID=14","0.00442")</f>
        <v>0.00442</v>
      </c>
    </row>
    <row r="3654" spans="1:7">
      <c r="A3654" s="3"/>
      <c r="B3654" s="3"/>
      <c r="C3654" s="3"/>
      <c r="D3654" s="3"/>
      <c r="E3654" s="3">
        <v>11</v>
      </c>
      <c r="F3654" s="4" t="str">
        <f>HYPERLINK("http://141.218.60.56/~jnz1568/getInfo.php?workbook=12_05.xlsx&amp;sheet=U0&amp;row=3654&amp;col=6&amp;number=4&amp;sourceID=14","4")</f>
        <v>4</v>
      </c>
      <c r="G3654" s="4" t="str">
        <f>HYPERLINK("http://141.218.60.56/~jnz1568/getInfo.php?workbook=12_05.xlsx&amp;sheet=U0&amp;row=3654&amp;col=7&amp;number=0.00441&amp;sourceID=14","0.00441")</f>
        <v>0.00441</v>
      </c>
    </row>
    <row r="3655" spans="1:7">
      <c r="A3655" s="3"/>
      <c r="B3655" s="3"/>
      <c r="C3655" s="3"/>
      <c r="D3655" s="3"/>
      <c r="E3655" s="3">
        <v>12</v>
      </c>
      <c r="F3655" s="4" t="str">
        <f>HYPERLINK("http://141.218.60.56/~jnz1568/getInfo.php?workbook=12_05.xlsx&amp;sheet=U0&amp;row=3655&amp;col=6&amp;number=4.1&amp;sourceID=14","4.1")</f>
        <v>4.1</v>
      </c>
      <c r="G3655" s="4" t="str">
        <f>HYPERLINK("http://141.218.60.56/~jnz1568/getInfo.php?workbook=12_05.xlsx&amp;sheet=U0&amp;row=3655&amp;col=7&amp;number=0.0044&amp;sourceID=14","0.0044")</f>
        <v>0.0044</v>
      </c>
    </row>
    <row r="3656" spans="1:7">
      <c r="A3656" s="3"/>
      <c r="B3656" s="3"/>
      <c r="C3656" s="3"/>
      <c r="D3656" s="3"/>
      <c r="E3656" s="3">
        <v>13</v>
      </c>
      <c r="F3656" s="4" t="str">
        <f>HYPERLINK("http://141.218.60.56/~jnz1568/getInfo.php?workbook=12_05.xlsx&amp;sheet=U0&amp;row=3656&amp;col=6&amp;number=4.2&amp;sourceID=14","4.2")</f>
        <v>4.2</v>
      </c>
      <c r="G3656" s="4" t="str">
        <f>HYPERLINK("http://141.218.60.56/~jnz1568/getInfo.php?workbook=12_05.xlsx&amp;sheet=U0&amp;row=3656&amp;col=7&amp;number=0.00439&amp;sourceID=14","0.00439")</f>
        <v>0.00439</v>
      </c>
    </row>
    <row r="3657" spans="1:7">
      <c r="A3657" s="3"/>
      <c r="B3657" s="3"/>
      <c r="C3657" s="3"/>
      <c r="D3657" s="3"/>
      <c r="E3657" s="3">
        <v>14</v>
      </c>
      <c r="F3657" s="4" t="str">
        <f>HYPERLINK("http://141.218.60.56/~jnz1568/getInfo.php?workbook=12_05.xlsx&amp;sheet=U0&amp;row=3657&amp;col=6&amp;number=4.3&amp;sourceID=14","4.3")</f>
        <v>4.3</v>
      </c>
      <c r="G3657" s="4" t="str">
        <f>HYPERLINK("http://141.218.60.56/~jnz1568/getInfo.php?workbook=12_05.xlsx&amp;sheet=U0&amp;row=3657&amp;col=7&amp;number=0.00437&amp;sourceID=14","0.00437")</f>
        <v>0.00437</v>
      </c>
    </row>
    <row r="3658" spans="1:7">
      <c r="A3658" s="3"/>
      <c r="B3658" s="3"/>
      <c r="C3658" s="3"/>
      <c r="D3658" s="3"/>
      <c r="E3658" s="3">
        <v>15</v>
      </c>
      <c r="F3658" s="4" t="str">
        <f>HYPERLINK("http://141.218.60.56/~jnz1568/getInfo.php?workbook=12_05.xlsx&amp;sheet=U0&amp;row=3658&amp;col=6&amp;number=4.4&amp;sourceID=14","4.4")</f>
        <v>4.4</v>
      </c>
      <c r="G3658" s="4" t="str">
        <f>HYPERLINK("http://141.218.60.56/~jnz1568/getInfo.php?workbook=12_05.xlsx&amp;sheet=U0&amp;row=3658&amp;col=7&amp;number=0.00435&amp;sourceID=14","0.00435")</f>
        <v>0.00435</v>
      </c>
    </row>
    <row r="3659" spans="1:7">
      <c r="A3659" s="3"/>
      <c r="B3659" s="3"/>
      <c r="C3659" s="3"/>
      <c r="D3659" s="3"/>
      <c r="E3659" s="3">
        <v>16</v>
      </c>
      <c r="F3659" s="4" t="str">
        <f>HYPERLINK("http://141.218.60.56/~jnz1568/getInfo.php?workbook=12_05.xlsx&amp;sheet=U0&amp;row=3659&amp;col=6&amp;number=4.5&amp;sourceID=14","4.5")</f>
        <v>4.5</v>
      </c>
      <c r="G3659" s="4" t="str">
        <f>HYPERLINK("http://141.218.60.56/~jnz1568/getInfo.php?workbook=12_05.xlsx&amp;sheet=U0&amp;row=3659&amp;col=7&amp;number=0.00432&amp;sourceID=14","0.00432")</f>
        <v>0.00432</v>
      </c>
    </row>
    <row r="3660" spans="1:7">
      <c r="A3660" s="3"/>
      <c r="B3660" s="3"/>
      <c r="C3660" s="3"/>
      <c r="D3660" s="3"/>
      <c r="E3660" s="3">
        <v>17</v>
      </c>
      <c r="F3660" s="4" t="str">
        <f>HYPERLINK("http://141.218.60.56/~jnz1568/getInfo.php?workbook=12_05.xlsx&amp;sheet=U0&amp;row=3660&amp;col=6&amp;number=4.6&amp;sourceID=14","4.6")</f>
        <v>4.6</v>
      </c>
      <c r="G3660" s="4" t="str">
        <f>HYPERLINK("http://141.218.60.56/~jnz1568/getInfo.php?workbook=12_05.xlsx&amp;sheet=U0&amp;row=3660&amp;col=7&amp;number=0.00429&amp;sourceID=14","0.00429")</f>
        <v>0.00429</v>
      </c>
    </row>
    <row r="3661" spans="1:7">
      <c r="A3661" s="3"/>
      <c r="B3661" s="3"/>
      <c r="C3661" s="3"/>
      <c r="D3661" s="3"/>
      <c r="E3661" s="3">
        <v>18</v>
      </c>
      <c r="F3661" s="4" t="str">
        <f>HYPERLINK("http://141.218.60.56/~jnz1568/getInfo.php?workbook=12_05.xlsx&amp;sheet=U0&amp;row=3661&amp;col=6&amp;number=4.7&amp;sourceID=14","4.7")</f>
        <v>4.7</v>
      </c>
      <c r="G3661" s="4" t="str">
        <f>HYPERLINK("http://141.218.60.56/~jnz1568/getInfo.php?workbook=12_05.xlsx&amp;sheet=U0&amp;row=3661&amp;col=7&amp;number=0.00425&amp;sourceID=14","0.00425")</f>
        <v>0.00425</v>
      </c>
    </row>
    <row r="3662" spans="1:7">
      <c r="A3662" s="3"/>
      <c r="B3662" s="3"/>
      <c r="C3662" s="3"/>
      <c r="D3662" s="3"/>
      <c r="E3662" s="3">
        <v>19</v>
      </c>
      <c r="F3662" s="4" t="str">
        <f>HYPERLINK("http://141.218.60.56/~jnz1568/getInfo.php?workbook=12_05.xlsx&amp;sheet=U0&amp;row=3662&amp;col=6&amp;number=4.8&amp;sourceID=14","4.8")</f>
        <v>4.8</v>
      </c>
      <c r="G3662" s="4" t="str">
        <f>HYPERLINK("http://141.218.60.56/~jnz1568/getInfo.php?workbook=12_05.xlsx&amp;sheet=U0&amp;row=3662&amp;col=7&amp;number=0.0042&amp;sourceID=14","0.0042")</f>
        <v>0.0042</v>
      </c>
    </row>
    <row r="3663" spans="1:7">
      <c r="A3663" s="3"/>
      <c r="B3663" s="3"/>
      <c r="C3663" s="3"/>
      <c r="D3663" s="3"/>
      <c r="E3663" s="3">
        <v>20</v>
      </c>
      <c r="F3663" s="4" t="str">
        <f>HYPERLINK("http://141.218.60.56/~jnz1568/getInfo.php?workbook=12_05.xlsx&amp;sheet=U0&amp;row=3663&amp;col=6&amp;number=4.9&amp;sourceID=14","4.9")</f>
        <v>4.9</v>
      </c>
      <c r="G3663" s="4" t="str">
        <f>HYPERLINK("http://141.218.60.56/~jnz1568/getInfo.php?workbook=12_05.xlsx&amp;sheet=U0&amp;row=3663&amp;col=7&amp;number=0.00414&amp;sourceID=14","0.00414")</f>
        <v>0.00414</v>
      </c>
    </row>
    <row r="3664" spans="1:7">
      <c r="A3664" s="3">
        <v>12</v>
      </c>
      <c r="B3664" s="3">
        <v>5</v>
      </c>
      <c r="C3664" s="3">
        <v>2</v>
      </c>
      <c r="D3664" s="3">
        <v>36</v>
      </c>
      <c r="E3664" s="3">
        <v>1</v>
      </c>
      <c r="F3664" s="4" t="str">
        <f>HYPERLINK("http://141.218.60.56/~jnz1568/getInfo.php?workbook=12_05.xlsx&amp;sheet=U0&amp;row=3664&amp;col=6&amp;number=3&amp;sourceID=14","3")</f>
        <v>3</v>
      </c>
      <c r="G3664" s="4" t="str">
        <f>HYPERLINK("http://141.218.60.56/~jnz1568/getInfo.php?workbook=12_05.xlsx&amp;sheet=U0&amp;row=3664&amp;col=7&amp;number=0.00471&amp;sourceID=14","0.00471")</f>
        <v>0.00471</v>
      </c>
    </row>
    <row r="3665" spans="1:7">
      <c r="A3665" s="3"/>
      <c r="B3665" s="3"/>
      <c r="C3665" s="3"/>
      <c r="D3665" s="3"/>
      <c r="E3665" s="3">
        <v>2</v>
      </c>
      <c r="F3665" s="4" t="str">
        <f>HYPERLINK("http://141.218.60.56/~jnz1568/getInfo.php?workbook=12_05.xlsx&amp;sheet=U0&amp;row=3665&amp;col=6&amp;number=3.1&amp;sourceID=14","3.1")</f>
        <v>3.1</v>
      </c>
      <c r="G3665" s="4" t="str">
        <f>HYPERLINK("http://141.218.60.56/~jnz1568/getInfo.php?workbook=12_05.xlsx&amp;sheet=U0&amp;row=3665&amp;col=7&amp;number=0.00471&amp;sourceID=14","0.00471")</f>
        <v>0.00471</v>
      </c>
    </row>
    <row r="3666" spans="1:7">
      <c r="A3666" s="3"/>
      <c r="B3666" s="3"/>
      <c r="C3666" s="3"/>
      <c r="D3666" s="3"/>
      <c r="E3666" s="3">
        <v>3</v>
      </c>
      <c r="F3666" s="4" t="str">
        <f>HYPERLINK("http://141.218.60.56/~jnz1568/getInfo.php?workbook=12_05.xlsx&amp;sheet=U0&amp;row=3666&amp;col=6&amp;number=3.2&amp;sourceID=14","3.2")</f>
        <v>3.2</v>
      </c>
      <c r="G3666" s="4" t="str">
        <f>HYPERLINK("http://141.218.60.56/~jnz1568/getInfo.php?workbook=12_05.xlsx&amp;sheet=U0&amp;row=3666&amp;col=7&amp;number=0.00471&amp;sourceID=14","0.00471")</f>
        <v>0.00471</v>
      </c>
    </row>
    <row r="3667" spans="1:7">
      <c r="A3667" s="3"/>
      <c r="B3667" s="3"/>
      <c r="C3667" s="3"/>
      <c r="D3667" s="3"/>
      <c r="E3667" s="3">
        <v>4</v>
      </c>
      <c r="F3667" s="4" t="str">
        <f>HYPERLINK("http://141.218.60.56/~jnz1568/getInfo.php?workbook=12_05.xlsx&amp;sheet=U0&amp;row=3667&amp;col=6&amp;number=3.3&amp;sourceID=14","3.3")</f>
        <v>3.3</v>
      </c>
      <c r="G3667" s="4" t="str">
        <f>HYPERLINK("http://141.218.60.56/~jnz1568/getInfo.php?workbook=12_05.xlsx&amp;sheet=U0&amp;row=3667&amp;col=7&amp;number=0.00471&amp;sourceID=14","0.00471")</f>
        <v>0.00471</v>
      </c>
    </row>
    <row r="3668" spans="1:7">
      <c r="A3668" s="3"/>
      <c r="B3668" s="3"/>
      <c r="C3668" s="3"/>
      <c r="D3668" s="3"/>
      <c r="E3668" s="3">
        <v>5</v>
      </c>
      <c r="F3668" s="4" t="str">
        <f>HYPERLINK("http://141.218.60.56/~jnz1568/getInfo.php?workbook=12_05.xlsx&amp;sheet=U0&amp;row=3668&amp;col=6&amp;number=3.4&amp;sourceID=14","3.4")</f>
        <v>3.4</v>
      </c>
      <c r="G3668" s="4" t="str">
        <f>HYPERLINK("http://141.218.60.56/~jnz1568/getInfo.php?workbook=12_05.xlsx&amp;sheet=U0&amp;row=3668&amp;col=7&amp;number=0.00472&amp;sourceID=14","0.00472")</f>
        <v>0.00472</v>
      </c>
    </row>
    <row r="3669" spans="1:7">
      <c r="A3669" s="3"/>
      <c r="B3669" s="3"/>
      <c r="C3669" s="3"/>
      <c r="D3669" s="3"/>
      <c r="E3669" s="3">
        <v>6</v>
      </c>
      <c r="F3669" s="4" t="str">
        <f>HYPERLINK("http://141.218.60.56/~jnz1568/getInfo.php?workbook=12_05.xlsx&amp;sheet=U0&amp;row=3669&amp;col=6&amp;number=3.5&amp;sourceID=14","3.5")</f>
        <v>3.5</v>
      </c>
      <c r="G3669" s="4" t="str">
        <f>HYPERLINK("http://141.218.60.56/~jnz1568/getInfo.php?workbook=12_05.xlsx&amp;sheet=U0&amp;row=3669&amp;col=7&amp;number=0.00472&amp;sourceID=14","0.00472")</f>
        <v>0.00472</v>
      </c>
    </row>
    <row r="3670" spans="1:7">
      <c r="A3670" s="3"/>
      <c r="B3670" s="3"/>
      <c r="C3670" s="3"/>
      <c r="D3670" s="3"/>
      <c r="E3670" s="3">
        <v>7</v>
      </c>
      <c r="F3670" s="4" t="str">
        <f>HYPERLINK("http://141.218.60.56/~jnz1568/getInfo.php?workbook=12_05.xlsx&amp;sheet=U0&amp;row=3670&amp;col=6&amp;number=3.6&amp;sourceID=14","3.6")</f>
        <v>3.6</v>
      </c>
      <c r="G3670" s="4" t="str">
        <f>HYPERLINK("http://141.218.60.56/~jnz1568/getInfo.php?workbook=12_05.xlsx&amp;sheet=U0&amp;row=3670&amp;col=7&amp;number=0.00473&amp;sourceID=14","0.00473")</f>
        <v>0.00473</v>
      </c>
    </row>
    <row r="3671" spans="1:7">
      <c r="A3671" s="3"/>
      <c r="B3671" s="3"/>
      <c r="C3671" s="3"/>
      <c r="D3671" s="3"/>
      <c r="E3671" s="3">
        <v>8</v>
      </c>
      <c r="F3671" s="4" t="str">
        <f>HYPERLINK("http://141.218.60.56/~jnz1568/getInfo.php?workbook=12_05.xlsx&amp;sheet=U0&amp;row=3671&amp;col=6&amp;number=3.7&amp;sourceID=14","3.7")</f>
        <v>3.7</v>
      </c>
      <c r="G3671" s="4" t="str">
        <f>HYPERLINK("http://141.218.60.56/~jnz1568/getInfo.php?workbook=12_05.xlsx&amp;sheet=U0&amp;row=3671&amp;col=7&amp;number=0.00474&amp;sourceID=14","0.00474")</f>
        <v>0.00474</v>
      </c>
    </row>
    <row r="3672" spans="1:7">
      <c r="A3672" s="3"/>
      <c r="B3672" s="3"/>
      <c r="C3672" s="3"/>
      <c r="D3672" s="3"/>
      <c r="E3672" s="3">
        <v>9</v>
      </c>
      <c r="F3672" s="4" t="str">
        <f>HYPERLINK("http://141.218.60.56/~jnz1568/getInfo.php?workbook=12_05.xlsx&amp;sheet=U0&amp;row=3672&amp;col=6&amp;number=3.8&amp;sourceID=14","3.8")</f>
        <v>3.8</v>
      </c>
      <c r="G3672" s="4" t="str">
        <f>HYPERLINK("http://141.218.60.56/~jnz1568/getInfo.php?workbook=12_05.xlsx&amp;sheet=U0&amp;row=3672&amp;col=7&amp;number=0.00475&amp;sourceID=14","0.00475")</f>
        <v>0.00475</v>
      </c>
    </row>
    <row r="3673" spans="1:7">
      <c r="A3673" s="3"/>
      <c r="B3673" s="3"/>
      <c r="C3673" s="3"/>
      <c r="D3673" s="3"/>
      <c r="E3673" s="3">
        <v>10</v>
      </c>
      <c r="F3673" s="4" t="str">
        <f>HYPERLINK("http://141.218.60.56/~jnz1568/getInfo.php?workbook=12_05.xlsx&amp;sheet=U0&amp;row=3673&amp;col=6&amp;number=3.9&amp;sourceID=14","3.9")</f>
        <v>3.9</v>
      </c>
      <c r="G3673" s="4" t="str">
        <f>HYPERLINK("http://141.218.60.56/~jnz1568/getInfo.php?workbook=12_05.xlsx&amp;sheet=U0&amp;row=3673&amp;col=7&amp;number=0.00476&amp;sourceID=14","0.00476")</f>
        <v>0.00476</v>
      </c>
    </row>
    <row r="3674" spans="1:7">
      <c r="A3674" s="3"/>
      <c r="B3674" s="3"/>
      <c r="C3674" s="3"/>
      <c r="D3674" s="3"/>
      <c r="E3674" s="3">
        <v>11</v>
      </c>
      <c r="F3674" s="4" t="str">
        <f>HYPERLINK("http://141.218.60.56/~jnz1568/getInfo.php?workbook=12_05.xlsx&amp;sheet=U0&amp;row=3674&amp;col=6&amp;number=4&amp;sourceID=14","4")</f>
        <v>4</v>
      </c>
      <c r="G3674" s="4" t="str">
        <f>HYPERLINK("http://141.218.60.56/~jnz1568/getInfo.php?workbook=12_05.xlsx&amp;sheet=U0&amp;row=3674&amp;col=7&amp;number=0.00478&amp;sourceID=14","0.00478")</f>
        <v>0.00478</v>
      </c>
    </row>
    <row r="3675" spans="1:7">
      <c r="A3675" s="3"/>
      <c r="B3675" s="3"/>
      <c r="C3675" s="3"/>
      <c r="D3675" s="3"/>
      <c r="E3675" s="3">
        <v>12</v>
      </c>
      <c r="F3675" s="4" t="str">
        <f>HYPERLINK("http://141.218.60.56/~jnz1568/getInfo.php?workbook=12_05.xlsx&amp;sheet=U0&amp;row=3675&amp;col=6&amp;number=4.1&amp;sourceID=14","4.1")</f>
        <v>4.1</v>
      </c>
      <c r="G3675" s="4" t="str">
        <f>HYPERLINK("http://141.218.60.56/~jnz1568/getInfo.php?workbook=12_05.xlsx&amp;sheet=U0&amp;row=3675&amp;col=7&amp;number=0.0048&amp;sourceID=14","0.0048")</f>
        <v>0.0048</v>
      </c>
    </row>
    <row r="3676" spans="1:7">
      <c r="A3676" s="3"/>
      <c r="B3676" s="3"/>
      <c r="C3676" s="3"/>
      <c r="D3676" s="3"/>
      <c r="E3676" s="3">
        <v>13</v>
      </c>
      <c r="F3676" s="4" t="str">
        <f>HYPERLINK("http://141.218.60.56/~jnz1568/getInfo.php?workbook=12_05.xlsx&amp;sheet=U0&amp;row=3676&amp;col=6&amp;number=4.2&amp;sourceID=14","4.2")</f>
        <v>4.2</v>
      </c>
      <c r="G3676" s="4" t="str">
        <f>HYPERLINK("http://141.218.60.56/~jnz1568/getInfo.php?workbook=12_05.xlsx&amp;sheet=U0&amp;row=3676&amp;col=7&amp;number=0.00482&amp;sourceID=14","0.00482")</f>
        <v>0.00482</v>
      </c>
    </row>
    <row r="3677" spans="1:7">
      <c r="A3677" s="3"/>
      <c r="B3677" s="3"/>
      <c r="C3677" s="3"/>
      <c r="D3677" s="3"/>
      <c r="E3677" s="3">
        <v>14</v>
      </c>
      <c r="F3677" s="4" t="str">
        <f>HYPERLINK("http://141.218.60.56/~jnz1568/getInfo.php?workbook=12_05.xlsx&amp;sheet=U0&amp;row=3677&amp;col=6&amp;number=4.3&amp;sourceID=14","4.3")</f>
        <v>4.3</v>
      </c>
      <c r="G3677" s="4" t="str">
        <f>HYPERLINK("http://141.218.60.56/~jnz1568/getInfo.php?workbook=12_05.xlsx&amp;sheet=U0&amp;row=3677&amp;col=7&amp;number=0.00486&amp;sourceID=14","0.00486")</f>
        <v>0.00486</v>
      </c>
    </row>
    <row r="3678" spans="1:7">
      <c r="A3678" s="3"/>
      <c r="B3678" s="3"/>
      <c r="C3678" s="3"/>
      <c r="D3678" s="3"/>
      <c r="E3678" s="3">
        <v>15</v>
      </c>
      <c r="F3678" s="4" t="str">
        <f>HYPERLINK("http://141.218.60.56/~jnz1568/getInfo.php?workbook=12_05.xlsx&amp;sheet=U0&amp;row=3678&amp;col=6&amp;number=4.4&amp;sourceID=14","4.4")</f>
        <v>4.4</v>
      </c>
      <c r="G3678" s="4" t="str">
        <f>HYPERLINK("http://141.218.60.56/~jnz1568/getInfo.php?workbook=12_05.xlsx&amp;sheet=U0&amp;row=3678&amp;col=7&amp;number=0.0049&amp;sourceID=14","0.0049")</f>
        <v>0.0049</v>
      </c>
    </row>
    <row r="3679" spans="1:7">
      <c r="A3679" s="3"/>
      <c r="B3679" s="3"/>
      <c r="C3679" s="3"/>
      <c r="D3679" s="3"/>
      <c r="E3679" s="3">
        <v>16</v>
      </c>
      <c r="F3679" s="4" t="str">
        <f>HYPERLINK("http://141.218.60.56/~jnz1568/getInfo.php?workbook=12_05.xlsx&amp;sheet=U0&amp;row=3679&amp;col=6&amp;number=4.5&amp;sourceID=14","4.5")</f>
        <v>4.5</v>
      </c>
      <c r="G3679" s="4" t="str">
        <f>HYPERLINK("http://141.218.60.56/~jnz1568/getInfo.php?workbook=12_05.xlsx&amp;sheet=U0&amp;row=3679&amp;col=7&amp;number=0.00495&amp;sourceID=14","0.00495")</f>
        <v>0.00495</v>
      </c>
    </row>
    <row r="3680" spans="1:7">
      <c r="A3680" s="3"/>
      <c r="B3680" s="3"/>
      <c r="C3680" s="3"/>
      <c r="D3680" s="3"/>
      <c r="E3680" s="3">
        <v>17</v>
      </c>
      <c r="F3680" s="4" t="str">
        <f>HYPERLINK("http://141.218.60.56/~jnz1568/getInfo.php?workbook=12_05.xlsx&amp;sheet=U0&amp;row=3680&amp;col=6&amp;number=4.6&amp;sourceID=14","4.6")</f>
        <v>4.6</v>
      </c>
      <c r="G3680" s="4" t="str">
        <f>HYPERLINK("http://141.218.60.56/~jnz1568/getInfo.php?workbook=12_05.xlsx&amp;sheet=U0&amp;row=3680&amp;col=7&amp;number=0.00501&amp;sourceID=14","0.00501")</f>
        <v>0.00501</v>
      </c>
    </row>
    <row r="3681" spans="1:7">
      <c r="A3681" s="3"/>
      <c r="B3681" s="3"/>
      <c r="C3681" s="3"/>
      <c r="D3681" s="3"/>
      <c r="E3681" s="3">
        <v>18</v>
      </c>
      <c r="F3681" s="4" t="str">
        <f>HYPERLINK("http://141.218.60.56/~jnz1568/getInfo.php?workbook=12_05.xlsx&amp;sheet=U0&amp;row=3681&amp;col=6&amp;number=4.7&amp;sourceID=14","4.7")</f>
        <v>4.7</v>
      </c>
      <c r="G3681" s="4" t="str">
        <f>HYPERLINK("http://141.218.60.56/~jnz1568/getInfo.php?workbook=12_05.xlsx&amp;sheet=U0&amp;row=3681&amp;col=7&amp;number=0.00509&amp;sourceID=14","0.00509")</f>
        <v>0.00509</v>
      </c>
    </row>
    <row r="3682" spans="1:7">
      <c r="A3682" s="3"/>
      <c r="B3682" s="3"/>
      <c r="C3682" s="3"/>
      <c r="D3682" s="3"/>
      <c r="E3682" s="3">
        <v>19</v>
      </c>
      <c r="F3682" s="4" t="str">
        <f>HYPERLINK("http://141.218.60.56/~jnz1568/getInfo.php?workbook=12_05.xlsx&amp;sheet=U0&amp;row=3682&amp;col=6&amp;number=4.8&amp;sourceID=14","4.8")</f>
        <v>4.8</v>
      </c>
      <c r="G3682" s="4" t="str">
        <f>HYPERLINK("http://141.218.60.56/~jnz1568/getInfo.php?workbook=12_05.xlsx&amp;sheet=U0&amp;row=3682&amp;col=7&amp;number=0.00519&amp;sourceID=14","0.00519")</f>
        <v>0.00519</v>
      </c>
    </row>
    <row r="3683" spans="1:7">
      <c r="A3683" s="3"/>
      <c r="B3683" s="3"/>
      <c r="C3683" s="3"/>
      <c r="D3683" s="3"/>
      <c r="E3683" s="3">
        <v>20</v>
      </c>
      <c r="F3683" s="4" t="str">
        <f>HYPERLINK("http://141.218.60.56/~jnz1568/getInfo.php?workbook=12_05.xlsx&amp;sheet=U0&amp;row=3683&amp;col=6&amp;number=4.9&amp;sourceID=14","4.9")</f>
        <v>4.9</v>
      </c>
      <c r="G3683" s="4" t="str">
        <f>HYPERLINK("http://141.218.60.56/~jnz1568/getInfo.php?workbook=12_05.xlsx&amp;sheet=U0&amp;row=3683&amp;col=7&amp;number=0.00531&amp;sourceID=14","0.00531")</f>
        <v>0.00531</v>
      </c>
    </row>
    <row r="3684" spans="1:7">
      <c r="A3684" s="3">
        <v>12</v>
      </c>
      <c r="B3684" s="3">
        <v>5</v>
      </c>
      <c r="C3684" s="3">
        <v>2</v>
      </c>
      <c r="D3684" s="3">
        <v>37</v>
      </c>
      <c r="E3684" s="3">
        <v>1</v>
      </c>
      <c r="F3684" s="4" t="str">
        <f>HYPERLINK("http://141.218.60.56/~jnz1568/getInfo.php?workbook=12_05.xlsx&amp;sheet=U0&amp;row=3684&amp;col=6&amp;number=3&amp;sourceID=14","3")</f>
        <v>3</v>
      </c>
      <c r="G3684" s="4" t="str">
        <f>HYPERLINK("http://141.218.60.56/~jnz1568/getInfo.php?workbook=12_05.xlsx&amp;sheet=U0&amp;row=3684&amp;col=7&amp;number=0.00625&amp;sourceID=14","0.00625")</f>
        <v>0.00625</v>
      </c>
    </row>
    <row r="3685" spans="1:7">
      <c r="A3685" s="3"/>
      <c r="B3685" s="3"/>
      <c r="C3685" s="3"/>
      <c r="D3685" s="3"/>
      <c r="E3685" s="3">
        <v>2</v>
      </c>
      <c r="F3685" s="4" t="str">
        <f>HYPERLINK("http://141.218.60.56/~jnz1568/getInfo.php?workbook=12_05.xlsx&amp;sheet=U0&amp;row=3685&amp;col=6&amp;number=3.1&amp;sourceID=14","3.1")</f>
        <v>3.1</v>
      </c>
      <c r="G3685" s="4" t="str">
        <f>HYPERLINK("http://141.218.60.56/~jnz1568/getInfo.php?workbook=12_05.xlsx&amp;sheet=U0&amp;row=3685&amp;col=7&amp;number=0.00625&amp;sourceID=14","0.00625")</f>
        <v>0.00625</v>
      </c>
    </row>
    <row r="3686" spans="1:7">
      <c r="A3686" s="3"/>
      <c r="B3686" s="3"/>
      <c r="C3686" s="3"/>
      <c r="D3686" s="3"/>
      <c r="E3686" s="3">
        <v>3</v>
      </c>
      <c r="F3686" s="4" t="str">
        <f>HYPERLINK("http://141.218.60.56/~jnz1568/getInfo.php?workbook=12_05.xlsx&amp;sheet=U0&amp;row=3686&amp;col=6&amp;number=3.2&amp;sourceID=14","3.2")</f>
        <v>3.2</v>
      </c>
      <c r="G3686" s="4" t="str">
        <f>HYPERLINK("http://141.218.60.56/~jnz1568/getInfo.php?workbook=12_05.xlsx&amp;sheet=U0&amp;row=3686&amp;col=7&amp;number=0.00626&amp;sourceID=14","0.00626")</f>
        <v>0.00626</v>
      </c>
    </row>
    <row r="3687" spans="1:7">
      <c r="A3687" s="3"/>
      <c r="B3687" s="3"/>
      <c r="C3687" s="3"/>
      <c r="D3687" s="3"/>
      <c r="E3687" s="3">
        <v>4</v>
      </c>
      <c r="F3687" s="4" t="str">
        <f>HYPERLINK("http://141.218.60.56/~jnz1568/getInfo.php?workbook=12_05.xlsx&amp;sheet=U0&amp;row=3687&amp;col=6&amp;number=3.3&amp;sourceID=14","3.3")</f>
        <v>3.3</v>
      </c>
      <c r="G3687" s="4" t="str">
        <f>HYPERLINK("http://141.218.60.56/~jnz1568/getInfo.php?workbook=12_05.xlsx&amp;sheet=U0&amp;row=3687&amp;col=7&amp;number=0.00626&amp;sourceID=14","0.00626")</f>
        <v>0.00626</v>
      </c>
    </row>
    <row r="3688" spans="1:7">
      <c r="A3688" s="3"/>
      <c r="B3688" s="3"/>
      <c r="C3688" s="3"/>
      <c r="D3688" s="3"/>
      <c r="E3688" s="3">
        <v>5</v>
      </c>
      <c r="F3688" s="4" t="str">
        <f>HYPERLINK("http://141.218.60.56/~jnz1568/getInfo.php?workbook=12_05.xlsx&amp;sheet=U0&amp;row=3688&amp;col=6&amp;number=3.4&amp;sourceID=14","3.4")</f>
        <v>3.4</v>
      </c>
      <c r="G3688" s="4" t="str">
        <f>HYPERLINK("http://141.218.60.56/~jnz1568/getInfo.php?workbook=12_05.xlsx&amp;sheet=U0&amp;row=3688&amp;col=7&amp;number=0.00626&amp;sourceID=14","0.00626")</f>
        <v>0.00626</v>
      </c>
    </row>
    <row r="3689" spans="1:7">
      <c r="A3689" s="3"/>
      <c r="B3689" s="3"/>
      <c r="C3689" s="3"/>
      <c r="D3689" s="3"/>
      <c r="E3689" s="3">
        <v>6</v>
      </c>
      <c r="F3689" s="4" t="str">
        <f>HYPERLINK("http://141.218.60.56/~jnz1568/getInfo.php?workbook=12_05.xlsx&amp;sheet=U0&amp;row=3689&amp;col=6&amp;number=3.5&amp;sourceID=14","3.5")</f>
        <v>3.5</v>
      </c>
      <c r="G3689" s="4" t="str">
        <f>HYPERLINK("http://141.218.60.56/~jnz1568/getInfo.php?workbook=12_05.xlsx&amp;sheet=U0&amp;row=3689&amp;col=7&amp;number=0.00627&amp;sourceID=14","0.00627")</f>
        <v>0.00627</v>
      </c>
    </row>
    <row r="3690" spans="1:7">
      <c r="A3690" s="3"/>
      <c r="B3690" s="3"/>
      <c r="C3690" s="3"/>
      <c r="D3690" s="3"/>
      <c r="E3690" s="3">
        <v>7</v>
      </c>
      <c r="F3690" s="4" t="str">
        <f>HYPERLINK("http://141.218.60.56/~jnz1568/getInfo.php?workbook=12_05.xlsx&amp;sheet=U0&amp;row=3690&amp;col=6&amp;number=3.6&amp;sourceID=14","3.6")</f>
        <v>3.6</v>
      </c>
      <c r="G3690" s="4" t="str">
        <f>HYPERLINK("http://141.218.60.56/~jnz1568/getInfo.php?workbook=12_05.xlsx&amp;sheet=U0&amp;row=3690&amp;col=7&amp;number=0.00628&amp;sourceID=14","0.00628")</f>
        <v>0.00628</v>
      </c>
    </row>
    <row r="3691" spans="1:7">
      <c r="A3691" s="3"/>
      <c r="B3691" s="3"/>
      <c r="C3691" s="3"/>
      <c r="D3691" s="3"/>
      <c r="E3691" s="3">
        <v>8</v>
      </c>
      <c r="F3691" s="4" t="str">
        <f>HYPERLINK("http://141.218.60.56/~jnz1568/getInfo.php?workbook=12_05.xlsx&amp;sheet=U0&amp;row=3691&amp;col=6&amp;number=3.7&amp;sourceID=14","3.7")</f>
        <v>3.7</v>
      </c>
      <c r="G3691" s="4" t="str">
        <f>HYPERLINK("http://141.218.60.56/~jnz1568/getInfo.php?workbook=12_05.xlsx&amp;sheet=U0&amp;row=3691&amp;col=7&amp;number=0.00629&amp;sourceID=14","0.00629")</f>
        <v>0.00629</v>
      </c>
    </row>
    <row r="3692" spans="1:7">
      <c r="A3692" s="3"/>
      <c r="B3692" s="3"/>
      <c r="C3692" s="3"/>
      <c r="D3692" s="3"/>
      <c r="E3692" s="3">
        <v>9</v>
      </c>
      <c r="F3692" s="4" t="str">
        <f>HYPERLINK("http://141.218.60.56/~jnz1568/getInfo.php?workbook=12_05.xlsx&amp;sheet=U0&amp;row=3692&amp;col=6&amp;number=3.8&amp;sourceID=14","3.8")</f>
        <v>3.8</v>
      </c>
      <c r="G3692" s="4" t="str">
        <f>HYPERLINK("http://141.218.60.56/~jnz1568/getInfo.php?workbook=12_05.xlsx&amp;sheet=U0&amp;row=3692&amp;col=7&amp;number=0.0063&amp;sourceID=14","0.0063")</f>
        <v>0.0063</v>
      </c>
    </row>
    <row r="3693" spans="1:7">
      <c r="A3693" s="3"/>
      <c r="B3693" s="3"/>
      <c r="C3693" s="3"/>
      <c r="D3693" s="3"/>
      <c r="E3693" s="3">
        <v>10</v>
      </c>
      <c r="F3693" s="4" t="str">
        <f>HYPERLINK("http://141.218.60.56/~jnz1568/getInfo.php?workbook=12_05.xlsx&amp;sheet=U0&amp;row=3693&amp;col=6&amp;number=3.9&amp;sourceID=14","3.9")</f>
        <v>3.9</v>
      </c>
      <c r="G3693" s="4" t="str">
        <f>HYPERLINK("http://141.218.60.56/~jnz1568/getInfo.php?workbook=12_05.xlsx&amp;sheet=U0&amp;row=3693&amp;col=7&amp;number=0.00631&amp;sourceID=14","0.00631")</f>
        <v>0.00631</v>
      </c>
    </row>
    <row r="3694" spans="1:7">
      <c r="A3694" s="3"/>
      <c r="B3694" s="3"/>
      <c r="C3694" s="3"/>
      <c r="D3694" s="3"/>
      <c r="E3694" s="3">
        <v>11</v>
      </c>
      <c r="F3694" s="4" t="str">
        <f>HYPERLINK("http://141.218.60.56/~jnz1568/getInfo.php?workbook=12_05.xlsx&amp;sheet=U0&amp;row=3694&amp;col=6&amp;number=4&amp;sourceID=14","4")</f>
        <v>4</v>
      </c>
      <c r="G3694" s="4" t="str">
        <f>HYPERLINK("http://141.218.60.56/~jnz1568/getInfo.php?workbook=12_05.xlsx&amp;sheet=U0&amp;row=3694&amp;col=7&amp;number=0.00633&amp;sourceID=14","0.00633")</f>
        <v>0.00633</v>
      </c>
    </row>
    <row r="3695" spans="1:7">
      <c r="A3695" s="3"/>
      <c r="B3695" s="3"/>
      <c r="C3695" s="3"/>
      <c r="D3695" s="3"/>
      <c r="E3695" s="3">
        <v>12</v>
      </c>
      <c r="F3695" s="4" t="str">
        <f>HYPERLINK("http://141.218.60.56/~jnz1568/getInfo.php?workbook=12_05.xlsx&amp;sheet=U0&amp;row=3695&amp;col=6&amp;number=4.1&amp;sourceID=14","4.1")</f>
        <v>4.1</v>
      </c>
      <c r="G3695" s="4" t="str">
        <f>HYPERLINK("http://141.218.60.56/~jnz1568/getInfo.php?workbook=12_05.xlsx&amp;sheet=U0&amp;row=3695&amp;col=7&amp;number=0.00635&amp;sourceID=14","0.00635")</f>
        <v>0.00635</v>
      </c>
    </row>
    <row r="3696" spans="1:7">
      <c r="A3696" s="3"/>
      <c r="B3696" s="3"/>
      <c r="C3696" s="3"/>
      <c r="D3696" s="3"/>
      <c r="E3696" s="3">
        <v>13</v>
      </c>
      <c r="F3696" s="4" t="str">
        <f>HYPERLINK("http://141.218.60.56/~jnz1568/getInfo.php?workbook=12_05.xlsx&amp;sheet=U0&amp;row=3696&amp;col=6&amp;number=4.2&amp;sourceID=14","4.2")</f>
        <v>4.2</v>
      </c>
      <c r="G3696" s="4" t="str">
        <f>HYPERLINK("http://141.218.60.56/~jnz1568/getInfo.php?workbook=12_05.xlsx&amp;sheet=U0&amp;row=3696&amp;col=7&amp;number=0.00638&amp;sourceID=14","0.00638")</f>
        <v>0.00638</v>
      </c>
    </row>
    <row r="3697" spans="1:7">
      <c r="A3697" s="3"/>
      <c r="B3697" s="3"/>
      <c r="C3697" s="3"/>
      <c r="D3697" s="3"/>
      <c r="E3697" s="3">
        <v>14</v>
      </c>
      <c r="F3697" s="4" t="str">
        <f>HYPERLINK("http://141.218.60.56/~jnz1568/getInfo.php?workbook=12_05.xlsx&amp;sheet=U0&amp;row=3697&amp;col=6&amp;number=4.3&amp;sourceID=14","4.3")</f>
        <v>4.3</v>
      </c>
      <c r="G3697" s="4" t="str">
        <f>HYPERLINK("http://141.218.60.56/~jnz1568/getInfo.php?workbook=12_05.xlsx&amp;sheet=U0&amp;row=3697&amp;col=7&amp;number=0.00641&amp;sourceID=14","0.00641")</f>
        <v>0.00641</v>
      </c>
    </row>
    <row r="3698" spans="1:7">
      <c r="A3698" s="3"/>
      <c r="B3698" s="3"/>
      <c r="C3698" s="3"/>
      <c r="D3698" s="3"/>
      <c r="E3698" s="3">
        <v>15</v>
      </c>
      <c r="F3698" s="4" t="str">
        <f>HYPERLINK("http://141.218.60.56/~jnz1568/getInfo.php?workbook=12_05.xlsx&amp;sheet=U0&amp;row=3698&amp;col=6&amp;number=4.4&amp;sourceID=14","4.4")</f>
        <v>4.4</v>
      </c>
      <c r="G3698" s="4" t="str">
        <f>HYPERLINK("http://141.218.60.56/~jnz1568/getInfo.php?workbook=12_05.xlsx&amp;sheet=U0&amp;row=3698&amp;col=7&amp;number=0.00645&amp;sourceID=14","0.00645")</f>
        <v>0.00645</v>
      </c>
    </row>
    <row r="3699" spans="1:7">
      <c r="A3699" s="3"/>
      <c r="B3699" s="3"/>
      <c r="C3699" s="3"/>
      <c r="D3699" s="3"/>
      <c r="E3699" s="3">
        <v>16</v>
      </c>
      <c r="F3699" s="4" t="str">
        <f>HYPERLINK("http://141.218.60.56/~jnz1568/getInfo.php?workbook=12_05.xlsx&amp;sheet=U0&amp;row=3699&amp;col=6&amp;number=4.5&amp;sourceID=14","4.5")</f>
        <v>4.5</v>
      </c>
      <c r="G3699" s="4" t="str">
        <f>HYPERLINK("http://141.218.60.56/~jnz1568/getInfo.php?workbook=12_05.xlsx&amp;sheet=U0&amp;row=3699&amp;col=7&amp;number=0.00651&amp;sourceID=14","0.00651")</f>
        <v>0.00651</v>
      </c>
    </row>
    <row r="3700" spans="1:7">
      <c r="A3700" s="3"/>
      <c r="B3700" s="3"/>
      <c r="C3700" s="3"/>
      <c r="D3700" s="3"/>
      <c r="E3700" s="3">
        <v>17</v>
      </c>
      <c r="F3700" s="4" t="str">
        <f>HYPERLINK("http://141.218.60.56/~jnz1568/getInfo.php?workbook=12_05.xlsx&amp;sheet=U0&amp;row=3700&amp;col=6&amp;number=4.6&amp;sourceID=14","4.6")</f>
        <v>4.6</v>
      </c>
      <c r="G3700" s="4" t="str">
        <f>HYPERLINK("http://141.218.60.56/~jnz1568/getInfo.php?workbook=12_05.xlsx&amp;sheet=U0&amp;row=3700&amp;col=7&amp;number=0.00658&amp;sourceID=14","0.00658")</f>
        <v>0.00658</v>
      </c>
    </row>
    <row r="3701" spans="1:7">
      <c r="A3701" s="3"/>
      <c r="B3701" s="3"/>
      <c r="C3701" s="3"/>
      <c r="D3701" s="3"/>
      <c r="E3701" s="3">
        <v>18</v>
      </c>
      <c r="F3701" s="4" t="str">
        <f>HYPERLINK("http://141.218.60.56/~jnz1568/getInfo.php?workbook=12_05.xlsx&amp;sheet=U0&amp;row=3701&amp;col=6&amp;number=4.7&amp;sourceID=14","4.7")</f>
        <v>4.7</v>
      </c>
      <c r="G3701" s="4" t="str">
        <f>HYPERLINK("http://141.218.60.56/~jnz1568/getInfo.php?workbook=12_05.xlsx&amp;sheet=U0&amp;row=3701&amp;col=7&amp;number=0.00666&amp;sourceID=14","0.00666")</f>
        <v>0.00666</v>
      </c>
    </row>
    <row r="3702" spans="1:7">
      <c r="A3702" s="3"/>
      <c r="B3702" s="3"/>
      <c r="C3702" s="3"/>
      <c r="D3702" s="3"/>
      <c r="E3702" s="3">
        <v>19</v>
      </c>
      <c r="F3702" s="4" t="str">
        <f>HYPERLINK("http://141.218.60.56/~jnz1568/getInfo.php?workbook=12_05.xlsx&amp;sheet=U0&amp;row=3702&amp;col=6&amp;number=4.8&amp;sourceID=14","4.8")</f>
        <v>4.8</v>
      </c>
      <c r="G3702" s="4" t="str">
        <f>HYPERLINK("http://141.218.60.56/~jnz1568/getInfo.php?workbook=12_05.xlsx&amp;sheet=U0&amp;row=3702&amp;col=7&amp;number=0.00677&amp;sourceID=14","0.00677")</f>
        <v>0.00677</v>
      </c>
    </row>
    <row r="3703" spans="1:7">
      <c r="A3703" s="3"/>
      <c r="B3703" s="3"/>
      <c r="C3703" s="3"/>
      <c r="D3703" s="3"/>
      <c r="E3703" s="3">
        <v>20</v>
      </c>
      <c r="F3703" s="4" t="str">
        <f>HYPERLINK("http://141.218.60.56/~jnz1568/getInfo.php?workbook=12_05.xlsx&amp;sheet=U0&amp;row=3703&amp;col=6&amp;number=4.9&amp;sourceID=14","4.9")</f>
        <v>4.9</v>
      </c>
      <c r="G3703" s="4" t="str">
        <f>HYPERLINK("http://141.218.60.56/~jnz1568/getInfo.php?workbook=12_05.xlsx&amp;sheet=U0&amp;row=3703&amp;col=7&amp;number=0.0069&amp;sourceID=14","0.0069")</f>
        <v>0.0069</v>
      </c>
    </row>
    <row r="3704" spans="1:7">
      <c r="A3704" s="3">
        <v>12</v>
      </c>
      <c r="B3704" s="3">
        <v>5</v>
      </c>
      <c r="C3704" s="3">
        <v>2</v>
      </c>
      <c r="D3704" s="3">
        <v>38</v>
      </c>
      <c r="E3704" s="3">
        <v>1</v>
      </c>
      <c r="F3704" s="4" t="str">
        <f>HYPERLINK("http://141.218.60.56/~jnz1568/getInfo.php?workbook=12_05.xlsx&amp;sheet=U0&amp;row=3704&amp;col=6&amp;number=3&amp;sourceID=14","3")</f>
        <v>3</v>
      </c>
      <c r="G3704" s="4" t="str">
        <f>HYPERLINK("http://141.218.60.56/~jnz1568/getInfo.php?workbook=12_05.xlsx&amp;sheet=U0&amp;row=3704&amp;col=7&amp;number=0.0046&amp;sourceID=14","0.0046")</f>
        <v>0.0046</v>
      </c>
    </row>
    <row r="3705" spans="1:7">
      <c r="A3705" s="3"/>
      <c r="B3705" s="3"/>
      <c r="C3705" s="3"/>
      <c r="D3705" s="3"/>
      <c r="E3705" s="3">
        <v>2</v>
      </c>
      <c r="F3705" s="4" t="str">
        <f>HYPERLINK("http://141.218.60.56/~jnz1568/getInfo.php?workbook=12_05.xlsx&amp;sheet=U0&amp;row=3705&amp;col=6&amp;number=3.1&amp;sourceID=14","3.1")</f>
        <v>3.1</v>
      </c>
      <c r="G3705" s="4" t="str">
        <f>HYPERLINK("http://141.218.60.56/~jnz1568/getInfo.php?workbook=12_05.xlsx&amp;sheet=U0&amp;row=3705&amp;col=7&amp;number=0.0046&amp;sourceID=14","0.0046")</f>
        <v>0.0046</v>
      </c>
    </row>
    <row r="3706" spans="1:7">
      <c r="A3706" s="3"/>
      <c r="B3706" s="3"/>
      <c r="C3706" s="3"/>
      <c r="D3706" s="3"/>
      <c r="E3706" s="3">
        <v>3</v>
      </c>
      <c r="F3706" s="4" t="str">
        <f>HYPERLINK("http://141.218.60.56/~jnz1568/getInfo.php?workbook=12_05.xlsx&amp;sheet=U0&amp;row=3706&amp;col=6&amp;number=3.2&amp;sourceID=14","3.2")</f>
        <v>3.2</v>
      </c>
      <c r="G3706" s="4" t="str">
        <f>HYPERLINK("http://141.218.60.56/~jnz1568/getInfo.php?workbook=12_05.xlsx&amp;sheet=U0&amp;row=3706&amp;col=7&amp;number=0.0046&amp;sourceID=14","0.0046")</f>
        <v>0.0046</v>
      </c>
    </row>
    <row r="3707" spans="1:7">
      <c r="A3707" s="3"/>
      <c r="B3707" s="3"/>
      <c r="C3707" s="3"/>
      <c r="D3707" s="3"/>
      <c r="E3707" s="3">
        <v>4</v>
      </c>
      <c r="F3707" s="4" t="str">
        <f>HYPERLINK("http://141.218.60.56/~jnz1568/getInfo.php?workbook=12_05.xlsx&amp;sheet=U0&amp;row=3707&amp;col=6&amp;number=3.3&amp;sourceID=14","3.3")</f>
        <v>3.3</v>
      </c>
      <c r="G3707" s="4" t="str">
        <f>HYPERLINK("http://141.218.60.56/~jnz1568/getInfo.php?workbook=12_05.xlsx&amp;sheet=U0&amp;row=3707&amp;col=7&amp;number=0.0046&amp;sourceID=14","0.0046")</f>
        <v>0.0046</v>
      </c>
    </row>
    <row r="3708" spans="1:7">
      <c r="A3708" s="3"/>
      <c r="B3708" s="3"/>
      <c r="C3708" s="3"/>
      <c r="D3708" s="3"/>
      <c r="E3708" s="3">
        <v>5</v>
      </c>
      <c r="F3708" s="4" t="str">
        <f>HYPERLINK("http://141.218.60.56/~jnz1568/getInfo.php?workbook=12_05.xlsx&amp;sheet=U0&amp;row=3708&amp;col=6&amp;number=3.4&amp;sourceID=14","3.4")</f>
        <v>3.4</v>
      </c>
      <c r="G3708" s="4" t="str">
        <f>HYPERLINK("http://141.218.60.56/~jnz1568/getInfo.php?workbook=12_05.xlsx&amp;sheet=U0&amp;row=3708&amp;col=7&amp;number=0.0046&amp;sourceID=14","0.0046")</f>
        <v>0.0046</v>
      </c>
    </row>
    <row r="3709" spans="1:7">
      <c r="A3709" s="3"/>
      <c r="B3709" s="3"/>
      <c r="C3709" s="3"/>
      <c r="D3709" s="3"/>
      <c r="E3709" s="3">
        <v>6</v>
      </c>
      <c r="F3709" s="4" t="str">
        <f>HYPERLINK("http://141.218.60.56/~jnz1568/getInfo.php?workbook=12_05.xlsx&amp;sheet=U0&amp;row=3709&amp;col=6&amp;number=3.5&amp;sourceID=14","3.5")</f>
        <v>3.5</v>
      </c>
      <c r="G3709" s="4" t="str">
        <f>HYPERLINK("http://141.218.60.56/~jnz1568/getInfo.php?workbook=12_05.xlsx&amp;sheet=U0&amp;row=3709&amp;col=7&amp;number=0.0046&amp;sourceID=14","0.0046")</f>
        <v>0.0046</v>
      </c>
    </row>
    <row r="3710" spans="1:7">
      <c r="A3710" s="3"/>
      <c r="B3710" s="3"/>
      <c r="C3710" s="3"/>
      <c r="D3710" s="3"/>
      <c r="E3710" s="3">
        <v>7</v>
      </c>
      <c r="F3710" s="4" t="str">
        <f>HYPERLINK("http://141.218.60.56/~jnz1568/getInfo.php?workbook=12_05.xlsx&amp;sheet=U0&amp;row=3710&amp;col=6&amp;number=3.6&amp;sourceID=14","3.6")</f>
        <v>3.6</v>
      </c>
      <c r="G3710" s="4" t="str">
        <f>HYPERLINK("http://141.218.60.56/~jnz1568/getInfo.php?workbook=12_05.xlsx&amp;sheet=U0&amp;row=3710&amp;col=7&amp;number=0.00459&amp;sourceID=14","0.00459")</f>
        <v>0.00459</v>
      </c>
    </row>
    <row r="3711" spans="1:7">
      <c r="A3711" s="3"/>
      <c r="B3711" s="3"/>
      <c r="C3711" s="3"/>
      <c r="D3711" s="3"/>
      <c r="E3711" s="3">
        <v>8</v>
      </c>
      <c r="F3711" s="4" t="str">
        <f>HYPERLINK("http://141.218.60.56/~jnz1568/getInfo.php?workbook=12_05.xlsx&amp;sheet=U0&amp;row=3711&amp;col=6&amp;number=3.7&amp;sourceID=14","3.7")</f>
        <v>3.7</v>
      </c>
      <c r="G3711" s="4" t="str">
        <f>HYPERLINK("http://141.218.60.56/~jnz1568/getInfo.php?workbook=12_05.xlsx&amp;sheet=U0&amp;row=3711&amp;col=7&amp;number=0.00459&amp;sourceID=14","0.00459")</f>
        <v>0.00459</v>
      </c>
    </row>
    <row r="3712" spans="1:7">
      <c r="A3712" s="3"/>
      <c r="B3712" s="3"/>
      <c r="C3712" s="3"/>
      <c r="D3712" s="3"/>
      <c r="E3712" s="3">
        <v>9</v>
      </c>
      <c r="F3712" s="4" t="str">
        <f>HYPERLINK("http://141.218.60.56/~jnz1568/getInfo.php?workbook=12_05.xlsx&amp;sheet=U0&amp;row=3712&amp;col=6&amp;number=3.8&amp;sourceID=14","3.8")</f>
        <v>3.8</v>
      </c>
      <c r="G3712" s="4" t="str">
        <f>HYPERLINK("http://141.218.60.56/~jnz1568/getInfo.php?workbook=12_05.xlsx&amp;sheet=U0&amp;row=3712&amp;col=7&amp;number=0.00459&amp;sourceID=14","0.00459")</f>
        <v>0.00459</v>
      </c>
    </row>
    <row r="3713" spans="1:7">
      <c r="A3713" s="3"/>
      <c r="B3713" s="3"/>
      <c r="C3713" s="3"/>
      <c r="D3713" s="3"/>
      <c r="E3713" s="3">
        <v>10</v>
      </c>
      <c r="F3713" s="4" t="str">
        <f>HYPERLINK("http://141.218.60.56/~jnz1568/getInfo.php?workbook=12_05.xlsx&amp;sheet=U0&amp;row=3713&amp;col=6&amp;number=3.9&amp;sourceID=14","3.9")</f>
        <v>3.9</v>
      </c>
      <c r="G3713" s="4" t="str">
        <f>HYPERLINK("http://141.218.60.56/~jnz1568/getInfo.php?workbook=12_05.xlsx&amp;sheet=U0&amp;row=3713&amp;col=7&amp;number=0.00459&amp;sourceID=14","0.00459")</f>
        <v>0.00459</v>
      </c>
    </row>
    <row r="3714" spans="1:7">
      <c r="A3714" s="3"/>
      <c r="B3714" s="3"/>
      <c r="C3714" s="3"/>
      <c r="D3714" s="3"/>
      <c r="E3714" s="3">
        <v>11</v>
      </c>
      <c r="F3714" s="4" t="str">
        <f>HYPERLINK("http://141.218.60.56/~jnz1568/getInfo.php?workbook=12_05.xlsx&amp;sheet=U0&amp;row=3714&amp;col=6&amp;number=4&amp;sourceID=14","4")</f>
        <v>4</v>
      </c>
      <c r="G3714" s="4" t="str">
        <f>HYPERLINK("http://141.218.60.56/~jnz1568/getInfo.php?workbook=12_05.xlsx&amp;sheet=U0&amp;row=3714&amp;col=7&amp;number=0.00458&amp;sourceID=14","0.00458")</f>
        <v>0.00458</v>
      </c>
    </row>
    <row r="3715" spans="1:7">
      <c r="A3715" s="3"/>
      <c r="B3715" s="3"/>
      <c r="C3715" s="3"/>
      <c r="D3715" s="3"/>
      <c r="E3715" s="3">
        <v>12</v>
      </c>
      <c r="F3715" s="4" t="str">
        <f>HYPERLINK("http://141.218.60.56/~jnz1568/getInfo.php?workbook=12_05.xlsx&amp;sheet=U0&amp;row=3715&amp;col=6&amp;number=4.1&amp;sourceID=14","4.1")</f>
        <v>4.1</v>
      </c>
      <c r="G3715" s="4" t="str">
        <f>HYPERLINK("http://141.218.60.56/~jnz1568/getInfo.php?workbook=12_05.xlsx&amp;sheet=U0&amp;row=3715&amp;col=7&amp;number=0.00458&amp;sourceID=14","0.00458")</f>
        <v>0.00458</v>
      </c>
    </row>
    <row r="3716" spans="1:7">
      <c r="A3716" s="3"/>
      <c r="B3716" s="3"/>
      <c r="C3716" s="3"/>
      <c r="D3716" s="3"/>
      <c r="E3716" s="3">
        <v>13</v>
      </c>
      <c r="F3716" s="4" t="str">
        <f>HYPERLINK("http://141.218.60.56/~jnz1568/getInfo.php?workbook=12_05.xlsx&amp;sheet=U0&amp;row=3716&amp;col=6&amp;number=4.2&amp;sourceID=14","4.2")</f>
        <v>4.2</v>
      </c>
      <c r="G3716" s="4" t="str">
        <f>HYPERLINK("http://141.218.60.56/~jnz1568/getInfo.php?workbook=12_05.xlsx&amp;sheet=U0&amp;row=3716&amp;col=7&amp;number=0.00457&amp;sourceID=14","0.00457")</f>
        <v>0.00457</v>
      </c>
    </row>
    <row r="3717" spans="1:7">
      <c r="A3717" s="3"/>
      <c r="B3717" s="3"/>
      <c r="C3717" s="3"/>
      <c r="D3717" s="3"/>
      <c r="E3717" s="3">
        <v>14</v>
      </c>
      <c r="F3717" s="4" t="str">
        <f>HYPERLINK("http://141.218.60.56/~jnz1568/getInfo.php?workbook=12_05.xlsx&amp;sheet=U0&amp;row=3717&amp;col=6&amp;number=4.3&amp;sourceID=14","4.3")</f>
        <v>4.3</v>
      </c>
      <c r="G3717" s="4" t="str">
        <f>HYPERLINK("http://141.218.60.56/~jnz1568/getInfo.php?workbook=12_05.xlsx&amp;sheet=U0&amp;row=3717&amp;col=7&amp;number=0.00456&amp;sourceID=14","0.00456")</f>
        <v>0.00456</v>
      </c>
    </row>
    <row r="3718" spans="1:7">
      <c r="A3718" s="3"/>
      <c r="B3718" s="3"/>
      <c r="C3718" s="3"/>
      <c r="D3718" s="3"/>
      <c r="E3718" s="3">
        <v>15</v>
      </c>
      <c r="F3718" s="4" t="str">
        <f>HYPERLINK("http://141.218.60.56/~jnz1568/getInfo.php?workbook=12_05.xlsx&amp;sheet=U0&amp;row=3718&amp;col=6&amp;number=4.4&amp;sourceID=14","4.4")</f>
        <v>4.4</v>
      </c>
      <c r="G3718" s="4" t="str">
        <f>HYPERLINK("http://141.218.60.56/~jnz1568/getInfo.php?workbook=12_05.xlsx&amp;sheet=U0&amp;row=3718&amp;col=7&amp;number=0.00455&amp;sourceID=14","0.00455")</f>
        <v>0.00455</v>
      </c>
    </row>
    <row r="3719" spans="1:7">
      <c r="A3719" s="3"/>
      <c r="B3719" s="3"/>
      <c r="C3719" s="3"/>
      <c r="D3719" s="3"/>
      <c r="E3719" s="3">
        <v>16</v>
      </c>
      <c r="F3719" s="4" t="str">
        <f>HYPERLINK("http://141.218.60.56/~jnz1568/getInfo.php?workbook=12_05.xlsx&amp;sheet=U0&amp;row=3719&amp;col=6&amp;number=4.5&amp;sourceID=14","4.5")</f>
        <v>4.5</v>
      </c>
      <c r="G3719" s="4" t="str">
        <f>HYPERLINK("http://141.218.60.56/~jnz1568/getInfo.php?workbook=12_05.xlsx&amp;sheet=U0&amp;row=3719&amp;col=7&amp;number=0.00454&amp;sourceID=14","0.00454")</f>
        <v>0.00454</v>
      </c>
    </row>
    <row r="3720" spans="1:7">
      <c r="A3720" s="3"/>
      <c r="B3720" s="3"/>
      <c r="C3720" s="3"/>
      <c r="D3720" s="3"/>
      <c r="E3720" s="3">
        <v>17</v>
      </c>
      <c r="F3720" s="4" t="str">
        <f>HYPERLINK("http://141.218.60.56/~jnz1568/getInfo.php?workbook=12_05.xlsx&amp;sheet=U0&amp;row=3720&amp;col=6&amp;number=4.6&amp;sourceID=14","4.6")</f>
        <v>4.6</v>
      </c>
      <c r="G3720" s="4" t="str">
        <f>HYPERLINK("http://141.218.60.56/~jnz1568/getInfo.php?workbook=12_05.xlsx&amp;sheet=U0&amp;row=3720&amp;col=7&amp;number=0.00453&amp;sourceID=14","0.00453")</f>
        <v>0.00453</v>
      </c>
    </row>
    <row r="3721" spans="1:7">
      <c r="A3721" s="3"/>
      <c r="B3721" s="3"/>
      <c r="C3721" s="3"/>
      <c r="D3721" s="3"/>
      <c r="E3721" s="3">
        <v>18</v>
      </c>
      <c r="F3721" s="4" t="str">
        <f>HYPERLINK("http://141.218.60.56/~jnz1568/getInfo.php?workbook=12_05.xlsx&amp;sheet=U0&amp;row=3721&amp;col=6&amp;number=4.7&amp;sourceID=14","4.7")</f>
        <v>4.7</v>
      </c>
      <c r="G3721" s="4" t="str">
        <f>HYPERLINK("http://141.218.60.56/~jnz1568/getInfo.php?workbook=12_05.xlsx&amp;sheet=U0&amp;row=3721&amp;col=7&amp;number=0.00451&amp;sourceID=14","0.00451")</f>
        <v>0.00451</v>
      </c>
    </row>
    <row r="3722" spans="1:7">
      <c r="A3722" s="3"/>
      <c r="B3722" s="3"/>
      <c r="C3722" s="3"/>
      <c r="D3722" s="3"/>
      <c r="E3722" s="3">
        <v>19</v>
      </c>
      <c r="F3722" s="4" t="str">
        <f>HYPERLINK("http://141.218.60.56/~jnz1568/getInfo.php?workbook=12_05.xlsx&amp;sheet=U0&amp;row=3722&amp;col=6&amp;number=4.8&amp;sourceID=14","4.8")</f>
        <v>4.8</v>
      </c>
      <c r="G3722" s="4" t="str">
        <f>HYPERLINK("http://141.218.60.56/~jnz1568/getInfo.php?workbook=12_05.xlsx&amp;sheet=U0&amp;row=3722&amp;col=7&amp;number=0.00448&amp;sourceID=14","0.00448")</f>
        <v>0.00448</v>
      </c>
    </row>
    <row r="3723" spans="1:7">
      <c r="A3723" s="3"/>
      <c r="B3723" s="3"/>
      <c r="C3723" s="3"/>
      <c r="D3723" s="3"/>
      <c r="E3723" s="3">
        <v>20</v>
      </c>
      <c r="F3723" s="4" t="str">
        <f>HYPERLINK("http://141.218.60.56/~jnz1568/getInfo.php?workbook=12_05.xlsx&amp;sheet=U0&amp;row=3723&amp;col=6&amp;number=4.9&amp;sourceID=14","4.9")</f>
        <v>4.9</v>
      </c>
      <c r="G3723" s="4" t="str">
        <f>HYPERLINK("http://141.218.60.56/~jnz1568/getInfo.php?workbook=12_05.xlsx&amp;sheet=U0&amp;row=3723&amp;col=7&amp;number=0.00445&amp;sourceID=14","0.00445")</f>
        <v>0.00445</v>
      </c>
    </row>
    <row r="3724" spans="1:7">
      <c r="A3724" s="3">
        <v>12</v>
      </c>
      <c r="B3724" s="3">
        <v>5</v>
      </c>
      <c r="C3724" s="3">
        <v>2</v>
      </c>
      <c r="D3724" s="3">
        <v>39</v>
      </c>
      <c r="E3724" s="3">
        <v>1</v>
      </c>
      <c r="F3724" s="4" t="str">
        <f>HYPERLINK("http://141.218.60.56/~jnz1568/getInfo.php?workbook=12_05.xlsx&amp;sheet=U0&amp;row=3724&amp;col=6&amp;number=3&amp;sourceID=14","3")</f>
        <v>3</v>
      </c>
      <c r="G3724" s="4" t="str">
        <f>HYPERLINK("http://141.218.60.56/~jnz1568/getInfo.php?workbook=12_05.xlsx&amp;sheet=U0&amp;row=3724&amp;col=7&amp;number=8.74e-05&amp;sourceID=14","8.74e-05")</f>
        <v>8.74e-05</v>
      </c>
    </row>
    <row r="3725" spans="1:7">
      <c r="A3725" s="3"/>
      <c r="B3725" s="3"/>
      <c r="C3725" s="3"/>
      <c r="D3725" s="3"/>
      <c r="E3725" s="3">
        <v>2</v>
      </c>
      <c r="F3725" s="4" t="str">
        <f>HYPERLINK("http://141.218.60.56/~jnz1568/getInfo.php?workbook=12_05.xlsx&amp;sheet=U0&amp;row=3725&amp;col=6&amp;number=3.1&amp;sourceID=14","3.1")</f>
        <v>3.1</v>
      </c>
      <c r="G3725" s="4" t="str">
        <f>HYPERLINK("http://141.218.60.56/~jnz1568/getInfo.php?workbook=12_05.xlsx&amp;sheet=U0&amp;row=3725&amp;col=7&amp;number=8.74e-05&amp;sourceID=14","8.74e-05")</f>
        <v>8.74e-05</v>
      </c>
    </row>
    <row r="3726" spans="1:7">
      <c r="A3726" s="3"/>
      <c r="B3726" s="3"/>
      <c r="C3726" s="3"/>
      <c r="D3726" s="3"/>
      <c r="E3726" s="3">
        <v>3</v>
      </c>
      <c r="F3726" s="4" t="str">
        <f>HYPERLINK("http://141.218.60.56/~jnz1568/getInfo.php?workbook=12_05.xlsx&amp;sheet=U0&amp;row=3726&amp;col=6&amp;number=3.2&amp;sourceID=14","3.2")</f>
        <v>3.2</v>
      </c>
      <c r="G3726" s="4" t="str">
        <f>HYPERLINK("http://141.218.60.56/~jnz1568/getInfo.php?workbook=12_05.xlsx&amp;sheet=U0&amp;row=3726&amp;col=7&amp;number=8.74e-05&amp;sourceID=14","8.74e-05")</f>
        <v>8.74e-05</v>
      </c>
    </row>
    <row r="3727" spans="1:7">
      <c r="A3727" s="3"/>
      <c r="B3727" s="3"/>
      <c r="C3727" s="3"/>
      <c r="D3727" s="3"/>
      <c r="E3727" s="3">
        <v>4</v>
      </c>
      <c r="F3727" s="4" t="str">
        <f>HYPERLINK("http://141.218.60.56/~jnz1568/getInfo.php?workbook=12_05.xlsx&amp;sheet=U0&amp;row=3727&amp;col=6&amp;number=3.3&amp;sourceID=14","3.3")</f>
        <v>3.3</v>
      </c>
      <c r="G3727" s="4" t="str">
        <f>HYPERLINK("http://141.218.60.56/~jnz1568/getInfo.php?workbook=12_05.xlsx&amp;sheet=U0&amp;row=3727&amp;col=7&amp;number=8.74e-05&amp;sourceID=14","8.74e-05")</f>
        <v>8.74e-05</v>
      </c>
    </row>
    <row r="3728" spans="1:7">
      <c r="A3728" s="3"/>
      <c r="B3728" s="3"/>
      <c r="C3728" s="3"/>
      <c r="D3728" s="3"/>
      <c r="E3728" s="3">
        <v>5</v>
      </c>
      <c r="F3728" s="4" t="str">
        <f>HYPERLINK("http://141.218.60.56/~jnz1568/getInfo.php?workbook=12_05.xlsx&amp;sheet=U0&amp;row=3728&amp;col=6&amp;number=3.4&amp;sourceID=14","3.4")</f>
        <v>3.4</v>
      </c>
      <c r="G3728" s="4" t="str">
        <f>HYPERLINK("http://141.218.60.56/~jnz1568/getInfo.php?workbook=12_05.xlsx&amp;sheet=U0&amp;row=3728&amp;col=7&amp;number=8.73e-05&amp;sourceID=14","8.73e-05")</f>
        <v>8.73e-05</v>
      </c>
    </row>
    <row r="3729" spans="1:7">
      <c r="A3729" s="3"/>
      <c r="B3729" s="3"/>
      <c r="C3729" s="3"/>
      <c r="D3729" s="3"/>
      <c r="E3729" s="3">
        <v>6</v>
      </c>
      <c r="F3729" s="4" t="str">
        <f>HYPERLINK("http://141.218.60.56/~jnz1568/getInfo.php?workbook=12_05.xlsx&amp;sheet=U0&amp;row=3729&amp;col=6&amp;number=3.5&amp;sourceID=14","3.5")</f>
        <v>3.5</v>
      </c>
      <c r="G3729" s="4" t="str">
        <f>HYPERLINK("http://141.218.60.56/~jnz1568/getInfo.php?workbook=12_05.xlsx&amp;sheet=U0&amp;row=3729&amp;col=7&amp;number=8.73e-05&amp;sourceID=14","8.73e-05")</f>
        <v>8.73e-05</v>
      </c>
    </row>
    <row r="3730" spans="1:7">
      <c r="A3730" s="3"/>
      <c r="B3730" s="3"/>
      <c r="C3730" s="3"/>
      <c r="D3730" s="3"/>
      <c r="E3730" s="3">
        <v>7</v>
      </c>
      <c r="F3730" s="4" t="str">
        <f>HYPERLINK("http://141.218.60.56/~jnz1568/getInfo.php?workbook=12_05.xlsx&amp;sheet=U0&amp;row=3730&amp;col=6&amp;number=3.6&amp;sourceID=14","3.6")</f>
        <v>3.6</v>
      </c>
      <c r="G3730" s="4" t="str">
        <f>HYPERLINK("http://141.218.60.56/~jnz1568/getInfo.php?workbook=12_05.xlsx&amp;sheet=U0&amp;row=3730&amp;col=7&amp;number=8.72e-05&amp;sourceID=14","8.72e-05")</f>
        <v>8.72e-05</v>
      </c>
    </row>
    <row r="3731" spans="1:7">
      <c r="A3731" s="3"/>
      <c r="B3731" s="3"/>
      <c r="C3731" s="3"/>
      <c r="D3731" s="3"/>
      <c r="E3731" s="3">
        <v>8</v>
      </c>
      <c r="F3731" s="4" t="str">
        <f>HYPERLINK("http://141.218.60.56/~jnz1568/getInfo.php?workbook=12_05.xlsx&amp;sheet=U0&amp;row=3731&amp;col=6&amp;number=3.7&amp;sourceID=14","3.7")</f>
        <v>3.7</v>
      </c>
      <c r="G3731" s="4" t="str">
        <f>HYPERLINK("http://141.218.60.56/~jnz1568/getInfo.php?workbook=12_05.xlsx&amp;sheet=U0&amp;row=3731&amp;col=7&amp;number=8.72e-05&amp;sourceID=14","8.72e-05")</f>
        <v>8.72e-05</v>
      </c>
    </row>
    <row r="3732" spans="1:7">
      <c r="A3732" s="3"/>
      <c r="B3732" s="3"/>
      <c r="C3732" s="3"/>
      <c r="D3732" s="3"/>
      <c r="E3732" s="3">
        <v>9</v>
      </c>
      <c r="F3732" s="4" t="str">
        <f>HYPERLINK("http://141.218.60.56/~jnz1568/getInfo.php?workbook=12_05.xlsx&amp;sheet=U0&amp;row=3732&amp;col=6&amp;number=3.8&amp;sourceID=14","3.8")</f>
        <v>3.8</v>
      </c>
      <c r="G3732" s="4" t="str">
        <f>HYPERLINK("http://141.218.60.56/~jnz1568/getInfo.php?workbook=12_05.xlsx&amp;sheet=U0&amp;row=3732&amp;col=7&amp;number=8.71e-05&amp;sourceID=14","8.71e-05")</f>
        <v>8.71e-05</v>
      </c>
    </row>
    <row r="3733" spans="1:7">
      <c r="A3733" s="3"/>
      <c r="B3733" s="3"/>
      <c r="C3733" s="3"/>
      <c r="D3733" s="3"/>
      <c r="E3733" s="3">
        <v>10</v>
      </c>
      <c r="F3733" s="4" t="str">
        <f>HYPERLINK("http://141.218.60.56/~jnz1568/getInfo.php?workbook=12_05.xlsx&amp;sheet=U0&amp;row=3733&amp;col=6&amp;number=3.9&amp;sourceID=14","3.9")</f>
        <v>3.9</v>
      </c>
      <c r="G3733" s="4" t="str">
        <f>HYPERLINK("http://141.218.60.56/~jnz1568/getInfo.php?workbook=12_05.xlsx&amp;sheet=U0&amp;row=3733&amp;col=7&amp;number=8.7e-05&amp;sourceID=14","8.7e-05")</f>
        <v>8.7e-05</v>
      </c>
    </row>
    <row r="3734" spans="1:7">
      <c r="A3734" s="3"/>
      <c r="B3734" s="3"/>
      <c r="C3734" s="3"/>
      <c r="D3734" s="3"/>
      <c r="E3734" s="3">
        <v>11</v>
      </c>
      <c r="F3734" s="4" t="str">
        <f>HYPERLINK("http://141.218.60.56/~jnz1568/getInfo.php?workbook=12_05.xlsx&amp;sheet=U0&amp;row=3734&amp;col=6&amp;number=4&amp;sourceID=14","4")</f>
        <v>4</v>
      </c>
      <c r="G3734" s="4" t="str">
        <f>HYPERLINK("http://141.218.60.56/~jnz1568/getInfo.php?workbook=12_05.xlsx&amp;sheet=U0&amp;row=3734&amp;col=7&amp;number=8.69e-05&amp;sourceID=14","8.69e-05")</f>
        <v>8.69e-05</v>
      </c>
    </row>
    <row r="3735" spans="1:7">
      <c r="A3735" s="3"/>
      <c r="B3735" s="3"/>
      <c r="C3735" s="3"/>
      <c r="D3735" s="3"/>
      <c r="E3735" s="3">
        <v>12</v>
      </c>
      <c r="F3735" s="4" t="str">
        <f>HYPERLINK("http://141.218.60.56/~jnz1568/getInfo.php?workbook=12_05.xlsx&amp;sheet=U0&amp;row=3735&amp;col=6&amp;number=4.1&amp;sourceID=14","4.1")</f>
        <v>4.1</v>
      </c>
      <c r="G3735" s="4" t="str">
        <f>HYPERLINK("http://141.218.60.56/~jnz1568/getInfo.php?workbook=12_05.xlsx&amp;sheet=U0&amp;row=3735&amp;col=7&amp;number=8.68e-05&amp;sourceID=14","8.68e-05")</f>
        <v>8.68e-05</v>
      </c>
    </row>
    <row r="3736" spans="1:7">
      <c r="A3736" s="3"/>
      <c r="B3736" s="3"/>
      <c r="C3736" s="3"/>
      <c r="D3736" s="3"/>
      <c r="E3736" s="3">
        <v>13</v>
      </c>
      <c r="F3736" s="4" t="str">
        <f>HYPERLINK("http://141.218.60.56/~jnz1568/getInfo.php?workbook=12_05.xlsx&amp;sheet=U0&amp;row=3736&amp;col=6&amp;number=4.2&amp;sourceID=14","4.2")</f>
        <v>4.2</v>
      </c>
      <c r="G3736" s="4" t="str">
        <f>HYPERLINK("http://141.218.60.56/~jnz1568/getInfo.php?workbook=12_05.xlsx&amp;sheet=U0&amp;row=3736&amp;col=7&amp;number=8.66e-05&amp;sourceID=14","8.66e-05")</f>
        <v>8.66e-05</v>
      </c>
    </row>
    <row r="3737" spans="1:7">
      <c r="A3737" s="3"/>
      <c r="B3737" s="3"/>
      <c r="C3737" s="3"/>
      <c r="D3737" s="3"/>
      <c r="E3737" s="3">
        <v>14</v>
      </c>
      <c r="F3737" s="4" t="str">
        <f>HYPERLINK("http://141.218.60.56/~jnz1568/getInfo.php?workbook=12_05.xlsx&amp;sheet=U0&amp;row=3737&amp;col=6&amp;number=4.3&amp;sourceID=14","4.3")</f>
        <v>4.3</v>
      </c>
      <c r="G3737" s="4" t="str">
        <f>HYPERLINK("http://141.218.60.56/~jnz1568/getInfo.php?workbook=12_05.xlsx&amp;sheet=U0&amp;row=3737&amp;col=7&amp;number=8.64e-05&amp;sourceID=14","8.64e-05")</f>
        <v>8.64e-05</v>
      </c>
    </row>
    <row r="3738" spans="1:7">
      <c r="A3738" s="3"/>
      <c r="B3738" s="3"/>
      <c r="C3738" s="3"/>
      <c r="D3738" s="3"/>
      <c r="E3738" s="3">
        <v>15</v>
      </c>
      <c r="F3738" s="4" t="str">
        <f>HYPERLINK("http://141.218.60.56/~jnz1568/getInfo.php?workbook=12_05.xlsx&amp;sheet=U0&amp;row=3738&amp;col=6&amp;number=4.4&amp;sourceID=14","4.4")</f>
        <v>4.4</v>
      </c>
      <c r="G3738" s="4" t="str">
        <f>HYPERLINK("http://141.218.60.56/~jnz1568/getInfo.php?workbook=12_05.xlsx&amp;sheet=U0&amp;row=3738&amp;col=7&amp;number=8.61e-05&amp;sourceID=14","8.61e-05")</f>
        <v>8.61e-05</v>
      </c>
    </row>
    <row r="3739" spans="1:7">
      <c r="A3739" s="3"/>
      <c r="B3739" s="3"/>
      <c r="C3739" s="3"/>
      <c r="D3739" s="3"/>
      <c r="E3739" s="3">
        <v>16</v>
      </c>
      <c r="F3739" s="4" t="str">
        <f>HYPERLINK("http://141.218.60.56/~jnz1568/getInfo.php?workbook=12_05.xlsx&amp;sheet=U0&amp;row=3739&amp;col=6&amp;number=4.5&amp;sourceID=14","4.5")</f>
        <v>4.5</v>
      </c>
      <c r="G3739" s="4" t="str">
        <f>HYPERLINK("http://141.218.60.56/~jnz1568/getInfo.php?workbook=12_05.xlsx&amp;sheet=U0&amp;row=3739&amp;col=7&amp;number=8.58e-05&amp;sourceID=14","8.58e-05")</f>
        <v>8.58e-05</v>
      </c>
    </row>
    <row r="3740" spans="1:7">
      <c r="A3740" s="3"/>
      <c r="B3740" s="3"/>
      <c r="C3740" s="3"/>
      <c r="D3740" s="3"/>
      <c r="E3740" s="3">
        <v>17</v>
      </c>
      <c r="F3740" s="4" t="str">
        <f>HYPERLINK("http://141.218.60.56/~jnz1568/getInfo.php?workbook=12_05.xlsx&amp;sheet=U0&amp;row=3740&amp;col=6&amp;number=4.6&amp;sourceID=14","4.6")</f>
        <v>4.6</v>
      </c>
      <c r="G3740" s="4" t="str">
        <f>HYPERLINK("http://141.218.60.56/~jnz1568/getInfo.php?workbook=12_05.xlsx&amp;sheet=U0&amp;row=3740&amp;col=7&amp;number=8.53e-05&amp;sourceID=14","8.53e-05")</f>
        <v>8.53e-05</v>
      </c>
    </row>
    <row r="3741" spans="1:7">
      <c r="A3741" s="3"/>
      <c r="B3741" s="3"/>
      <c r="C3741" s="3"/>
      <c r="D3741" s="3"/>
      <c r="E3741" s="3">
        <v>18</v>
      </c>
      <c r="F3741" s="4" t="str">
        <f>HYPERLINK("http://141.218.60.56/~jnz1568/getInfo.php?workbook=12_05.xlsx&amp;sheet=U0&amp;row=3741&amp;col=6&amp;number=4.7&amp;sourceID=14","4.7")</f>
        <v>4.7</v>
      </c>
      <c r="G3741" s="4" t="str">
        <f>HYPERLINK("http://141.218.60.56/~jnz1568/getInfo.php?workbook=12_05.xlsx&amp;sheet=U0&amp;row=3741&amp;col=7&amp;number=8.48e-05&amp;sourceID=14","8.48e-05")</f>
        <v>8.48e-05</v>
      </c>
    </row>
    <row r="3742" spans="1:7">
      <c r="A3742" s="3"/>
      <c r="B3742" s="3"/>
      <c r="C3742" s="3"/>
      <c r="D3742" s="3"/>
      <c r="E3742" s="3">
        <v>19</v>
      </c>
      <c r="F3742" s="4" t="str">
        <f>HYPERLINK("http://141.218.60.56/~jnz1568/getInfo.php?workbook=12_05.xlsx&amp;sheet=U0&amp;row=3742&amp;col=6&amp;number=4.8&amp;sourceID=14","4.8")</f>
        <v>4.8</v>
      </c>
      <c r="G3742" s="4" t="str">
        <f>HYPERLINK("http://141.218.60.56/~jnz1568/getInfo.php?workbook=12_05.xlsx&amp;sheet=U0&amp;row=3742&amp;col=7&amp;number=8.41e-05&amp;sourceID=14","8.41e-05")</f>
        <v>8.41e-05</v>
      </c>
    </row>
    <row r="3743" spans="1:7">
      <c r="A3743" s="3"/>
      <c r="B3743" s="3"/>
      <c r="C3743" s="3"/>
      <c r="D3743" s="3"/>
      <c r="E3743" s="3">
        <v>20</v>
      </c>
      <c r="F3743" s="4" t="str">
        <f>HYPERLINK("http://141.218.60.56/~jnz1568/getInfo.php?workbook=12_05.xlsx&amp;sheet=U0&amp;row=3743&amp;col=6&amp;number=4.9&amp;sourceID=14","4.9")</f>
        <v>4.9</v>
      </c>
      <c r="G3743" s="4" t="str">
        <f>HYPERLINK("http://141.218.60.56/~jnz1568/getInfo.php?workbook=12_05.xlsx&amp;sheet=U0&amp;row=3743&amp;col=7&amp;number=8.33e-05&amp;sourceID=14","8.33e-05")</f>
        <v>8.33e-05</v>
      </c>
    </row>
    <row r="3744" spans="1:7">
      <c r="A3744" s="3">
        <v>12</v>
      </c>
      <c r="B3744" s="3">
        <v>5</v>
      </c>
      <c r="C3744" s="3">
        <v>2</v>
      </c>
      <c r="D3744" s="3">
        <v>40</v>
      </c>
      <c r="E3744" s="3">
        <v>1</v>
      </c>
      <c r="F3744" s="4" t="str">
        <f>HYPERLINK("http://141.218.60.56/~jnz1568/getInfo.php?workbook=12_05.xlsx&amp;sheet=U0&amp;row=3744&amp;col=6&amp;number=3&amp;sourceID=14","3")</f>
        <v>3</v>
      </c>
      <c r="G3744" s="4" t="str">
        <f>HYPERLINK("http://141.218.60.56/~jnz1568/getInfo.php?workbook=12_05.xlsx&amp;sheet=U0&amp;row=3744&amp;col=7&amp;number=0.00215&amp;sourceID=14","0.00215")</f>
        <v>0.00215</v>
      </c>
    </row>
    <row r="3745" spans="1:7">
      <c r="A3745" s="3"/>
      <c r="B3745" s="3"/>
      <c r="C3745" s="3"/>
      <c r="D3745" s="3"/>
      <c r="E3745" s="3">
        <v>2</v>
      </c>
      <c r="F3745" s="4" t="str">
        <f>HYPERLINK("http://141.218.60.56/~jnz1568/getInfo.php?workbook=12_05.xlsx&amp;sheet=U0&amp;row=3745&amp;col=6&amp;number=3.1&amp;sourceID=14","3.1")</f>
        <v>3.1</v>
      </c>
      <c r="G3745" s="4" t="str">
        <f>HYPERLINK("http://141.218.60.56/~jnz1568/getInfo.php?workbook=12_05.xlsx&amp;sheet=U0&amp;row=3745&amp;col=7&amp;number=0.00215&amp;sourceID=14","0.00215")</f>
        <v>0.00215</v>
      </c>
    </row>
    <row r="3746" spans="1:7">
      <c r="A3746" s="3"/>
      <c r="B3746" s="3"/>
      <c r="C3746" s="3"/>
      <c r="D3746" s="3"/>
      <c r="E3746" s="3">
        <v>3</v>
      </c>
      <c r="F3746" s="4" t="str">
        <f>HYPERLINK("http://141.218.60.56/~jnz1568/getInfo.php?workbook=12_05.xlsx&amp;sheet=U0&amp;row=3746&amp;col=6&amp;number=3.2&amp;sourceID=14","3.2")</f>
        <v>3.2</v>
      </c>
      <c r="G3746" s="4" t="str">
        <f>HYPERLINK("http://141.218.60.56/~jnz1568/getInfo.php?workbook=12_05.xlsx&amp;sheet=U0&amp;row=3746&amp;col=7&amp;number=0.00215&amp;sourceID=14","0.00215")</f>
        <v>0.00215</v>
      </c>
    </row>
    <row r="3747" spans="1:7">
      <c r="A3747" s="3"/>
      <c r="B3747" s="3"/>
      <c r="C3747" s="3"/>
      <c r="D3747" s="3"/>
      <c r="E3747" s="3">
        <v>4</v>
      </c>
      <c r="F3747" s="4" t="str">
        <f>HYPERLINK("http://141.218.60.56/~jnz1568/getInfo.php?workbook=12_05.xlsx&amp;sheet=U0&amp;row=3747&amp;col=6&amp;number=3.3&amp;sourceID=14","3.3")</f>
        <v>3.3</v>
      </c>
      <c r="G3747" s="4" t="str">
        <f>HYPERLINK("http://141.218.60.56/~jnz1568/getInfo.php?workbook=12_05.xlsx&amp;sheet=U0&amp;row=3747&amp;col=7&amp;number=0.00216&amp;sourceID=14","0.00216")</f>
        <v>0.00216</v>
      </c>
    </row>
    <row r="3748" spans="1:7">
      <c r="A3748" s="3"/>
      <c r="B3748" s="3"/>
      <c r="C3748" s="3"/>
      <c r="D3748" s="3"/>
      <c r="E3748" s="3">
        <v>5</v>
      </c>
      <c r="F3748" s="4" t="str">
        <f>HYPERLINK("http://141.218.60.56/~jnz1568/getInfo.php?workbook=12_05.xlsx&amp;sheet=U0&amp;row=3748&amp;col=6&amp;number=3.4&amp;sourceID=14","3.4")</f>
        <v>3.4</v>
      </c>
      <c r="G3748" s="4" t="str">
        <f>HYPERLINK("http://141.218.60.56/~jnz1568/getInfo.php?workbook=12_05.xlsx&amp;sheet=U0&amp;row=3748&amp;col=7&amp;number=0.00216&amp;sourceID=14","0.00216")</f>
        <v>0.00216</v>
      </c>
    </row>
    <row r="3749" spans="1:7">
      <c r="A3749" s="3"/>
      <c r="B3749" s="3"/>
      <c r="C3749" s="3"/>
      <c r="D3749" s="3"/>
      <c r="E3749" s="3">
        <v>6</v>
      </c>
      <c r="F3749" s="4" t="str">
        <f>HYPERLINK("http://141.218.60.56/~jnz1568/getInfo.php?workbook=12_05.xlsx&amp;sheet=U0&amp;row=3749&amp;col=6&amp;number=3.5&amp;sourceID=14","3.5")</f>
        <v>3.5</v>
      </c>
      <c r="G3749" s="4" t="str">
        <f>HYPERLINK("http://141.218.60.56/~jnz1568/getInfo.php?workbook=12_05.xlsx&amp;sheet=U0&amp;row=3749&amp;col=7&amp;number=0.00216&amp;sourceID=14","0.00216")</f>
        <v>0.00216</v>
      </c>
    </row>
    <row r="3750" spans="1:7">
      <c r="A3750" s="3"/>
      <c r="B3750" s="3"/>
      <c r="C3750" s="3"/>
      <c r="D3750" s="3"/>
      <c r="E3750" s="3">
        <v>7</v>
      </c>
      <c r="F3750" s="4" t="str">
        <f>HYPERLINK("http://141.218.60.56/~jnz1568/getInfo.php?workbook=12_05.xlsx&amp;sheet=U0&amp;row=3750&amp;col=6&amp;number=3.6&amp;sourceID=14","3.6")</f>
        <v>3.6</v>
      </c>
      <c r="G3750" s="4" t="str">
        <f>HYPERLINK("http://141.218.60.56/~jnz1568/getInfo.php?workbook=12_05.xlsx&amp;sheet=U0&amp;row=3750&amp;col=7&amp;number=0.00216&amp;sourceID=14","0.00216")</f>
        <v>0.00216</v>
      </c>
    </row>
    <row r="3751" spans="1:7">
      <c r="A3751" s="3"/>
      <c r="B3751" s="3"/>
      <c r="C3751" s="3"/>
      <c r="D3751" s="3"/>
      <c r="E3751" s="3">
        <v>8</v>
      </c>
      <c r="F3751" s="4" t="str">
        <f>HYPERLINK("http://141.218.60.56/~jnz1568/getInfo.php?workbook=12_05.xlsx&amp;sheet=U0&amp;row=3751&amp;col=6&amp;number=3.7&amp;sourceID=14","3.7")</f>
        <v>3.7</v>
      </c>
      <c r="G3751" s="4" t="str">
        <f>HYPERLINK("http://141.218.60.56/~jnz1568/getInfo.php?workbook=12_05.xlsx&amp;sheet=U0&amp;row=3751&amp;col=7&amp;number=0.00216&amp;sourceID=14","0.00216")</f>
        <v>0.00216</v>
      </c>
    </row>
    <row r="3752" spans="1:7">
      <c r="A3752" s="3"/>
      <c r="B3752" s="3"/>
      <c r="C3752" s="3"/>
      <c r="D3752" s="3"/>
      <c r="E3752" s="3">
        <v>9</v>
      </c>
      <c r="F3752" s="4" t="str">
        <f>HYPERLINK("http://141.218.60.56/~jnz1568/getInfo.php?workbook=12_05.xlsx&amp;sheet=U0&amp;row=3752&amp;col=6&amp;number=3.8&amp;sourceID=14","3.8")</f>
        <v>3.8</v>
      </c>
      <c r="G3752" s="4" t="str">
        <f>HYPERLINK("http://141.218.60.56/~jnz1568/getInfo.php?workbook=12_05.xlsx&amp;sheet=U0&amp;row=3752&amp;col=7&amp;number=0.00217&amp;sourceID=14","0.00217")</f>
        <v>0.00217</v>
      </c>
    </row>
    <row r="3753" spans="1:7">
      <c r="A3753" s="3"/>
      <c r="B3753" s="3"/>
      <c r="C3753" s="3"/>
      <c r="D3753" s="3"/>
      <c r="E3753" s="3">
        <v>10</v>
      </c>
      <c r="F3753" s="4" t="str">
        <f>HYPERLINK("http://141.218.60.56/~jnz1568/getInfo.php?workbook=12_05.xlsx&amp;sheet=U0&amp;row=3753&amp;col=6&amp;number=3.9&amp;sourceID=14","3.9")</f>
        <v>3.9</v>
      </c>
      <c r="G3753" s="4" t="str">
        <f>HYPERLINK("http://141.218.60.56/~jnz1568/getInfo.php?workbook=12_05.xlsx&amp;sheet=U0&amp;row=3753&amp;col=7&amp;number=0.00217&amp;sourceID=14","0.00217")</f>
        <v>0.00217</v>
      </c>
    </row>
    <row r="3754" spans="1:7">
      <c r="A3754" s="3"/>
      <c r="B3754" s="3"/>
      <c r="C3754" s="3"/>
      <c r="D3754" s="3"/>
      <c r="E3754" s="3">
        <v>11</v>
      </c>
      <c r="F3754" s="4" t="str">
        <f>HYPERLINK("http://141.218.60.56/~jnz1568/getInfo.php?workbook=12_05.xlsx&amp;sheet=U0&amp;row=3754&amp;col=6&amp;number=4&amp;sourceID=14","4")</f>
        <v>4</v>
      </c>
      <c r="G3754" s="4" t="str">
        <f>HYPERLINK("http://141.218.60.56/~jnz1568/getInfo.php?workbook=12_05.xlsx&amp;sheet=U0&amp;row=3754&amp;col=7&amp;number=0.00218&amp;sourceID=14","0.00218")</f>
        <v>0.00218</v>
      </c>
    </row>
    <row r="3755" spans="1:7">
      <c r="A3755" s="3"/>
      <c r="B3755" s="3"/>
      <c r="C3755" s="3"/>
      <c r="D3755" s="3"/>
      <c r="E3755" s="3">
        <v>12</v>
      </c>
      <c r="F3755" s="4" t="str">
        <f>HYPERLINK("http://141.218.60.56/~jnz1568/getInfo.php?workbook=12_05.xlsx&amp;sheet=U0&amp;row=3755&amp;col=6&amp;number=4.1&amp;sourceID=14","4.1")</f>
        <v>4.1</v>
      </c>
      <c r="G3755" s="4" t="str">
        <f>HYPERLINK("http://141.218.60.56/~jnz1568/getInfo.php?workbook=12_05.xlsx&amp;sheet=U0&amp;row=3755&amp;col=7&amp;number=0.00219&amp;sourceID=14","0.00219")</f>
        <v>0.00219</v>
      </c>
    </row>
    <row r="3756" spans="1:7">
      <c r="A3756" s="3"/>
      <c r="B3756" s="3"/>
      <c r="C3756" s="3"/>
      <c r="D3756" s="3"/>
      <c r="E3756" s="3">
        <v>13</v>
      </c>
      <c r="F3756" s="4" t="str">
        <f>HYPERLINK("http://141.218.60.56/~jnz1568/getInfo.php?workbook=12_05.xlsx&amp;sheet=U0&amp;row=3756&amp;col=6&amp;number=4.2&amp;sourceID=14","4.2")</f>
        <v>4.2</v>
      </c>
      <c r="G3756" s="4" t="str">
        <f>HYPERLINK("http://141.218.60.56/~jnz1568/getInfo.php?workbook=12_05.xlsx&amp;sheet=U0&amp;row=3756&amp;col=7&amp;number=0.0022&amp;sourceID=14","0.0022")</f>
        <v>0.0022</v>
      </c>
    </row>
    <row r="3757" spans="1:7">
      <c r="A3757" s="3"/>
      <c r="B3757" s="3"/>
      <c r="C3757" s="3"/>
      <c r="D3757" s="3"/>
      <c r="E3757" s="3">
        <v>14</v>
      </c>
      <c r="F3757" s="4" t="str">
        <f>HYPERLINK("http://141.218.60.56/~jnz1568/getInfo.php?workbook=12_05.xlsx&amp;sheet=U0&amp;row=3757&amp;col=6&amp;number=4.3&amp;sourceID=14","4.3")</f>
        <v>4.3</v>
      </c>
      <c r="G3757" s="4" t="str">
        <f>HYPERLINK("http://141.218.60.56/~jnz1568/getInfo.php?workbook=12_05.xlsx&amp;sheet=U0&amp;row=3757&amp;col=7&amp;number=0.00221&amp;sourceID=14","0.00221")</f>
        <v>0.00221</v>
      </c>
    </row>
    <row r="3758" spans="1:7">
      <c r="A3758" s="3"/>
      <c r="B3758" s="3"/>
      <c r="C3758" s="3"/>
      <c r="D3758" s="3"/>
      <c r="E3758" s="3">
        <v>15</v>
      </c>
      <c r="F3758" s="4" t="str">
        <f>HYPERLINK("http://141.218.60.56/~jnz1568/getInfo.php?workbook=12_05.xlsx&amp;sheet=U0&amp;row=3758&amp;col=6&amp;number=4.4&amp;sourceID=14","4.4")</f>
        <v>4.4</v>
      </c>
      <c r="G3758" s="4" t="str">
        <f>HYPERLINK("http://141.218.60.56/~jnz1568/getInfo.php?workbook=12_05.xlsx&amp;sheet=U0&amp;row=3758&amp;col=7&amp;number=0.00222&amp;sourceID=14","0.00222")</f>
        <v>0.00222</v>
      </c>
    </row>
    <row r="3759" spans="1:7">
      <c r="A3759" s="3"/>
      <c r="B3759" s="3"/>
      <c r="C3759" s="3"/>
      <c r="D3759" s="3"/>
      <c r="E3759" s="3">
        <v>16</v>
      </c>
      <c r="F3759" s="4" t="str">
        <f>HYPERLINK("http://141.218.60.56/~jnz1568/getInfo.php?workbook=12_05.xlsx&amp;sheet=U0&amp;row=3759&amp;col=6&amp;number=4.5&amp;sourceID=14","4.5")</f>
        <v>4.5</v>
      </c>
      <c r="G3759" s="4" t="str">
        <f>HYPERLINK("http://141.218.60.56/~jnz1568/getInfo.php?workbook=12_05.xlsx&amp;sheet=U0&amp;row=3759&amp;col=7&amp;number=0.00224&amp;sourceID=14","0.00224")</f>
        <v>0.00224</v>
      </c>
    </row>
    <row r="3760" spans="1:7">
      <c r="A3760" s="3"/>
      <c r="B3760" s="3"/>
      <c r="C3760" s="3"/>
      <c r="D3760" s="3"/>
      <c r="E3760" s="3">
        <v>17</v>
      </c>
      <c r="F3760" s="4" t="str">
        <f>HYPERLINK("http://141.218.60.56/~jnz1568/getInfo.php?workbook=12_05.xlsx&amp;sheet=U0&amp;row=3760&amp;col=6&amp;number=4.6&amp;sourceID=14","4.6")</f>
        <v>4.6</v>
      </c>
      <c r="G3760" s="4" t="str">
        <f>HYPERLINK("http://141.218.60.56/~jnz1568/getInfo.php?workbook=12_05.xlsx&amp;sheet=U0&amp;row=3760&amp;col=7&amp;number=0.00227&amp;sourceID=14","0.00227")</f>
        <v>0.00227</v>
      </c>
    </row>
    <row r="3761" spans="1:7">
      <c r="A3761" s="3"/>
      <c r="B3761" s="3"/>
      <c r="C3761" s="3"/>
      <c r="D3761" s="3"/>
      <c r="E3761" s="3">
        <v>18</v>
      </c>
      <c r="F3761" s="4" t="str">
        <f>HYPERLINK("http://141.218.60.56/~jnz1568/getInfo.php?workbook=12_05.xlsx&amp;sheet=U0&amp;row=3761&amp;col=6&amp;number=4.7&amp;sourceID=14","4.7")</f>
        <v>4.7</v>
      </c>
      <c r="G3761" s="4" t="str">
        <f>HYPERLINK("http://141.218.60.56/~jnz1568/getInfo.php?workbook=12_05.xlsx&amp;sheet=U0&amp;row=3761&amp;col=7&amp;number=0.00229&amp;sourceID=14","0.00229")</f>
        <v>0.00229</v>
      </c>
    </row>
    <row r="3762" spans="1:7">
      <c r="A3762" s="3"/>
      <c r="B3762" s="3"/>
      <c r="C3762" s="3"/>
      <c r="D3762" s="3"/>
      <c r="E3762" s="3">
        <v>19</v>
      </c>
      <c r="F3762" s="4" t="str">
        <f>HYPERLINK("http://141.218.60.56/~jnz1568/getInfo.php?workbook=12_05.xlsx&amp;sheet=U0&amp;row=3762&amp;col=6&amp;number=4.8&amp;sourceID=14","4.8")</f>
        <v>4.8</v>
      </c>
      <c r="G3762" s="4" t="str">
        <f>HYPERLINK("http://141.218.60.56/~jnz1568/getInfo.php?workbook=12_05.xlsx&amp;sheet=U0&amp;row=3762&amp;col=7&amp;number=0.00233&amp;sourceID=14","0.00233")</f>
        <v>0.00233</v>
      </c>
    </row>
    <row r="3763" spans="1:7">
      <c r="A3763" s="3"/>
      <c r="B3763" s="3"/>
      <c r="C3763" s="3"/>
      <c r="D3763" s="3"/>
      <c r="E3763" s="3">
        <v>20</v>
      </c>
      <c r="F3763" s="4" t="str">
        <f>HYPERLINK("http://141.218.60.56/~jnz1568/getInfo.php?workbook=12_05.xlsx&amp;sheet=U0&amp;row=3763&amp;col=6&amp;number=4.9&amp;sourceID=14","4.9")</f>
        <v>4.9</v>
      </c>
      <c r="G3763" s="4" t="str">
        <f>HYPERLINK("http://141.218.60.56/~jnz1568/getInfo.php?workbook=12_05.xlsx&amp;sheet=U0&amp;row=3763&amp;col=7&amp;number=0.00238&amp;sourceID=14","0.00238")</f>
        <v>0.00238</v>
      </c>
    </row>
    <row r="3764" spans="1:7">
      <c r="A3764" s="3">
        <v>12</v>
      </c>
      <c r="B3764" s="3">
        <v>5</v>
      </c>
      <c r="C3764" s="3">
        <v>2</v>
      </c>
      <c r="D3764" s="3">
        <v>41</v>
      </c>
      <c r="E3764" s="3">
        <v>1</v>
      </c>
      <c r="F3764" s="4" t="str">
        <f>HYPERLINK("http://141.218.60.56/~jnz1568/getInfo.php?workbook=12_05.xlsx&amp;sheet=U0&amp;row=3764&amp;col=6&amp;number=3&amp;sourceID=14","3")</f>
        <v>3</v>
      </c>
      <c r="G3764" s="4" t="str">
        <f>HYPERLINK("http://141.218.60.56/~jnz1568/getInfo.php?workbook=12_05.xlsx&amp;sheet=U0&amp;row=3764&amp;col=7&amp;number=0.000254&amp;sourceID=14","0.000254")</f>
        <v>0.000254</v>
      </c>
    </row>
    <row r="3765" spans="1:7">
      <c r="A3765" s="3"/>
      <c r="B3765" s="3"/>
      <c r="C3765" s="3"/>
      <c r="D3765" s="3"/>
      <c r="E3765" s="3">
        <v>2</v>
      </c>
      <c r="F3765" s="4" t="str">
        <f>HYPERLINK("http://141.218.60.56/~jnz1568/getInfo.php?workbook=12_05.xlsx&amp;sheet=U0&amp;row=3765&amp;col=6&amp;number=3.1&amp;sourceID=14","3.1")</f>
        <v>3.1</v>
      </c>
      <c r="G3765" s="4" t="str">
        <f>HYPERLINK("http://141.218.60.56/~jnz1568/getInfo.php?workbook=12_05.xlsx&amp;sheet=U0&amp;row=3765&amp;col=7&amp;number=0.000254&amp;sourceID=14","0.000254")</f>
        <v>0.000254</v>
      </c>
    </row>
    <row r="3766" spans="1:7">
      <c r="A3766" s="3"/>
      <c r="B3766" s="3"/>
      <c r="C3766" s="3"/>
      <c r="D3766" s="3"/>
      <c r="E3766" s="3">
        <v>3</v>
      </c>
      <c r="F3766" s="4" t="str">
        <f>HYPERLINK("http://141.218.60.56/~jnz1568/getInfo.php?workbook=12_05.xlsx&amp;sheet=U0&amp;row=3766&amp;col=6&amp;number=3.2&amp;sourceID=14","3.2")</f>
        <v>3.2</v>
      </c>
      <c r="G3766" s="4" t="str">
        <f>HYPERLINK("http://141.218.60.56/~jnz1568/getInfo.php?workbook=12_05.xlsx&amp;sheet=U0&amp;row=3766&amp;col=7&amp;number=0.000254&amp;sourceID=14","0.000254")</f>
        <v>0.000254</v>
      </c>
    </row>
    <row r="3767" spans="1:7">
      <c r="A3767" s="3"/>
      <c r="B3767" s="3"/>
      <c r="C3767" s="3"/>
      <c r="D3767" s="3"/>
      <c r="E3767" s="3">
        <v>4</v>
      </c>
      <c r="F3767" s="4" t="str">
        <f>HYPERLINK("http://141.218.60.56/~jnz1568/getInfo.php?workbook=12_05.xlsx&amp;sheet=U0&amp;row=3767&amp;col=6&amp;number=3.3&amp;sourceID=14","3.3")</f>
        <v>3.3</v>
      </c>
      <c r="G3767" s="4" t="str">
        <f>HYPERLINK("http://141.218.60.56/~jnz1568/getInfo.php?workbook=12_05.xlsx&amp;sheet=U0&amp;row=3767&amp;col=7&amp;number=0.000254&amp;sourceID=14","0.000254")</f>
        <v>0.000254</v>
      </c>
    </row>
    <row r="3768" spans="1:7">
      <c r="A3768" s="3"/>
      <c r="B3768" s="3"/>
      <c r="C3768" s="3"/>
      <c r="D3768" s="3"/>
      <c r="E3768" s="3">
        <v>5</v>
      </c>
      <c r="F3768" s="4" t="str">
        <f>HYPERLINK("http://141.218.60.56/~jnz1568/getInfo.php?workbook=12_05.xlsx&amp;sheet=U0&amp;row=3768&amp;col=6&amp;number=3.4&amp;sourceID=14","3.4")</f>
        <v>3.4</v>
      </c>
      <c r="G3768" s="4" t="str">
        <f>HYPERLINK("http://141.218.60.56/~jnz1568/getInfo.php?workbook=12_05.xlsx&amp;sheet=U0&amp;row=3768&amp;col=7&amp;number=0.000254&amp;sourceID=14","0.000254")</f>
        <v>0.000254</v>
      </c>
    </row>
    <row r="3769" spans="1:7">
      <c r="A3769" s="3"/>
      <c r="B3769" s="3"/>
      <c r="C3769" s="3"/>
      <c r="D3769" s="3"/>
      <c r="E3769" s="3">
        <v>6</v>
      </c>
      <c r="F3769" s="4" t="str">
        <f>HYPERLINK("http://141.218.60.56/~jnz1568/getInfo.php?workbook=12_05.xlsx&amp;sheet=U0&amp;row=3769&amp;col=6&amp;number=3.5&amp;sourceID=14","3.5")</f>
        <v>3.5</v>
      </c>
      <c r="G3769" s="4" t="str">
        <f>HYPERLINK("http://141.218.60.56/~jnz1568/getInfo.php?workbook=12_05.xlsx&amp;sheet=U0&amp;row=3769&amp;col=7&amp;number=0.000254&amp;sourceID=14","0.000254")</f>
        <v>0.000254</v>
      </c>
    </row>
    <row r="3770" spans="1:7">
      <c r="A3770" s="3"/>
      <c r="B3770" s="3"/>
      <c r="C3770" s="3"/>
      <c r="D3770" s="3"/>
      <c r="E3770" s="3">
        <v>7</v>
      </c>
      <c r="F3770" s="4" t="str">
        <f>HYPERLINK("http://141.218.60.56/~jnz1568/getInfo.php?workbook=12_05.xlsx&amp;sheet=U0&amp;row=3770&amp;col=6&amp;number=3.6&amp;sourceID=14","3.6")</f>
        <v>3.6</v>
      </c>
      <c r="G3770" s="4" t="str">
        <f>HYPERLINK("http://141.218.60.56/~jnz1568/getInfo.php?workbook=12_05.xlsx&amp;sheet=U0&amp;row=3770&amp;col=7&amp;number=0.000254&amp;sourceID=14","0.000254")</f>
        <v>0.000254</v>
      </c>
    </row>
    <row r="3771" spans="1:7">
      <c r="A3771" s="3"/>
      <c r="B3771" s="3"/>
      <c r="C3771" s="3"/>
      <c r="D3771" s="3"/>
      <c r="E3771" s="3">
        <v>8</v>
      </c>
      <c r="F3771" s="4" t="str">
        <f>HYPERLINK("http://141.218.60.56/~jnz1568/getInfo.php?workbook=12_05.xlsx&amp;sheet=U0&amp;row=3771&amp;col=6&amp;number=3.7&amp;sourceID=14","3.7")</f>
        <v>3.7</v>
      </c>
      <c r="G3771" s="4" t="str">
        <f>HYPERLINK("http://141.218.60.56/~jnz1568/getInfo.php?workbook=12_05.xlsx&amp;sheet=U0&amp;row=3771&amp;col=7&amp;number=0.000254&amp;sourceID=14","0.000254")</f>
        <v>0.000254</v>
      </c>
    </row>
    <row r="3772" spans="1:7">
      <c r="A3772" s="3"/>
      <c r="B3772" s="3"/>
      <c r="C3772" s="3"/>
      <c r="D3772" s="3"/>
      <c r="E3772" s="3">
        <v>9</v>
      </c>
      <c r="F3772" s="4" t="str">
        <f>HYPERLINK("http://141.218.60.56/~jnz1568/getInfo.php?workbook=12_05.xlsx&amp;sheet=U0&amp;row=3772&amp;col=6&amp;number=3.8&amp;sourceID=14","3.8")</f>
        <v>3.8</v>
      </c>
      <c r="G3772" s="4" t="str">
        <f>HYPERLINK("http://141.218.60.56/~jnz1568/getInfo.php?workbook=12_05.xlsx&amp;sheet=U0&amp;row=3772&amp;col=7&amp;number=0.000254&amp;sourceID=14","0.000254")</f>
        <v>0.000254</v>
      </c>
    </row>
    <row r="3773" spans="1:7">
      <c r="A3773" s="3"/>
      <c r="B3773" s="3"/>
      <c r="C3773" s="3"/>
      <c r="D3773" s="3"/>
      <c r="E3773" s="3">
        <v>10</v>
      </c>
      <c r="F3773" s="4" t="str">
        <f>HYPERLINK("http://141.218.60.56/~jnz1568/getInfo.php?workbook=12_05.xlsx&amp;sheet=U0&amp;row=3773&amp;col=6&amp;number=3.9&amp;sourceID=14","3.9")</f>
        <v>3.9</v>
      </c>
      <c r="G3773" s="4" t="str">
        <f>HYPERLINK("http://141.218.60.56/~jnz1568/getInfo.php?workbook=12_05.xlsx&amp;sheet=U0&amp;row=3773&amp;col=7&amp;number=0.000254&amp;sourceID=14","0.000254")</f>
        <v>0.000254</v>
      </c>
    </row>
    <row r="3774" spans="1:7">
      <c r="A3774" s="3"/>
      <c r="B3774" s="3"/>
      <c r="C3774" s="3"/>
      <c r="D3774" s="3"/>
      <c r="E3774" s="3">
        <v>11</v>
      </c>
      <c r="F3774" s="4" t="str">
        <f>HYPERLINK("http://141.218.60.56/~jnz1568/getInfo.php?workbook=12_05.xlsx&amp;sheet=U0&amp;row=3774&amp;col=6&amp;number=4&amp;sourceID=14","4")</f>
        <v>4</v>
      </c>
      <c r="G3774" s="4" t="str">
        <f>HYPERLINK("http://141.218.60.56/~jnz1568/getInfo.php?workbook=12_05.xlsx&amp;sheet=U0&amp;row=3774&amp;col=7&amp;number=0.000255&amp;sourceID=14","0.000255")</f>
        <v>0.000255</v>
      </c>
    </row>
    <row r="3775" spans="1:7">
      <c r="A3775" s="3"/>
      <c r="B3775" s="3"/>
      <c r="C3775" s="3"/>
      <c r="D3775" s="3"/>
      <c r="E3775" s="3">
        <v>12</v>
      </c>
      <c r="F3775" s="4" t="str">
        <f>HYPERLINK("http://141.218.60.56/~jnz1568/getInfo.php?workbook=12_05.xlsx&amp;sheet=U0&amp;row=3775&amp;col=6&amp;number=4.1&amp;sourceID=14","4.1")</f>
        <v>4.1</v>
      </c>
      <c r="G3775" s="4" t="str">
        <f>HYPERLINK("http://141.218.60.56/~jnz1568/getInfo.php?workbook=12_05.xlsx&amp;sheet=U0&amp;row=3775&amp;col=7&amp;number=0.000255&amp;sourceID=14","0.000255")</f>
        <v>0.000255</v>
      </c>
    </row>
    <row r="3776" spans="1:7">
      <c r="A3776" s="3"/>
      <c r="B3776" s="3"/>
      <c r="C3776" s="3"/>
      <c r="D3776" s="3"/>
      <c r="E3776" s="3">
        <v>13</v>
      </c>
      <c r="F3776" s="4" t="str">
        <f>HYPERLINK("http://141.218.60.56/~jnz1568/getInfo.php?workbook=12_05.xlsx&amp;sheet=U0&amp;row=3776&amp;col=6&amp;number=4.2&amp;sourceID=14","4.2")</f>
        <v>4.2</v>
      </c>
      <c r="G3776" s="4" t="str">
        <f>HYPERLINK("http://141.218.60.56/~jnz1568/getInfo.php?workbook=12_05.xlsx&amp;sheet=U0&amp;row=3776&amp;col=7&amp;number=0.000255&amp;sourceID=14","0.000255")</f>
        <v>0.000255</v>
      </c>
    </row>
    <row r="3777" spans="1:7">
      <c r="A3777" s="3"/>
      <c r="B3777" s="3"/>
      <c r="C3777" s="3"/>
      <c r="D3777" s="3"/>
      <c r="E3777" s="3">
        <v>14</v>
      </c>
      <c r="F3777" s="4" t="str">
        <f>HYPERLINK("http://141.218.60.56/~jnz1568/getInfo.php?workbook=12_05.xlsx&amp;sheet=U0&amp;row=3777&amp;col=6&amp;number=4.3&amp;sourceID=14","4.3")</f>
        <v>4.3</v>
      </c>
      <c r="G3777" s="4" t="str">
        <f>HYPERLINK("http://141.218.60.56/~jnz1568/getInfo.php?workbook=12_05.xlsx&amp;sheet=U0&amp;row=3777&amp;col=7&amp;number=0.000255&amp;sourceID=14","0.000255")</f>
        <v>0.000255</v>
      </c>
    </row>
    <row r="3778" spans="1:7">
      <c r="A3778" s="3"/>
      <c r="B3778" s="3"/>
      <c r="C3778" s="3"/>
      <c r="D3778" s="3"/>
      <c r="E3778" s="3">
        <v>15</v>
      </c>
      <c r="F3778" s="4" t="str">
        <f>HYPERLINK("http://141.218.60.56/~jnz1568/getInfo.php?workbook=12_05.xlsx&amp;sheet=U0&amp;row=3778&amp;col=6&amp;number=4.4&amp;sourceID=14","4.4")</f>
        <v>4.4</v>
      </c>
      <c r="G3778" s="4" t="str">
        <f>HYPERLINK("http://141.218.60.56/~jnz1568/getInfo.php?workbook=12_05.xlsx&amp;sheet=U0&amp;row=3778&amp;col=7&amp;number=0.000256&amp;sourceID=14","0.000256")</f>
        <v>0.000256</v>
      </c>
    </row>
    <row r="3779" spans="1:7">
      <c r="A3779" s="3"/>
      <c r="B3779" s="3"/>
      <c r="C3779" s="3"/>
      <c r="D3779" s="3"/>
      <c r="E3779" s="3">
        <v>16</v>
      </c>
      <c r="F3779" s="4" t="str">
        <f>HYPERLINK("http://141.218.60.56/~jnz1568/getInfo.php?workbook=12_05.xlsx&amp;sheet=U0&amp;row=3779&amp;col=6&amp;number=4.5&amp;sourceID=14","4.5")</f>
        <v>4.5</v>
      </c>
      <c r="G3779" s="4" t="str">
        <f>HYPERLINK("http://141.218.60.56/~jnz1568/getInfo.php?workbook=12_05.xlsx&amp;sheet=U0&amp;row=3779&amp;col=7&amp;number=0.000256&amp;sourceID=14","0.000256")</f>
        <v>0.000256</v>
      </c>
    </row>
    <row r="3780" spans="1:7">
      <c r="A3780" s="3"/>
      <c r="B3780" s="3"/>
      <c r="C3780" s="3"/>
      <c r="D3780" s="3"/>
      <c r="E3780" s="3">
        <v>17</v>
      </c>
      <c r="F3780" s="4" t="str">
        <f>HYPERLINK("http://141.218.60.56/~jnz1568/getInfo.php?workbook=12_05.xlsx&amp;sheet=U0&amp;row=3780&amp;col=6&amp;number=4.6&amp;sourceID=14","4.6")</f>
        <v>4.6</v>
      </c>
      <c r="G3780" s="4" t="str">
        <f>HYPERLINK("http://141.218.60.56/~jnz1568/getInfo.php?workbook=12_05.xlsx&amp;sheet=U0&amp;row=3780&amp;col=7&amp;number=0.000257&amp;sourceID=14","0.000257")</f>
        <v>0.000257</v>
      </c>
    </row>
    <row r="3781" spans="1:7">
      <c r="A3781" s="3"/>
      <c r="B3781" s="3"/>
      <c r="C3781" s="3"/>
      <c r="D3781" s="3"/>
      <c r="E3781" s="3">
        <v>18</v>
      </c>
      <c r="F3781" s="4" t="str">
        <f>HYPERLINK("http://141.218.60.56/~jnz1568/getInfo.php?workbook=12_05.xlsx&amp;sheet=U0&amp;row=3781&amp;col=6&amp;number=4.7&amp;sourceID=14","4.7")</f>
        <v>4.7</v>
      </c>
      <c r="G3781" s="4" t="str">
        <f>HYPERLINK("http://141.218.60.56/~jnz1568/getInfo.php?workbook=12_05.xlsx&amp;sheet=U0&amp;row=3781&amp;col=7&amp;number=0.000257&amp;sourceID=14","0.000257")</f>
        <v>0.000257</v>
      </c>
    </row>
    <row r="3782" spans="1:7">
      <c r="A3782" s="3"/>
      <c r="B3782" s="3"/>
      <c r="C3782" s="3"/>
      <c r="D3782" s="3"/>
      <c r="E3782" s="3">
        <v>19</v>
      </c>
      <c r="F3782" s="4" t="str">
        <f>HYPERLINK("http://141.218.60.56/~jnz1568/getInfo.php?workbook=12_05.xlsx&amp;sheet=U0&amp;row=3782&amp;col=6&amp;number=4.8&amp;sourceID=14","4.8")</f>
        <v>4.8</v>
      </c>
      <c r="G3782" s="4" t="str">
        <f>HYPERLINK("http://141.218.60.56/~jnz1568/getInfo.php?workbook=12_05.xlsx&amp;sheet=U0&amp;row=3782&amp;col=7&amp;number=0.000258&amp;sourceID=14","0.000258")</f>
        <v>0.000258</v>
      </c>
    </row>
    <row r="3783" spans="1:7">
      <c r="A3783" s="3"/>
      <c r="B3783" s="3"/>
      <c r="C3783" s="3"/>
      <c r="D3783" s="3"/>
      <c r="E3783" s="3">
        <v>20</v>
      </c>
      <c r="F3783" s="4" t="str">
        <f>HYPERLINK("http://141.218.60.56/~jnz1568/getInfo.php?workbook=12_05.xlsx&amp;sheet=U0&amp;row=3783&amp;col=6&amp;number=4.9&amp;sourceID=14","4.9")</f>
        <v>4.9</v>
      </c>
      <c r="G3783" s="4" t="str">
        <f>HYPERLINK("http://141.218.60.56/~jnz1568/getInfo.php?workbook=12_05.xlsx&amp;sheet=U0&amp;row=3783&amp;col=7&amp;number=0.000259&amp;sourceID=14","0.000259")</f>
        <v>0.000259</v>
      </c>
    </row>
    <row r="3784" spans="1:7">
      <c r="A3784" s="3">
        <v>12</v>
      </c>
      <c r="B3784" s="3">
        <v>5</v>
      </c>
      <c r="C3784" s="3">
        <v>2</v>
      </c>
      <c r="D3784" s="3">
        <v>42</v>
      </c>
      <c r="E3784" s="3">
        <v>1</v>
      </c>
      <c r="F3784" s="4" t="str">
        <f>HYPERLINK("http://141.218.60.56/~jnz1568/getInfo.php?workbook=12_05.xlsx&amp;sheet=U0&amp;row=3784&amp;col=6&amp;number=3&amp;sourceID=14","3")</f>
        <v>3</v>
      </c>
      <c r="G3784" s="4" t="str">
        <f>HYPERLINK("http://141.218.60.56/~jnz1568/getInfo.php?workbook=12_05.xlsx&amp;sheet=U0&amp;row=3784&amp;col=7&amp;number=0.00022&amp;sourceID=14","0.00022")</f>
        <v>0.00022</v>
      </c>
    </row>
    <row r="3785" spans="1:7">
      <c r="A3785" s="3"/>
      <c r="B3785" s="3"/>
      <c r="C3785" s="3"/>
      <c r="D3785" s="3"/>
      <c r="E3785" s="3">
        <v>2</v>
      </c>
      <c r="F3785" s="4" t="str">
        <f>HYPERLINK("http://141.218.60.56/~jnz1568/getInfo.php?workbook=12_05.xlsx&amp;sheet=U0&amp;row=3785&amp;col=6&amp;number=3.1&amp;sourceID=14","3.1")</f>
        <v>3.1</v>
      </c>
      <c r="G3785" s="4" t="str">
        <f>HYPERLINK("http://141.218.60.56/~jnz1568/getInfo.php?workbook=12_05.xlsx&amp;sheet=U0&amp;row=3785&amp;col=7&amp;number=0.00022&amp;sourceID=14","0.00022")</f>
        <v>0.00022</v>
      </c>
    </row>
    <row r="3786" spans="1:7">
      <c r="A3786" s="3"/>
      <c r="B3786" s="3"/>
      <c r="C3786" s="3"/>
      <c r="D3786" s="3"/>
      <c r="E3786" s="3">
        <v>3</v>
      </c>
      <c r="F3786" s="4" t="str">
        <f>HYPERLINK("http://141.218.60.56/~jnz1568/getInfo.php?workbook=12_05.xlsx&amp;sheet=U0&amp;row=3786&amp;col=6&amp;number=3.2&amp;sourceID=14","3.2")</f>
        <v>3.2</v>
      </c>
      <c r="G3786" s="4" t="str">
        <f>HYPERLINK("http://141.218.60.56/~jnz1568/getInfo.php?workbook=12_05.xlsx&amp;sheet=U0&amp;row=3786&amp;col=7&amp;number=0.00022&amp;sourceID=14","0.00022")</f>
        <v>0.00022</v>
      </c>
    </row>
    <row r="3787" spans="1:7">
      <c r="A3787" s="3"/>
      <c r="B3787" s="3"/>
      <c r="C3787" s="3"/>
      <c r="D3787" s="3"/>
      <c r="E3787" s="3">
        <v>4</v>
      </c>
      <c r="F3787" s="4" t="str">
        <f>HYPERLINK("http://141.218.60.56/~jnz1568/getInfo.php?workbook=12_05.xlsx&amp;sheet=U0&amp;row=3787&amp;col=6&amp;number=3.3&amp;sourceID=14","3.3")</f>
        <v>3.3</v>
      </c>
      <c r="G3787" s="4" t="str">
        <f>HYPERLINK("http://141.218.60.56/~jnz1568/getInfo.php?workbook=12_05.xlsx&amp;sheet=U0&amp;row=3787&amp;col=7&amp;number=0.00022&amp;sourceID=14","0.00022")</f>
        <v>0.00022</v>
      </c>
    </row>
    <row r="3788" spans="1:7">
      <c r="A3788" s="3"/>
      <c r="B3788" s="3"/>
      <c r="C3788" s="3"/>
      <c r="D3788" s="3"/>
      <c r="E3788" s="3">
        <v>5</v>
      </c>
      <c r="F3788" s="4" t="str">
        <f>HYPERLINK("http://141.218.60.56/~jnz1568/getInfo.php?workbook=12_05.xlsx&amp;sheet=U0&amp;row=3788&amp;col=6&amp;number=3.4&amp;sourceID=14","3.4")</f>
        <v>3.4</v>
      </c>
      <c r="G3788" s="4" t="str">
        <f>HYPERLINK("http://141.218.60.56/~jnz1568/getInfo.php?workbook=12_05.xlsx&amp;sheet=U0&amp;row=3788&amp;col=7&amp;number=0.00022&amp;sourceID=14","0.00022")</f>
        <v>0.00022</v>
      </c>
    </row>
    <row r="3789" spans="1:7">
      <c r="A3789" s="3"/>
      <c r="B3789" s="3"/>
      <c r="C3789" s="3"/>
      <c r="D3789" s="3"/>
      <c r="E3789" s="3">
        <v>6</v>
      </c>
      <c r="F3789" s="4" t="str">
        <f>HYPERLINK("http://141.218.60.56/~jnz1568/getInfo.php?workbook=12_05.xlsx&amp;sheet=U0&amp;row=3789&amp;col=6&amp;number=3.5&amp;sourceID=14","3.5")</f>
        <v>3.5</v>
      </c>
      <c r="G3789" s="4" t="str">
        <f>HYPERLINK("http://141.218.60.56/~jnz1568/getInfo.php?workbook=12_05.xlsx&amp;sheet=U0&amp;row=3789&amp;col=7&amp;number=0.000219&amp;sourceID=14","0.000219")</f>
        <v>0.000219</v>
      </c>
    </row>
    <row r="3790" spans="1:7">
      <c r="A3790" s="3"/>
      <c r="B3790" s="3"/>
      <c r="C3790" s="3"/>
      <c r="D3790" s="3"/>
      <c r="E3790" s="3">
        <v>7</v>
      </c>
      <c r="F3790" s="4" t="str">
        <f>HYPERLINK("http://141.218.60.56/~jnz1568/getInfo.php?workbook=12_05.xlsx&amp;sheet=U0&amp;row=3790&amp;col=6&amp;number=3.6&amp;sourceID=14","3.6")</f>
        <v>3.6</v>
      </c>
      <c r="G3790" s="4" t="str">
        <f>HYPERLINK("http://141.218.60.56/~jnz1568/getInfo.php?workbook=12_05.xlsx&amp;sheet=U0&amp;row=3790&amp;col=7&amp;number=0.000219&amp;sourceID=14","0.000219")</f>
        <v>0.000219</v>
      </c>
    </row>
    <row r="3791" spans="1:7">
      <c r="A3791" s="3"/>
      <c r="B3791" s="3"/>
      <c r="C3791" s="3"/>
      <c r="D3791" s="3"/>
      <c r="E3791" s="3">
        <v>8</v>
      </c>
      <c r="F3791" s="4" t="str">
        <f>HYPERLINK("http://141.218.60.56/~jnz1568/getInfo.php?workbook=12_05.xlsx&amp;sheet=U0&amp;row=3791&amp;col=6&amp;number=3.7&amp;sourceID=14","3.7")</f>
        <v>3.7</v>
      </c>
      <c r="G3791" s="4" t="str">
        <f>HYPERLINK("http://141.218.60.56/~jnz1568/getInfo.php?workbook=12_05.xlsx&amp;sheet=U0&amp;row=3791&amp;col=7&amp;number=0.000219&amp;sourceID=14","0.000219")</f>
        <v>0.000219</v>
      </c>
    </row>
    <row r="3792" spans="1:7">
      <c r="A3792" s="3"/>
      <c r="B3792" s="3"/>
      <c r="C3792" s="3"/>
      <c r="D3792" s="3"/>
      <c r="E3792" s="3">
        <v>9</v>
      </c>
      <c r="F3792" s="4" t="str">
        <f>HYPERLINK("http://141.218.60.56/~jnz1568/getInfo.php?workbook=12_05.xlsx&amp;sheet=U0&amp;row=3792&amp;col=6&amp;number=3.8&amp;sourceID=14","3.8")</f>
        <v>3.8</v>
      </c>
      <c r="G3792" s="4" t="str">
        <f>HYPERLINK("http://141.218.60.56/~jnz1568/getInfo.php?workbook=12_05.xlsx&amp;sheet=U0&amp;row=3792&amp;col=7&amp;number=0.000219&amp;sourceID=14","0.000219")</f>
        <v>0.000219</v>
      </c>
    </row>
    <row r="3793" spans="1:7">
      <c r="A3793" s="3"/>
      <c r="B3793" s="3"/>
      <c r="C3793" s="3"/>
      <c r="D3793" s="3"/>
      <c r="E3793" s="3">
        <v>10</v>
      </c>
      <c r="F3793" s="4" t="str">
        <f>HYPERLINK("http://141.218.60.56/~jnz1568/getInfo.php?workbook=12_05.xlsx&amp;sheet=U0&amp;row=3793&amp;col=6&amp;number=3.9&amp;sourceID=14","3.9")</f>
        <v>3.9</v>
      </c>
      <c r="G3793" s="4" t="str">
        <f>HYPERLINK("http://141.218.60.56/~jnz1568/getInfo.php?workbook=12_05.xlsx&amp;sheet=U0&amp;row=3793&amp;col=7&amp;number=0.000218&amp;sourceID=14","0.000218")</f>
        <v>0.000218</v>
      </c>
    </row>
    <row r="3794" spans="1:7">
      <c r="A3794" s="3"/>
      <c r="B3794" s="3"/>
      <c r="C3794" s="3"/>
      <c r="D3794" s="3"/>
      <c r="E3794" s="3">
        <v>11</v>
      </c>
      <c r="F3794" s="4" t="str">
        <f>HYPERLINK("http://141.218.60.56/~jnz1568/getInfo.php?workbook=12_05.xlsx&amp;sheet=U0&amp;row=3794&amp;col=6&amp;number=4&amp;sourceID=14","4")</f>
        <v>4</v>
      </c>
      <c r="G3794" s="4" t="str">
        <f>HYPERLINK("http://141.218.60.56/~jnz1568/getInfo.php?workbook=12_05.xlsx&amp;sheet=U0&amp;row=3794&amp;col=7&amp;number=0.000218&amp;sourceID=14","0.000218")</f>
        <v>0.000218</v>
      </c>
    </row>
    <row r="3795" spans="1:7">
      <c r="A3795" s="3"/>
      <c r="B3795" s="3"/>
      <c r="C3795" s="3"/>
      <c r="D3795" s="3"/>
      <c r="E3795" s="3">
        <v>12</v>
      </c>
      <c r="F3795" s="4" t="str">
        <f>HYPERLINK("http://141.218.60.56/~jnz1568/getInfo.php?workbook=12_05.xlsx&amp;sheet=U0&amp;row=3795&amp;col=6&amp;number=4.1&amp;sourceID=14","4.1")</f>
        <v>4.1</v>
      </c>
      <c r="G3795" s="4" t="str">
        <f>HYPERLINK("http://141.218.60.56/~jnz1568/getInfo.php?workbook=12_05.xlsx&amp;sheet=U0&amp;row=3795&amp;col=7&amp;number=0.000217&amp;sourceID=14","0.000217")</f>
        <v>0.000217</v>
      </c>
    </row>
    <row r="3796" spans="1:7">
      <c r="A3796" s="3"/>
      <c r="B3796" s="3"/>
      <c r="C3796" s="3"/>
      <c r="D3796" s="3"/>
      <c r="E3796" s="3">
        <v>13</v>
      </c>
      <c r="F3796" s="4" t="str">
        <f>HYPERLINK("http://141.218.60.56/~jnz1568/getInfo.php?workbook=12_05.xlsx&amp;sheet=U0&amp;row=3796&amp;col=6&amp;number=4.2&amp;sourceID=14","4.2")</f>
        <v>4.2</v>
      </c>
      <c r="G3796" s="4" t="str">
        <f>HYPERLINK("http://141.218.60.56/~jnz1568/getInfo.php?workbook=12_05.xlsx&amp;sheet=U0&amp;row=3796&amp;col=7&amp;number=0.000216&amp;sourceID=14","0.000216")</f>
        <v>0.000216</v>
      </c>
    </row>
    <row r="3797" spans="1:7">
      <c r="A3797" s="3"/>
      <c r="B3797" s="3"/>
      <c r="C3797" s="3"/>
      <c r="D3797" s="3"/>
      <c r="E3797" s="3">
        <v>14</v>
      </c>
      <c r="F3797" s="4" t="str">
        <f>HYPERLINK("http://141.218.60.56/~jnz1568/getInfo.php?workbook=12_05.xlsx&amp;sheet=U0&amp;row=3797&amp;col=6&amp;number=4.3&amp;sourceID=14","4.3")</f>
        <v>4.3</v>
      </c>
      <c r="G3797" s="4" t="str">
        <f>HYPERLINK("http://141.218.60.56/~jnz1568/getInfo.php?workbook=12_05.xlsx&amp;sheet=U0&amp;row=3797&amp;col=7&amp;number=0.000215&amp;sourceID=14","0.000215")</f>
        <v>0.000215</v>
      </c>
    </row>
    <row r="3798" spans="1:7">
      <c r="A3798" s="3"/>
      <c r="B3798" s="3"/>
      <c r="C3798" s="3"/>
      <c r="D3798" s="3"/>
      <c r="E3798" s="3">
        <v>15</v>
      </c>
      <c r="F3798" s="4" t="str">
        <f>HYPERLINK("http://141.218.60.56/~jnz1568/getInfo.php?workbook=12_05.xlsx&amp;sheet=U0&amp;row=3798&amp;col=6&amp;number=4.4&amp;sourceID=14","4.4")</f>
        <v>4.4</v>
      </c>
      <c r="G3798" s="4" t="str">
        <f>HYPERLINK("http://141.218.60.56/~jnz1568/getInfo.php?workbook=12_05.xlsx&amp;sheet=U0&amp;row=3798&amp;col=7&amp;number=0.000214&amp;sourceID=14","0.000214")</f>
        <v>0.000214</v>
      </c>
    </row>
    <row r="3799" spans="1:7">
      <c r="A3799" s="3"/>
      <c r="B3799" s="3"/>
      <c r="C3799" s="3"/>
      <c r="D3799" s="3"/>
      <c r="E3799" s="3">
        <v>16</v>
      </c>
      <c r="F3799" s="4" t="str">
        <f>HYPERLINK("http://141.218.60.56/~jnz1568/getInfo.php?workbook=12_05.xlsx&amp;sheet=U0&amp;row=3799&amp;col=6&amp;number=4.5&amp;sourceID=14","4.5")</f>
        <v>4.5</v>
      </c>
      <c r="G3799" s="4" t="str">
        <f>HYPERLINK("http://141.218.60.56/~jnz1568/getInfo.php?workbook=12_05.xlsx&amp;sheet=U0&amp;row=3799&amp;col=7&amp;number=0.000213&amp;sourceID=14","0.000213")</f>
        <v>0.000213</v>
      </c>
    </row>
    <row r="3800" spans="1:7">
      <c r="A3800" s="3"/>
      <c r="B3800" s="3"/>
      <c r="C3800" s="3"/>
      <c r="D3800" s="3"/>
      <c r="E3800" s="3">
        <v>17</v>
      </c>
      <c r="F3800" s="4" t="str">
        <f>HYPERLINK("http://141.218.60.56/~jnz1568/getInfo.php?workbook=12_05.xlsx&amp;sheet=U0&amp;row=3800&amp;col=6&amp;number=4.6&amp;sourceID=14","4.6")</f>
        <v>4.6</v>
      </c>
      <c r="G3800" s="4" t="str">
        <f>HYPERLINK("http://141.218.60.56/~jnz1568/getInfo.php?workbook=12_05.xlsx&amp;sheet=U0&amp;row=3800&amp;col=7&amp;number=0.000211&amp;sourceID=14","0.000211")</f>
        <v>0.000211</v>
      </c>
    </row>
    <row r="3801" spans="1:7">
      <c r="A3801" s="3"/>
      <c r="B3801" s="3"/>
      <c r="C3801" s="3"/>
      <c r="D3801" s="3"/>
      <c r="E3801" s="3">
        <v>18</v>
      </c>
      <c r="F3801" s="4" t="str">
        <f>HYPERLINK("http://141.218.60.56/~jnz1568/getInfo.php?workbook=12_05.xlsx&amp;sheet=U0&amp;row=3801&amp;col=6&amp;number=4.7&amp;sourceID=14","4.7")</f>
        <v>4.7</v>
      </c>
      <c r="G3801" s="4" t="str">
        <f>HYPERLINK("http://141.218.60.56/~jnz1568/getInfo.php?workbook=12_05.xlsx&amp;sheet=U0&amp;row=3801&amp;col=7&amp;number=0.000209&amp;sourceID=14","0.000209")</f>
        <v>0.000209</v>
      </c>
    </row>
    <row r="3802" spans="1:7">
      <c r="A3802" s="3"/>
      <c r="B3802" s="3"/>
      <c r="C3802" s="3"/>
      <c r="D3802" s="3"/>
      <c r="E3802" s="3">
        <v>19</v>
      </c>
      <c r="F3802" s="4" t="str">
        <f>HYPERLINK("http://141.218.60.56/~jnz1568/getInfo.php?workbook=12_05.xlsx&amp;sheet=U0&amp;row=3802&amp;col=6&amp;number=4.8&amp;sourceID=14","4.8")</f>
        <v>4.8</v>
      </c>
      <c r="G3802" s="4" t="str">
        <f>HYPERLINK("http://141.218.60.56/~jnz1568/getInfo.php?workbook=12_05.xlsx&amp;sheet=U0&amp;row=3802&amp;col=7&amp;number=0.000206&amp;sourceID=14","0.000206")</f>
        <v>0.000206</v>
      </c>
    </row>
    <row r="3803" spans="1:7">
      <c r="A3803" s="3"/>
      <c r="B3803" s="3"/>
      <c r="C3803" s="3"/>
      <c r="D3803" s="3"/>
      <c r="E3803" s="3">
        <v>20</v>
      </c>
      <c r="F3803" s="4" t="str">
        <f>HYPERLINK("http://141.218.60.56/~jnz1568/getInfo.php?workbook=12_05.xlsx&amp;sheet=U0&amp;row=3803&amp;col=6&amp;number=4.9&amp;sourceID=14","4.9")</f>
        <v>4.9</v>
      </c>
      <c r="G3803" s="4" t="str">
        <f>HYPERLINK("http://141.218.60.56/~jnz1568/getInfo.php?workbook=12_05.xlsx&amp;sheet=U0&amp;row=3803&amp;col=7&amp;number=0.000202&amp;sourceID=14","0.000202")</f>
        <v>0.000202</v>
      </c>
    </row>
    <row r="3804" spans="1:7">
      <c r="A3804" s="3">
        <v>12</v>
      </c>
      <c r="B3804" s="3">
        <v>5</v>
      </c>
      <c r="C3804" s="3">
        <v>2</v>
      </c>
      <c r="D3804" s="3">
        <v>43</v>
      </c>
      <c r="E3804" s="3">
        <v>1</v>
      </c>
      <c r="F3804" s="4" t="str">
        <f>HYPERLINK("http://141.218.60.56/~jnz1568/getInfo.php?workbook=12_05.xlsx&amp;sheet=U0&amp;row=3804&amp;col=6&amp;number=3&amp;sourceID=14","3")</f>
        <v>3</v>
      </c>
      <c r="G3804" s="4" t="str">
        <f>HYPERLINK("http://141.218.60.56/~jnz1568/getInfo.php?workbook=12_05.xlsx&amp;sheet=U0&amp;row=3804&amp;col=7&amp;number=0.00126&amp;sourceID=14","0.00126")</f>
        <v>0.00126</v>
      </c>
    </row>
    <row r="3805" spans="1:7">
      <c r="A3805" s="3"/>
      <c r="B3805" s="3"/>
      <c r="C3805" s="3"/>
      <c r="D3805" s="3"/>
      <c r="E3805" s="3">
        <v>2</v>
      </c>
      <c r="F3805" s="4" t="str">
        <f>HYPERLINK("http://141.218.60.56/~jnz1568/getInfo.php?workbook=12_05.xlsx&amp;sheet=U0&amp;row=3805&amp;col=6&amp;number=3.1&amp;sourceID=14","3.1")</f>
        <v>3.1</v>
      </c>
      <c r="G3805" s="4" t="str">
        <f>HYPERLINK("http://141.218.60.56/~jnz1568/getInfo.php?workbook=12_05.xlsx&amp;sheet=U0&amp;row=3805&amp;col=7&amp;number=0.00126&amp;sourceID=14","0.00126")</f>
        <v>0.00126</v>
      </c>
    </row>
    <row r="3806" spans="1:7">
      <c r="A3806" s="3"/>
      <c r="B3806" s="3"/>
      <c r="C3806" s="3"/>
      <c r="D3806" s="3"/>
      <c r="E3806" s="3">
        <v>3</v>
      </c>
      <c r="F3806" s="4" t="str">
        <f>HYPERLINK("http://141.218.60.56/~jnz1568/getInfo.php?workbook=12_05.xlsx&amp;sheet=U0&amp;row=3806&amp;col=6&amp;number=3.2&amp;sourceID=14","3.2")</f>
        <v>3.2</v>
      </c>
      <c r="G3806" s="4" t="str">
        <f>HYPERLINK("http://141.218.60.56/~jnz1568/getInfo.php?workbook=12_05.xlsx&amp;sheet=U0&amp;row=3806&amp;col=7&amp;number=0.00126&amp;sourceID=14","0.00126")</f>
        <v>0.00126</v>
      </c>
    </row>
    <row r="3807" spans="1:7">
      <c r="A3807" s="3"/>
      <c r="B3807" s="3"/>
      <c r="C3807" s="3"/>
      <c r="D3807" s="3"/>
      <c r="E3807" s="3">
        <v>4</v>
      </c>
      <c r="F3807" s="4" t="str">
        <f>HYPERLINK("http://141.218.60.56/~jnz1568/getInfo.php?workbook=12_05.xlsx&amp;sheet=U0&amp;row=3807&amp;col=6&amp;number=3.3&amp;sourceID=14","3.3")</f>
        <v>3.3</v>
      </c>
      <c r="G3807" s="4" t="str">
        <f>HYPERLINK("http://141.218.60.56/~jnz1568/getInfo.php?workbook=12_05.xlsx&amp;sheet=U0&amp;row=3807&amp;col=7&amp;number=0.00126&amp;sourceID=14","0.00126")</f>
        <v>0.00126</v>
      </c>
    </row>
    <row r="3808" spans="1:7">
      <c r="A3808" s="3"/>
      <c r="B3808" s="3"/>
      <c r="C3808" s="3"/>
      <c r="D3808" s="3"/>
      <c r="E3808" s="3">
        <v>5</v>
      </c>
      <c r="F3808" s="4" t="str">
        <f>HYPERLINK("http://141.218.60.56/~jnz1568/getInfo.php?workbook=12_05.xlsx&amp;sheet=U0&amp;row=3808&amp;col=6&amp;number=3.4&amp;sourceID=14","3.4")</f>
        <v>3.4</v>
      </c>
      <c r="G3808" s="4" t="str">
        <f>HYPERLINK("http://141.218.60.56/~jnz1568/getInfo.php?workbook=12_05.xlsx&amp;sheet=U0&amp;row=3808&amp;col=7&amp;number=0.00126&amp;sourceID=14","0.00126")</f>
        <v>0.00126</v>
      </c>
    </row>
    <row r="3809" spans="1:7">
      <c r="A3809" s="3"/>
      <c r="B3809" s="3"/>
      <c r="C3809" s="3"/>
      <c r="D3809" s="3"/>
      <c r="E3809" s="3">
        <v>6</v>
      </c>
      <c r="F3809" s="4" t="str">
        <f>HYPERLINK("http://141.218.60.56/~jnz1568/getInfo.php?workbook=12_05.xlsx&amp;sheet=U0&amp;row=3809&amp;col=6&amp;number=3.5&amp;sourceID=14","3.5")</f>
        <v>3.5</v>
      </c>
      <c r="G3809" s="4" t="str">
        <f>HYPERLINK("http://141.218.60.56/~jnz1568/getInfo.php?workbook=12_05.xlsx&amp;sheet=U0&amp;row=3809&amp;col=7&amp;number=0.00126&amp;sourceID=14","0.00126")</f>
        <v>0.00126</v>
      </c>
    </row>
    <row r="3810" spans="1:7">
      <c r="A3810" s="3"/>
      <c r="B3810" s="3"/>
      <c r="C3810" s="3"/>
      <c r="D3810" s="3"/>
      <c r="E3810" s="3">
        <v>7</v>
      </c>
      <c r="F3810" s="4" t="str">
        <f>HYPERLINK("http://141.218.60.56/~jnz1568/getInfo.php?workbook=12_05.xlsx&amp;sheet=U0&amp;row=3810&amp;col=6&amp;number=3.6&amp;sourceID=14","3.6")</f>
        <v>3.6</v>
      </c>
      <c r="G3810" s="4" t="str">
        <f>HYPERLINK("http://141.218.60.56/~jnz1568/getInfo.php?workbook=12_05.xlsx&amp;sheet=U0&amp;row=3810&amp;col=7&amp;number=0.00126&amp;sourceID=14","0.00126")</f>
        <v>0.00126</v>
      </c>
    </row>
    <row r="3811" spans="1:7">
      <c r="A3811" s="3"/>
      <c r="B3811" s="3"/>
      <c r="C3811" s="3"/>
      <c r="D3811" s="3"/>
      <c r="E3811" s="3">
        <v>8</v>
      </c>
      <c r="F3811" s="4" t="str">
        <f>HYPERLINK("http://141.218.60.56/~jnz1568/getInfo.php?workbook=12_05.xlsx&amp;sheet=U0&amp;row=3811&amp;col=6&amp;number=3.7&amp;sourceID=14","3.7")</f>
        <v>3.7</v>
      </c>
      <c r="G3811" s="4" t="str">
        <f>HYPERLINK("http://141.218.60.56/~jnz1568/getInfo.php?workbook=12_05.xlsx&amp;sheet=U0&amp;row=3811&amp;col=7&amp;number=0.00126&amp;sourceID=14","0.00126")</f>
        <v>0.00126</v>
      </c>
    </row>
    <row r="3812" spans="1:7">
      <c r="A3812" s="3"/>
      <c r="B3812" s="3"/>
      <c r="C3812" s="3"/>
      <c r="D3812" s="3"/>
      <c r="E3812" s="3">
        <v>9</v>
      </c>
      <c r="F3812" s="4" t="str">
        <f>HYPERLINK("http://141.218.60.56/~jnz1568/getInfo.php?workbook=12_05.xlsx&amp;sheet=U0&amp;row=3812&amp;col=6&amp;number=3.8&amp;sourceID=14","3.8")</f>
        <v>3.8</v>
      </c>
      <c r="G3812" s="4" t="str">
        <f>HYPERLINK("http://141.218.60.56/~jnz1568/getInfo.php?workbook=12_05.xlsx&amp;sheet=U0&amp;row=3812&amp;col=7&amp;number=0.00126&amp;sourceID=14","0.00126")</f>
        <v>0.00126</v>
      </c>
    </row>
    <row r="3813" spans="1:7">
      <c r="A3813" s="3"/>
      <c r="B3813" s="3"/>
      <c r="C3813" s="3"/>
      <c r="D3813" s="3"/>
      <c r="E3813" s="3">
        <v>10</v>
      </c>
      <c r="F3813" s="4" t="str">
        <f>HYPERLINK("http://141.218.60.56/~jnz1568/getInfo.php?workbook=12_05.xlsx&amp;sheet=U0&amp;row=3813&amp;col=6&amp;number=3.9&amp;sourceID=14","3.9")</f>
        <v>3.9</v>
      </c>
      <c r="G3813" s="4" t="str">
        <f>HYPERLINK("http://141.218.60.56/~jnz1568/getInfo.php?workbook=12_05.xlsx&amp;sheet=U0&amp;row=3813&amp;col=7&amp;number=0.00126&amp;sourceID=14","0.00126")</f>
        <v>0.00126</v>
      </c>
    </row>
    <row r="3814" spans="1:7">
      <c r="A3814" s="3"/>
      <c r="B3814" s="3"/>
      <c r="C3814" s="3"/>
      <c r="D3814" s="3"/>
      <c r="E3814" s="3">
        <v>11</v>
      </c>
      <c r="F3814" s="4" t="str">
        <f>HYPERLINK("http://141.218.60.56/~jnz1568/getInfo.php?workbook=12_05.xlsx&amp;sheet=U0&amp;row=3814&amp;col=6&amp;number=4&amp;sourceID=14","4")</f>
        <v>4</v>
      </c>
      <c r="G3814" s="4" t="str">
        <f>HYPERLINK("http://141.218.60.56/~jnz1568/getInfo.php?workbook=12_05.xlsx&amp;sheet=U0&amp;row=3814&amp;col=7&amp;number=0.00126&amp;sourceID=14","0.00126")</f>
        <v>0.00126</v>
      </c>
    </row>
    <row r="3815" spans="1:7">
      <c r="A3815" s="3"/>
      <c r="B3815" s="3"/>
      <c r="C3815" s="3"/>
      <c r="D3815" s="3"/>
      <c r="E3815" s="3">
        <v>12</v>
      </c>
      <c r="F3815" s="4" t="str">
        <f>HYPERLINK("http://141.218.60.56/~jnz1568/getInfo.php?workbook=12_05.xlsx&amp;sheet=U0&amp;row=3815&amp;col=6&amp;number=4.1&amp;sourceID=14","4.1")</f>
        <v>4.1</v>
      </c>
      <c r="G3815" s="4" t="str">
        <f>HYPERLINK("http://141.218.60.56/~jnz1568/getInfo.php?workbook=12_05.xlsx&amp;sheet=U0&amp;row=3815&amp;col=7&amp;number=0.00126&amp;sourceID=14","0.00126")</f>
        <v>0.00126</v>
      </c>
    </row>
    <row r="3816" spans="1:7">
      <c r="A3816" s="3"/>
      <c r="B3816" s="3"/>
      <c r="C3816" s="3"/>
      <c r="D3816" s="3"/>
      <c r="E3816" s="3">
        <v>13</v>
      </c>
      <c r="F3816" s="4" t="str">
        <f>HYPERLINK("http://141.218.60.56/~jnz1568/getInfo.php?workbook=12_05.xlsx&amp;sheet=U0&amp;row=3816&amp;col=6&amp;number=4.2&amp;sourceID=14","4.2")</f>
        <v>4.2</v>
      </c>
      <c r="G3816" s="4" t="str">
        <f>HYPERLINK("http://141.218.60.56/~jnz1568/getInfo.php?workbook=12_05.xlsx&amp;sheet=U0&amp;row=3816&amp;col=7&amp;number=0.00127&amp;sourceID=14","0.00127")</f>
        <v>0.00127</v>
      </c>
    </row>
    <row r="3817" spans="1:7">
      <c r="A3817" s="3"/>
      <c r="B3817" s="3"/>
      <c r="C3817" s="3"/>
      <c r="D3817" s="3"/>
      <c r="E3817" s="3">
        <v>14</v>
      </c>
      <c r="F3817" s="4" t="str">
        <f>HYPERLINK("http://141.218.60.56/~jnz1568/getInfo.php?workbook=12_05.xlsx&amp;sheet=U0&amp;row=3817&amp;col=6&amp;number=4.3&amp;sourceID=14","4.3")</f>
        <v>4.3</v>
      </c>
      <c r="G3817" s="4" t="str">
        <f>HYPERLINK("http://141.218.60.56/~jnz1568/getInfo.php?workbook=12_05.xlsx&amp;sheet=U0&amp;row=3817&amp;col=7&amp;number=0.00127&amp;sourceID=14","0.00127")</f>
        <v>0.00127</v>
      </c>
    </row>
    <row r="3818" spans="1:7">
      <c r="A3818" s="3"/>
      <c r="B3818" s="3"/>
      <c r="C3818" s="3"/>
      <c r="D3818" s="3"/>
      <c r="E3818" s="3">
        <v>15</v>
      </c>
      <c r="F3818" s="4" t="str">
        <f>HYPERLINK("http://141.218.60.56/~jnz1568/getInfo.php?workbook=12_05.xlsx&amp;sheet=U0&amp;row=3818&amp;col=6&amp;number=4.4&amp;sourceID=14","4.4")</f>
        <v>4.4</v>
      </c>
      <c r="G3818" s="4" t="str">
        <f>HYPERLINK("http://141.218.60.56/~jnz1568/getInfo.php?workbook=12_05.xlsx&amp;sheet=U0&amp;row=3818&amp;col=7&amp;number=0.00127&amp;sourceID=14","0.00127")</f>
        <v>0.00127</v>
      </c>
    </row>
    <row r="3819" spans="1:7">
      <c r="A3819" s="3"/>
      <c r="B3819" s="3"/>
      <c r="C3819" s="3"/>
      <c r="D3819" s="3"/>
      <c r="E3819" s="3">
        <v>16</v>
      </c>
      <c r="F3819" s="4" t="str">
        <f>HYPERLINK("http://141.218.60.56/~jnz1568/getInfo.php?workbook=12_05.xlsx&amp;sheet=U0&amp;row=3819&amp;col=6&amp;number=4.5&amp;sourceID=14","4.5")</f>
        <v>4.5</v>
      </c>
      <c r="G3819" s="4" t="str">
        <f>HYPERLINK("http://141.218.60.56/~jnz1568/getInfo.php?workbook=12_05.xlsx&amp;sheet=U0&amp;row=3819&amp;col=7&amp;number=0.00128&amp;sourceID=14","0.00128")</f>
        <v>0.00128</v>
      </c>
    </row>
    <row r="3820" spans="1:7">
      <c r="A3820" s="3"/>
      <c r="B3820" s="3"/>
      <c r="C3820" s="3"/>
      <c r="D3820" s="3"/>
      <c r="E3820" s="3">
        <v>17</v>
      </c>
      <c r="F3820" s="4" t="str">
        <f>HYPERLINK("http://141.218.60.56/~jnz1568/getInfo.php?workbook=12_05.xlsx&amp;sheet=U0&amp;row=3820&amp;col=6&amp;number=4.6&amp;sourceID=14","4.6")</f>
        <v>4.6</v>
      </c>
      <c r="G3820" s="4" t="str">
        <f>HYPERLINK("http://141.218.60.56/~jnz1568/getInfo.php?workbook=12_05.xlsx&amp;sheet=U0&amp;row=3820&amp;col=7&amp;number=0.00128&amp;sourceID=14","0.00128")</f>
        <v>0.00128</v>
      </c>
    </row>
    <row r="3821" spans="1:7">
      <c r="A3821" s="3"/>
      <c r="B3821" s="3"/>
      <c r="C3821" s="3"/>
      <c r="D3821" s="3"/>
      <c r="E3821" s="3">
        <v>18</v>
      </c>
      <c r="F3821" s="4" t="str">
        <f>HYPERLINK("http://141.218.60.56/~jnz1568/getInfo.php?workbook=12_05.xlsx&amp;sheet=U0&amp;row=3821&amp;col=6&amp;number=4.7&amp;sourceID=14","4.7")</f>
        <v>4.7</v>
      </c>
      <c r="G3821" s="4" t="str">
        <f>HYPERLINK("http://141.218.60.56/~jnz1568/getInfo.php?workbook=12_05.xlsx&amp;sheet=U0&amp;row=3821&amp;col=7&amp;number=0.00129&amp;sourceID=14","0.00129")</f>
        <v>0.00129</v>
      </c>
    </row>
    <row r="3822" spans="1:7">
      <c r="A3822" s="3"/>
      <c r="B3822" s="3"/>
      <c r="C3822" s="3"/>
      <c r="D3822" s="3"/>
      <c r="E3822" s="3">
        <v>19</v>
      </c>
      <c r="F3822" s="4" t="str">
        <f>HYPERLINK("http://141.218.60.56/~jnz1568/getInfo.php?workbook=12_05.xlsx&amp;sheet=U0&amp;row=3822&amp;col=6&amp;number=4.8&amp;sourceID=14","4.8")</f>
        <v>4.8</v>
      </c>
      <c r="G3822" s="4" t="str">
        <f>HYPERLINK("http://141.218.60.56/~jnz1568/getInfo.php?workbook=12_05.xlsx&amp;sheet=U0&amp;row=3822&amp;col=7&amp;number=0.0013&amp;sourceID=14","0.0013")</f>
        <v>0.0013</v>
      </c>
    </row>
    <row r="3823" spans="1:7">
      <c r="A3823" s="3"/>
      <c r="B3823" s="3"/>
      <c r="C3823" s="3"/>
      <c r="D3823" s="3"/>
      <c r="E3823" s="3">
        <v>20</v>
      </c>
      <c r="F3823" s="4" t="str">
        <f>HYPERLINK("http://141.218.60.56/~jnz1568/getInfo.php?workbook=12_05.xlsx&amp;sheet=U0&amp;row=3823&amp;col=6&amp;number=4.9&amp;sourceID=14","4.9")</f>
        <v>4.9</v>
      </c>
      <c r="G3823" s="4" t="str">
        <f>HYPERLINK("http://141.218.60.56/~jnz1568/getInfo.php?workbook=12_05.xlsx&amp;sheet=U0&amp;row=3823&amp;col=7&amp;number=0.00131&amp;sourceID=14","0.00131")</f>
        <v>0.00131</v>
      </c>
    </row>
    <row r="3824" spans="1:7">
      <c r="A3824" s="3">
        <v>12</v>
      </c>
      <c r="B3824" s="3">
        <v>5</v>
      </c>
      <c r="C3824" s="3">
        <v>2</v>
      </c>
      <c r="D3824" s="3">
        <v>44</v>
      </c>
      <c r="E3824" s="3">
        <v>1</v>
      </c>
      <c r="F3824" s="4" t="str">
        <f>HYPERLINK("http://141.218.60.56/~jnz1568/getInfo.php?workbook=12_05.xlsx&amp;sheet=U0&amp;row=3824&amp;col=6&amp;number=3&amp;sourceID=14","3")</f>
        <v>3</v>
      </c>
      <c r="G3824" s="4" t="str">
        <f>HYPERLINK("http://141.218.60.56/~jnz1568/getInfo.php?workbook=12_05.xlsx&amp;sheet=U0&amp;row=3824&amp;col=7&amp;number=0.000713&amp;sourceID=14","0.000713")</f>
        <v>0.000713</v>
      </c>
    </row>
    <row r="3825" spans="1:7">
      <c r="A3825" s="3"/>
      <c r="B3825" s="3"/>
      <c r="C3825" s="3"/>
      <c r="D3825" s="3"/>
      <c r="E3825" s="3">
        <v>2</v>
      </c>
      <c r="F3825" s="4" t="str">
        <f>HYPERLINK("http://141.218.60.56/~jnz1568/getInfo.php?workbook=12_05.xlsx&amp;sheet=U0&amp;row=3825&amp;col=6&amp;number=3.1&amp;sourceID=14","3.1")</f>
        <v>3.1</v>
      </c>
      <c r="G3825" s="4" t="str">
        <f>HYPERLINK("http://141.218.60.56/~jnz1568/getInfo.php?workbook=12_05.xlsx&amp;sheet=U0&amp;row=3825&amp;col=7&amp;number=0.000713&amp;sourceID=14","0.000713")</f>
        <v>0.000713</v>
      </c>
    </row>
    <row r="3826" spans="1:7">
      <c r="A3826" s="3"/>
      <c r="B3826" s="3"/>
      <c r="C3826" s="3"/>
      <c r="D3826" s="3"/>
      <c r="E3826" s="3">
        <v>3</v>
      </c>
      <c r="F3826" s="4" t="str">
        <f>HYPERLINK("http://141.218.60.56/~jnz1568/getInfo.php?workbook=12_05.xlsx&amp;sheet=U0&amp;row=3826&amp;col=6&amp;number=3.2&amp;sourceID=14","3.2")</f>
        <v>3.2</v>
      </c>
      <c r="G3826" s="4" t="str">
        <f>HYPERLINK("http://141.218.60.56/~jnz1568/getInfo.php?workbook=12_05.xlsx&amp;sheet=U0&amp;row=3826&amp;col=7&amp;number=0.000713&amp;sourceID=14","0.000713")</f>
        <v>0.000713</v>
      </c>
    </row>
    <row r="3827" spans="1:7">
      <c r="A3827" s="3"/>
      <c r="B3827" s="3"/>
      <c r="C3827" s="3"/>
      <c r="D3827" s="3"/>
      <c r="E3827" s="3">
        <v>4</v>
      </c>
      <c r="F3827" s="4" t="str">
        <f>HYPERLINK("http://141.218.60.56/~jnz1568/getInfo.php?workbook=12_05.xlsx&amp;sheet=U0&amp;row=3827&amp;col=6&amp;number=3.3&amp;sourceID=14","3.3")</f>
        <v>3.3</v>
      </c>
      <c r="G3827" s="4" t="str">
        <f>HYPERLINK("http://141.218.60.56/~jnz1568/getInfo.php?workbook=12_05.xlsx&amp;sheet=U0&amp;row=3827&amp;col=7&amp;number=0.000713&amp;sourceID=14","0.000713")</f>
        <v>0.000713</v>
      </c>
    </row>
    <row r="3828" spans="1:7">
      <c r="A3828" s="3"/>
      <c r="B3828" s="3"/>
      <c r="C3828" s="3"/>
      <c r="D3828" s="3"/>
      <c r="E3828" s="3">
        <v>5</v>
      </c>
      <c r="F3828" s="4" t="str">
        <f>HYPERLINK("http://141.218.60.56/~jnz1568/getInfo.php?workbook=12_05.xlsx&amp;sheet=U0&amp;row=3828&amp;col=6&amp;number=3.4&amp;sourceID=14","3.4")</f>
        <v>3.4</v>
      </c>
      <c r="G3828" s="4" t="str">
        <f>HYPERLINK("http://141.218.60.56/~jnz1568/getInfo.php?workbook=12_05.xlsx&amp;sheet=U0&amp;row=3828&amp;col=7&amp;number=0.000713&amp;sourceID=14","0.000713")</f>
        <v>0.000713</v>
      </c>
    </row>
    <row r="3829" spans="1:7">
      <c r="A3829" s="3"/>
      <c r="B3829" s="3"/>
      <c r="C3829" s="3"/>
      <c r="D3829" s="3"/>
      <c r="E3829" s="3">
        <v>6</v>
      </c>
      <c r="F3829" s="4" t="str">
        <f>HYPERLINK("http://141.218.60.56/~jnz1568/getInfo.php?workbook=12_05.xlsx&amp;sheet=U0&amp;row=3829&amp;col=6&amp;number=3.5&amp;sourceID=14","3.5")</f>
        <v>3.5</v>
      </c>
      <c r="G3829" s="4" t="str">
        <f>HYPERLINK("http://141.218.60.56/~jnz1568/getInfo.php?workbook=12_05.xlsx&amp;sheet=U0&amp;row=3829&amp;col=7&amp;number=0.000712&amp;sourceID=14","0.000712")</f>
        <v>0.000712</v>
      </c>
    </row>
    <row r="3830" spans="1:7">
      <c r="A3830" s="3"/>
      <c r="B3830" s="3"/>
      <c r="C3830" s="3"/>
      <c r="D3830" s="3"/>
      <c r="E3830" s="3">
        <v>7</v>
      </c>
      <c r="F3830" s="4" t="str">
        <f>HYPERLINK("http://141.218.60.56/~jnz1568/getInfo.php?workbook=12_05.xlsx&amp;sheet=U0&amp;row=3830&amp;col=6&amp;number=3.6&amp;sourceID=14","3.6")</f>
        <v>3.6</v>
      </c>
      <c r="G3830" s="4" t="str">
        <f>HYPERLINK("http://141.218.60.56/~jnz1568/getInfo.php?workbook=12_05.xlsx&amp;sheet=U0&amp;row=3830&amp;col=7&amp;number=0.000712&amp;sourceID=14","0.000712")</f>
        <v>0.000712</v>
      </c>
    </row>
    <row r="3831" spans="1:7">
      <c r="A3831" s="3"/>
      <c r="B3831" s="3"/>
      <c r="C3831" s="3"/>
      <c r="D3831" s="3"/>
      <c r="E3831" s="3">
        <v>8</v>
      </c>
      <c r="F3831" s="4" t="str">
        <f>HYPERLINK("http://141.218.60.56/~jnz1568/getInfo.php?workbook=12_05.xlsx&amp;sheet=U0&amp;row=3831&amp;col=6&amp;number=3.7&amp;sourceID=14","3.7")</f>
        <v>3.7</v>
      </c>
      <c r="G3831" s="4" t="str">
        <f>HYPERLINK("http://141.218.60.56/~jnz1568/getInfo.php?workbook=12_05.xlsx&amp;sheet=U0&amp;row=3831&amp;col=7&amp;number=0.000712&amp;sourceID=14","0.000712")</f>
        <v>0.000712</v>
      </c>
    </row>
    <row r="3832" spans="1:7">
      <c r="A3832" s="3"/>
      <c r="B3832" s="3"/>
      <c r="C3832" s="3"/>
      <c r="D3832" s="3"/>
      <c r="E3832" s="3">
        <v>9</v>
      </c>
      <c r="F3832" s="4" t="str">
        <f>HYPERLINK("http://141.218.60.56/~jnz1568/getInfo.php?workbook=12_05.xlsx&amp;sheet=U0&amp;row=3832&amp;col=6&amp;number=3.8&amp;sourceID=14","3.8")</f>
        <v>3.8</v>
      </c>
      <c r="G3832" s="4" t="str">
        <f>HYPERLINK("http://141.218.60.56/~jnz1568/getInfo.php?workbook=12_05.xlsx&amp;sheet=U0&amp;row=3832&amp;col=7&amp;number=0.000712&amp;sourceID=14","0.000712")</f>
        <v>0.000712</v>
      </c>
    </row>
    <row r="3833" spans="1:7">
      <c r="A3833" s="3"/>
      <c r="B3833" s="3"/>
      <c r="C3833" s="3"/>
      <c r="D3833" s="3"/>
      <c r="E3833" s="3">
        <v>10</v>
      </c>
      <c r="F3833" s="4" t="str">
        <f>HYPERLINK("http://141.218.60.56/~jnz1568/getInfo.php?workbook=12_05.xlsx&amp;sheet=U0&amp;row=3833&amp;col=6&amp;number=3.9&amp;sourceID=14","3.9")</f>
        <v>3.9</v>
      </c>
      <c r="G3833" s="4" t="str">
        <f>HYPERLINK("http://141.218.60.56/~jnz1568/getInfo.php?workbook=12_05.xlsx&amp;sheet=U0&amp;row=3833&amp;col=7&amp;number=0.000711&amp;sourceID=14","0.000711")</f>
        <v>0.000711</v>
      </c>
    </row>
    <row r="3834" spans="1:7">
      <c r="A3834" s="3"/>
      <c r="B3834" s="3"/>
      <c r="C3834" s="3"/>
      <c r="D3834" s="3"/>
      <c r="E3834" s="3">
        <v>11</v>
      </c>
      <c r="F3834" s="4" t="str">
        <f>HYPERLINK("http://141.218.60.56/~jnz1568/getInfo.php?workbook=12_05.xlsx&amp;sheet=U0&amp;row=3834&amp;col=6&amp;number=4&amp;sourceID=14","4")</f>
        <v>4</v>
      </c>
      <c r="G3834" s="4" t="str">
        <f>HYPERLINK("http://141.218.60.56/~jnz1568/getInfo.php?workbook=12_05.xlsx&amp;sheet=U0&amp;row=3834&amp;col=7&amp;number=0.000711&amp;sourceID=14","0.000711")</f>
        <v>0.000711</v>
      </c>
    </row>
    <row r="3835" spans="1:7">
      <c r="A3835" s="3"/>
      <c r="B3835" s="3"/>
      <c r="C3835" s="3"/>
      <c r="D3835" s="3"/>
      <c r="E3835" s="3">
        <v>12</v>
      </c>
      <c r="F3835" s="4" t="str">
        <f>HYPERLINK("http://141.218.60.56/~jnz1568/getInfo.php?workbook=12_05.xlsx&amp;sheet=U0&amp;row=3835&amp;col=6&amp;number=4.1&amp;sourceID=14","4.1")</f>
        <v>4.1</v>
      </c>
      <c r="G3835" s="4" t="str">
        <f>HYPERLINK("http://141.218.60.56/~jnz1568/getInfo.php?workbook=12_05.xlsx&amp;sheet=U0&amp;row=3835&amp;col=7&amp;number=0.000711&amp;sourceID=14","0.000711")</f>
        <v>0.000711</v>
      </c>
    </row>
    <row r="3836" spans="1:7">
      <c r="A3836" s="3"/>
      <c r="B3836" s="3"/>
      <c r="C3836" s="3"/>
      <c r="D3836" s="3"/>
      <c r="E3836" s="3">
        <v>13</v>
      </c>
      <c r="F3836" s="4" t="str">
        <f>HYPERLINK("http://141.218.60.56/~jnz1568/getInfo.php?workbook=12_05.xlsx&amp;sheet=U0&amp;row=3836&amp;col=6&amp;number=4.2&amp;sourceID=14","4.2")</f>
        <v>4.2</v>
      </c>
      <c r="G3836" s="4" t="str">
        <f>HYPERLINK("http://141.218.60.56/~jnz1568/getInfo.php?workbook=12_05.xlsx&amp;sheet=U0&amp;row=3836&amp;col=7&amp;number=0.00071&amp;sourceID=14","0.00071")</f>
        <v>0.00071</v>
      </c>
    </row>
    <row r="3837" spans="1:7">
      <c r="A3837" s="3"/>
      <c r="B3837" s="3"/>
      <c r="C3837" s="3"/>
      <c r="D3837" s="3"/>
      <c r="E3837" s="3">
        <v>14</v>
      </c>
      <c r="F3837" s="4" t="str">
        <f>HYPERLINK("http://141.218.60.56/~jnz1568/getInfo.php?workbook=12_05.xlsx&amp;sheet=U0&amp;row=3837&amp;col=6&amp;number=4.3&amp;sourceID=14","4.3")</f>
        <v>4.3</v>
      </c>
      <c r="G3837" s="4" t="str">
        <f>HYPERLINK("http://141.218.60.56/~jnz1568/getInfo.php?workbook=12_05.xlsx&amp;sheet=U0&amp;row=3837&amp;col=7&amp;number=0.000709&amp;sourceID=14","0.000709")</f>
        <v>0.000709</v>
      </c>
    </row>
    <row r="3838" spans="1:7">
      <c r="A3838" s="3"/>
      <c r="B3838" s="3"/>
      <c r="C3838" s="3"/>
      <c r="D3838" s="3"/>
      <c r="E3838" s="3">
        <v>15</v>
      </c>
      <c r="F3838" s="4" t="str">
        <f>HYPERLINK("http://141.218.60.56/~jnz1568/getInfo.php?workbook=12_05.xlsx&amp;sheet=U0&amp;row=3838&amp;col=6&amp;number=4.4&amp;sourceID=14","4.4")</f>
        <v>4.4</v>
      </c>
      <c r="G3838" s="4" t="str">
        <f>HYPERLINK("http://141.218.60.56/~jnz1568/getInfo.php?workbook=12_05.xlsx&amp;sheet=U0&amp;row=3838&amp;col=7&amp;number=0.000708&amp;sourceID=14","0.000708")</f>
        <v>0.000708</v>
      </c>
    </row>
    <row r="3839" spans="1:7">
      <c r="A3839" s="3"/>
      <c r="B3839" s="3"/>
      <c r="C3839" s="3"/>
      <c r="D3839" s="3"/>
      <c r="E3839" s="3">
        <v>16</v>
      </c>
      <c r="F3839" s="4" t="str">
        <f>HYPERLINK("http://141.218.60.56/~jnz1568/getInfo.php?workbook=12_05.xlsx&amp;sheet=U0&amp;row=3839&amp;col=6&amp;number=4.5&amp;sourceID=14","4.5")</f>
        <v>4.5</v>
      </c>
      <c r="G3839" s="4" t="str">
        <f>HYPERLINK("http://141.218.60.56/~jnz1568/getInfo.php?workbook=12_05.xlsx&amp;sheet=U0&amp;row=3839&amp;col=7&amp;number=0.000707&amp;sourceID=14","0.000707")</f>
        <v>0.000707</v>
      </c>
    </row>
    <row r="3840" spans="1:7">
      <c r="A3840" s="3"/>
      <c r="B3840" s="3"/>
      <c r="C3840" s="3"/>
      <c r="D3840" s="3"/>
      <c r="E3840" s="3">
        <v>17</v>
      </c>
      <c r="F3840" s="4" t="str">
        <f>HYPERLINK("http://141.218.60.56/~jnz1568/getInfo.php?workbook=12_05.xlsx&amp;sheet=U0&amp;row=3840&amp;col=6&amp;number=4.6&amp;sourceID=14","4.6")</f>
        <v>4.6</v>
      </c>
      <c r="G3840" s="4" t="str">
        <f>HYPERLINK("http://141.218.60.56/~jnz1568/getInfo.php?workbook=12_05.xlsx&amp;sheet=U0&amp;row=3840&amp;col=7&amp;number=0.000706&amp;sourceID=14","0.000706")</f>
        <v>0.000706</v>
      </c>
    </row>
    <row r="3841" spans="1:7">
      <c r="A3841" s="3"/>
      <c r="B3841" s="3"/>
      <c r="C3841" s="3"/>
      <c r="D3841" s="3"/>
      <c r="E3841" s="3">
        <v>18</v>
      </c>
      <c r="F3841" s="4" t="str">
        <f>HYPERLINK("http://141.218.60.56/~jnz1568/getInfo.php?workbook=12_05.xlsx&amp;sheet=U0&amp;row=3841&amp;col=6&amp;number=4.7&amp;sourceID=14","4.7")</f>
        <v>4.7</v>
      </c>
      <c r="G3841" s="4" t="str">
        <f>HYPERLINK("http://141.218.60.56/~jnz1568/getInfo.php?workbook=12_05.xlsx&amp;sheet=U0&amp;row=3841&amp;col=7&amp;number=0.000704&amp;sourceID=14","0.000704")</f>
        <v>0.000704</v>
      </c>
    </row>
    <row r="3842" spans="1:7">
      <c r="A3842" s="3"/>
      <c r="B3842" s="3"/>
      <c r="C3842" s="3"/>
      <c r="D3842" s="3"/>
      <c r="E3842" s="3">
        <v>19</v>
      </c>
      <c r="F3842" s="4" t="str">
        <f>HYPERLINK("http://141.218.60.56/~jnz1568/getInfo.php?workbook=12_05.xlsx&amp;sheet=U0&amp;row=3842&amp;col=6&amp;number=4.8&amp;sourceID=14","4.8")</f>
        <v>4.8</v>
      </c>
      <c r="G3842" s="4" t="str">
        <f>HYPERLINK("http://141.218.60.56/~jnz1568/getInfo.php?workbook=12_05.xlsx&amp;sheet=U0&amp;row=3842&amp;col=7&amp;number=0.000701&amp;sourceID=14","0.000701")</f>
        <v>0.000701</v>
      </c>
    </row>
    <row r="3843" spans="1:7">
      <c r="A3843" s="3"/>
      <c r="B3843" s="3"/>
      <c r="C3843" s="3"/>
      <c r="D3843" s="3"/>
      <c r="E3843" s="3">
        <v>20</v>
      </c>
      <c r="F3843" s="4" t="str">
        <f>HYPERLINK("http://141.218.60.56/~jnz1568/getInfo.php?workbook=12_05.xlsx&amp;sheet=U0&amp;row=3843&amp;col=6&amp;number=4.9&amp;sourceID=14","4.9")</f>
        <v>4.9</v>
      </c>
      <c r="G3843" s="4" t="str">
        <f>HYPERLINK("http://141.218.60.56/~jnz1568/getInfo.php?workbook=12_05.xlsx&amp;sheet=U0&amp;row=3843&amp;col=7&amp;number=0.000699&amp;sourceID=14","0.000699")</f>
        <v>0.000699</v>
      </c>
    </row>
    <row r="3844" spans="1:7">
      <c r="A3844" s="3">
        <v>12</v>
      </c>
      <c r="B3844" s="3">
        <v>5</v>
      </c>
      <c r="C3844" s="3">
        <v>2</v>
      </c>
      <c r="D3844" s="3">
        <v>45</v>
      </c>
      <c r="E3844" s="3">
        <v>1</v>
      </c>
      <c r="F3844" s="4" t="str">
        <f>HYPERLINK("http://141.218.60.56/~jnz1568/getInfo.php?workbook=12_05.xlsx&amp;sheet=U0&amp;row=3844&amp;col=6&amp;number=3&amp;sourceID=14","3")</f>
        <v>3</v>
      </c>
      <c r="G3844" s="4" t="str">
        <f>HYPERLINK("http://141.218.60.56/~jnz1568/getInfo.php?workbook=12_05.xlsx&amp;sheet=U0&amp;row=3844&amp;col=7&amp;number=0.000349&amp;sourceID=14","0.000349")</f>
        <v>0.000349</v>
      </c>
    </row>
    <row r="3845" spans="1:7">
      <c r="A3845" s="3"/>
      <c r="B3845" s="3"/>
      <c r="C3845" s="3"/>
      <c r="D3845" s="3"/>
      <c r="E3845" s="3">
        <v>2</v>
      </c>
      <c r="F3845" s="4" t="str">
        <f>HYPERLINK("http://141.218.60.56/~jnz1568/getInfo.php?workbook=12_05.xlsx&amp;sheet=U0&amp;row=3845&amp;col=6&amp;number=3.1&amp;sourceID=14","3.1")</f>
        <v>3.1</v>
      </c>
      <c r="G3845" s="4" t="str">
        <f>HYPERLINK("http://141.218.60.56/~jnz1568/getInfo.php?workbook=12_05.xlsx&amp;sheet=U0&amp;row=3845&amp;col=7&amp;number=0.000349&amp;sourceID=14","0.000349")</f>
        <v>0.000349</v>
      </c>
    </row>
    <row r="3846" spans="1:7">
      <c r="A3846" s="3"/>
      <c r="B3846" s="3"/>
      <c r="C3846" s="3"/>
      <c r="D3846" s="3"/>
      <c r="E3846" s="3">
        <v>3</v>
      </c>
      <c r="F3846" s="4" t="str">
        <f>HYPERLINK("http://141.218.60.56/~jnz1568/getInfo.php?workbook=12_05.xlsx&amp;sheet=U0&amp;row=3846&amp;col=6&amp;number=3.2&amp;sourceID=14","3.2")</f>
        <v>3.2</v>
      </c>
      <c r="G3846" s="4" t="str">
        <f>HYPERLINK("http://141.218.60.56/~jnz1568/getInfo.php?workbook=12_05.xlsx&amp;sheet=U0&amp;row=3846&amp;col=7&amp;number=0.000349&amp;sourceID=14","0.000349")</f>
        <v>0.000349</v>
      </c>
    </row>
    <row r="3847" spans="1:7">
      <c r="A3847" s="3"/>
      <c r="B3847" s="3"/>
      <c r="C3847" s="3"/>
      <c r="D3847" s="3"/>
      <c r="E3847" s="3">
        <v>4</v>
      </c>
      <c r="F3847" s="4" t="str">
        <f>HYPERLINK("http://141.218.60.56/~jnz1568/getInfo.php?workbook=12_05.xlsx&amp;sheet=U0&amp;row=3847&amp;col=6&amp;number=3.3&amp;sourceID=14","3.3")</f>
        <v>3.3</v>
      </c>
      <c r="G3847" s="4" t="str">
        <f>HYPERLINK("http://141.218.60.56/~jnz1568/getInfo.php?workbook=12_05.xlsx&amp;sheet=U0&amp;row=3847&amp;col=7&amp;number=0.000349&amp;sourceID=14","0.000349")</f>
        <v>0.000349</v>
      </c>
    </row>
    <row r="3848" spans="1:7">
      <c r="A3848" s="3"/>
      <c r="B3848" s="3"/>
      <c r="C3848" s="3"/>
      <c r="D3848" s="3"/>
      <c r="E3848" s="3">
        <v>5</v>
      </c>
      <c r="F3848" s="4" t="str">
        <f>HYPERLINK("http://141.218.60.56/~jnz1568/getInfo.php?workbook=12_05.xlsx&amp;sheet=U0&amp;row=3848&amp;col=6&amp;number=3.4&amp;sourceID=14","3.4")</f>
        <v>3.4</v>
      </c>
      <c r="G3848" s="4" t="str">
        <f>HYPERLINK("http://141.218.60.56/~jnz1568/getInfo.php?workbook=12_05.xlsx&amp;sheet=U0&amp;row=3848&amp;col=7&amp;number=0.000349&amp;sourceID=14","0.000349")</f>
        <v>0.000349</v>
      </c>
    </row>
    <row r="3849" spans="1:7">
      <c r="A3849" s="3"/>
      <c r="B3849" s="3"/>
      <c r="C3849" s="3"/>
      <c r="D3849" s="3"/>
      <c r="E3849" s="3">
        <v>6</v>
      </c>
      <c r="F3849" s="4" t="str">
        <f>HYPERLINK("http://141.218.60.56/~jnz1568/getInfo.php?workbook=12_05.xlsx&amp;sheet=U0&amp;row=3849&amp;col=6&amp;number=3.5&amp;sourceID=14","3.5")</f>
        <v>3.5</v>
      </c>
      <c r="G3849" s="4" t="str">
        <f>HYPERLINK("http://141.218.60.56/~jnz1568/getInfo.php?workbook=12_05.xlsx&amp;sheet=U0&amp;row=3849&amp;col=7&amp;number=0.000348&amp;sourceID=14","0.000348")</f>
        <v>0.000348</v>
      </c>
    </row>
    <row r="3850" spans="1:7">
      <c r="A3850" s="3"/>
      <c r="B3850" s="3"/>
      <c r="C3850" s="3"/>
      <c r="D3850" s="3"/>
      <c r="E3850" s="3">
        <v>7</v>
      </c>
      <c r="F3850" s="4" t="str">
        <f>HYPERLINK("http://141.218.60.56/~jnz1568/getInfo.php?workbook=12_05.xlsx&amp;sheet=U0&amp;row=3850&amp;col=6&amp;number=3.6&amp;sourceID=14","3.6")</f>
        <v>3.6</v>
      </c>
      <c r="G3850" s="4" t="str">
        <f>HYPERLINK("http://141.218.60.56/~jnz1568/getInfo.php?workbook=12_05.xlsx&amp;sheet=U0&amp;row=3850&amp;col=7&amp;number=0.000348&amp;sourceID=14","0.000348")</f>
        <v>0.000348</v>
      </c>
    </row>
    <row r="3851" spans="1:7">
      <c r="A3851" s="3"/>
      <c r="B3851" s="3"/>
      <c r="C3851" s="3"/>
      <c r="D3851" s="3"/>
      <c r="E3851" s="3">
        <v>8</v>
      </c>
      <c r="F3851" s="4" t="str">
        <f>HYPERLINK("http://141.218.60.56/~jnz1568/getInfo.php?workbook=12_05.xlsx&amp;sheet=U0&amp;row=3851&amp;col=6&amp;number=3.7&amp;sourceID=14","3.7")</f>
        <v>3.7</v>
      </c>
      <c r="G3851" s="4" t="str">
        <f>HYPERLINK("http://141.218.60.56/~jnz1568/getInfo.php?workbook=12_05.xlsx&amp;sheet=U0&amp;row=3851&amp;col=7&amp;number=0.000348&amp;sourceID=14","0.000348")</f>
        <v>0.000348</v>
      </c>
    </row>
    <row r="3852" spans="1:7">
      <c r="A3852" s="3"/>
      <c r="B3852" s="3"/>
      <c r="C3852" s="3"/>
      <c r="D3852" s="3"/>
      <c r="E3852" s="3">
        <v>9</v>
      </c>
      <c r="F3852" s="4" t="str">
        <f>HYPERLINK("http://141.218.60.56/~jnz1568/getInfo.php?workbook=12_05.xlsx&amp;sheet=U0&amp;row=3852&amp;col=6&amp;number=3.8&amp;sourceID=14","3.8")</f>
        <v>3.8</v>
      </c>
      <c r="G3852" s="4" t="str">
        <f>HYPERLINK("http://141.218.60.56/~jnz1568/getInfo.php?workbook=12_05.xlsx&amp;sheet=U0&amp;row=3852&amp;col=7&amp;number=0.000347&amp;sourceID=14","0.000347")</f>
        <v>0.000347</v>
      </c>
    </row>
    <row r="3853" spans="1:7">
      <c r="A3853" s="3"/>
      <c r="B3853" s="3"/>
      <c r="C3853" s="3"/>
      <c r="D3853" s="3"/>
      <c r="E3853" s="3">
        <v>10</v>
      </c>
      <c r="F3853" s="4" t="str">
        <f>HYPERLINK("http://141.218.60.56/~jnz1568/getInfo.php?workbook=12_05.xlsx&amp;sheet=U0&amp;row=3853&amp;col=6&amp;number=3.9&amp;sourceID=14","3.9")</f>
        <v>3.9</v>
      </c>
      <c r="G3853" s="4" t="str">
        <f>HYPERLINK("http://141.218.60.56/~jnz1568/getInfo.php?workbook=12_05.xlsx&amp;sheet=U0&amp;row=3853&amp;col=7&amp;number=0.000347&amp;sourceID=14","0.000347")</f>
        <v>0.000347</v>
      </c>
    </row>
    <row r="3854" spans="1:7">
      <c r="A3854" s="3"/>
      <c r="B3854" s="3"/>
      <c r="C3854" s="3"/>
      <c r="D3854" s="3"/>
      <c r="E3854" s="3">
        <v>11</v>
      </c>
      <c r="F3854" s="4" t="str">
        <f>HYPERLINK("http://141.218.60.56/~jnz1568/getInfo.php?workbook=12_05.xlsx&amp;sheet=U0&amp;row=3854&amp;col=6&amp;number=4&amp;sourceID=14","4")</f>
        <v>4</v>
      </c>
      <c r="G3854" s="4" t="str">
        <f>HYPERLINK("http://141.218.60.56/~jnz1568/getInfo.php?workbook=12_05.xlsx&amp;sheet=U0&amp;row=3854&amp;col=7&amp;number=0.000346&amp;sourceID=14","0.000346")</f>
        <v>0.000346</v>
      </c>
    </row>
    <row r="3855" spans="1:7">
      <c r="A3855" s="3"/>
      <c r="B3855" s="3"/>
      <c r="C3855" s="3"/>
      <c r="D3855" s="3"/>
      <c r="E3855" s="3">
        <v>12</v>
      </c>
      <c r="F3855" s="4" t="str">
        <f>HYPERLINK("http://141.218.60.56/~jnz1568/getInfo.php?workbook=12_05.xlsx&amp;sheet=U0&amp;row=3855&amp;col=6&amp;number=4.1&amp;sourceID=14","4.1")</f>
        <v>4.1</v>
      </c>
      <c r="G3855" s="4" t="str">
        <f>HYPERLINK("http://141.218.60.56/~jnz1568/getInfo.php?workbook=12_05.xlsx&amp;sheet=U0&amp;row=3855&amp;col=7&amp;number=0.000345&amp;sourceID=14","0.000345")</f>
        <v>0.000345</v>
      </c>
    </row>
    <row r="3856" spans="1:7">
      <c r="A3856" s="3"/>
      <c r="B3856" s="3"/>
      <c r="C3856" s="3"/>
      <c r="D3856" s="3"/>
      <c r="E3856" s="3">
        <v>13</v>
      </c>
      <c r="F3856" s="4" t="str">
        <f>HYPERLINK("http://141.218.60.56/~jnz1568/getInfo.php?workbook=12_05.xlsx&amp;sheet=U0&amp;row=3856&amp;col=6&amp;number=4.2&amp;sourceID=14","4.2")</f>
        <v>4.2</v>
      </c>
      <c r="G3856" s="4" t="str">
        <f>HYPERLINK("http://141.218.60.56/~jnz1568/getInfo.php?workbook=12_05.xlsx&amp;sheet=U0&amp;row=3856&amp;col=7&amp;number=0.000344&amp;sourceID=14","0.000344")</f>
        <v>0.000344</v>
      </c>
    </row>
    <row r="3857" spans="1:7">
      <c r="A3857" s="3"/>
      <c r="B3857" s="3"/>
      <c r="C3857" s="3"/>
      <c r="D3857" s="3"/>
      <c r="E3857" s="3">
        <v>14</v>
      </c>
      <c r="F3857" s="4" t="str">
        <f>HYPERLINK("http://141.218.60.56/~jnz1568/getInfo.php?workbook=12_05.xlsx&amp;sheet=U0&amp;row=3857&amp;col=6&amp;number=4.3&amp;sourceID=14","4.3")</f>
        <v>4.3</v>
      </c>
      <c r="G3857" s="4" t="str">
        <f>HYPERLINK("http://141.218.60.56/~jnz1568/getInfo.php?workbook=12_05.xlsx&amp;sheet=U0&amp;row=3857&amp;col=7&amp;number=0.000342&amp;sourceID=14","0.000342")</f>
        <v>0.000342</v>
      </c>
    </row>
    <row r="3858" spans="1:7">
      <c r="A3858" s="3"/>
      <c r="B3858" s="3"/>
      <c r="C3858" s="3"/>
      <c r="D3858" s="3"/>
      <c r="E3858" s="3">
        <v>15</v>
      </c>
      <c r="F3858" s="4" t="str">
        <f>HYPERLINK("http://141.218.60.56/~jnz1568/getInfo.php?workbook=12_05.xlsx&amp;sheet=U0&amp;row=3858&amp;col=6&amp;number=4.4&amp;sourceID=14","4.4")</f>
        <v>4.4</v>
      </c>
      <c r="G3858" s="4" t="str">
        <f>HYPERLINK("http://141.218.60.56/~jnz1568/getInfo.php?workbook=12_05.xlsx&amp;sheet=U0&amp;row=3858&amp;col=7&amp;number=0.00034&amp;sourceID=14","0.00034")</f>
        <v>0.00034</v>
      </c>
    </row>
    <row r="3859" spans="1:7">
      <c r="A3859" s="3"/>
      <c r="B3859" s="3"/>
      <c r="C3859" s="3"/>
      <c r="D3859" s="3"/>
      <c r="E3859" s="3">
        <v>16</v>
      </c>
      <c r="F3859" s="4" t="str">
        <f>HYPERLINK("http://141.218.60.56/~jnz1568/getInfo.php?workbook=12_05.xlsx&amp;sheet=U0&amp;row=3859&amp;col=6&amp;number=4.5&amp;sourceID=14","4.5")</f>
        <v>4.5</v>
      </c>
      <c r="G3859" s="4" t="str">
        <f>HYPERLINK("http://141.218.60.56/~jnz1568/getInfo.php?workbook=12_05.xlsx&amp;sheet=U0&amp;row=3859&amp;col=7&amp;number=0.000338&amp;sourceID=14","0.000338")</f>
        <v>0.000338</v>
      </c>
    </row>
    <row r="3860" spans="1:7">
      <c r="A3860" s="3"/>
      <c r="B3860" s="3"/>
      <c r="C3860" s="3"/>
      <c r="D3860" s="3"/>
      <c r="E3860" s="3">
        <v>17</v>
      </c>
      <c r="F3860" s="4" t="str">
        <f>HYPERLINK("http://141.218.60.56/~jnz1568/getInfo.php?workbook=12_05.xlsx&amp;sheet=U0&amp;row=3860&amp;col=6&amp;number=4.6&amp;sourceID=14","4.6")</f>
        <v>4.6</v>
      </c>
      <c r="G3860" s="4" t="str">
        <f>HYPERLINK("http://141.218.60.56/~jnz1568/getInfo.php?workbook=12_05.xlsx&amp;sheet=U0&amp;row=3860&amp;col=7&amp;number=0.000335&amp;sourceID=14","0.000335")</f>
        <v>0.000335</v>
      </c>
    </row>
    <row r="3861" spans="1:7">
      <c r="A3861" s="3"/>
      <c r="B3861" s="3"/>
      <c r="C3861" s="3"/>
      <c r="D3861" s="3"/>
      <c r="E3861" s="3">
        <v>18</v>
      </c>
      <c r="F3861" s="4" t="str">
        <f>HYPERLINK("http://141.218.60.56/~jnz1568/getInfo.php?workbook=12_05.xlsx&amp;sheet=U0&amp;row=3861&amp;col=6&amp;number=4.7&amp;sourceID=14","4.7")</f>
        <v>4.7</v>
      </c>
      <c r="G3861" s="4" t="str">
        <f>HYPERLINK("http://141.218.60.56/~jnz1568/getInfo.php?workbook=12_05.xlsx&amp;sheet=U0&amp;row=3861&amp;col=7&amp;number=0.000331&amp;sourceID=14","0.000331")</f>
        <v>0.000331</v>
      </c>
    </row>
    <row r="3862" spans="1:7">
      <c r="A3862" s="3"/>
      <c r="B3862" s="3"/>
      <c r="C3862" s="3"/>
      <c r="D3862" s="3"/>
      <c r="E3862" s="3">
        <v>19</v>
      </c>
      <c r="F3862" s="4" t="str">
        <f>HYPERLINK("http://141.218.60.56/~jnz1568/getInfo.php?workbook=12_05.xlsx&amp;sheet=U0&amp;row=3862&amp;col=6&amp;number=4.8&amp;sourceID=14","4.8")</f>
        <v>4.8</v>
      </c>
      <c r="G3862" s="4" t="str">
        <f>HYPERLINK("http://141.218.60.56/~jnz1568/getInfo.php?workbook=12_05.xlsx&amp;sheet=U0&amp;row=3862&amp;col=7&amp;number=0.000326&amp;sourceID=14","0.000326")</f>
        <v>0.000326</v>
      </c>
    </row>
    <row r="3863" spans="1:7">
      <c r="A3863" s="3"/>
      <c r="B3863" s="3"/>
      <c r="C3863" s="3"/>
      <c r="D3863" s="3"/>
      <c r="E3863" s="3">
        <v>20</v>
      </c>
      <c r="F3863" s="4" t="str">
        <f>HYPERLINK("http://141.218.60.56/~jnz1568/getInfo.php?workbook=12_05.xlsx&amp;sheet=U0&amp;row=3863&amp;col=6&amp;number=4.9&amp;sourceID=14","4.9")</f>
        <v>4.9</v>
      </c>
      <c r="G3863" s="4" t="str">
        <f>HYPERLINK("http://141.218.60.56/~jnz1568/getInfo.php?workbook=12_05.xlsx&amp;sheet=U0&amp;row=3863&amp;col=7&amp;number=0.000321&amp;sourceID=14","0.000321")</f>
        <v>0.000321</v>
      </c>
    </row>
    <row r="3864" spans="1:7">
      <c r="A3864" s="3">
        <v>12</v>
      </c>
      <c r="B3864" s="3">
        <v>5</v>
      </c>
      <c r="C3864" s="3">
        <v>2</v>
      </c>
      <c r="D3864" s="3">
        <v>46</v>
      </c>
      <c r="E3864" s="3">
        <v>1</v>
      </c>
      <c r="F3864" s="4" t="str">
        <f>HYPERLINK("http://141.218.60.56/~jnz1568/getInfo.php?workbook=12_05.xlsx&amp;sheet=U0&amp;row=3864&amp;col=6&amp;number=3&amp;sourceID=14","3")</f>
        <v>3</v>
      </c>
      <c r="G3864" s="4" t="str">
        <f>HYPERLINK("http://141.218.60.56/~jnz1568/getInfo.php?workbook=12_05.xlsx&amp;sheet=U0&amp;row=3864&amp;col=7&amp;number=0.00102&amp;sourceID=14","0.00102")</f>
        <v>0.00102</v>
      </c>
    </row>
    <row r="3865" spans="1:7">
      <c r="A3865" s="3"/>
      <c r="B3865" s="3"/>
      <c r="C3865" s="3"/>
      <c r="D3865" s="3"/>
      <c r="E3865" s="3">
        <v>2</v>
      </c>
      <c r="F3865" s="4" t="str">
        <f>HYPERLINK("http://141.218.60.56/~jnz1568/getInfo.php?workbook=12_05.xlsx&amp;sheet=U0&amp;row=3865&amp;col=6&amp;number=3.1&amp;sourceID=14","3.1")</f>
        <v>3.1</v>
      </c>
      <c r="G3865" s="4" t="str">
        <f>HYPERLINK("http://141.218.60.56/~jnz1568/getInfo.php?workbook=12_05.xlsx&amp;sheet=U0&amp;row=3865&amp;col=7&amp;number=0.00102&amp;sourceID=14","0.00102")</f>
        <v>0.00102</v>
      </c>
    </row>
    <row r="3866" spans="1:7">
      <c r="A3866" s="3"/>
      <c r="B3866" s="3"/>
      <c r="C3866" s="3"/>
      <c r="D3866" s="3"/>
      <c r="E3866" s="3">
        <v>3</v>
      </c>
      <c r="F3866" s="4" t="str">
        <f>HYPERLINK("http://141.218.60.56/~jnz1568/getInfo.php?workbook=12_05.xlsx&amp;sheet=U0&amp;row=3866&amp;col=6&amp;number=3.2&amp;sourceID=14","3.2")</f>
        <v>3.2</v>
      </c>
      <c r="G3866" s="4" t="str">
        <f>HYPERLINK("http://141.218.60.56/~jnz1568/getInfo.php?workbook=12_05.xlsx&amp;sheet=U0&amp;row=3866&amp;col=7&amp;number=0.00102&amp;sourceID=14","0.00102")</f>
        <v>0.00102</v>
      </c>
    </row>
    <row r="3867" spans="1:7">
      <c r="A3867" s="3"/>
      <c r="B3867" s="3"/>
      <c r="C3867" s="3"/>
      <c r="D3867" s="3"/>
      <c r="E3867" s="3">
        <v>4</v>
      </c>
      <c r="F3867" s="4" t="str">
        <f>HYPERLINK("http://141.218.60.56/~jnz1568/getInfo.php?workbook=12_05.xlsx&amp;sheet=U0&amp;row=3867&amp;col=6&amp;number=3.3&amp;sourceID=14","3.3")</f>
        <v>3.3</v>
      </c>
      <c r="G3867" s="4" t="str">
        <f>HYPERLINK("http://141.218.60.56/~jnz1568/getInfo.php?workbook=12_05.xlsx&amp;sheet=U0&amp;row=3867&amp;col=7&amp;number=0.00102&amp;sourceID=14","0.00102")</f>
        <v>0.00102</v>
      </c>
    </row>
    <row r="3868" spans="1:7">
      <c r="A3868" s="3"/>
      <c r="B3868" s="3"/>
      <c r="C3868" s="3"/>
      <c r="D3868" s="3"/>
      <c r="E3868" s="3">
        <v>5</v>
      </c>
      <c r="F3868" s="4" t="str">
        <f>HYPERLINK("http://141.218.60.56/~jnz1568/getInfo.php?workbook=12_05.xlsx&amp;sheet=U0&amp;row=3868&amp;col=6&amp;number=3.4&amp;sourceID=14","3.4")</f>
        <v>3.4</v>
      </c>
      <c r="G3868" s="4" t="str">
        <f>HYPERLINK("http://141.218.60.56/~jnz1568/getInfo.php?workbook=12_05.xlsx&amp;sheet=U0&amp;row=3868&amp;col=7&amp;number=0.00102&amp;sourceID=14","0.00102")</f>
        <v>0.00102</v>
      </c>
    </row>
    <row r="3869" spans="1:7">
      <c r="A3869" s="3"/>
      <c r="B3869" s="3"/>
      <c r="C3869" s="3"/>
      <c r="D3869" s="3"/>
      <c r="E3869" s="3">
        <v>6</v>
      </c>
      <c r="F3869" s="4" t="str">
        <f>HYPERLINK("http://141.218.60.56/~jnz1568/getInfo.php?workbook=12_05.xlsx&amp;sheet=U0&amp;row=3869&amp;col=6&amp;number=3.5&amp;sourceID=14","3.5")</f>
        <v>3.5</v>
      </c>
      <c r="G3869" s="4" t="str">
        <f>HYPERLINK("http://141.218.60.56/~jnz1568/getInfo.php?workbook=12_05.xlsx&amp;sheet=U0&amp;row=3869&amp;col=7&amp;number=0.00102&amp;sourceID=14","0.00102")</f>
        <v>0.00102</v>
      </c>
    </row>
    <row r="3870" spans="1:7">
      <c r="A3870" s="3"/>
      <c r="B3870" s="3"/>
      <c r="C3870" s="3"/>
      <c r="D3870" s="3"/>
      <c r="E3870" s="3">
        <v>7</v>
      </c>
      <c r="F3870" s="4" t="str">
        <f>HYPERLINK("http://141.218.60.56/~jnz1568/getInfo.php?workbook=12_05.xlsx&amp;sheet=U0&amp;row=3870&amp;col=6&amp;number=3.6&amp;sourceID=14","3.6")</f>
        <v>3.6</v>
      </c>
      <c r="G3870" s="4" t="str">
        <f>HYPERLINK("http://141.218.60.56/~jnz1568/getInfo.php?workbook=12_05.xlsx&amp;sheet=U0&amp;row=3870&amp;col=7&amp;number=0.00102&amp;sourceID=14","0.00102")</f>
        <v>0.00102</v>
      </c>
    </row>
    <row r="3871" spans="1:7">
      <c r="A3871" s="3"/>
      <c r="B3871" s="3"/>
      <c r="C3871" s="3"/>
      <c r="D3871" s="3"/>
      <c r="E3871" s="3">
        <v>8</v>
      </c>
      <c r="F3871" s="4" t="str">
        <f>HYPERLINK("http://141.218.60.56/~jnz1568/getInfo.php?workbook=12_05.xlsx&amp;sheet=U0&amp;row=3871&amp;col=6&amp;number=3.7&amp;sourceID=14","3.7")</f>
        <v>3.7</v>
      </c>
      <c r="G3871" s="4" t="str">
        <f>HYPERLINK("http://141.218.60.56/~jnz1568/getInfo.php?workbook=12_05.xlsx&amp;sheet=U0&amp;row=3871&amp;col=7&amp;number=0.00102&amp;sourceID=14","0.00102")</f>
        <v>0.00102</v>
      </c>
    </row>
    <row r="3872" spans="1:7">
      <c r="A3872" s="3"/>
      <c r="B3872" s="3"/>
      <c r="C3872" s="3"/>
      <c r="D3872" s="3"/>
      <c r="E3872" s="3">
        <v>9</v>
      </c>
      <c r="F3872" s="4" t="str">
        <f>HYPERLINK("http://141.218.60.56/~jnz1568/getInfo.php?workbook=12_05.xlsx&amp;sheet=U0&amp;row=3872&amp;col=6&amp;number=3.8&amp;sourceID=14","3.8")</f>
        <v>3.8</v>
      </c>
      <c r="G3872" s="4" t="str">
        <f>HYPERLINK("http://141.218.60.56/~jnz1568/getInfo.php?workbook=12_05.xlsx&amp;sheet=U0&amp;row=3872&amp;col=7&amp;number=0.00102&amp;sourceID=14","0.00102")</f>
        <v>0.00102</v>
      </c>
    </row>
    <row r="3873" spans="1:7">
      <c r="A3873" s="3"/>
      <c r="B3873" s="3"/>
      <c r="C3873" s="3"/>
      <c r="D3873" s="3"/>
      <c r="E3873" s="3">
        <v>10</v>
      </c>
      <c r="F3873" s="4" t="str">
        <f>HYPERLINK("http://141.218.60.56/~jnz1568/getInfo.php?workbook=12_05.xlsx&amp;sheet=U0&amp;row=3873&amp;col=6&amp;number=3.9&amp;sourceID=14","3.9")</f>
        <v>3.9</v>
      </c>
      <c r="G3873" s="4" t="str">
        <f>HYPERLINK("http://141.218.60.56/~jnz1568/getInfo.php?workbook=12_05.xlsx&amp;sheet=U0&amp;row=3873&amp;col=7&amp;number=0.00102&amp;sourceID=14","0.00102")</f>
        <v>0.00102</v>
      </c>
    </row>
    <row r="3874" spans="1:7">
      <c r="A3874" s="3"/>
      <c r="B3874" s="3"/>
      <c r="C3874" s="3"/>
      <c r="D3874" s="3"/>
      <c r="E3874" s="3">
        <v>11</v>
      </c>
      <c r="F3874" s="4" t="str">
        <f>HYPERLINK("http://141.218.60.56/~jnz1568/getInfo.php?workbook=12_05.xlsx&amp;sheet=U0&amp;row=3874&amp;col=6&amp;number=4&amp;sourceID=14","4")</f>
        <v>4</v>
      </c>
      <c r="G3874" s="4" t="str">
        <f>HYPERLINK("http://141.218.60.56/~jnz1568/getInfo.php?workbook=12_05.xlsx&amp;sheet=U0&amp;row=3874&amp;col=7&amp;number=0.00102&amp;sourceID=14","0.00102")</f>
        <v>0.00102</v>
      </c>
    </row>
    <row r="3875" spans="1:7">
      <c r="A3875" s="3"/>
      <c r="B3875" s="3"/>
      <c r="C3875" s="3"/>
      <c r="D3875" s="3"/>
      <c r="E3875" s="3">
        <v>12</v>
      </c>
      <c r="F3875" s="4" t="str">
        <f>HYPERLINK("http://141.218.60.56/~jnz1568/getInfo.php?workbook=12_05.xlsx&amp;sheet=U0&amp;row=3875&amp;col=6&amp;number=4.1&amp;sourceID=14","4.1")</f>
        <v>4.1</v>
      </c>
      <c r="G3875" s="4" t="str">
        <f>HYPERLINK("http://141.218.60.56/~jnz1568/getInfo.php?workbook=12_05.xlsx&amp;sheet=U0&amp;row=3875&amp;col=7&amp;number=0.00102&amp;sourceID=14","0.00102")</f>
        <v>0.00102</v>
      </c>
    </row>
    <row r="3876" spans="1:7">
      <c r="A3876" s="3"/>
      <c r="B3876" s="3"/>
      <c r="C3876" s="3"/>
      <c r="D3876" s="3"/>
      <c r="E3876" s="3">
        <v>13</v>
      </c>
      <c r="F3876" s="4" t="str">
        <f>HYPERLINK("http://141.218.60.56/~jnz1568/getInfo.php?workbook=12_05.xlsx&amp;sheet=U0&amp;row=3876&amp;col=6&amp;number=4.2&amp;sourceID=14","4.2")</f>
        <v>4.2</v>
      </c>
      <c r="G3876" s="4" t="str">
        <f>HYPERLINK("http://141.218.60.56/~jnz1568/getInfo.php?workbook=12_05.xlsx&amp;sheet=U0&amp;row=3876&amp;col=7&amp;number=0.00103&amp;sourceID=14","0.00103")</f>
        <v>0.00103</v>
      </c>
    </row>
    <row r="3877" spans="1:7">
      <c r="A3877" s="3"/>
      <c r="B3877" s="3"/>
      <c r="C3877" s="3"/>
      <c r="D3877" s="3"/>
      <c r="E3877" s="3">
        <v>14</v>
      </c>
      <c r="F3877" s="4" t="str">
        <f>HYPERLINK("http://141.218.60.56/~jnz1568/getInfo.php?workbook=12_05.xlsx&amp;sheet=U0&amp;row=3877&amp;col=6&amp;number=4.3&amp;sourceID=14","4.3")</f>
        <v>4.3</v>
      </c>
      <c r="G3877" s="4" t="str">
        <f>HYPERLINK("http://141.218.60.56/~jnz1568/getInfo.php?workbook=12_05.xlsx&amp;sheet=U0&amp;row=3877&amp;col=7&amp;number=0.00103&amp;sourceID=14","0.00103")</f>
        <v>0.00103</v>
      </c>
    </row>
    <row r="3878" spans="1:7">
      <c r="A3878" s="3"/>
      <c r="B3878" s="3"/>
      <c r="C3878" s="3"/>
      <c r="D3878" s="3"/>
      <c r="E3878" s="3">
        <v>15</v>
      </c>
      <c r="F3878" s="4" t="str">
        <f>HYPERLINK("http://141.218.60.56/~jnz1568/getInfo.php?workbook=12_05.xlsx&amp;sheet=U0&amp;row=3878&amp;col=6&amp;number=4.4&amp;sourceID=14","4.4")</f>
        <v>4.4</v>
      </c>
      <c r="G3878" s="4" t="str">
        <f>HYPERLINK("http://141.218.60.56/~jnz1568/getInfo.php?workbook=12_05.xlsx&amp;sheet=U0&amp;row=3878&amp;col=7&amp;number=0.00103&amp;sourceID=14","0.00103")</f>
        <v>0.00103</v>
      </c>
    </row>
    <row r="3879" spans="1:7">
      <c r="A3879" s="3"/>
      <c r="B3879" s="3"/>
      <c r="C3879" s="3"/>
      <c r="D3879" s="3"/>
      <c r="E3879" s="3">
        <v>16</v>
      </c>
      <c r="F3879" s="4" t="str">
        <f>HYPERLINK("http://141.218.60.56/~jnz1568/getInfo.php?workbook=12_05.xlsx&amp;sheet=U0&amp;row=3879&amp;col=6&amp;number=4.5&amp;sourceID=14","4.5")</f>
        <v>4.5</v>
      </c>
      <c r="G3879" s="4" t="str">
        <f>HYPERLINK("http://141.218.60.56/~jnz1568/getInfo.php?workbook=12_05.xlsx&amp;sheet=U0&amp;row=3879&amp;col=7&amp;number=0.00103&amp;sourceID=14","0.00103")</f>
        <v>0.00103</v>
      </c>
    </row>
    <row r="3880" spans="1:7">
      <c r="A3880" s="3"/>
      <c r="B3880" s="3"/>
      <c r="C3880" s="3"/>
      <c r="D3880" s="3"/>
      <c r="E3880" s="3">
        <v>17</v>
      </c>
      <c r="F3880" s="4" t="str">
        <f>HYPERLINK("http://141.218.60.56/~jnz1568/getInfo.php?workbook=12_05.xlsx&amp;sheet=U0&amp;row=3880&amp;col=6&amp;number=4.6&amp;sourceID=14","4.6")</f>
        <v>4.6</v>
      </c>
      <c r="G3880" s="4" t="str">
        <f>HYPERLINK("http://141.218.60.56/~jnz1568/getInfo.php?workbook=12_05.xlsx&amp;sheet=U0&amp;row=3880&amp;col=7&amp;number=0.00104&amp;sourceID=14","0.00104")</f>
        <v>0.00104</v>
      </c>
    </row>
    <row r="3881" spans="1:7">
      <c r="A3881" s="3"/>
      <c r="B3881" s="3"/>
      <c r="C3881" s="3"/>
      <c r="D3881" s="3"/>
      <c r="E3881" s="3">
        <v>18</v>
      </c>
      <c r="F3881" s="4" t="str">
        <f>HYPERLINK("http://141.218.60.56/~jnz1568/getInfo.php?workbook=12_05.xlsx&amp;sheet=U0&amp;row=3881&amp;col=6&amp;number=4.7&amp;sourceID=14","4.7")</f>
        <v>4.7</v>
      </c>
      <c r="G3881" s="4" t="str">
        <f>HYPERLINK("http://141.218.60.56/~jnz1568/getInfo.php?workbook=12_05.xlsx&amp;sheet=U0&amp;row=3881&amp;col=7&amp;number=0.00104&amp;sourceID=14","0.00104")</f>
        <v>0.00104</v>
      </c>
    </row>
    <row r="3882" spans="1:7">
      <c r="A3882" s="3"/>
      <c r="B3882" s="3"/>
      <c r="C3882" s="3"/>
      <c r="D3882" s="3"/>
      <c r="E3882" s="3">
        <v>19</v>
      </c>
      <c r="F3882" s="4" t="str">
        <f>HYPERLINK("http://141.218.60.56/~jnz1568/getInfo.php?workbook=12_05.xlsx&amp;sheet=U0&amp;row=3882&amp;col=6&amp;number=4.8&amp;sourceID=14","4.8")</f>
        <v>4.8</v>
      </c>
      <c r="G3882" s="4" t="str">
        <f>HYPERLINK("http://141.218.60.56/~jnz1568/getInfo.php?workbook=12_05.xlsx&amp;sheet=U0&amp;row=3882&amp;col=7&amp;number=0.00105&amp;sourceID=14","0.00105")</f>
        <v>0.00105</v>
      </c>
    </row>
    <row r="3883" spans="1:7">
      <c r="A3883" s="3"/>
      <c r="B3883" s="3"/>
      <c r="C3883" s="3"/>
      <c r="D3883" s="3"/>
      <c r="E3883" s="3">
        <v>20</v>
      </c>
      <c r="F3883" s="4" t="str">
        <f>HYPERLINK("http://141.218.60.56/~jnz1568/getInfo.php?workbook=12_05.xlsx&amp;sheet=U0&amp;row=3883&amp;col=6&amp;number=4.9&amp;sourceID=14","4.9")</f>
        <v>4.9</v>
      </c>
      <c r="G3883" s="4" t="str">
        <f>HYPERLINK("http://141.218.60.56/~jnz1568/getInfo.php?workbook=12_05.xlsx&amp;sheet=U0&amp;row=3883&amp;col=7&amp;number=0.00106&amp;sourceID=14","0.00106")</f>
        <v>0.00106</v>
      </c>
    </row>
    <row r="3884" spans="1:7">
      <c r="A3884" s="3">
        <v>12</v>
      </c>
      <c r="B3884" s="3">
        <v>5</v>
      </c>
      <c r="C3884" s="3">
        <v>2</v>
      </c>
      <c r="D3884" s="3">
        <v>47</v>
      </c>
      <c r="E3884" s="3">
        <v>1</v>
      </c>
      <c r="F3884" s="4" t="str">
        <f>HYPERLINK("http://141.218.60.56/~jnz1568/getInfo.php?workbook=12_05.xlsx&amp;sheet=U0&amp;row=3884&amp;col=6&amp;number=3&amp;sourceID=14","3")</f>
        <v>3</v>
      </c>
      <c r="G3884" s="4" t="str">
        <f>HYPERLINK("http://141.218.60.56/~jnz1568/getInfo.php?workbook=12_05.xlsx&amp;sheet=U0&amp;row=3884&amp;col=7&amp;number=0.000687&amp;sourceID=14","0.000687")</f>
        <v>0.000687</v>
      </c>
    </row>
    <row r="3885" spans="1:7">
      <c r="A3885" s="3"/>
      <c r="B3885" s="3"/>
      <c r="C3885" s="3"/>
      <c r="D3885" s="3"/>
      <c r="E3885" s="3">
        <v>2</v>
      </c>
      <c r="F3885" s="4" t="str">
        <f>HYPERLINK("http://141.218.60.56/~jnz1568/getInfo.php?workbook=12_05.xlsx&amp;sheet=U0&amp;row=3885&amp;col=6&amp;number=3.1&amp;sourceID=14","3.1")</f>
        <v>3.1</v>
      </c>
      <c r="G3885" s="4" t="str">
        <f>HYPERLINK("http://141.218.60.56/~jnz1568/getInfo.php?workbook=12_05.xlsx&amp;sheet=U0&amp;row=3885&amp;col=7&amp;number=0.000687&amp;sourceID=14","0.000687")</f>
        <v>0.000687</v>
      </c>
    </row>
    <row r="3886" spans="1:7">
      <c r="A3886" s="3"/>
      <c r="B3886" s="3"/>
      <c r="C3886" s="3"/>
      <c r="D3886" s="3"/>
      <c r="E3886" s="3">
        <v>3</v>
      </c>
      <c r="F3886" s="4" t="str">
        <f>HYPERLINK("http://141.218.60.56/~jnz1568/getInfo.php?workbook=12_05.xlsx&amp;sheet=U0&amp;row=3886&amp;col=6&amp;number=3.2&amp;sourceID=14","3.2")</f>
        <v>3.2</v>
      </c>
      <c r="G3886" s="4" t="str">
        <f>HYPERLINK("http://141.218.60.56/~jnz1568/getInfo.php?workbook=12_05.xlsx&amp;sheet=U0&amp;row=3886&amp;col=7&amp;number=0.000687&amp;sourceID=14","0.000687")</f>
        <v>0.000687</v>
      </c>
    </row>
    <row r="3887" spans="1:7">
      <c r="A3887" s="3"/>
      <c r="B3887" s="3"/>
      <c r="C3887" s="3"/>
      <c r="D3887" s="3"/>
      <c r="E3887" s="3">
        <v>4</v>
      </c>
      <c r="F3887" s="4" t="str">
        <f>HYPERLINK("http://141.218.60.56/~jnz1568/getInfo.php?workbook=12_05.xlsx&amp;sheet=U0&amp;row=3887&amp;col=6&amp;number=3.3&amp;sourceID=14","3.3")</f>
        <v>3.3</v>
      </c>
      <c r="G3887" s="4" t="str">
        <f>HYPERLINK("http://141.218.60.56/~jnz1568/getInfo.php?workbook=12_05.xlsx&amp;sheet=U0&amp;row=3887&amp;col=7&amp;number=0.000687&amp;sourceID=14","0.000687")</f>
        <v>0.000687</v>
      </c>
    </row>
    <row r="3888" spans="1:7">
      <c r="A3888" s="3"/>
      <c r="B3888" s="3"/>
      <c r="C3888" s="3"/>
      <c r="D3888" s="3"/>
      <c r="E3888" s="3">
        <v>5</v>
      </c>
      <c r="F3888" s="4" t="str">
        <f>HYPERLINK("http://141.218.60.56/~jnz1568/getInfo.php?workbook=12_05.xlsx&amp;sheet=U0&amp;row=3888&amp;col=6&amp;number=3.4&amp;sourceID=14","3.4")</f>
        <v>3.4</v>
      </c>
      <c r="G3888" s="4" t="str">
        <f>HYPERLINK("http://141.218.60.56/~jnz1568/getInfo.php?workbook=12_05.xlsx&amp;sheet=U0&amp;row=3888&amp;col=7&amp;number=0.000687&amp;sourceID=14","0.000687")</f>
        <v>0.000687</v>
      </c>
    </row>
    <row r="3889" spans="1:7">
      <c r="A3889" s="3"/>
      <c r="B3889" s="3"/>
      <c r="C3889" s="3"/>
      <c r="D3889" s="3"/>
      <c r="E3889" s="3">
        <v>6</v>
      </c>
      <c r="F3889" s="4" t="str">
        <f>HYPERLINK("http://141.218.60.56/~jnz1568/getInfo.php?workbook=12_05.xlsx&amp;sheet=U0&amp;row=3889&amp;col=6&amp;number=3.5&amp;sourceID=14","3.5")</f>
        <v>3.5</v>
      </c>
      <c r="G3889" s="4" t="str">
        <f>HYPERLINK("http://141.218.60.56/~jnz1568/getInfo.php?workbook=12_05.xlsx&amp;sheet=U0&amp;row=3889&amp;col=7&amp;number=0.000687&amp;sourceID=14","0.000687")</f>
        <v>0.000687</v>
      </c>
    </row>
    <row r="3890" spans="1:7">
      <c r="A3890" s="3"/>
      <c r="B3890" s="3"/>
      <c r="C3890" s="3"/>
      <c r="D3890" s="3"/>
      <c r="E3890" s="3">
        <v>7</v>
      </c>
      <c r="F3890" s="4" t="str">
        <f>HYPERLINK("http://141.218.60.56/~jnz1568/getInfo.php?workbook=12_05.xlsx&amp;sheet=U0&amp;row=3890&amp;col=6&amp;number=3.6&amp;sourceID=14","3.6")</f>
        <v>3.6</v>
      </c>
      <c r="G3890" s="4" t="str">
        <f>HYPERLINK("http://141.218.60.56/~jnz1568/getInfo.php?workbook=12_05.xlsx&amp;sheet=U0&amp;row=3890&amp;col=7&amp;number=0.000687&amp;sourceID=14","0.000687")</f>
        <v>0.000687</v>
      </c>
    </row>
    <row r="3891" spans="1:7">
      <c r="A3891" s="3"/>
      <c r="B3891" s="3"/>
      <c r="C3891" s="3"/>
      <c r="D3891" s="3"/>
      <c r="E3891" s="3">
        <v>8</v>
      </c>
      <c r="F3891" s="4" t="str">
        <f>HYPERLINK("http://141.218.60.56/~jnz1568/getInfo.php?workbook=12_05.xlsx&amp;sheet=U0&amp;row=3891&amp;col=6&amp;number=3.7&amp;sourceID=14","3.7")</f>
        <v>3.7</v>
      </c>
      <c r="G3891" s="4" t="str">
        <f>HYPERLINK("http://141.218.60.56/~jnz1568/getInfo.php?workbook=12_05.xlsx&amp;sheet=U0&amp;row=3891&amp;col=7&amp;number=0.000687&amp;sourceID=14","0.000687")</f>
        <v>0.000687</v>
      </c>
    </row>
    <row r="3892" spans="1:7">
      <c r="A3892" s="3"/>
      <c r="B3892" s="3"/>
      <c r="C3892" s="3"/>
      <c r="D3892" s="3"/>
      <c r="E3892" s="3">
        <v>9</v>
      </c>
      <c r="F3892" s="4" t="str">
        <f>HYPERLINK("http://141.218.60.56/~jnz1568/getInfo.php?workbook=12_05.xlsx&amp;sheet=U0&amp;row=3892&amp;col=6&amp;number=3.8&amp;sourceID=14","3.8")</f>
        <v>3.8</v>
      </c>
      <c r="G3892" s="4" t="str">
        <f>HYPERLINK("http://141.218.60.56/~jnz1568/getInfo.php?workbook=12_05.xlsx&amp;sheet=U0&amp;row=3892&amp;col=7&amp;number=0.000687&amp;sourceID=14","0.000687")</f>
        <v>0.000687</v>
      </c>
    </row>
    <row r="3893" spans="1:7">
      <c r="A3893" s="3"/>
      <c r="B3893" s="3"/>
      <c r="C3893" s="3"/>
      <c r="D3893" s="3"/>
      <c r="E3893" s="3">
        <v>10</v>
      </c>
      <c r="F3893" s="4" t="str">
        <f>HYPERLINK("http://141.218.60.56/~jnz1568/getInfo.php?workbook=12_05.xlsx&amp;sheet=U0&amp;row=3893&amp;col=6&amp;number=3.9&amp;sourceID=14","3.9")</f>
        <v>3.9</v>
      </c>
      <c r="G3893" s="4" t="str">
        <f>HYPERLINK("http://141.218.60.56/~jnz1568/getInfo.php?workbook=12_05.xlsx&amp;sheet=U0&amp;row=3893&amp;col=7&amp;number=0.000687&amp;sourceID=14","0.000687")</f>
        <v>0.000687</v>
      </c>
    </row>
    <row r="3894" spans="1:7">
      <c r="A3894" s="3"/>
      <c r="B3894" s="3"/>
      <c r="C3894" s="3"/>
      <c r="D3894" s="3"/>
      <c r="E3894" s="3">
        <v>11</v>
      </c>
      <c r="F3894" s="4" t="str">
        <f>HYPERLINK("http://141.218.60.56/~jnz1568/getInfo.php?workbook=12_05.xlsx&amp;sheet=U0&amp;row=3894&amp;col=6&amp;number=4&amp;sourceID=14","4")</f>
        <v>4</v>
      </c>
      <c r="G3894" s="4" t="str">
        <f>HYPERLINK("http://141.218.60.56/~jnz1568/getInfo.php?workbook=12_05.xlsx&amp;sheet=U0&amp;row=3894&amp;col=7&amp;number=0.000687&amp;sourceID=14","0.000687")</f>
        <v>0.000687</v>
      </c>
    </row>
    <row r="3895" spans="1:7">
      <c r="A3895" s="3"/>
      <c r="B3895" s="3"/>
      <c r="C3895" s="3"/>
      <c r="D3895" s="3"/>
      <c r="E3895" s="3">
        <v>12</v>
      </c>
      <c r="F3895" s="4" t="str">
        <f>HYPERLINK("http://141.218.60.56/~jnz1568/getInfo.php?workbook=12_05.xlsx&amp;sheet=U0&amp;row=3895&amp;col=6&amp;number=4.1&amp;sourceID=14","4.1")</f>
        <v>4.1</v>
      </c>
      <c r="G3895" s="4" t="str">
        <f>HYPERLINK("http://141.218.60.56/~jnz1568/getInfo.php?workbook=12_05.xlsx&amp;sheet=U0&amp;row=3895&amp;col=7&amp;number=0.000687&amp;sourceID=14","0.000687")</f>
        <v>0.000687</v>
      </c>
    </row>
    <row r="3896" spans="1:7">
      <c r="A3896" s="3"/>
      <c r="B3896" s="3"/>
      <c r="C3896" s="3"/>
      <c r="D3896" s="3"/>
      <c r="E3896" s="3">
        <v>13</v>
      </c>
      <c r="F3896" s="4" t="str">
        <f>HYPERLINK("http://141.218.60.56/~jnz1568/getInfo.php?workbook=12_05.xlsx&amp;sheet=U0&amp;row=3896&amp;col=6&amp;number=4.2&amp;sourceID=14","4.2")</f>
        <v>4.2</v>
      </c>
      <c r="G3896" s="4" t="str">
        <f>HYPERLINK("http://141.218.60.56/~jnz1568/getInfo.php?workbook=12_05.xlsx&amp;sheet=U0&amp;row=3896&amp;col=7&amp;number=0.000687&amp;sourceID=14","0.000687")</f>
        <v>0.000687</v>
      </c>
    </row>
    <row r="3897" spans="1:7">
      <c r="A3897" s="3"/>
      <c r="B3897" s="3"/>
      <c r="C3897" s="3"/>
      <c r="D3897" s="3"/>
      <c r="E3897" s="3">
        <v>14</v>
      </c>
      <c r="F3897" s="4" t="str">
        <f>HYPERLINK("http://141.218.60.56/~jnz1568/getInfo.php?workbook=12_05.xlsx&amp;sheet=U0&amp;row=3897&amp;col=6&amp;number=4.3&amp;sourceID=14","4.3")</f>
        <v>4.3</v>
      </c>
      <c r="G3897" s="4" t="str">
        <f>HYPERLINK("http://141.218.60.56/~jnz1568/getInfo.php?workbook=12_05.xlsx&amp;sheet=U0&amp;row=3897&amp;col=7&amp;number=0.000688&amp;sourceID=14","0.000688")</f>
        <v>0.000688</v>
      </c>
    </row>
    <row r="3898" spans="1:7">
      <c r="A3898" s="3"/>
      <c r="B3898" s="3"/>
      <c r="C3898" s="3"/>
      <c r="D3898" s="3"/>
      <c r="E3898" s="3">
        <v>15</v>
      </c>
      <c r="F3898" s="4" t="str">
        <f>HYPERLINK("http://141.218.60.56/~jnz1568/getInfo.php?workbook=12_05.xlsx&amp;sheet=U0&amp;row=3898&amp;col=6&amp;number=4.4&amp;sourceID=14","4.4")</f>
        <v>4.4</v>
      </c>
      <c r="G3898" s="4" t="str">
        <f>HYPERLINK("http://141.218.60.56/~jnz1568/getInfo.php?workbook=12_05.xlsx&amp;sheet=U0&amp;row=3898&amp;col=7&amp;number=0.000688&amp;sourceID=14","0.000688")</f>
        <v>0.000688</v>
      </c>
    </row>
    <row r="3899" spans="1:7">
      <c r="A3899" s="3"/>
      <c r="B3899" s="3"/>
      <c r="C3899" s="3"/>
      <c r="D3899" s="3"/>
      <c r="E3899" s="3">
        <v>16</v>
      </c>
      <c r="F3899" s="4" t="str">
        <f>HYPERLINK("http://141.218.60.56/~jnz1568/getInfo.php?workbook=12_05.xlsx&amp;sheet=U0&amp;row=3899&amp;col=6&amp;number=4.5&amp;sourceID=14","4.5")</f>
        <v>4.5</v>
      </c>
      <c r="G3899" s="4" t="str">
        <f>HYPERLINK("http://141.218.60.56/~jnz1568/getInfo.php?workbook=12_05.xlsx&amp;sheet=U0&amp;row=3899&amp;col=7&amp;number=0.000688&amp;sourceID=14","0.000688")</f>
        <v>0.000688</v>
      </c>
    </row>
    <row r="3900" spans="1:7">
      <c r="A3900" s="3"/>
      <c r="B3900" s="3"/>
      <c r="C3900" s="3"/>
      <c r="D3900" s="3"/>
      <c r="E3900" s="3">
        <v>17</v>
      </c>
      <c r="F3900" s="4" t="str">
        <f>HYPERLINK("http://141.218.60.56/~jnz1568/getInfo.php?workbook=12_05.xlsx&amp;sheet=U0&amp;row=3900&amp;col=6&amp;number=4.6&amp;sourceID=14","4.6")</f>
        <v>4.6</v>
      </c>
      <c r="G3900" s="4" t="str">
        <f>HYPERLINK("http://141.218.60.56/~jnz1568/getInfo.php?workbook=12_05.xlsx&amp;sheet=U0&amp;row=3900&amp;col=7&amp;number=0.000689&amp;sourceID=14","0.000689")</f>
        <v>0.000689</v>
      </c>
    </row>
    <row r="3901" spans="1:7">
      <c r="A3901" s="3"/>
      <c r="B3901" s="3"/>
      <c r="C3901" s="3"/>
      <c r="D3901" s="3"/>
      <c r="E3901" s="3">
        <v>18</v>
      </c>
      <c r="F3901" s="4" t="str">
        <f>HYPERLINK("http://141.218.60.56/~jnz1568/getInfo.php?workbook=12_05.xlsx&amp;sheet=U0&amp;row=3901&amp;col=6&amp;number=4.7&amp;sourceID=14","4.7")</f>
        <v>4.7</v>
      </c>
      <c r="G3901" s="4" t="str">
        <f>HYPERLINK("http://141.218.60.56/~jnz1568/getInfo.php?workbook=12_05.xlsx&amp;sheet=U0&amp;row=3901&amp;col=7&amp;number=0.000689&amp;sourceID=14","0.000689")</f>
        <v>0.000689</v>
      </c>
    </row>
    <row r="3902" spans="1:7">
      <c r="A3902" s="3"/>
      <c r="B3902" s="3"/>
      <c r="C3902" s="3"/>
      <c r="D3902" s="3"/>
      <c r="E3902" s="3">
        <v>19</v>
      </c>
      <c r="F3902" s="4" t="str">
        <f>HYPERLINK("http://141.218.60.56/~jnz1568/getInfo.php?workbook=12_05.xlsx&amp;sheet=U0&amp;row=3902&amp;col=6&amp;number=4.8&amp;sourceID=14","4.8")</f>
        <v>4.8</v>
      </c>
      <c r="G3902" s="4" t="str">
        <f>HYPERLINK("http://141.218.60.56/~jnz1568/getInfo.php?workbook=12_05.xlsx&amp;sheet=U0&amp;row=3902&amp;col=7&amp;number=0.00069&amp;sourceID=14","0.00069")</f>
        <v>0.00069</v>
      </c>
    </row>
    <row r="3903" spans="1:7">
      <c r="A3903" s="3"/>
      <c r="B3903" s="3"/>
      <c r="C3903" s="3"/>
      <c r="D3903" s="3"/>
      <c r="E3903" s="3">
        <v>20</v>
      </c>
      <c r="F3903" s="4" t="str">
        <f>HYPERLINK("http://141.218.60.56/~jnz1568/getInfo.php?workbook=12_05.xlsx&amp;sheet=U0&amp;row=3903&amp;col=6&amp;number=4.9&amp;sourceID=14","4.9")</f>
        <v>4.9</v>
      </c>
      <c r="G3903" s="4" t="str">
        <f>HYPERLINK("http://141.218.60.56/~jnz1568/getInfo.php?workbook=12_05.xlsx&amp;sheet=U0&amp;row=3903&amp;col=7&amp;number=0.000691&amp;sourceID=14","0.000691")</f>
        <v>0.000691</v>
      </c>
    </row>
    <row r="3904" spans="1:7">
      <c r="A3904" s="3">
        <v>12</v>
      </c>
      <c r="B3904" s="3">
        <v>5</v>
      </c>
      <c r="C3904" s="3">
        <v>2</v>
      </c>
      <c r="D3904" s="3">
        <v>48</v>
      </c>
      <c r="E3904" s="3">
        <v>1</v>
      </c>
      <c r="F3904" s="4" t="str">
        <f>HYPERLINK("http://141.218.60.56/~jnz1568/getInfo.php?workbook=12_05.xlsx&amp;sheet=U0&amp;row=3904&amp;col=6&amp;number=3&amp;sourceID=14","3")</f>
        <v>3</v>
      </c>
      <c r="G3904" s="4" t="str">
        <f>HYPERLINK("http://141.218.60.56/~jnz1568/getInfo.php?workbook=12_05.xlsx&amp;sheet=U0&amp;row=3904&amp;col=7&amp;number=0.00341&amp;sourceID=14","0.00341")</f>
        <v>0.00341</v>
      </c>
    </row>
    <row r="3905" spans="1:7">
      <c r="A3905" s="3"/>
      <c r="B3905" s="3"/>
      <c r="C3905" s="3"/>
      <c r="D3905" s="3"/>
      <c r="E3905" s="3">
        <v>2</v>
      </c>
      <c r="F3905" s="4" t="str">
        <f>HYPERLINK("http://141.218.60.56/~jnz1568/getInfo.php?workbook=12_05.xlsx&amp;sheet=U0&amp;row=3905&amp;col=6&amp;number=3.1&amp;sourceID=14","3.1")</f>
        <v>3.1</v>
      </c>
      <c r="G3905" s="4" t="str">
        <f>HYPERLINK("http://141.218.60.56/~jnz1568/getInfo.php?workbook=12_05.xlsx&amp;sheet=U0&amp;row=3905&amp;col=7&amp;number=0.00341&amp;sourceID=14","0.00341")</f>
        <v>0.00341</v>
      </c>
    </row>
    <row r="3906" spans="1:7">
      <c r="A3906" s="3"/>
      <c r="B3906" s="3"/>
      <c r="C3906" s="3"/>
      <c r="D3906" s="3"/>
      <c r="E3906" s="3">
        <v>3</v>
      </c>
      <c r="F3906" s="4" t="str">
        <f>HYPERLINK("http://141.218.60.56/~jnz1568/getInfo.php?workbook=12_05.xlsx&amp;sheet=U0&amp;row=3906&amp;col=6&amp;number=3.2&amp;sourceID=14","3.2")</f>
        <v>3.2</v>
      </c>
      <c r="G3906" s="4" t="str">
        <f>HYPERLINK("http://141.218.60.56/~jnz1568/getInfo.php?workbook=12_05.xlsx&amp;sheet=U0&amp;row=3906&amp;col=7&amp;number=0.00342&amp;sourceID=14","0.00342")</f>
        <v>0.00342</v>
      </c>
    </row>
    <row r="3907" spans="1:7">
      <c r="A3907" s="3"/>
      <c r="B3907" s="3"/>
      <c r="C3907" s="3"/>
      <c r="D3907" s="3"/>
      <c r="E3907" s="3">
        <v>4</v>
      </c>
      <c r="F3907" s="4" t="str">
        <f>HYPERLINK("http://141.218.60.56/~jnz1568/getInfo.php?workbook=12_05.xlsx&amp;sheet=U0&amp;row=3907&amp;col=6&amp;number=3.3&amp;sourceID=14","3.3")</f>
        <v>3.3</v>
      </c>
      <c r="G3907" s="4" t="str">
        <f>HYPERLINK("http://141.218.60.56/~jnz1568/getInfo.php?workbook=12_05.xlsx&amp;sheet=U0&amp;row=3907&amp;col=7&amp;number=0.00342&amp;sourceID=14","0.00342")</f>
        <v>0.00342</v>
      </c>
    </row>
    <row r="3908" spans="1:7">
      <c r="A3908" s="3"/>
      <c r="B3908" s="3"/>
      <c r="C3908" s="3"/>
      <c r="D3908" s="3"/>
      <c r="E3908" s="3">
        <v>5</v>
      </c>
      <c r="F3908" s="4" t="str">
        <f>HYPERLINK("http://141.218.60.56/~jnz1568/getInfo.php?workbook=12_05.xlsx&amp;sheet=U0&amp;row=3908&amp;col=6&amp;number=3.4&amp;sourceID=14","3.4")</f>
        <v>3.4</v>
      </c>
      <c r="G3908" s="4" t="str">
        <f>HYPERLINK("http://141.218.60.56/~jnz1568/getInfo.php?workbook=12_05.xlsx&amp;sheet=U0&amp;row=3908&amp;col=7&amp;number=0.00342&amp;sourceID=14","0.00342")</f>
        <v>0.00342</v>
      </c>
    </row>
    <row r="3909" spans="1:7">
      <c r="A3909" s="3"/>
      <c r="B3909" s="3"/>
      <c r="C3909" s="3"/>
      <c r="D3909" s="3"/>
      <c r="E3909" s="3">
        <v>6</v>
      </c>
      <c r="F3909" s="4" t="str">
        <f>HYPERLINK("http://141.218.60.56/~jnz1568/getInfo.php?workbook=12_05.xlsx&amp;sheet=U0&amp;row=3909&amp;col=6&amp;number=3.5&amp;sourceID=14","3.5")</f>
        <v>3.5</v>
      </c>
      <c r="G3909" s="4" t="str">
        <f>HYPERLINK("http://141.218.60.56/~jnz1568/getInfo.php?workbook=12_05.xlsx&amp;sheet=U0&amp;row=3909&amp;col=7&amp;number=0.00342&amp;sourceID=14","0.00342")</f>
        <v>0.00342</v>
      </c>
    </row>
    <row r="3910" spans="1:7">
      <c r="A3910" s="3"/>
      <c r="B3910" s="3"/>
      <c r="C3910" s="3"/>
      <c r="D3910" s="3"/>
      <c r="E3910" s="3">
        <v>7</v>
      </c>
      <c r="F3910" s="4" t="str">
        <f>HYPERLINK("http://141.218.60.56/~jnz1568/getInfo.php?workbook=12_05.xlsx&amp;sheet=U0&amp;row=3910&amp;col=6&amp;number=3.6&amp;sourceID=14","3.6")</f>
        <v>3.6</v>
      </c>
      <c r="G3910" s="4" t="str">
        <f>HYPERLINK("http://141.218.60.56/~jnz1568/getInfo.php?workbook=12_05.xlsx&amp;sheet=U0&amp;row=3910&amp;col=7&amp;number=0.00342&amp;sourceID=14","0.00342")</f>
        <v>0.00342</v>
      </c>
    </row>
    <row r="3911" spans="1:7">
      <c r="A3911" s="3"/>
      <c r="B3911" s="3"/>
      <c r="C3911" s="3"/>
      <c r="D3911" s="3"/>
      <c r="E3911" s="3">
        <v>8</v>
      </c>
      <c r="F3911" s="4" t="str">
        <f>HYPERLINK("http://141.218.60.56/~jnz1568/getInfo.php?workbook=12_05.xlsx&amp;sheet=U0&amp;row=3911&amp;col=6&amp;number=3.7&amp;sourceID=14","3.7")</f>
        <v>3.7</v>
      </c>
      <c r="G3911" s="4" t="str">
        <f>HYPERLINK("http://141.218.60.56/~jnz1568/getInfo.php?workbook=12_05.xlsx&amp;sheet=U0&amp;row=3911&amp;col=7&amp;number=0.00342&amp;sourceID=14","0.00342")</f>
        <v>0.00342</v>
      </c>
    </row>
    <row r="3912" spans="1:7">
      <c r="A3912" s="3"/>
      <c r="B3912" s="3"/>
      <c r="C3912" s="3"/>
      <c r="D3912" s="3"/>
      <c r="E3912" s="3">
        <v>9</v>
      </c>
      <c r="F3912" s="4" t="str">
        <f>HYPERLINK("http://141.218.60.56/~jnz1568/getInfo.php?workbook=12_05.xlsx&amp;sheet=U0&amp;row=3912&amp;col=6&amp;number=3.8&amp;sourceID=14","3.8")</f>
        <v>3.8</v>
      </c>
      <c r="G3912" s="4" t="str">
        <f>HYPERLINK("http://141.218.60.56/~jnz1568/getInfo.php?workbook=12_05.xlsx&amp;sheet=U0&amp;row=3912&amp;col=7&amp;number=0.00342&amp;sourceID=14","0.00342")</f>
        <v>0.00342</v>
      </c>
    </row>
    <row r="3913" spans="1:7">
      <c r="A3913" s="3"/>
      <c r="B3913" s="3"/>
      <c r="C3913" s="3"/>
      <c r="D3913" s="3"/>
      <c r="E3913" s="3">
        <v>10</v>
      </c>
      <c r="F3913" s="4" t="str">
        <f>HYPERLINK("http://141.218.60.56/~jnz1568/getInfo.php?workbook=12_05.xlsx&amp;sheet=U0&amp;row=3913&amp;col=6&amp;number=3.9&amp;sourceID=14","3.9")</f>
        <v>3.9</v>
      </c>
      <c r="G3913" s="4" t="str">
        <f>HYPERLINK("http://141.218.60.56/~jnz1568/getInfo.php?workbook=12_05.xlsx&amp;sheet=U0&amp;row=3913&amp;col=7&amp;number=0.00343&amp;sourceID=14","0.00343")</f>
        <v>0.00343</v>
      </c>
    </row>
    <row r="3914" spans="1:7">
      <c r="A3914" s="3"/>
      <c r="B3914" s="3"/>
      <c r="C3914" s="3"/>
      <c r="D3914" s="3"/>
      <c r="E3914" s="3">
        <v>11</v>
      </c>
      <c r="F3914" s="4" t="str">
        <f>HYPERLINK("http://141.218.60.56/~jnz1568/getInfo.php?workbook=12_05.xlsx&amp;sheet=U0&amp;row=3914&amp;col=6&amp;number=4&amp;sourceID=14","4")</f>
        <v>4</v>
      </c>
      <c r="G3914" s="4" t="str">
        <f>HYPERLINK("http://141.218.60.56/~jnz1568/getInfo.php?workbook=12_05.xlsx&amp;sheet=U0&amp;row=3914&amp;col=7&amp;number=0.00343&amp;sourceID=14","0.00343")</f>
        <v>0.00343</v>
      </c>
    </row>
    <row r="3915" spans="1:7">
      <c r="A3915" s="3"/>
      <c r="B3915" s="3"/>
      <c r="C3915" s="3"/>
      <c r="D3915" s="3"/>
      <c r="E3915" s="3">
        <v>12</v>
      </c>
      <c r="F3915" s="4" t="str">
        <f>HYPERLINK("http://141.218.60.56/~jnz1568/getInfo.php?workbook=12_05.xlsx&amp;sheet=U0&amp;row=3915&amp;col=6&amp;number=4.1&amp;sourceID=14","4.1")</f>
        <v>4.1</v>
      </c>
      <c r="G3915" s="4" t="str">
        <f>HYPERLINK("http://141.218.60.56/~jnz1568/getInfo.php?workbook=12_05.xlsx&amp;sheet=U0&amp;row=3915&amp;col=7&amp;number=0.00344&amp;sourceID=14","0.00344")</f>
        <v>0.00344</v>
      </c>
    </row>
    <row r="3916" spans="1:7">
      <c r="A3916" s="3"/>
      <c r="B3916" s="3"/>
      <c r="C3916" s="3"/>
      <c r="D3916" s="3"/>
      <c r="E3916" s="3">
        <v>13</v>
      </c>
      <c r="F3916" s="4" t="str">
        <f>HYPERLINK("http://141.218.60.56/~jnz1568/getInfo.php?workbook=12_05.xlsx&amp;sheet=U0&amp;row=3916&amp;col=6&amp;number=4.2&amp;sourceID=14","4.2")</f>
        <v>4.2</v>
      </c>
      <c r="G3916" s="4" t="str">
        <f>HYPERLINK("http://141.218.60.56/~jnz1568/getInfo.php?workbook=12_05.xlsx&amp;sheet=U0&amp;row=3916&amp;col=7&amp;number=0.00344&amp;sourceID=14","0.00344")</f>
        <v>0.00344</v>
      </c>
    </row>
    <row r="3917" spans="1:7">
      <c r="A3917" s="3"/>
      <c r="B3917" s="3"/>
      <c r="C3917" s="3"/>
      <c r="D3917" s="3"/>
      <c r="E3917" s="3">
        <v>14</v>
      </c>
      <c r="F3917" s="4" t="str">
        <f>HYPERLINK("http://141.218.60.56/~jnz1568/getInfo.php?workbook=12_05.xlsx&amp;sheet=U0&amp;row=3917&amp;col=6&amp;number=4.3&amp;sourceID=14","4.3")</f>
        <v>4.3</v>
      </c>
      <c r="G3917" s="4" t="str">
        <f>HYPERLINK("http://141.218.60.56/~jnz1568/getInfo.php?workbook=12_05.xlsx&amp;sheet=U0&amp;row=3917&amp;col=7&amp;number=0.00345&amp;sourceID=14","0.00345")</f>
        <v>0.00345</v>
      </c>
    </row>
    <row r="3918" spans="1:7">
      <c r="A3918" s="3"/>
      <c r="B3918" s="3"/>
      <c r="C3918" s="3"/>
      <c r="D3918" s="3"/>
      <c r="E3918" s="3">
        <v>15</v>
      </c>
      <c r="F3918" s="4" t="str">
        <f>HYPERLINK("http://141.218.60.56/~jnz1568/getInfo.php?workbook=12_05.xlsx&amp;sheet=U0&amp;row=3918&amp;col=6&amp;number=4.4&amp;sourceID=14","4.4")</f>
        <v>4.4</v>
      </c>
      <c r="G3918" s="4" t="str">
        <f>HYPERLINK("http://141.218.60.56/~jnz1568/getInfo.php?workbook=12_05.xlsx&amp;sheet=U0&amp;row=3918&amp;col=7&amp;number=0.00346&amp;sourceID=14","0.00346")</f>
        <v>0.00346</v>
      </c>
    </row>
    <row r="3919" spans="1:7">
      <c r="A3919" s="3"/>
      <c r="B3919" s="3"/>
      <c r="C3919" s="3"/>
      <c r="D3919" s="3"/>
      <c r="E3919" s="3">
        <v>16</v>
      </c>
      <c r="F3919" s="4" t="str">
        <f>HYPERLINK("http://141.218.60.56/~jnz1568/getInfo.php?workbook=12_05.xlsx&amp;sheet=U0&amp;row=3919&amp;col=6&amp;number=4.5&amp;sourceID=14","4.5")</f>
        <v>4.5</v>
      </c>
      <c r="G3919" s="4" t="str">
        <f>HYPERLINK("http://141.218.60.56/~jnz1568/getInfo.php?workbook=12_05.xlsx&amp;sheet=U0&amp;row=3919&amp;col=7&amp;number=0.00347&amp;sourceID=14","0.00347")</f>
        <v>0.00347</v>
      </c>
    </row>
    <row r="3920" spans="1:7">
      <c r="A3920" s="3"/>
      <c r="B3920" s="3"/>
      <c r="C3920" s="3"/>
      <c r="D3920" s="3"/>
      <c r="E3920" s="3">
        <v>17</v>
      </c>
      <c r="F3920" s="4" t="str">
        <f>HYPERLINK("http://141.218.60.56/~jnz1568/getInfo.php?workbook=12_05.xlsx&amp;sheet=U0&amp;row=3920&amp;col=6&amp;number=4.6&amp;sourceID=14","4.6")</f>
        <v>4.6</v>
      </c>
      <c r="G3920" s="4" t="str">
        <f>HYPERLINK("http://141.218.60.56/~jnz1568/getInfo.php?workbook=12_05.xlsx&amp;sheet=U0&amp;row=3920&amp;col=7&amp;number=0.00349&amp;sourceID=14","0.00349")</f>
        <v>0.00349</v>
      </c>
    </row>
    <row r="3921" spans="1:7">
      <c r="A3921" s="3"/>
      <c r="B3921" s="3"/>
      <c r="C3921" s="3"/>
      <c r="D3921" s="3"/>
      <c r="E3921" s="3">
        <v>18</v>
      </c>
      <c r="F3921" s="4" t="str">
        <f>HYPERLINK("http://141.218.60.56/~jnz1568/getInfo.php?workbook=12_05.xlsx&amp;sheet=U0&amp;row=3921&amp;col=6&amp;number=4.7&amp;sourceID=14","4.7")</f>
        <v>4.7</v>
      </c>
      <c r="G3921" s="4" t="str">
        <f>HYPERLINK("http://141.218.60.56/~jnz1568/getInfo.php?workbook=12_05.xlsx&amp;sheet=U0&amp;row=3921&amp;col=7&amp;number=0.0035&amp;sourceID=14","0.0035")</f>
        <v>0.0035</v>
      </c>
    </row>
    <row r="3922" spans="1:7">
      <c r="A3922" s="3"/>
      <c r="B3922" s="3"/>
      <c r="C3922" s="3"/>
      <c r="D3922" s="3"/>
      <c r="E3922" s="3">
        <v>19</v>
      </c>
      <c r="F3922" s="4" t="str">
        <f>HYPERLINK("http://141.218.60.56/~jnz1568/getInfo.php?workbook=12_05.xlsx&amp;sheet=U0&amp;row=3922&amp;col=6&amp;number=4.8&amp;sourceID=14","4.8")</f>
        <v>4.8</v>
      </c>
      <c r="G3922" s="4" t="str">
        <f>HYPERLINK("http://141.218.60.56/~jnz1568/getInfo.php?workbook=12_05.xlsx&amp;sheet=U0&amp;row=3922&amp;col=7&amp;number=0.00353&amp;sourceID=14","0.00353")</f>
        <v>0.00353</v>
      </c>
    </row>
    <row r="3923" spans="1:7">
      <c r="A3923" s="3"/>
      <c r="B3923" s="3"/>
      <c r="C3923" s="3"/>
      <c r="D3923" s="3"/>
      <c r="E3923" s="3">
        <v>20</v>
      </c>
      <c r="F3923" s="4" t="str">
        <f>HYPERLINK("http://141.218.60.56/~jnz1568/getInfo.php?workbook=12_05.xlsx&amp;sheet=U0&amp;row=3923&amp;col=6&amp;number=4.9&amp;sourceID=14","4.9")</f>
        <v>4.9</v>
      </c>
      <c r="G3923" s="4" t="str">
        <f>HYPERLINK("http://141.218.60.56/~jnz1568/getInfo.php?workbook=12_05.xlsx&amp;sheet=U0&amp;row=3923&amp;col=7&amp;number=0.00356&amp;sourceID=14","0.00356")</f>
        <v>0.00356</v>
      </c>
    </row>
    <row r="3924" spans="1:7">
      <c r="A3924" s="3">
        <v>12</v>
      </c>
      <c r="B3924" s="3">
        <v>5</v>
      </c>
      <c r="C3924" s="3">
        <v>2</v>
      </c>
      <c r="D3924" s="3">
        <v>49</v>
      </c>
      <c r="E3924" s="3">
        <v>1</v>
      </c>
      <c r="F3924" s="4" t="str">
        <f>HYPERLINK("http://141.218.60.56/~jnz1568/getInfo.php?workbook=12_05.xlsx&amp;sheet=U0&amp;row=3924&amp;col=6&amp;number=3&amp;sourceID=14","3")</f>
        <v>3</v>
      </c>
      <c r="G3924" s="4" t="str">
        <f>HYPERLINK("http://141.218.60.56/~jnz1568/getInfo.php?workbook=12_05.xlsx&amp;sheet=U0&amp;row=3924&amp;col=7&amp;number=0.000687&amp;sourceID=14","0.000687")</f>
        <v>0.000687</v>
      </c>
    </row>
    <row r="3925" spans="1:7">
      <c r="A3925" s="3"/>
      <c r="B3925" s="3"/>
      <c r="C3925" s="3"/>
      <c r="D3925" s="3"/>
      <c r="E3925" s="3">
        <v>2</v>
      </c>
      <c r="F3925" s="4" t="str">
        <f>HYPERLINK("http://141.218.60.56/~jnz1568/getInfo.php?workbook=12_05.xlsx&amp;sheet=U0&amp;row=3925&amp;col=6&amp;number=3.1&amp;sourceID=14","3.1")</f>
        <v>3.1</v>
      </c>
      <c r="G3925" s="4" t="str">
        <f>HYPERLINK("http://141.218.60.56/~jnz1568/getInfo.php?workbook=12_05.xlsx&amp;sheet=U0&amp;row=3925&amp;col=7&amp;number=0.000687&amp;sourceID=14","0.000687")</f>
        <v>0.000687</v>
      </c>
    </row>
    <row r="3926" spans="1:7">
      <c r="A3926" s="3"/>
      <c r="B3926" s="3"/>
      <c r="C3926" s="3"/>
      <c r="D3926" s="3"/>
      <c r="E3926" s="3">
        <v>3</v>
      </c>
      <c r="F3926" s="4" t="str">
        <f>HYPERLINK("http://141.218.60.56/~jnz1568/getInfo.php?workbook=12_05.xlsx&amp;sheet=U0&amp;row=3926&amp;col=6&amp;number=3.2&amp;sourceID=14","3.2")</f>
        <v>3.2</v>
      </c>
      <c r="G3926" s="4" t="str">
        <f>HYPERLINK("http://141.218.60.56/~jnz1568/getInfo.php?workbook=12_05.xlsx&amp;sheet=U0&amp;row=3926&amp;col=7&amp;number=0.000687&amp;sourceID=14","0.000687")</f>
        <v>0.000687</v>
      </c>
    </row>
    <row r="3927" spans="1:7">
      <c r="A3927" s="3"/>
      <c r="B3927" s="3"/>
      <c r="C3927" s="3"/>
      <c r="D3927" s="3"/>
      <c r="E3927" s="3">
        <v>4</v>
      </c>
      <c r="F3927" s="4" t="str">
        <f>HYPERLINK("http://141.218.60.56/~jnz1568/getInfo.php?workbook=12_05.xlsx&amp;sheet=U0&amp;row=3927&amp;col=6&amp;number=3.3&amp;sourceID=14","3.3")</f>
        <v>3.3</v>
      </c>
      <c r="G3927" s="4" t="str">
        <f>HYPERLINK("http://141.218.60.56/~jnz1568/getInfo.php?workbook=12_05.xlsx&amp;sheet=U0&amp;row=3927&amp;col=7&amp;number=0.000687&amp;sourceID=14","0.000687")</f>
        <v>0.000687</v>
      </c>
    </row>
    <row r="3928" spans="1:7">
      <c r="A3928" s="3"/>
      <c r="B3928" s="3"/>
      <c r="C3928" s="3"/>
      <c r="D3928" s="3"/>
      <c r="E3928" s="3">
        <v>5</v>
      </c>
      <c r="F3928" s="4" t="str">
        <f>HYPERLINK("http://141.218.60.56/~jnz1568/getInfo.php?workbook=12_05.xlsx&amp;sheet=U0&amp;row=3928&amp;col=6&amp;number=3.4&amp;sourceID=14","3.4")</f>
        <v>3.4</v>
      </c>
      <c r="G3928" s="4" t="str">
        <f>HYPERLINK("http://141.218.60.56/~jnz1568/getInfo.php?workbook=12_05.xlsx&amp;sheet=U0&amp;row=3928&amp;col=7&amp;number=0.000687&amp;sourceID=14","0.000687")</f>
        <v>0.000687</v>
      </c>
    </row>
    <row r="3929" spans="1:7">
      <c r="A3929" s="3"/>
      <c r="B3929" s="3"/>
      <c r="C3929" s="3"/>
      <c r="D3929" s="3"/>
      <c r="E3929" s="3">
        <v>6</v>
      </c>
      <c r="F3929" s="4" t="str">
        <f>HYPERLINK("http://141.218.60.56/~jnz1568/getInfo.php?workbook=12_05.xlsx&amp;sheet=U0&amp;row=3929&amp;col=6&amp;number=3.5&amp;sourceID=14","3.5")</f>
        <v>3.5</v>
      </c>
      <c r="G3929" s="4" t="str">
        <f>HYPERLINK("http://141.218.60.56/~jnz1568/getInfo.php?workbook=12_05.xlsx&amp;sheet=U0&amp;row=3929&amp;col=7&amp;number=0.000686&amp;sourceID=14","0.000686")</f>
        <v>0.000686</v>
      </c>
    </row>
    <row r="3930" spans="1:7">
      <c r="A3930" s="3"/>
      <c r="B3930" s="3"/>
      <c r="C3930" s="3"/>
      <c r="D3930" s="3"/>
      <c r="E3930" s="3">
        <v>7</v>
      </c>
      <c r="F3930" s="4" t="str">
        <f>HYPERLINK("http://141.218.60.56/~jnz1568/getInfo.php?workbook=12_05.xlsx&amp;sheet=U0&amp;row=3930&amp;col=6&amp;number=3.6&amp;sourceID=14","3.6")</f>
        <v>3.6</v>
      </c>
      <c r="G3930" s="4" t="str">
        <f>HYPERLINK("http://141.218.60.56/~jnz1568/getInfo.php?workbook=12_05.xlsx&amp;sheet=U0&amp;row=3930&amp;col=7&amp;number=0.000686&amp;sourceID=14","0.000686")</f>
        <v>0.000686</v>
      </c>
    </row>
    <row r="3931" spans="1:7">
      <c r="A3931" s="3"/>
      <c r="B3931" s="3"/>
      <c r="C3931" s="3"/>
      <c r="D3931" s="3"/>
      <c r="E3931" s="3">
        <v>8</v>
      </c>
      <c r="F3931" s="4" t="str">
        <f>HYPERLINK("http://141.218.60.56/~jnz1568/getInfo.php?workbook=12_05.xlsx&amp;sheet=U0&amp;row=3931&amp;col=6&amp;number=3.7&amp;sourceID=14","3.7")</f>
        <v>3.7</v>
      </c>
      <c r="G3931" s="4" t="str">
        <f>HYPERLINK("http://141.218.60.56/~jnz1568/getInfo.php?workbook=12_05.xlsx&amp;sheet=U0&amp;row=3931&amp;col=7&amp;number=0.000686&amp;sourceID=14","0.000686")</f>
        <v>0.000686</v>
      </c>
    </row>
    <row r="3932" spans="1:7">
      <c r="A3932" s="3"/>
      <c r="B3932" s="3"/>
      <c r="C3932" s="3"/>
      <c r="D3932" s="3"/>
      <c r="E3932" s="3">
        <v>9</v>
      </c>
      <c r="F3932" s="4" t="str">
        <f>HYPERLINK("http://141.218.60.56/~jnz1568/getInfo.php?workbook=12_05.xlsx&amp;sheet=U0&amp;row=3932&amp;col=6&amp;number=3.8&amp;sourceID=14","3.8")</f>
        <v>3.8</v>
      </c>
      <c r="G3932" s="4" t="str">
        <f>HYPERLINK("http://141.218.60.56/~jnz1568/getInfo.php?workbook=12_05.xlsx&amp;sheet=U0&amp;row=3932&amp;col=7&amp;number=0.000686&amp;sourceID=14","0.000686")</f>
        <v>0.000686</v>
      </c>
    </row>
    <row r="3933" spans="1:7">
      <c r="A3933" s="3"/>
      <c r="B3933" s="3"/>
      <c r="C3933" s="3"/>
      <c r="D3933" s="3"/>
      <c r="E3933" s="3">
        <v>10</v>
      </c>
      <c r="F3933" s="4" t="str">
        <f>HYPERLINK("http://141.218.60.56/~jnz1568/getInfo.php?workbook=12_05.xlsx&amp;sheet=U0&amp;row=3933&amp;col=6&amp;number=3.9&amp;sourceID=14","3.9")</f>
        <v>3.9</v>
      </c>
      <c r="G3933" s="4" t="str">
        <f>HYPERLINK("http://141.218.60.56/~jnz1568/getInfo.php?workbook=12_05.xlsx&amp;sheet=U0&amp;row=3933&amp;col=7&amp;number=0.000685&amp;sourceID=14","0.000685")</f>
        <v>0.000685</v>
      </c>
    </row>
    <row r="3934" spans="1:7">
      <c r="A3934" s="3"/>
      <c r="B3934" s="3"/>
      <c r="C3934" s="3"/>
      <c r="D3934" s="3"/>
      <c r="E3934" s="3">
        <v>11</v>
      </c>
      <c r="F3934" s="4" t="str">
        <f>HYPERLINK("http://141.218.60.56/~jnz1568/getInfo.php?workbook=12_05.xlsx&amp;sheet=U0&amp;row=3934&amp;col=6&amp;number=4&amp;sourceID=14","4")</f>
        <v>4</v>
      </c>
      <c r="G3934" s="4" t="str">
        <f>HYPERLINK("http://141.218.60.56/~jnz1568/getInfo.php?workbook=12_05.xlsx&amp;sheet=U0&amp;row=3934&amp;col=7&amp;number=0.000684&amp;sourceID=14","0.000684")</f>
        <v>0.000684</v>
      </c>
    </row>
    <row r="3935" spans="1:7">
      <c r="A3935" s="3"/>
      <c r="B3935" s="3"/>
      <c r="C3935" s="3"/>
      <c r="D3935" s="3"/>
      <c r="E3935" s="3">
        <v>12</v>
      </c>
      <c r="F3935" s="4" t="str">
        <f>HYPERLINK("http://141.218.60.56/~jnz1568/getInfo.php?workbook=12_05.xlsx&amp;sheet=U0&amp;row=3935&amp;col=6&amp;number=4.1&amp;sourceID=14","4.1")</f>
        <v>4.1</v>
      </c>
      <c r="G3935" s="4" t="str">
        <f>HYPERLINK("http://141.218.60.56/~jnz1568/getInfo.php?workbook=12_05.xlsx&amp;sheet=U0&amp;row=3935&amp;col=7&amp;number=0.000684&amp;sourceID=14","0.000684")</f>
        <v>0.000684</v>
      </c>
    </row>
    <row r="3936" spans="1:7">
      <c r="A3936" s="3"/>
      <c r="B3936" s="3"/>
      <c r="C3936" s="3"/>
      <c r="D3936" s="3"/>
      <c r="E3936" s="3">
        <v>13</v>
      </c>
      <c r="F3936" s="4" t="str">
        <f>HYPERLINK("http://141.218.60.56/~jnz1568/getInfo.php?workbook=12_05.xlsx&amp;sheet=U0&amp;row=3936&amp;col=6&amp;number=4.2&amp;sourceID=14","4.2")</f>
        <v>4.2</v>
      </c>
      <c r="G3936" s="4" t="str">
        <f>HYPERLINK("http://141.218.60.56/~jnz1568/getInfo.php?workbook=12_05.xlsx&amp;sheet=U0&amp;row=3936&amp;col=7&amp;number=0.000683&amp;sourceID=14","0.000683")</f>
        <v>0.000683</v>
      </c>
    </row>
    <row r="3937" spans="1:7">
      <c r="A3937" s="3"/>
      <c r="B3937" s="3"/>
      <c r="C3937" s="3"/>
      <c r="D3937" s="3"/>
      <c r="E3937" s="3">
        <v>14</v>
      </c>
      <c r="F3937" s="4" t="str">
        <f>HYPERLINK("http://141.218.60.56/~jnz1568/getInfo.php?workbook=12_05.xlsx&amp;sheet=U0&amp;row=3937&amp;col=6&amp;number=4.3&amp;sourceID=14","4.3")</f>
        <v>4.3</v>
      </c>
      <c r="G3937" s="4" t="str">
        <f>HYPERLINK("http://141.218.60.56/~jnz1568/getInfo.php?workbook=12_05.xlsx&amp;sheet=U0&amp;row=3937&amp;col=7&amp;number=0.000682&amp;sourceID=14","0.000682")</f>
        <v>0.000682</v>
      </c>
    </row>
    <row r="3938" spans="1:7">
      <c r="A3938" s="3"/>
      <c r="B3938" s="3"/>
      <c r="C3938" s="3"/>
      <c r="D3938" s="3"/>
      <c r="E3938" s="3">
        <v>15</v>
      </c>
      <c r="F3938" s="4" t="str">
        <f>HYPERLINK("http://141.218.60.56/~jnz1568/getInfo.php?workbook=12_05.xlsx&amp;sheet=U0&amp;row=3938&amp;col=6&amp;number=4.4&amp;sourceID=14","4.4")</f>
        <v>4.4</v>
      </c>
      <c r="G3938" s="4" t="str">
        <f>HYPERLINK("http://141.218.60.56/~jnz1568/getInfo.php?workbook=12_05.xlsx&amp;sheet=U0&amp;row=3938&amp;col=7&amp;number=0.00068&amp;sourceID=14","0.00068")</f>
        <v>0.00068</v>
      </c>
    </row>
    <row r="3939" spans="1:7">
      <c r="A3939" s="3"/>
      <c r="B3939" s="3"/>
      <c r="C3939" s="3"/>
      <c r="D3939" s="3"/>
      <c r="E3939" s="3">
        <v>16</v>
      </c>
      <c r="F3939" s="4" t="str">
        <f>HYPERLINK("http://141.218.60.56/~jnz1568/getInfo.php?workbook=12_05.xlsx&amp;sheet=U0&amp;row=3939&amp;col=6&amp;number=4.5&amp;sourceID=14","4.5")</f>
        <v>4.5</v>
      </c>
      <c r="G3939" s="4" t="str">
        <f>HYPERLINK("http://141.218.60.56/~jnz1568/getInfo.php?workbook=12_05.xlsx&amp;sheet=U0&amp;row=3939&amp;col=7&amp;number=0.000678&amp;sourceID=14","0.000678")</f>
        <v>0.000678</v>
      </c>
    </row>
    <row r="3940" spans="1:7">
      <c r="A3940" s="3"/>
      <c r="B3940" s="3"/>
      <c r="C3940" s="3"/>
      <c r="D3940" s="3"/>
      <c r="E3940" s="3">
        <v>17</v>
      </c>
      <c r="F3940" s="4" t="str">
        <f>HYPERLINK("http://141.218.60.56/~jnz1568/getInfo.php?workbook=12_05.xlsx&amp;sheet=U0&amp;row=3940&amp;col=6&amp;number=4.6&amp;sourceID=14","4.6")</f>
        <v>4.6</v>
      </c>
      <c r="G3940" s="4" t="str">
        <f>HYPERLINK("http://141.218.60.56/~jnz1568/getInfo.php?workbook=12_05.xlsx&amp;sheet=U0&amp;row=3940&amp;col=7&amp;number=0.000676&amp;sourceID=14","0.000676")</f>
        <v>0.000676</v>
      </c>
    </row>
    <row r="3941" spans="1:7">
      <c r="A3941" s="3"/>
      <c r="B3941" s="3"/>
      <c r="C3941" s="3"/>
      <c r="D3941" s="3"/>
      <c r="E3941" s="3">
        <v>18</v>
      </c>
      <c r="F3941" s="4" t="str">
        <f>HYPERLINK("http://141.218.60.56/~jnz1568/getInfo.php?workbook=12_05.xlsx&amp;sheet=U0&amp;row=3941&amp;col=6&amp;number=4.7&amp;sourceID=14","4.7")</f>
        <v>4.7</v>
      </c>
      <c r="G3941" s="4" t="str">
        <f>HYPERLINK("http://141.218.60.56/~jnz1568/getInfo.php?workbook=12_05.xlsx&amp;sheet=U0&amp;row=3941&amp;col=7&amp;number=0.000673&amp;sourceID=14","0.000673")</f>
        <v>0.000673</v>
      </c>
    </row>
    <row r="3942" spans="1:7">
      <c r="A3942" s="3"/>
      <c r="B3942" s="3"/>
      <c r="C3942" s="3"/>
      <c r="D3942" s="3"/>
      <c r="E3942" s="3">
        <v>19</v>
      </c>
      <c r="F3942" s="4" t="str">
        <f>HYPERLINK("http://141.218.60.56/~jnz1568/getInfo.php?workbook=12_05.xlsx&amp;sheet=U0&amp;row=3942&amp;col=6&amp;number=4.8&amp;sourceID=14","4.8")</f>
        <v>4.8</v>
      </c>
      <c r="G3942" s="4" t="str">
        <f>HYPERLINK("http://141.218.60.56/~jnz1568/getInfo.php?workbook=12_05.xlsx&amp;sheet=U0&amp;row=3942&amp;col=7&amp;number=0.000669&amp;sourceID=14","0.000669")</f>
        <v>0.000669</v>
      </c>
    </row>
    <row r="3943" spans="1:7">
      <c r="A3943" s="3"/>
      <c r="B3943" s="3"/>
      <c r="C3943" s="3"/>
      <c r="D3943" s="3"/>
      <c r="E3943" s="3">
        <v>20</v>
      </c>
      <c r="F3943" s="4" t="str">
        <f>HYPERLINK("http://141.218.60.56/~jnz1568/getInfo.php?workbook=12_05.xlsx&amp;sheet=U0&amp;row=3943&amp;col=6&amp;number=4.9&amp;sourceID=14","4.9")</f>
        <v>4.9</v>
      </c>
      <c r="G3943" s="4" t="str">
        <f>HYPERLINK("http://141.218.60.56/~jnz1568/getInfo.php?workbook=12_05.xlsx&amp;sheet=U0&amp;row=3943&amp;col=7&amp;number=0.000664&amp;sourceID=14","0.000664")</f>
        <v>0.000664</v>
      </c>
    </row>
    <row r="3944" spans="1:7">
      <c r="A3944" s="3">
        <v>12</v>
      </c>
      <c r="B3944" s="3">
        <v>5</v>
      </c>
      <c r="C3944" s="3">
        <v>2</v>
      </c>
      <c r="D3944" s="3">
        <v>50</v>
      </c>
      <c r="E3944" s="3">
        <v>1</v>
      </c>
      <c r="F3944" s="4" t="str">
        <f>HYPERLINK("http://141.218.60.56/~jnz1568/getInfo.php?workbook=12_05.xlsx&amp;sheet=U0&amp;row=3944&amp;col=6&amp;number=3&amp;sourceID=14","3")</f>
        <v>3</v>
      </c>
      <c r="G3944" s="4" t="str">
        <f>HYPERLINK("http://141.218.60.56/~jnz1568/getInfo.php?workbook=12_05.xlsx&amp;sheet=U0&amp;row=3944&amp;col=7&amp;number=0.435&amp;sourceID=14","0.435")</f>
        <v>0.435</v>
      </c>
    </row>
    <row r="3945" spans="1:7">
      <c r="A3945" s="3"/>
      <c r="B3945" s="3"/>
      <c r="C3945" s="3"/>
      <c r="D3945" s="3"/>
      <c r="E3945" s="3">
        <v>2</v>
      </c>
      <c r="F3945" s="4" t="str">
        <f>HYPERLINK("http://141.218.60.56/~jnz1568/getInfo.php?workbook=12_05.xlsx&amp;sheet=U0&amp;row=3945&amp;col=6&amp;number=3.1&amp;sourceID=14","3.1")</f>
        <v>3.1</v>
      </c>
      <c r="G3945" s="4" t="str">
        <f>HYPERLINK("http://141.218.60.56/~jnz1568/getInfo.php?workbook=12_05.xlsx&amp;sheet=U0&amp;row=3945&amp;col=7&amp;number=0.435&amp;sourceID=14","0.435")</f>
        <v>0.435</v>
      </c>
    </row>
    <row r="3946" spans="1:7">
      <c r="A3946" s="3"/>
      <c r="B3946" s="3"/>
      <c r="C3946" s="3"/>
      <c r="D3946" s="3"/>
      <c r="E3946" s="3">
        <v>3</v>
      </c>
      <c r="F3946" s="4" t="str">
        <f>HYPERLINK("http://141.218.60.56/~jnz1568/getInfo.php?workbook=12_05.xlsx&amp;sheet=U0&amp;row=3946&amp;col=6&amp;number=3.2&amp;sourceID=14","3.2")</f>
        <v>3.2</v>
      </c>
      <c r="G3946" s="4" t="str">
        <f>HYPERLINK("http://141.218.60.56/~jnz1568/getInfo.php?workbook=12_05.xlsx&amp;sheet=U0&amp;row=3946&amp;col=7&amp;number=0.435&amp;sourceID=14","0.435")</f>
        <v>0.435</v>
      </c>
    </row>
    <row r="3947" spans="1:7">
      <c r="A3947" s="3"/>
      <c r="B3947" s="3"/>
      <c r="C3947" s="3"/>
      <c r="D3947" s="3"/>
      <c r="E3947" s="3">
        <v>4</v>
      </c>
      <c r="F3947" s="4" t="str">
        <f>HYPERLINK("http://141.218.60.56/~jnz1568/getInfo.php?workbook=12_05.xlsx&amp;sheet=U0&amp;row=3947&amp;col=6&amp;number=3.3&amp;sourceID=14","3.3")</f>
        <v>3.3</v>
      </c>
      <c r="G3947" s="4" t="str">
        <f>HYPERLINK("http://141.218.60.56/~jnz1568/getInfo.php?workbook=12_05.xlsx&amp;sheet=U0&amp;row=3947&amp;col=7&amp;number=0.435&amp;sourceID=14","0.435")</f>
        <v>0.435</v>
      </c>
    </row>
    <row r="3948" spans="1:7">
      <c r="A3948" s="3"/>
      <c r="B3948" s="3"/>
      <c r="C3948" s="3"/>
      <c r="D3948" s="3"/>
      <c r="E3948" s="3">
        <v>5</v>
      </c>
      <c r="F3948" s="4" t="str">
        <f>HYPERLINK("http://141.218.60.56/~jnz1568/getInfo.php?workbook=12_05.xlsx&amp;sheet=U0&amp;row=3948&amp;col=6&amp;number=3.4&amp;sourceID=14","3.4")</f>
        <v>3.4</v>
      </c>
      <c r="G3948" s="4" t="str">
        <f>HYPERLINK("http://141.218.60.56/~jnz1568/getInfo.php?workbook=12_05.xlsx&amp;sheet=U0&amp;row=3948&amp;col=7&amp;number=0.435&amp;sourceID=14","0.435")</f>
        <v>0.435</v>
      </c>
    </row>
    <row r="3949" spans="1:7">
      <c r="A3949" s="3"/>
      <c r="B3949" s="3"/>
      <c r="C3949" s="3"/>
      <c r="D3949" s="3"/>
      <c r="E3949" s="3">
        <v>6</v>
      </c>
      <c r="F3949" s="4" t="str">
        <f>HYPERLINK("http://141.218.60.56/~jnz1568/getInfo.php?workbook=12_05.xlsx&amp;sheet=U0&amp;row=3949&amp;col=6&amp;number=3.5&amp;sourceID=14","3.5")</f>
        <v>3.5</v>
      </c>
      <c r="G3949" s="4" t="str">
        <f>HYPERLINK("http://141.218.60.56/~jnz1568/getInfo.php?workbook=12_05.xlsx&amp;sheet=U0&amp;row=3949&amp;col=7&amp;number=0.435&amp;sourceID=14","0.435")</f>
        <v>0.435</v>
      </c>
    </row>
    <row r="3950" spans="1:7">
      <c r="A3950" s="3"/>
      <c r="B3950" s="3"/>
      <c r="C3950" s="3"/>
      <c r="D3950" s="3"/>
      <c r="E3950" s="3">
        <v>7</v>
      </c>
      <c r="F3950" s="4" t="str">
        <f>HYPERLINK("http://141.218.60.56/~jnz1568/getInfo.php?workbook=12_05.xlsx&amp;sheet=U0&amp;row=3950&amp;col=6&amp;number=3.6&amp;sourceID=14","3.6")</f>
        <v>3.6</v>
      </c>
      <c r="G3950" s="4" t="str">
        <f>HYPERLINK("http://141.218.60.56/~jnz1568/getInfo.php?workbook=12_05.xlsx&amp;sheet=U0&amp;row=3950&amp;col=7&amp;number=0.435&amp;sourceID=14","0.435")</f>
        <v>0.435</v>
      </c>
    </row>
    <row r="3951" spans="1:7">
      <c r="A3951" s="3"/>
      <c r="B3951" s="3"/>
      <c r="C3951" s="3"/>
      <c r="D3951" s="3"/>
      <c r="E3951" s="3">
        <v>8</v>
      </c>
      <c r="F3951" s="4" t="str">
        <f>HYPERLINK("http://141.218.60.56/~jnz1568/getInfo.php?workbook=12_05.xlsx&amp;sheet=U0&amp;row=3951&amp;col=6&amp;number=3.7&amp;sourceID=14","3.7")</f>
        <v>3.7</v>
      </c>
      <c r="G3951" s="4" t="str">
        <f>HYPERLINK("http://141.218.60.56/~jnz1568/getInfo.php?workbook=12_05.xlsx&amp;sheet=U0&amp;row=3951&amp;col=7&amp;number=0.435&amp;sourceID=14","0.435")</f>
        <v>0.435</v>
      </c>
    </row>
    <row r="3952" spans="1:7">
      <c r="A3952" s="3"/>
      <c r="B3952" s="3"/>
      <c r="C3952" s="3"/>
      <c r="D3952" s="3"/>
      <c r="E3952" s="3">
        <v>9</v>
      </c>
      <c r="F3952" s="4" t="str">
        <f>HYPERLINK("http://141.218.60.56/~jnz1568/getInfo.php?workbook=12_05.xlsx&amp;sheet=U0&amp;row=3952&amp;col=6&amp;number=3.8&amp;sourceID=14","3.8")</f>
        <v>3.8</v>
      </c>
      <c r="G3952" s="4" t="str">
        <f>HYPERLINK("http://141.218.60.56/~jnz1568/getInfo.php?workbook=12_05.xlsx&amp;sheet=U0&amp;row=3952&amp;col=7&amp;number=0.436&amp;sourceID=14","0.436")</f>
        <v>0.436</v>
      </c>
    </row>
    <row r="3953" spans="1:7">
      <c r="A3953" s="3"/>
      <c r="B3953" s="3"/>
      <c r="C3953" s="3"/>
      <c r="D3953" s="3"/>
      <c r="E3953" s="3">
        <v>10</v>
      </c>
      <c r="F3953" s="4" t="str">
        <f>HYPERLINK("http://141.218.60.56/~jnz1568/getInfo.php?workbook=12_05.xlsx&amp;sheet=U0&amp;row=3953&amp;col=6&amp;number=3.9&amp;sourceID=14","3.9")</f>
        <v>3.9</v>
      </c>
      <c r="G3953" s="4" t="str">
        <f>HYPERLINK("http://141.218.60.56/~jnz1568/getInfo.php?workbook=12_05.xlsx&amp;sheet=U0&amp;row=3953&amp;col=7&amp;number=0.436&amp;sourceID=14","0.436")</f>
        <v>0.436</v>
      </c>
    </row>
    <row r="3954" spans="1:7">
      <c r="A3954" s="3"/>
      <c r="B3954" s="3"/>
      <c r="C3954" s="3"/>
      <c r="D3954" s="3"/>
      <c r="E3954" s="3">
        <v>11</v>
      </c>
      <c r="F3954" s="4" t="str">
        <f>HYPERLINK("http://141.218.60.56/~jnz1568/getInfo.php?workbook=12_05.xlsx&amp;sheet=U0&amp;row=3954&amp;col=6&amp;number=4&amp;sourceID=14","4")</f>
        <v>4</v>
      </c>
      <c r="G3954" s="4" t="str">
        <f>HYPERLINK("http://141.218.60.56/~jnz1568/getInfo.php?workbook=12_05.xlsx&amp;sheet=U0&amp;row=3954&amp;col=7&amp;number=0.436&amp;sourceID=14","0.436")</f>
        <v>0.436</v>
      </c>
    </row>
    <row r="3955" spans="1:7">
      <c r="A3955" s="3"/>
      <c r="B3955" s="3"/>
      <c r="C3955" s="3"/>
      <c r="D3955" s="3"/>
      <c r="E3955" s="3">
        <v>12</v>
      </c>
      <c r="F3955" s="4" t="str">
        <f>HYPERLINK("http://141.218.60.56/~jnz1568/getInfo.php?workbook=12_05.xlsx&amp;sheet=U0&amp;row=3955&amp;col=6&amp;number=4.1&amp;sourceID=14","4.1")</f>
        <v>4.1</v>
      </c>
      <c r="G3955" s="4" t="str">
        <f>HYPERLINK("http://141.218.60.56/~jnz1568/getInfo.php?workbook=12_05.xlsx&amp;sheet=U0&amp;row=3955&amp;col=7&amp;number=0.437&amp;sourceID=14","0.437")</f>
        <v>0.437</v>
      </c>
    </row>
    <row r="3956" spans="1:7">
      <c r="A3956" s="3"/>
      <c r="B3956" s="3"/>
      <c r="C3956" s="3"/>
      <c r="D3956" s="3"/>
      <c r="E3956" s="3">
        <v>13</v>
      </c>
      <c r="F3956" s="4" t="str">
        <f>HYPERLINK("http://141.218.60.56/~jnz1568/getInfo.php?workbook=12_05.xlsx&amp;sheet=U0&amp;row=3956&amp;col=6&amp;number=4.2&amp;sourceID=14","4.2")</f>
        <v>4.2</v>
      </c>
      <c r="G3956" s="4" t="str">
        <f>HYPERLINK("http://141.218.60.56/~jnz1568/getInfo.php?workbook=12_05.xlsx&amp;sheet=U0&amp;row=3956&amp;col=7&amp;number=0.438&amp;sourceID=14","0.438")</f>
        <v>0.438</v>
      </c>
    </row>
    <row r="3957" spans="1:7">
      <c r="A3957" s="3"/>
      <c r="B3957" s="3"/>
      <c r="C3957" s="3"/>
      <c r="D3957" s="3"/>
      <c r="E3957" s="3">
        <v>14</v>
      </c>
      <c r="F3957" s="4" t="str">
        <f>HYPERLINK("http://141.218.60.56/~jnz1568/getInfo.php?workbook=12_05.xlsx&amp;sheet=U0&amp;row=3957&amp;col=6&amp;number=4.3&amp;sourceID=14","4.3")</f>
        <v>4.3</v>
      </c>
      <c r="G3957" s="4" t="str">
        <f>HYPERLINK("http://141.218.60.56/~jnz1568/getInfo.php?workbook=12_05.xlsx&amp;sheet=U0&amp;row=3957&amp;col=7&amp;number=0.438&amp;sourceID=14","0.438")</f>
        <v>0.438</v>
      </c>
    </row>
    <row r="3958" spans="1:7">
      <c r="A3958" s="3"/>
      <c r="B3958" s="3"/>
      <c r="C3958" s="3"/>
      <c r="D3958" s="3"/>
      <c r="E3958" s="3">
        <v>15</v>
      </c>
      <c r="F3958" s="4" t="str">
        <f>HYPERLINK("http://141.218.60.56/~jnz1568/getInfo.php?workbook=12_05.xlsx&amp;sheet=U0&amp;row=3958&amp;col=6&amp;number=4.4&amp;sourceID=14","4.4")</f>
        <v>4.4</v>
      </c>
      <c r="G3958" s="4" t="str">
        <f>HYPERLINK("http://141.218.60.56/~jnz1568/getInfo.php?workbook=12_05.xlsx&amp;sheet=U0&amp;row=3958&amp;col=7&amp;number=0.439&amp;sourceID=14","0.439")</f>
        <v>0.439</v>
      </c>
    </row>
    <row r="3959" spans="1:7">
      <c r="A3959" s="3"/>
      <c r="B3959" s="3"/>
      <c r="C3959" s="3"/>
      <c r="D3959" s="3"/>
      <c r="E3959" s="3">
        <v>16</v>
      </c>
      <c r="F3959" s="4" t="str">
        <f>HYPERLINK("http://141.218.60.56/~jnz1568/getInfo.php?workbook=12_05.xlsx&amp;sheet=U0&amp;row=3959&amp;col=6&amp;number=4.5&amp;sourceID=14","4.5")</f>
        <v>4.5</v>
      </c>
      <c r="G3959" s="4" t="str">
        <f>HYPERLINK("http://141.218.60.56/~jnz1568/getInfo.php?workbook=12_05.xlsx&amp;sheet=U0&amp;row=3959&amp;col=7&amp;number=0.441&amp;sourceID=14","0.441")</f>
        <v>0.441</v>
      </c>
    </row>
    <row r="3960" spans="1:7">
      <c r="A3960" s="3"/>
      <c r="B3960" s="3"/>
      <c r="C3960" s="3"/>
      <c r="D3960" s="3"/>
      <c r="E3960" s="3">
        <v>17</v>
      </c>
      <c r="F3960" s="4" t="str">
        <f>HYPERLINK("http://141.218.60.56/~jnz1568/getInfo.php?workbook=12_05.xlsx&amp;sheet=U0&amp;row=3960&amp;col=6&amp;number=4.6&amp;sourceID=14","4.6")</f>
        <v>4.6</v>
      </c>
      <c r="G3960" s="4" t="str">
        <f>HYPERLINK("http://141.218.60.56/~jnz1568/getInfo.php?workbook=12_05.xlsx&amp;sheet=U0&amp;row=3960&amp;col=7&amp;number=0.442&amp;sourceID=14","0.442")</f>
        <v>0.442</v>
      </c>
    </row>
    <row r="3961" spans="1:7">
      <c r="A3961" s="3"/>
      <c r="B3961" s="3"/>
      <c r="C3961" s="3"/>
      <c r="D3961" s="3"/>
      <c r="E3961" s="3">
        <v>18</v>
      </c>
      <c r="F3961" s="4" t="str">
        <f>HYPERLINK("http://141.218.60.56/~jnz1568/getInfo.php?workbook=12_05.xlsx&amp;sheet=U0&amp;row=3961&amp;col=6&amp;number=4.7&amp;sourceID=14","4.7")</f>
        <v>4.7</v>
      </c>
      <c r="G3961" s="4" t="str">
        <f>HYPERLINK("http://141.218.60.56/~jnz1568/getInfo.php?workbook=12_05.xlsx&amp;sheet=U0&amp;row=3961&amp;col=7&amp;number=0.444&amp;sourceID=14","0.444")</f>
        <v>0.444</v>
      </c>
    </row>
    <row r="3962" spans="1:7">
      <c r="A3962" s="3"/>
      <c r="B3962" s="3"/>
      <c r="C3962" s="3"/>
      <c r="D3962" s="3"/>
      <c r="E3962" s="3">
        <v>19</v>
      </c>
      <c r="F3962" s="4" t="str">
        <f>HYPERLINK("http://141.218.60.56/~jnz1568/getInfo.php?workbook=12_05.xlsx&amp;sheet=U0&amp;row=3962&amp;col=6&amp;number=4.8&amp;sourceID=14","4.8")</f>
        <v>4.8</v>
      </c>
      <c r="G3962" s="4" t="str">
        <f>HYPERLINK("http://141.218.60.56/~jnz1568/getInfo.php?workbook=12_05.xlsx&amp;sheet=U0&amp;row=3962&amp;col=7&amp;number=0.447&amp;sourceID=14","0.447")</f>
        <v>0.447</v>
      </c>
    </row>
    <row r="3963" spans="1:7">
      <c r="A3963" s="3"/>
      <c r="B3963" s="3"/>
      <c r="C3963" s="3"/>
      <c r="D3963" s="3"/>
      <c r="E3963" s="3">
        <v>20</v>
      </c>
      <c r="F3963" s="4" t="str">
        <f>HYPERLINK("http://141.218.60.56/~jnz1568/getInfo.php?workbook=12_05.xlsx&amp;sheet=U0&amp;row=3963&amp;col=6&amp;number=4.9&amp;sourceID=14","4.9")</f>
        <v>4.9</v>
      </c>
      <c r="G3963" s="4" t="str">
        <f>HYPERLINK("http://141.218.60.56/~jnz1568/getInfo.php?workbook=12_05.xlsx&amp;sheet=U0&amp;row=3963&amp;col=7&amp;number=0.45&amp;sourceID=14","0.45")</f>
        <v>0.45</v>
      </c>
    </row>
    <row r="3964" spans="1:7">
      <c r="A3964" s="3">
        <v>12</v>
      </c>
      <c r="B3964" s="3">
        <v>5</v>
      </c>
      <c r="C3964" s="3">
        <v>2</v>
      </c>
      <c r="D3964" s="3">
        <v>51</v>
      </c>
      <c r="E3964" s="3">
        <v>1</v>
      </c>
      <c r="F3964" s="4" t="str">
        <f>HYPERLINK("http://141.218.60.56/~jnz1568/getInfo.php?workbook=12_05.xlsx&amp;sheet=U0&amp;row=3964&amp;col=6&amp;number=3&amp;sourceID=14","3")</f>
        <v>3</v>
      </c>
      <c r="G3964" s="4" t="str">
        <f>HYPERLINK("http://141.218.60.56/~jnz1568/getInfo.php?workbook=12_05.xlsx&amp;sheet=U0&amp;row=3964&amp;col=7&amp;number=0.00605&amp;sourceID=14","0.00605")</f>
        <v>0.00605</v>
      </c>
    </row>
    <row r="3965" spans="1:7">
      <c r="A3965" s="3"/>
      <c r="B3965" s="3"/>
      <c r="C3965" s="3"/>
      <c r="D3965" s="3"/>
      <c r="E3965" s="3">
        <v>2</v>
      </c>
      <c r="F3965" s="4" t="str">
        <f>HYPERLINK("http://141.218.60.56/~jnz1568/getInfo.php?workbook=12_05.xlsx&amp;sheet=U0&amp;row=3965&amp;col=6&amp;number=3.1&amp;sourceID=14","3.1")</f>
        <v>3.1</v>
      </c>
      <c r="G3965" s="4" t="str">
        <f>HYPERLINK("http://141.218.60.56/~jnz1568/getInfo.php?workbook=12_05.xlsx&amp;sheet=U0&amp;row=3965&amp;col=7&amp;number=0.00605&amp;sourceID=14","0.00605")</f>
        <v>0.00605</v>
      </c>
    </row>
    <row r="3966" spans="1:7">
      <c r="A3966" s="3"/>
      <c r="B3966" s="3"/>
      <c r="C3966" s="3"/>
      <c r="D3966" s="3"/>
      <c r="E3966" s="3">
        <v>3</v>
      </c>
      <c r="F3966" s="4" t="str">
        <f>HYPERLINK("http://141.218.60.56/~jnz1568/getInfo.php?workbook=12_05.xlsx&amp;sheet=U0&amp;row=3966&amp;col=6&amp;number=3.2&amp;sourceID=14","3.2")</f>
        <v>3.2</v>
      </c>
      <c r="G3966" s="4" t="str">
        <f>HYPERLINK("http://141.218.60.56/~jnz1568/getInfo.php?workbook=12_05.xlsx&amp;sheet=U0&amp;row=3966&amp;col=7&amp;number=0.00605&amp;sourceID=14","0.00605")</f>
        <v>0.00605</v>
      </c>
    </row>
    <row r="3967" spans="1:7">
      <c r="A3967" s="3"/>
      <c r="B3967" s="3"/>
      <c r="C3967" s="3"/>
      <c r="D3967" s="3"/>
      <c r="E3967" s="3">
        <v>4</v>
      </c>
      <c r="F3967" s="4" t="str">
        <f>HYPERLINK("http://141.218.60.56/~jnz1568/getInfo.php?workbook=12_05.xlsx&amp;sheet=U0&amp;row=3967&amp;col=6&amp;number=3.3&amp;sourceID=14","3.3")</f>
        <v>3.3</v>
      </c>
      <c r="G3967" s="4" t="str">
        <f>HYPERLINK("http://141.218.60.56/~jnz1568/getInfo.php?workbook=12_05.xlsx&amp;sheet=U0&amp;row=3967&amp;col=7&amp;number=0.00605&amp;sourceID=14","0.00605")</f>
        <v>0.00605</v>
      </c>
    </row>
    <row r="3968" spans="1:7">
      <c r="A3968" s="3"/>
      <c r="B3968" s="3"/>
      <c r="C3968" s="3"/>
      <c r="D3968" s="3"/>
      <c r="E3968" s="3">
        <v>5</v>
      </c>
      <c r="F3968" s="4" t="str">
        <f>HYPERLINK("http://141.218.60.56/~jnz1568/getInfo.php?workbook=12_05.xlsx&amp;sheet=U0&amp;row=3968&amp;col=6&amp;number=3.4&amp;sourceID=14","3.4")</f>
        <v>3.4</v>
      </c>
      <c r="G3968" s="4" t="str">
        <f>HYPERLINK("http://141.218.60.56/~jnz1568/getInfo.php?workbook=12_05.xlsx&amp;sheet=U0&amp;row=3968&amp;col=7&amp;number=0.00604&amp;sourceID=14","0.00604")</f>
        <v>0.00604</v>
      </c>
    </row>
    <row r="3969" spans="1:7">
      <c r="A3969" s="3"/>
      <c r="B3969" s="3"/>
      <c r="C3969" s="3"/>
      <c r="D3969" s="3"/>
      <c r="E3969" s="3">
        <v>6</v>
      </c>
      <c r="F3969" s="4" t="str">
        <f>HYPERLINK("http://141.218.60.56/~jnz1568/getInfo.php?workbook=12_05.xlsx&amp;sheet=U0&amp;row=3969&amp;col=6&amp;number=3.5&amp;sourceID=14","3.5")</f>
        <v>3.5</v>
      </c>
      <c r="G3969" s="4" t="str">
        <f>HYPERLINK("http://141.218.60.56/~jnz1568/getInfo.php?workbook=12_05.xlsx&amp;sheet=U0&amp;row=3969&amp;col=7&amp;number=0.00604&amp;sourceID=14","0.00604")</f>
        <v>0.00604</v>
      </c>
    </row>
    <row r="3970" spans="1:7">
      <c r="A3970" s="3"/>
      <c r="B3970" s="3"/>
      <c r="C3970" s="3"/>
      <c r="D3970" s="3"/>
      <c r="E3970" s="3">
        <v>7</v>
      </c>
      <c r="F3970" s="4" t="str">
        <f>HYPERLINK("http://141.218.60.56/~jnz1568/getInfo.php?workbook=12_05.xlsx&amp;sheet=U0&amp;row=3970&amp;col=6&amp;number=3.6&amp;sourceID=14","3.6")</f>
        <v>3.6</v>
      </c>
      <c r="G3970" s="4" t="str">
        <f>HYPERLINK("http://141.218.60.56/~jnz1568/getInfo.php?workbook=12_05.xlsx&amp;sheet=U0&amp;row=3970&amp;col=7&amp;number=0.00603&amp;sourceID=14","0.00603")</f>
        <v>0.00603</v>
      </c>
    </row>
    <row r="3971" spans="1:7">
      <c r="A3971" s="3"/>
      <c r="B3971" s="3"/>
      <c r="C3971" s="3"/>
      <c r="D3971" s="3"/>
      <c r="E3971" s="3">
        <v>8</v>
      </c>
      <c r="F3971" s="4" t="str">
        <f>HYPERLINK("http://141.218.60.56/~jnz1568/getInfo.php?workbook=12_05.xlsx&amp;sheet=U0&amp;row=3971&amp;col=6&amp;number=3.7&amp;sourceID=14","3.7")</f>
        <v>3.7</v>
      </c>
      <c r="G3971" s="4" t="str">
        <f>HYPERLINK("http://141.218.60.56/~jnz1568/getInfo.php?workbook=12_05.xlsx&amp;sheet=U0&amp;row=3971&amp;col=7&amp;number=0.00603&amp;sourceID=14","0.00603")</f>
        <v>0.00603</v>
      </c>
    </row>
    <row r="3972" spans="1:7">
      <c r="A3972" s="3"/>
      <c r="B3972" s="3"/>
      <c r="C3972" s="3"/>
      <c r="D3972" s="3"/>
      <c r="E3972" s="3">
        <v>9</v>
      </c>
      <c r="F3972" s="4" t="str">
        <f>HYPERLINK("http://141.218.60.56/~jnz1568/getInfo.php?workbook=12_05.xlsx&amp;sheet=U0&amp;row=3972&amp;col=6&amp;number=3.8&amp;sourceID=14","3.8")</f>
        <v>3.8</v>
      </c>
      <c r="G3972" s="4" t="str">
        <f>HYPERLINK("http://141.218.60.56/~jnz1568/getInfo.php?workbook=12_05.xlsx&amp;sheet=U0&amp;row=3972&amp;col=7&amp;number=0.00602&amp;sourceID=14","0.00602")</f>
        <v>0.00602</v>
      </c>
    </row>
    <row r="3973" spans="1:7">
      <c r="A3973" s="3"/>
      <c r="B3973" s="3"/>
      <c r="C3973" s="3"/>
      <c r="D3973" s="3"/>
      <c r="E3973" s="3">
        <v>10</v>
      </c>
      <c r="F3973" s="4" t="str">
        <f>HYPERLINK("http://141.218.60.56/~jnz1568/getInfo.php?workbook=12_05.xlsx&amp;sheet=U0&amp;row=3973&amp;col=6&amp;number=3.9&amp;sourceID=14","3.9")</f>
        <v>3.9</v>
      </c>
      <c r="G3973" s="4" t="str">
        <f>HYPERLINK("http://141.218.60.56/~jnz1568/getInfo.php?workbook=12_05.xlsx&amp;sheet=U0&amp;row=3973&amp;col=7&amp;number=0.00601&amp;sourceID=14","0.00601")</f>
        <v>0.00601</v>
      </c>
    </row>
    <row r="3974" spans="1:7">
      <c r="A3974" s="3"/>
      <c r="B3974" s="3"/>
      <c r="C3974" s="3"/>
      <c r="D3974" s="3"/>
      <c r="E3974" s="3">
        <v>11</v>
      </c>
      <c r="F3974" s="4" t="str">
        <f>HYPERLINK("http://141.218.60.56/~jnz1568/getInfo.php?workbook=12_05.xlsx&amp;sheet=U0&amp;row=3974&amp;col=6&amp;number=4&amp;sourceID=14","4")</f>
        <v>4</v>
      </c>
      <c r="G3974" s="4" t="str">
        <f>HYPERLINK("http://141.218.60.56/~jnz1568/getInfo.php?workbook=12_05.xlsx&amp;sheet=U0&amp;row=3974&amp;col=7&amp;number=0.006&amp;sourceID=14","0.006")</f>
        <v>0.006</v>
      </c>
    </row>
    <row r="3975" spans="1:7">
      <c r="A3975" s="3"/>
      <c r="B3975" s="3"/>
      <c r="C3975" s="3"/>
      <c r="D3975" s="3"/>
      <c r="E3975" s="3">
        <v>12</v>
      </c>
      <c r="F3975" s="4" t="str">
        <f>HYPERLINK("http://141.218.60.56/~jnz1568/getInfo.php?workbook=12_05.xlsx&amp;sheet=U0&amp;row=3975&amp;col=6&amp;number=4.1&amp;sourceID=14","4.1")</f>
        <v>4.1</v>
      </c>
      <c r="G3975" s="4" t="str">
        <f>HYPERLINK("http://141.218.60.56/~jnz1568/getInfo.php?workbook=12_05.xlsx&amp;sheet=U0&amp;row=3975&amp;col=7&amp;number=0.00599&amp;sourceID=14","0.00599")</f>
        <v>0.00599</v>
      </c>
    </row>
    <row r="3976" spans="1:7">
      <c r="A3976" s="3"/>
      <c r="B3976" s="3"/>
      <c r="C3976" s="3"/>
      <c r="D3976" s="3"/>
      <c r="E3976" s="3">
        <v>13</v>
      </c>
      <c r="F3976" s="4" t="str">
        <f>HYPERLINK("http://141.218.60.56/~jnz1568/getInfo.php?workbook=12_05.xlsx&amp;sheet=U0&amp;row=3976&amp;col=6&amp;number=4.2&amp;sourceID=14","4.2")</f>
        <v>4.2</v>
      </c>
      <c r="G3976" s="4" t="str">
        <f>HYPERLINK("http://141.218.60.56/~jnz1568/getInfo.php?workbook=12_05.xlsx&amp;sheet=U0&amp;row=3976&amp;col=7&amp;number=0.00597&amp;sourceID=14","0.00597")</f>
        <v>0.00597</v>
      </c>
    </row>
    <row r="3977" spans="1:7">
      <c r="A3977" s="3"/>
      <c r="B3977" s="3"/>
      <c r="C3977" s="3"/>
      <c r="D3977" s="3"/>
      <c r="E3977" s="3">
        <v>14</v>
      </c>
      <c r="F3977" s="4" t="str">
        <f>HYPERLINK("http://141.218.60.56/~jnz1568/getInfo.php?workbook=12_05.xlsx&amp;sheet=U0&amp;row=3977&amp;col=6&amp;number=4.3&amp;sourceID=14","4.3")</f>
        <v>4.3</v>
      </c>
      <c r="G3977" s="4" t="str">
        <f>HYPERLINK("http://141.218.60.56/~jnz1568/getInfo.php?workbook=12_05.xlsx&amp;sheet=U0&amp;row=3977&amp;col=7&amp;number=0.00595&amp;sourceID=14","0.00595")</f>
        <v>0.00595</v>
      </c>
    </row>
    <row r="3978" spans="1:7">
      <c r="A3978" s="3"/>
      <c r="B3978" s="3"/>
      <c r="C3978" s="3"/>
      <c r="D3978" s="3"/>
      <c r="E3978" s="3">
        <v>15</v>
      </c>
      <c r="F3978" s="4" t="str">
        <f>HYPERLINK("http://141.218.60.56/~jnz1568/getInfo.php?workbook=12_05.xlsx&amp;sheet=U0&amp;row=3978&amp;col=6&amp;number=4.4&amp;sourceID=14","4.4")</f>
        <v>4.4</v>
      </c>
      <c r="G3978" s="4" t="str">
        <f>HYPERLINK("http://141.218.60.56/~jnz1568/getInfo.php?workbook=12_05.xlsx&amp;sheet=U0&amp;row=3978&amp;col=7&amp;number=0.00592&amp;sourceID=14","0.00592")</f>
        <v>0.00592</v>
      </c>
    </row>
    <row r="3979" spans="1:7">
      <c r="A3979" s="3"/>
      <c r="B3979" s="3"/>
      <c r="C3979" s="3"/>
      <c r="D3979" s="3"/>
      <c r="E3979" s="3">
        <v>16</v>
      </c>
      <c r="F3979" s="4" t="str">
        <f>HYPERLINK("http://141.218.60.56/~jnz1568/getInfo.php?workbook=12_05.xlsx&amp;sheet=U0&amp;row=3979&amp;col=6&amp;number=4.5&amp;sourceID=14","4.5")</f>
        <v>4.5</v>
      </c>
      <c r="G3979" s="4" t="str">
        <f>HYPERLINK("http://141.218.60.56/~jnz1568/getInfo.php?workbook=12_05.xlsx&amp;sheet=U0&amp;row=3979&amp;col=7&amp;number=0.00588&amp;sourceID=14","0.00588")</f>
        <v>0.00588</v>
      </c>
    </row>
    <row r="3980" spans="1:7">
      <c r="A3980" s="3"/>
      <c r="B3980" s="3"/>
      <c r="C3980" s="3"/>
      <c r="D3980" s="3"/>
      <c r="E3980" s="3">
        <v>17</v>
      </c>
      <c r="F3980" s="4" t="str">
        <f>HYPERLINK("http://141.218.60.56/~jnz1568/getInfo.php?workbook=12_05.xlsx&amp;sheet=U0&amp;row=3980&amp;col=6&amp;number=4.6&amp;sourceID=14","4.6")</f>
        <v>4.6</v>
      </c>
      <c r="G3980" s="4" t="str">
        <f>HYPERLINK("http://141.218.60.56/~jnz1568/getInfo.php?workbook=12_05.xlsx&amp;sheet=U0&amp;row=3980&amp;col=7&amp;number=0.00584&amp;sourceID=14","0.00584")</f>
        <v>0.00584</v>
      </c>
    </row>
    <row r="3981" spans="1:7">
      <c r="A3981" s="3"/>
      <c r="B3981" s="3"/>
      <c r="C3981" s="3"/>
      <c r="D3981" s="3"/>
      <c r="E3981" s="3">
        <v>18</v>
      </c>
      <c r="F3981" s="4" t="str">
        <f>HYPERLINK("http://141.218.60.56/~jnz1568/getInfo.php?workbook=12_05.xlsx&amp;sheet=U0&amp;row=3981&amp;col=6&amp;number=4.7&amp;sourceID=14","4.7")</f>
        <v>4.7</v>
      </c>
      <c r="G3981" s="4" t="str">
        <f>HYPERLINK("http://141.218.60.56/~jnz1568/getInfo.php?workbook=12_05.xlsx&amp;sheet=U0&amp;row=3981&amp;col=7&amp;number=0.00578&amp;sourceID=14","0.00578")</f>
        <v>0.00578</v>
      </c>
    </row>
    <row r="3982" spans="1:7">
      <c r="A3982" s="3"/>
      <c r="B3982" s="3"/>
      <c r="C3982" s="3"/>
      <c r="D3982" s="3"/>
      <c r="E3982" s="3">
        <v>19</v>
      </c>
      <c r="F3982" s="4" t="str">
        <f>HYPERLINK("http://141.218.60.56/~jnz1568/getInfo.php?workbook=12_05.xlsx&amp;sheet=U0&amp;row=3982&amp;col=6&amp;number=4.8&amp;sourceID=14","4.8")</f>
        <v>4.8</v>
      </c>
      <c r="G3982" s="4" t="str">
        <f>HYPERLINK("http://141.218.60.56/~jnz1568/getInfo.php?workbook=12_05.xlsx&amp;sheet=U0&amp;row=3982&amp;col=7&amp;number=0.00572&amp;sourceID=14","0.00572")</f>
        <v>0.00572</v>
      </c>
    </row>
    <row r="3983" spans="1:7">
      <c r="A3983" s="3"/>
      <c r="B3983" s="3"/>
      <c r="C3983" s="3"/>
      <c r="D3983" s="3"/>
      <c r="E3983" s="3">
        <v>20</v>
      </c>
      <c r="F3983" s="4" t="str">
        <f>HYPERLINK("http://141.218.60.56/~jnz1568/getInfo.php?workbook=12_05.xlsx&amp;sheet=U0&amp;row=3983&amp;col=6&amp;number=4.9&amp;sourceID=14","4.9")</f>
        <v>4.9</v>
      </c>
      <c r="G3983" s="4" t="str">
        <f>HYPERLINK("http://141.218.60.56/~jnz1568/getInfo.php?workbook=12_05.xlsx&amp;sheet=U0&amp;row=3983&amp;col=7&amp;number=0.00563&amp;sourceID=14","0.00563")</f>
        <v>0.00563</v>
      </c>
    </row>
    <row r="3984" spans="1:7">
      <c r="A3984" s="3">
        <v>12</v>
      </c>
      <c r="B3984" s="3">
        <v>5</v>
      </c>
      <c r="C3984" s="3">
        <v>2</v>
      </c>
      <c r="D3984" s="3">
        <v>52</v>
      </c>
      <c r="E3984" s="3">
        <v>1</v>
      </c>
      <c r="F3984" s="4" t="str">
        <f>HYPERLINK("http://141.218.60.56/~jnz1568/getInfo.php?workbook=12_05.xlsx&amp;sheet=U0&amp;row=3984&amp;col=6&amp;number=3&amp;sourceID=14","3")</f>
        <v>3</v>
      </c>
      <c r="G3984" s="4" t="str">
        <f>HYPERLINK("http://141.218.60.56/~jnz1568/getInfo.php?workbook=12_05.xlsx&amp;sheet=U0&amp;row=3984&amp;col=7&amp;number=0.00863&amp;sourceID=14","0.00863")</f>
        <v>0.00863</v>
      </c>
    </row>
    <row r="3985" spans="1:7">
      <c r="A3985" s="3"/>
      <c r="B3985" s="3"/>
      <c r="C3985" s="3"/>
      <c r="D3985" s="3"/>
      <c r="E3985" s="3">
        <v>2</v>
      </c>
      <c r="F3985" s="4" t="str">
        <f>HYPERLINK("http://141.218.60.56/~jnz1568/getInfo.php?workbook=12_05.xlsx&amp;sheet=U0&amp;row=3985&amp;col=6&amp;number=3.1&amp;sourceID=14","3.1")</f>
        <v>3.1</v>
      </c>
      <c r="G3985" s="4" t="str">
        <f>HYPERLINK("http://141.218.60.56/~jnz1568/getInfo.php?workbook=12_05.xlsx&amp;sheet=U0&amp;row=3985&amp;col=7&amp;number=0.00862&amp;sourceID=14","0.00862")</f>
        <v>0.00862</v>
      </c>
    </row>
    <row r="3986" spans="1:7">
      <c r="A3986" s="3"/>
      <c r="B3986" s="3"/>
      <c r="C3986" s="3"/>
      <c r="D3986" s="3"/>
      <c r="E3986" s="3">
        <v>3</v>
      </c>
      <c r="F3986" s="4" t="str">
        <f>HYPERLINK("http://141.218.60.56/~jnz1568/getInfo.php?workbook=12_05.xlsx&amp;sheet=U0&amp;row=3986&amp;col=6&amp;number=3.2&amp;sourceID=14","3.2")</f>
        <v>3.2</v>
      </c>
      <c r="G3986" s="4" t="str">
        <f>HYPERLINK("http://141.218.60.56/~jnz1568/getInfo.php?workbook=12_05.xlsx&amp;sheet=U0&amp;row=3986&amp;col=7&amp;number=0.00862&amp;sourceID=14","0.00862")</f>
        <v>0.00862</v>
      </c>
    </row>
    <row r="3987" spans="1:7">
      <c r="A3987" s="3"/>
      <c r="B3987" s="3"/>
      <c r="C3987" s="3"/>
      <c r="D3987" s="3"/>
      <c r="E3987" s="3">
        <v>4</v>
      </c>
      <c r="F3987" s="4" t="str">
        <f>HYPERLINK("http://141.218.60.56/~jnz1568/getInfo.php?workbook=12_05.xlsx&amp;sheet=U0&amp;row=3987&amp;col=6&amp;number=3.3&amp;sourceID=14","3.3")</f>
        <v>3.3</v>
      </c>
      <c r="G3987" s="4" t="str">
        <f>HYPERLINK("http://141.218.60.56/~jnz1568/getInfo.php?workbook=12_05.xlsx&amp;sheet=U0&amp;row=3987&amp;col=7&amp;number=0.00862&amp;sourceID=14","0.00862")</f>
        <v>0.00862</v>
      </c>
    </row>
    <row r="3988" spans="1:7">
      <c r="A3988" s="3"/>
      <c r="B3988" s="3"/>
      <c r="C3988" s="3"/>
      <c r="D3988" s="3"/>
      <c r="E3988" s="3">
        <v>5</v>
      </c>
      <c r="F3988" s="4" t="str">
        <f>HYPERLINK("http://141.218.60.56/~jnz1568/getInfo.php?workbook=12_05.xlsx&amp;sheet=U0&amp;row=3988&amp;col=6&amp;number=3.4&amp;sourceID=14","3.4")</f>
        <v>3.4</v>
      </c>
      <c r="G3988" s="4" t="str">
        <f>HYPERLINK("http://141.218.60.56/~jnz1568/getInfo.php?workbook=12_05.xlsx&amp;sheet=U0&amp;row=3988&amp;col=7&amp;number=0.00862&amp;sourceID=14","0.00862")</f>
        <v>0.00862</v>
      </c>
    </row>
    <row r="3989" spans="1:7">
      <c r="A3989" s="3"/>
      <c r="B3989" s="3"/>
      <c r="C3989" s="3"/>
      <c r="D3989" s="3"/>
      <c r="E3989" s="3">
        <v>6</v>
      </c>
      <c r="F3989" s="4" t="str">
        <f>HYPERLINK("http://141.218.60.56/~jnz1568/getInfo.php?workbook=12_05.xlsx&amp;sheet=U0&amp;row=3989&amp;col=6&amp;number=3.5&amp;sourceID=14","3.5")</f>
        <v>3.5</v>
      </c>
      <c r="G3989" s="4" t="str">
        <f>HYPERLINK("http://141.218.60.56/~jnz1568/getInfo.php?workbook=12_05.xlsx&amp;sheet=U0&amp;row=3989&amp;col=7&amp;number=0.00861&amp;sourceID=14","0.00861")</f>
        <v>0.00861</v>
      </c>
    </row>
    <row r="3990" spans="1:7">
      <c r="A3990" s="3"/>
      <c r="B3990" s="3"/>
      <c r="C3990" s="3"/>
      <c r="D3990" s="3"/>
      <c r="E3990" s="3">
        <v>7</v>
      </c>
      <c r="F3990" s="4" t="str">
        <f>HYPERLINK("http://141.218.60.56/~jnz1568/getInfo.php?workbook=12_05.xlsx&amp;sheet=U0&amp;row=3990&amp;col=6&amp;number=3.6&amp;sourceID=14","3.6")</f>
        <v>3.6</v>
      </c>
      <c r="G3990" s="4" t="str">
        <f>HYPERLINK("http://141.218.60.56/~jnz1568/getInfo.php?workbook=12_05.xlsx&amp;sheet=U0&amp;row=3990&amp;col=7&amp;number=0.00861&amp;sourceID=14","0.00861")</f>
        <v>0.00861</v>
      </c>
    </row>
    <row r="3991" spans="1:7">
      <c r="A3991" s="3"/>
      <c r="B3991" s="3"/>
      <c r="C3991" s="3"/>
      <c r="D3991" s="3"/>
      <c r="E3991" s="3">
        <v>8</v>
      </c>
      <c r="F3991" s="4" t="str">
        <f>HYPERLINK("http://141.218.60.56/~jnz1568/getInfo.php?workbook=12_05.xlsx&amp;sheet=U0&amp;row=3991&amp;col=6&amp;number=3.7&amp;sourceID=14","3.7")</f>
        <v>3.7</v>
      </c>
      <c r="G3991" s="4" t="str">
        <f>HYPERLINK("http://141.218.60.56/~jnz1568/getInfo.php?workbook=12_05.xlsx&amp;sheet=U0&amp;row=3991&amp;col=7&amp;number=0.0086&amp;sourceID=14","0.0086")</f>
        <v>0.0086</v>
      </c>
    </row>
    <row r="3992" spans="1:7">
      <c r="A3992" s="3"/>
      <c r="B3992" s="3"/>
      <c r="C3992" s="3"/>
      <c r="D3992" s="3"/>
      <c r="E3992" s="3">
        <v>9</v>
      </c>
      <c r="F3992" s="4" t="str">
        <f>HYPERLINK("http://141.218.60.56/~jnz1568/getInfo.php?workbook=12_05.xlsx&amp;sheet=U0&amp;row=3992&amp;col=6&amp;number=3.8&amp;sourceID=14","3.8")</f>
        <v>3.8</v>
      </c>
      <c r="G3992" s="4" t="str">
        <f>HYPERLINK("http://141.218.60.56/~jnz1568/getInfo.php?workbook=12_05.xlsx&amp;sheet=U0&amp;row=3992&amp;col=7&amp;number=0.00859&amp;sourceID=14","0.00859")</f>
        <v>0.00859</v>
      </c>
    </row>
    <row r="3993" spans="1:7">
      <c r="A3993" s="3"/>
      <c r="B3993" s="3"/>
      <c r="C3993" s="3"/>
      <c r="D3993" s="3"/>
      <c r="E3993" s="3">
        <v>10</v>
      </c>
      <c r="F3993" s="4" t="str">
        <f>HYPERLINK("http://141.218.60.56/~jnz1568/getInfo.php?workbook=12_05.xlsx&amp;sheet=U0&amp;row=3993&amp;col=6&amp;number=3.9&amp;sourceID=14","3.9")</f>
        <v>3.9</v>
      </c>
      <c r="G3993" s="4" t="str">
        <f>HYPERLINK("http://141.218.60.56/~jnz1568/getInfo.php?workbook=12_05.xlsx&amp;sheet=U0&amp;row=3993&amp;col=7&amp;number=0.00858&amp;sourceID=14","0.00858")</f>
        <v>0.00858</v>
      </c>
    </row>
    <row r="3994" spans="1:7">
      <c r="A3994" s="3"/>
      <c r="B3994" s="3"/>
      <c r="C3994" s="3"/>
      <c r="D3994" s="3"/>
      <c r="E3994" s="3">
        <v>11</v>
      </c>
      <c r="F3994" s="4" t="str">
        <f>HYPERLINK("http://141.218.60.56/~jnz1568/getInfo.php?workbook=12_05.xlsx&amp;sheet=U0&amp;row=3994&amp;col=6&amp;number=4&amp;sourceID=14","4")</f>
        <v>4</v>
      </c>
      <c r="G3994" s="4" t="str">
        <f>HYPERLINK("http://141.218.60.56/~jnz1568/getInfo.php?workbook=12_05.xlsx&amp;sheet=U0&amp;row=3994&amp;col=7&amp;number=0.00857&amp;sourceID=14","0.00857")</f>
        <v>0.00857</v>
      </c>
    </row>
    <row r="3995" spans="1:7">
      <c r="A3995" s="3"/>
      <c r="B3995" s="3"/>
      <c r="C3995" s="3"/>
      <c r="D3995" s="3"/>
      <c r="E3995" s="3">
        <v>12</v>
      </c>
      <c r="F3995" s="4" t="str">
        <f>HYPERLINK("http://141.218.60.56/~jnz1568/getInfo.php?workbook=12_05.xlsx&amp;sheet=U0&amp;row=3995&amp;col=6&amp;number=4.1&amp;sourceID=14","4.1")</f>
        <v>4.1</v>
      </c>
      <c r="G3995" s="4" t="str">
        <f>HYPERLINK("http://141.218.60.56/~jnz1568/getInfo.php?workbook=12_05.xlsx&amp;sheet=U0&amp;row=3995&amp;col=7&amp;number=0.00855&amp;sourceID=14","0.00855")</f>
        <v>0.00855</v>
      </c>
    </row>
    <row r="3996" spans="1:7">
      <c r="A3996" s="3"/>
      <c r="B3996" s="3"/>
      <c r="C3996" s="3"/>
      <c r="D3996" s="3"/>
      <c r="E3996" s="3">
        <v>13</v>
      </c>
      <c r="F3996" s="4" t="str">
        <f>HYPERLINK("http://141.218.60.56/~jnz1568/getInfo.php?workbook=12_05.xlsx&amp;sheet=U0&amp;row=3996&amp;col=6&amp;number=4.2&amp;sourceID=14","4.2")</f>
        <v>4.2</v>
      </c>
      <c r="G3996" s="4" t="str">
        <f>HYPERLINK("http://141.218.60.56/~jnz1568/getInfo.php?workbook=12_05.xlsx&amp;sheet=U0&amp;row=3996&amp;col=7&amp;number=0.00853&amp;sourceID=14","0.00853")</f>
        <v>0.00853</v>
      </c>
    </row>
    <row r="3997" spans="1:7">
      <c r="A3997" s="3"/>
      <c r="B3997" s="3"/>
      <c r="C3997" s="3"/>
      <c r="D3997" s="3"/>
      <c r="E3997" s="3">
        <v>14</v>
      </c>
      <c r="F3997" s="4" t="str">
        <f>HYPERLINK("http://141.218.60.56/~jnz1568/getInfo.php?workbook=12_05.xlsx&amp;sheet=U0&amp;row=3997&amp;col=6&amp;number=4.3&amp;sourceID=14","4.3")</f>
        <v>4.3</v>
      </c>
      <c r="G3997" s="4" t="str">
        <f>HYPERLINK("http://141.218.60.56/~jnz1568/getInfo.php?workbook=12_05.xlsx&amp;sheet=U0&amp;row=3997&amp;col=7&amp;number=0.0085&amp;sourceID=14","0.0085")</f>
        <v>0.0085</v>
      </c>
    </row>
    <row r="3998" spans="1:7">
      <c r="A3998" s="3"/>
      <c r="B3998" s="3"/>
      <c r="C3998" s="3"/>
      <c r="D3998" s="3"/>
      <c r="E3998" s="3">
        <v>15</v>
      </c>
      <c r="F3998" s="4" t="str">
        <f>HYPERLINK("http://141.218.60.56/~jnz1568/getInfo.php?workbook=12_05.xlsx&amp;sheet=U0&amp;row=3998&amp;col=6&amp;number=4.4&amp;sourceID=14","4.4")</f>
        <v>4.4</v>
      </c>
      <c r="G3998" s="4" t="str">
        <f>HYPERLINK("http://141.218.60.56/~jnz1568/getInfo.php?workbook=12_05.xlsx&amp;sheet=U0&amp;row=3998&amp;col=7&amp;number=0.00847&amp;sourceID=14","0.00847")</f>
        <v>0.00847</v>
      </c>
    </row>
    <row r="3999" spans="1:7">
      <c r="A3999" s="3"/>
      <c r="B3999" s="3"/>
      <c r="C3999" s="3"/>
      <c r="D3999" s="3"/>
      <c r="E3999" s="3">
        <v>16</v>
      </c>
      <c r="F3999" s="4" t="str">
        <f>HYPERLINK("http://141.218.60.56/~jnz1568/getInfo.php?workbook=12_05.xlsx&amp;sheet=U0&amp;row=3999&amp;col=6&amp;number=4.5&amp;sourceID=14","4.5")</f>
        <v>4.5</v>
      </c>
      <c r="G3999" s="4" t="str">
        <f>HYPERLINK("http://141.218.60.56/~jnz1568/getInfo.php?workbook=12_05.xlsx&amp;sheet=U0&amp;row=3999&amp;col=7&amp;number=0.00843&amp;sourceID=14","0.00843")</f>
        <v>0.00843</v>
      </c>
    </row>
    <row r="4000" spans="1:7">
      <c r="A4000" s="3"/>
      <c r="B4000" s="3"/>
      <c r="C4000" s="3"/>
      <c r="D4000" s="3"/>
      <c r="E4000" s="3">
        <v>17</v>
      </c>
      <c r="F4000" s="4" t="str">
        <f>HYPERLINK("http://141.218.60.56/~jnz1568/getInfo.php?workbook=12_05.xlsx&amp;sheet=U0&amp;row=4000&amp;col=6&amp;number=4.6&amp;sourceID=14","4.6")</f>
        <v>4.6</v>
      </c>
      <c r="G4000" s="4" t="str">
        <f>HYPERLINK("http://141.218.60.56/~jnz1568/getInfo.php?workbook=12_05.xlsx&amp;sheet=U0&amp;row=4000&amp;col=7&amp;number=0.00838&amp;sourceID=14","0.00838")</f>
        <v>0.00838</v>
      </c>
    </row>
    <row r="4001" spans="1:7">
      <c r="A4001" s="3"/>
      <c r="B4001" s="3"/>
      <c r="C4001" s="3"/>
      <c r="D4001" s="3"/>
      <c r="E4001" s="3">
        <v>18</v>
      </c>
      <c r="F4001" s="4" t="str">
        <f>HYPERLINK("http://141.218.60.56/~jnz1568/getInfo.php?workbook=12_05.xlsx&amp;sheet=U0&amp;row=4001&amp;col=6&amp;number=4.7&amp;sourceID=14","4.7")</f>
        <v>4.7</v>
      </c>
      <c r="G4001" s="4" t="str">
        <f>HYPERLINK("http://141.218.60.56/~jnz1568/getInfo.php?workbook=12_05.xlsx&amp;sheet=U0&amp;row=4001&amp;col=7&amp;number=0.00832&amp;sourceID=14","0.00832")</f>
        <v>0.00832</v>
      </c>
    </row>
    <row r="4002" spans="1:7">
      <c r="A4002" s="3"/>
      <c r="B4002" s="3"/>
      <c r="C4002" s="3"/>
      <c r="D4002" s="3"/>
      <c r="E4002" s="3">
        <v>19</v>
      </c>
      <c r="F4002" s="4" t="str">
        <f>HYPERLINK("http://141.218.60.56/~jnz1568/getInfo.php?workbook=12_05.xlsx&amp;sheet=U0&amp;row=4002&amp;col=6&amp;number=4.8&amp;sourceID=14","4.8")</f>
        <v>4.8</v>
      </c>
      <c r="G4002" s="4" t="str">
        <f>HYPERLINK("http://141.218.60.56/~jnz1568/getInfo.php?workbook=12_05.xlsx&amp;sheet=U0&amp;row=4002&amp;col=7&amp;number=0.00824&amp;sourceID=14","0.00824")</f>
        <v>0.00824</v>
      </c>
    </row>
    <row r="4003" spans="1:7">
      <c r="A4003" s="3"/>
      <c r="B4003" s="3"/>
      <c r="C4003" s="3"/>
      <c r="D4003" s="3"/>
      <c r="E4003" s="3">
        <v>20</v>
      </c>
      <c r="F4003" s="4" t="str">
        <f>HYPERLINK("http://141.218.60.56/~jnz1568/getInfo.php?workbook=12_05.xlsx&amp;sheet=U0&amp;row=4003&amp;col=6&amp;number=4.9&amp;sourceID=14","4.9")</f>
        <v>4.9</v>
      </c>
      <c r="G4003" s="4" t="str">
        <f>HYPERLINK("http://141.218.60.56/~jnz1568/getInfo.php?workbook=12_05.xlsx&amp;sheet=U0&amp;row=4003&amp;col=7&amp;number=0.00815&amp;sourceID=14","0.00815")</f>
        <v>0.00815</v>
      </c>
    </row>
    <row r="4004" spans="1:7">
      <c r="A4004" s="3">
        <v>12</v>
      </c>
      <c r="B4004" s="3">
        <v>5</v>
      </c>
      <c r="C4004" s="3">
        <v>2</v>
      </c>
      <c r="D4004" s="3">
        <v>53</v>
      </c>
      <c r="E4004" s="3">
        <v>1</v>
      </c>
      <c r="F4004" s="4" t="str">
        <f>HYPERLINK("http://141.218.60.56/~jnz1568/getInfo.php?workbook=12_05.xlsx&amp;sheet=U0&amp;row=4004&amp;col=6&amp;number=3&amp;sourceID=14","3")</f>
        <v>3</v>
      </c>
      <c r="G4004" s="4" t="str">
        <f>HYPERLINK("http://141.218.60.56/~jnz1568/getInfo.php?workbook=12_05.xlsx&amp;sheet=U0&amp;row=4004&amp;col=7&amp;number=0.0319&amp;sourceID=14","0.0319")</f>
        <v>0.0319</v>
      </c>
    </row>
    <row r="4005" spans="1:7">
      <c r="A4005" s="3"/>
      <c r="B4005" s="3"/>
      <c r="C4005" s="3"/>
      <c r="D4005" s="3"/>
      <c r="E4005" s="3">
        <v>2</v>
      </c>
      <c r="F4005" s="4" t="str">
        <f>HYPERLINK("http://141.218.60.56/~jnz1568/getInfo.php?workbook=12_05.xlsx&amp;sheet=U0&amp;row=4005&amp;col=6&amp;number=3.1&amp;sourceID=14","3.1")</f>
        <v>3.1</v>
      </c>
      <c r="G4005" s="4" t="str">
        <f>HYPERLINK("http://141.218.60.56/~jnz1568/getInfo.php?workbook=12_05.xlsx&amp;sheet=U0&amp;row=4005&amp;col=7&amp;number=0.0319&amp;sourceID=14","0.0319")</f>
        <v>0.0319</v>
      </c>
    </row>
    <row r="4006" spans="1:7">
      <c r="A4006" s="3"/>
      <c r="B4006" s="3"/>
      <c r="C4006" s="3"/>
      <c r="D4006" s="3"/>
      <c r="E4006" s="3">
        <v>3</v>
      </c>
      <c r="F4006" s="4" t="str">
        <f>HYPERLINK("http://141.218.60.56/~jnz1568/getInfo.php?workbook=12_05.xlsx&amp;sheet=U0&amp;row=4006&amp;col=6&amp;number=3.2&amp;sourceID=14","3.2")</f>
        <v>3.2</v>
      </c>
      <c r="G4006" s="4" t="str">
        <f>HYPERLINK("http://141.218.60.56/~jnz1568/getInfo.php?workbook=12_05.xlsx&amp;sheet=U0&amp;row=4006&amp;col=7&amp;number=0.032&amp;sourceID=14","0.032")</f>
        <v>0.032</v>
      </c>
    </row>
    <row r="4007" spans="1:7">
      <c r="A4007" s="3"/>
      <c r="B4007" s="3"/>
      <c r="C4007" s="3"/>
      <c r="D4007" s="3"/>
      <c r="E4007" s="3">
        <v>4</v>
      </c>
      <c r="F4007" s="4" t="str">
        <f>HYPERLINK("http://141.218.60.56/~jnz1568/getInfo.php?workbook=12_05.xlsx&amp;sheet=U0&amp;row=4007&amp;col=6&amp;number=3.3&amp;sourceID=14","3.3")</f>
        <v>3.3</v>
      </c>
      <c r="G4007" s="4" t="str">
        <f>HYPERLINK("http://141.218.60.56/~jnz1568/getInfo.php?workbook=12_05.xlsx&amp;sheet=U0&amp;row=4007&amp;col=7&amp;number=0.032&amp;sourceID=14","0.032")</f>
        <v>0.032</v>
      </c>
    </row>
    <row r="4008" spans="1:7">
      <c r="A4008" s="3"/>
      <c r="B4008" s="3"/>
      <c r="C4008" s="3"/>
      <c r="D4008" s="3"/>
      <c r="E4008" s="3">
        <v>5</v>
      </c>
      <c r="F4008" s="4" t="str">
        <f>HYPERLINK("http://141.218.60.56/~jnz1568/getInfo.php?workbook=12_05.xlsx&amp;sheet=U0&amp;row=4008&amp;col=6&amp;number=3.4&amp;sourceID=14","3.4")</f>
        <v>3.4</v>
      </c>
      <c r="G4008" s="4" t="str">
        <f>HYPERLINK("http://141.218.60.56/~jnz1568/getInfo.php?workbook=12_05.xlsx&amp;sheet=U0&amp;row=4008&amp;col=7&amp;number=0.032&amp;sourceID=14","0.032")</f>
        <v>0.032</v>
      </c>
    </row>
    <row r="4009" spans="1:7">
      <c r="A4009" s="3"/>
      <c r="B4009" s="3"/>
      <c r="C4009" s="3"/>
      <c r="D4009" s="3"/>
      <c r="E4009" s="3">
        <v>6</v>
      </c>
      <c r="F4009" s="4" t="str">
        <f>HYPERLINK("http://141.218.60.56/~jnz1568/getInfo.php?workbook=12_05.xlsx&amp;sheet=U0&amp;row=4009&amp;col=6&amp;number=3.5&amp;sourceID=14","3.5")</f>
        <v>3.5</v>
      </c>
      <c r="G4009" s="4" t="str">
        <f>HYPERLINK("http://141.218.60.56/~jnz1568/getInfo.php?workbook=12_05.xlsx&amp;sheet=U0&amp;row=4009&amp;col=7&amp;number=0.0321&amp;sourceID=14","0.0321")</f>
        <v>0.0321</v>
      </c>
    </row>
    <row r="4010" spans="1:7">
      <c r="A4010" s="3"/>
      <c r="B4010" s="3"/>
      <c r="C4010" s="3"/>
      <c r="D4010" s="3"/>
      <c r="E4010" s="3">
        <v>7</v>
      </c>
      <c r="F4010" s="4" t="str">
        <f>HYPERLINK("http://141.218.60.56/~jnz1568/getInfo.php?workbook=12_05.xlsx&amp;sheet=U0&amp;row=4010&amp;col=6&amp;number=3.6&amp;sourceID=14","3.6")</f>
        <v>3.6</v>
      </c>
      <c r="G4010" s="4" t="str">
        <f>HYPERLINK("http://141.218.60.56/~jnz1568/getInfo.php?workbook=12_05.xlsx&amp;sheet=U0&amp;row=4010&amp;col=7&amp;number=0.0321&amp;sourceID=14","0.0321")</f>
        <v>0.0321</v>
      </c>
    </row>
    <row r="4011" spans="1:7">
      <c r="A4011" s="3"/>
      <c r="B4011" s="3"/>
      <c r="C4011" s="3"/>
      <c r="D4011" s="3"/>
      <c r="E4011" s="3">
        <v>8</v>
      </c>
      <c r="F4011" s="4" t="str">
        <f>HYPERLINK("http://141.218.60.56/~jnz1568/getInfo.php?workbook=12_05.xlsx&amp;sheet=U0&amp;row=4011&amp;col=6&amp;number=3.7&amp;sourceID=14","3.7")</f>
        <v>3.7</v>
      </c>
      <c r="G4011" s="4" t="str">
        <f>HYPERLINK("http://141.218.60.56/~jnz1568/getInfo.php?workbook=12_05.xlsx&amp;sheet=U0&amp;row=4011&amp;col=7&amp;number=0.0322&amp;sourceID=14","0.0322")</f>
        <v>0.0322</v>
      </c>
    </row>
    <row r="4012" spans="1:7">
      <c r="A4012" s="3"/>
      <c r="B4012" s="3"/>
      <c r="C4012" s="3"/>
      <c r="D4012" s="3"/>
      <c r="E4012" s="3">
        <v>9</v>
      </c>
      <c r="F4012" s="4" t="str">
        <f>HYPERLINK("http://141.218.60.56/~jnz1568/getInfo.php?workbook=12_05.xlsx&amp;sheet=U0&amp;row=4012&amp;col=6&amp;number=3.8&amp;sourceID=14","3.8")</f>
        <v>3.8</v>
      </c>
      <c r="G4012" s="4" t="str">
        <f>HYPERLINK("http://141.218.60.56/~jnz1568/getInfo.php?workbook=12_05.xlsx&amp;sheet=U0&amp;row=4012&amp;col=7&amp;number=0.0323&amp;sourceID=14","0.0323")</f>
        <v>0.0323</v>
      </c>
    </row>
    <row r="4013" spans="1:7">
      <c r="A4013" s="3"/>
      <c r="B4013" s="3"/>
      <c r="C4013" s="3"/>
      <c r="D4013" s="3"/>
      <c r="E4013" s="3">
        <v>10</v>
      </c>
      <c r="F4013" s="4" t="str">
        <f>HYPERLINK("http://141.218.60.56/~jnz1568/getInfo.php?workbook=12_05.xlsx&amp;sheet=U0&amp;row=4013&amp;col=6&amp;number=3.9&amp;sourceID=14","3.9")</f>
        <v>3.9</v>
      </c>
      <c r="G4013" s="4" t="str">
        <f>HYPERLINK("http://141.218.60.56/~jnz1568/getInfo.php?workbook=12_05.xlsx&amp;sheet=U0&amp;row=4013&amp;col=7&amp;number=0.0324&amp;sourceID=14","0.0324")</f>
        <v>0.0324</v>
      </c>
    </row>
    <row r="4014" spans="1:7">
      <c r="A4014" s="3"/>
      <c r="B4014" s="3"/>
      <c r="C4014" s="3"/>
      <c r="D4014" s="3"/>
      <c r="E4014" s="3">
        <v>11</v>
      </c>
      <c r="F4014" s="4" t="str">
        <f>HYPERLINK("http://141.218.60.56/~jnz1568/getInfo.php?workbook=12_05.xlsx&amp;sheet=U0&amp;row=4014&amp;col=6&amp;number=4&amp;sourceID=14","4")</f>
        <v>4</v>
      </c>
      <c r="G4014" s="4" t="str">
        <f>HYPERLINK("http://141.218.60.56/~jnz1568/getInfo.php?workbook=12_05.xlsx&amp;sheet=U0&amp;row=4014&amp;col=7&amp;number=0.0325&amp;sourceID=14","0.0325")</f>
        <v>0.0325</v>
      </c>
    </row>
    <row r="4015" spans="1:7">
      <c r="A4015" s="3"/>
      <c r="B4015" s="3"/>
      <c r="C4015" s="3"/>
      <c r="D4015" s="3"/>
      <c r="E4015" s="3">
        <v>12</v>
      </c>
      <c r="F4015" s="4" t="str">
        <f>HYPERLINK("http://141.218.60.56/~jnz1568/getInfo.php?workbook=12_05.xlsx&amp;sheet=U0&amp;row=4015&amp;col=6&amp;number=4.1&amp;sourceID=14","4.1")</f>
        <v>4.1</v>
      </c>
      <c r="G4015" s="4" t="str">
        <f>HYPERLINK("http://141.218.60.56/~jnz1568/getInfo.php?workbook=12_05.xlsx&amp;sheet=U0&amp;row=4015&amp;col=7&amp;number=0.0327&amp;sourceID=14","0.0327")</f>
        <v>0.0327</v>
      </c>
    </row>
    <row r="4016" spans="1:7">
      <c r="A4016" s="3"/>
      <c r="B4016" s="3"/>
      <c r="C4016" s="3"/>
      <c r="D4016" s="3"/>
      <c r="E4016" s="3">
        <v>13</v>
      </c>
      <c r="F4016" s="4" t="str">
        <f>HYPERLINK("http://141.218.60.56/~jnz1568/getInfo.php?workbook=12_05.xlsx&amp;sheet=U0&amp;row=4016&amp;col=6&amp;number=4.2&amp;sourceID=14","4.2")</f>
        <v>4.2</v>
      </c>
      <c r="G4016" s="4" t="str">
        <f>HYPERLINK("http://141.218.60.56/~jnz1568/getInfo.php?workbook=12_05.xlsx&amp;sheet=U0&amp;row=4016&amp;col=7&amp;number=0.033&amp;sourceID=14","0.033")</f>
        <v>0.033</v>
      </c>
    </row>
    <row r="4017" spans="1:7">
      <c r="A4017" s="3"/>
      <c r="B4017" s="3"/>
      <c r="C4017" s="3"/>
      <c r="D4017" s="3"/>
      <c r="E4017" s="3">
        <v>14</v>
      </c>
      <c r="F4017" s="4" t="str">
        <f>HYPERLINK("http://141.218.60.56/~jnz1568/getInfo.php?workbook=12_05.xlsx&amp;sheet=U0&amp;row=4017&amp;col=6&amp;number=4.3&amp;sourceID=14","4.3")</f>
        <v>4.3</v>
      </c>
      <c r="G4017" s="4" t="str">
        <f>HYPERLINK("http://141.218.60.56/~jnz1568/getInfo.php?workbook=12_05.xlsx&amp;sheet=U0&amp;row=4017&amp;col=7&amp;number=0.0332&amp;sourceID=14","0.0332")</f>
        <v>0.0332</v>
      </c>
    </row>
    <row r="4018" spans="1:7">
      <c r="A4018" s="3"/>
      <c r="B4018" s="3"/>
      <c r="C4018" s="3"/>
      <c r="D4018" s="3"/>
      <c r="E4018" s="3">
        <v>15</v>
      </c>
      <c r="F4018" s="4" t="str">
        <f>HYPERLINK("http://141.218.60.56/~jnz1568/getInfo.php?workbook=12_05.xlsx&amp;sheet=U0&amp;row=4018&amp;col=6&amp;number=4.4&amp;sourceID=14","4.4")</f>
        <v>4.4</v>
      </c>
      <c r="G4018" s="4" t="str">
        <f>HYPERLINK("http://141.218.60.56/~jnz1568/getInfo.php?workbook=12_05.xlsx&amp;sheet=U0&amp;row=4018&amp;col=7&amp;number=0.0336&amp;sourceID=14","0.0336")</f>
        <v>0.0336</v>
      </c>
    </row>
    <row r="4019" spans="1:7">
      <c r="A4019" s="3"/>
      <c r="B4019" s="3"/>
      <c r="C4019" s="3"/>
      <c r="D4019" s="3"/>
      <c r="E4019" s="3">
        <v>16</v>
      </c>
      <c r="F4019" s="4" t="str">
        <f>HYPERLINK("http://141.218.60.56/~jnz1568/getInfo.php?workbook=12_05.xlsx&amp;sheet=U0&amp;row=4019&amp;col=6&amp;number=4.5&amp;sourceID=14","4.5")</f>
        <v>4.5</v>
      </c>
      <c r="G4019" s="4" t="str">
        <f>HYPERLINK("http://141.218.60.56/~jnz1568/getInfo.php?workbook=12_05.xlsx&amp;sheet=U0&amp;row=4019&amp;col=7&amp;number=0.034&amp;sourceID=14","0.034")</f>
        <v>0.034</v>
      </c>
    </row>
    <row r="4020" spans="1:7">
      <c r="A4020" s="3"/>
      <c r="B4020" s="3"/>
      <c r="C4020" s="3"/>
      <c r="D4020" s="3"/>
      <c r="E4020" s="3">
        <v>17</v>
      </c>
      <c r="F4020" s="4" t="str">
        <f>HYPERLINK("http://141.218.60.56/~jnz1568/getInfo.php?workbook=12_05.xlsx&amp;sheet=U0&amp;row=4020&amp;col=6&amp;number=4.6&amp;sourceID=14","4.6")</f>
        <v>4.6</v>
      </c>
      <c r="G4020" s="4" t="str">
        <f>HYPERLINK("http://141.218.60.56/~jnz1568/getInfo.php?workbook=12_05.xlsx&amp;sheet=U0&amp;row=4020&amp;col=7&amp;number=0.0346&amp;sourceID=14","0.0346")</f>
        <v>0.0346</v>
      </c>
    </row>
    <row r="4021" spans="1:7">
      <c r="A4021" s="3"/>
      <c r="B4021" s="3"/>
      <c r="C4021" s="3"/>
      <c r="D4021" s="3"/>
      <c r="E4021" s="3">
        <v>18</v>
      </c>
      <c r="F4021" s="4" t="str">
        <f>HYPERLINK("http://141.218.60.56/~jnz1568/getInfo.php?workbook=12_05.xlsx&amp;sheet=U0&amp;row=4021&amp;col=6&amp;number=4.7&amp;sourceID=14","4.7")</f>
        <v>4.7</v>
      </c>
      <c r="G4021" s="4" t="str">
        <f>HYPERLINK("http://141.218.60.56/~jnz1568/getInfo.php?workbook=12_05.xlsx&amp;sheet=U0&amp;row=4021&amp;col=7&amp;number=0.0353&amp;sourceID=14","0.0353")</f>
        <v>0.0353</v>
      </c>
    </row>
    <row r="4022" spans="1:7">
      <c r="A4022" s="3"/>
      <c r="B4022" s="3"/>
      <c r="C4022" s="3"/>
      <c r="D4022" s="3"/>
      <c r="E4022" s="3">
        <v>19</v>
      </c>
      <c r="F4022" s="4" t="str">
        <f>HYPERLINK("http://141.218.60.56/~jnz1568/getInfo.php?workbook=12_05.xlsx&amp;sheet=U0&amp;row=4022&amp;col=6&amp;number=4.8&amp;sourceID=14","4.8")</f>
        <v>4.8</v>
      </c>
      <c r="G4022" s="4" t="str">
        <f>HYPERLINK("http://141.218.60.56/~jnz1568/getInfo.php?workbook=12_05.xlsx&amp;sheet=U0&amp;row=4022&amp;col=7&amp;number=0.0362&amp;sourceID=14","0.0362")</f>
        <v>0.0362</v>
      </c>
    </row>
    <row r="4023" spans="1:7">
      <c r="A4023" s="3"/>
      <c r="B4023" s="3"/>
      <c r="C4023" s="3"/>
      <c r="D4023" s="3"/>
      <c r="E4023" s="3">
        <v>20</v>
      </c>
      <c r="F4023" s="4" t="str">
        <f>HYPERLINK("http://141.218.60.56/~jnz1568/getInfo.php?workbook=12_05.xlsx&amp;sheet=U0&amp;row=4023&amp;col=6&amp;number=4.9&amp;sourceID=14","4.9")</f>
        <v>4.9</v>
      </c>
      <c r="G4023" s="4" t="str">
        <f>HYPERLINK("http://141.218.60.56/~jnz1568/getInfo.php?workbook=12_05.xlsx&amp;sheet=U0&amp;row=4023&amp;col=7&amp;number=0.0372&amp;sourceID=14","0.0372")</f>
        <v>0.0372</v>
      </c>
    </row>
    <row r="4024" spans="1:7">
      <c r="A4024" s="3">
        <v>12</v>
      </c>
      <c r="B4024" s="3">
        <v>5</v>
      </c>
      <c r="C4024" s="3">
        <v>2</v>
      </c>
      <c r="D4024" s="3">
        <v>54</v>
      </c>
      <c r="E4024" s="3">
        <v>1</v>
      </c>
      <c r="F4024" s="4" t="str">
        <f>HYPERLINK("http://141.218.60.56/~jnz1568/getInfo.php?workbook=12_05.xlsx&amp;sheet=U0&amp;row=4024&amp;col=6&amp;number=3&amp;sourceID=14","3")</f>
        <v>3</v>
      </c>
      <c r="G4024" s="4" t="str">
        <f>HYPERLINK("http://141.218.60.56/~jnz1568/getInfo.php?workbook=12_05.xlsx&amp;sheet=U0&amp;row=4024&amp;col=7&amp;number=0.00529&amp;sourceID=14","0.00529")</f>
        <v>0.00529</v>
      </c>
    </row>
    <row r="4025" spans="1:7">
      <c r="A4025" s="3"/>
      <c r="B4025" s="3"/>
      <c r="C4025" s="3"/>
      <c r="D4025" s="3"/>
      <c r="E4025" s="3">
        <v>2</v>
      </c>
      <c r="F4025" s="4" t="str">
        <f>HYPERLINK("http://141.218.60.56/~jnz1568/getInfo.php?workbook=12_05.xlsx&amp;sheet=U0&amp;row=4025&amp;col=6&amp;number=3.1&amp;sourceID=14","3.1")</f>
        <v>3.1</v>
      </c>
      <c r="G4025" s="4" t="str">
        <f>HYPERLINK("http://141.218.60.56/~jnz1568/getInfo.php?workbook=12_05.xlsx&amp;sheet=U0&amp;row=4025&amp;col=7&amp;number=0.00529&amp;sourceID=14","0.00529")</f>
        <v>0.00529</v>
      </c>
    </row>
    <row r="4026" spans="1:7">
      <c r="A4026" s="3"/>
      <c r="B4026" s="3"/>
      <c r="C4026" s="3"/>
      <c r="D4026" s="3"/>
      <c r="E4026" s="3">
        <v>3</v>
      </c>
      <c r="F4026" s="4" t="str">
        <f>HYPERLINK("http://141.218.60.56/~jnz1568/getInfo.php?workbook=12_05.xlsx&amp;sheet=U0&amp;row=4026&amp;col=6&amp;number=3.2&amp;sourceID=14","3.2")</f>
        <v>3.2</v>
      </c>
      <c r="G4026" s="4" t="str">
        <f>HYPERLINK("http://141.218.60.56/~jnz1568/getInfo.php?workbook=12_05.xlsx&amp;sheet=U0&amp;row=4026&amp;col=7&amp;number=0.00529&amp;sourceID=14","0.00529")</f>
        <v>0.00529</v>
      </c>
    </row>
    <row r="4027" spans="1:7">
      <c r="A4027" s="3"/>
      <c r="B4027" s="3"/>
      <c r="C4027" s="3"/>
      <c r="D4027" s="3"/>
      <c r="E4027" s="3">
        <v>4</v>
      </c>
      <c r="F4027" s="4" t="str">
        <f>HYPERLINK("http://141.218.60.56/~jnz1568/getInfo.php?workbook=12_05.xlsx&amp;sheet=U0&amp;row=4027&amp;col=6&amp;number=3.3&amp;sourceID=14","3.3")</f>
        <v>3.3</v>
      </c>
      <c r="G4027" s="4" t="str">
        <f>HYPERLINK("http://141.218.60.56/~jnz1568/getInfo.php?workbook=12_05.xlsx&amp;sheet=U0&amp;row=4027&amp;col=7&amp;number=0.00529&amp;sourceID=14","0.00529")</f>
        <v>0.00529</v>
      </c>
    </row>
    <row r="4028" spans="1:7">
      <c r="A4028" s="3"/>
      <c r="B4028" s="3"/>
      <c r="C4028" s="3"/>
      <c r="D4028" s="3"/>
      <c r="E4028" s="3">
        <v>5</v>
      </c>
      <c r="F4028" s="4" t="str">
        <f>HYPERLINK("http://141.218.60.56/~jnz1568/getInfo.php?workbook=12_05.xlsx&amp;sheet=U0&amp;row=4028&amp;col=6&amp;number=3.4&amp;sourceID=14","3.4")</f>
        <v>3.4</v>
      </c>
      <c r="G4028" s="4" t="str">
        <f>HYPERLINK("http://141.218.60.56/~jnz1568/getInfo.php?workbook=12_05.xlsx&amp;sheet=U0&amp;row=4028&amp;col=7&amp;number=0.00529&amp;sourceID=14","0.00529")</f>
        <v>0.00529</v>
      </c>
    </row>
    <row r="4029" spans="1:7">
      <c r="A4029" s="3"/>
      <c r="B4029" s="3"/>
      <c r="C4029" s="3"/>
      <c r="D4029" s="3"/>
      <c r="E4029" s="3">
        <v>6</v>
      </c>
      <c r="F4029" s="4" t="str">
        <f>HYPERLINK("http://141.218.60.56/~jnz1568/getInfo.php?workbook=12_05.xlsx&amp;sheet=U0&amp;row=4029&amp;col=6&amp;number=3.5&amp;sourceID=14","3.5")</f>
        <v>3.5</v>
      </c>
      <c r="G4029" s="4" t="str">
        <f>HYPERLINK("http://141.218.60.56/~jnz1568/getInfo.php?workbook=12_05.xlsx&amp;sheet=U0&amp;row=4029&amp;col=7&amp;number=0.00529&amp;sourceID=14","0.00529")</f>
        <v>0.00529</v>
      </c>
    </row>
    <row r="4030" spans="1:7">
      <c r="A4030" s="3"/>
      <c r="B4030" s="3"/>
      <c r="C4030" s="3"/>
      <c r="D4030" s="3"/>
      <c r="E4030" s="3">
        <v>7</v>
      </c>
      <c r="F4030" s="4" t="str">
        <f>HYPERLINK("http://141.218.60.56/~jnz1568/getInfo.php?workbook=12_05.xlsx&amp;sheet=U0&amp;row=4030&amp;col=6&amp;number=3.6&amp;sourceID=14","3.6")</f>
        <v>3.6</v>
      </c>
      <c r="G4030" s="4" t="str">
        <f>HYPERLINK("http://141.218.60.56/~jnz1568/getInfo.php?workbook=12_05.xlsx&amp;sheet=U0&amp;row=4030&amp;col=7&amp;number=0.00529&amp;sourceID=14","0.00529")</f>
        <v>0.00529</v>
      </c>
    </row>
    <row r="4031" spans="1:7">
      <c r="A4031" s="3"/>
      <c r="B4031" s="3"/>
      <c r="C4031" s="3"/>
      <c r="D4031" s="3"/>
      <c r="E4031" s="3">
        <v>8</v>
      </c>
      <c r="F4031" s="4" t="str">
        <f>HYPERLINK("http://141.218.60.56/~jnz1568/getInfo.php?workbook=12_05.xlsx&amp;sheet=U0&amp;row=4031&amp;col=6&amp;number=3.7&amp;sourceID=14","3.7")</f>
        <v>3.7</v>
      </c>
      <c r="G4031" s="4" t="str">
        <f>HYPERLINK("http://141.218.60.56/~jnz1568/getInfo.php?workbook=12_05.xlsx&amp;sheet=U0&amp;row=4031&amp;col=7&amp;number=0.00529&amp;sourceID=14","0.00529")</f>
        <v>0.00529</v>
      </c>
    </row>
    <row r="4032" spans="1:7">
      <c r="A4032" s="3"/>
      <c r="B4032" s="3"/>
      <c r="C4032" s="3"/>
      <c r="D4032" s="3"/>
      <c r="E4032" s="3">
        <v>9</v>
      </c>
      <c r="F4032" s="4" t="str">
        <f>HYPERLINK("http://141.218.60.56/~jnz1568/getInfo.php?workbook=12_05.xlsx&amp;sheet=U0&amp;row=4032&amp;col=6&amp;number=3.8&amp;sourceID=14","3.8")</f>
        <v>3.8</v>
      </c>
      <c r="G4032" s="4" t="str">
        <f>HYPERLINK("http://141.218.60.56/~jnz1568/getInfo.php?workbook=12_05.xlsx&amp;sheet=U0&amp;row=4032&amp;col=7&amp;number=0.00529&amp;sourceID=14","0.00529")</f>
        <v>0.00529</v>
      </c>
    </row>
    <row r="4033" spans="1:7">
      <c r="A4033" s="3"/>
      <c r="B4033" s="3"/>
      <c r="C4033" s="3"/>
      <c r="D4033" s="3"/>
      <c r="E4033" s="3">
        <v>10</v>
      </c>
      <c r="F4033" s="4" t="str">
        <f>HYPERLINK("http://141.218.60.56/~jnz1568/getInfo.php?workbook=12_05.xlsx&amp;sheet=U0&amp;row=4033&amp;col=6&amp;number=3.9&amp;sourceID=14","3.9")</f>
        <v>3.9</v>
      </c>
      <c r="G4033" s="4" t="str">
        <f>HYPERLINK("http://141.218.60.56/~jnz1568/getInfo.php?workbook=12_05.xlsx&amp;sheet=U0&amp;row=4033&amp;col=7&amp;number=0.0053&amp;sourceID=14","0.0053")</f>
        <v>0.0053</v>
      </c>
    </row>
    <row r="4034" spans="1:7">
      <c r="A4034" s="3"/>
      <c r="B4034" s="3"/>
      <c r="C4034" s="3"/>
      <c r="D4034" s="3"/>
      <c r="E4034" s="3">
        <v>11</v>
      </c>
      <c r="F4034" s="4" t="str">
        <f>HYPERLINK("http://141.218.60.56/~jnz1568/getInfo.php?workbook=12_05.xlsx&amp;sheet=U0&amp;row=4034&amp;col=6&amp;number=4&amp;sourceID=14","4")</f>
        <v>4</v>
      </c>
      <c r="G4034" s="4" t="str">
        <f>HYPERLINK("http://141.218.60.56/~jnz1568/getInfo.php?workbook=12_05.xlsx&amp;sheet=U0&amp;row=4034&amp;col=7&amp;number=0.0053&amp;sourceID=14","0.0053")</f>
        <v>0.0053</v>
      </c>
    </row>
    <row r="4035" spans="1:7">
      <c r="A4035" s="3"/>
      <c r="B4035" s="3"/>
      <c r="C4035" s="3"/>
      <c r="D4035" s="3"/>
      <c r="E4035" s="3">
        <v>12</v>
      </c>
      <c r="F4035" s="4" t="str">
        <f>HYPERLINK("http://141.218.60.56/~jnz1568/getInfo.php?workbook=12_05.xlsx&amp;sheet=U0&amp;row=4035&amp;col=6&amp;number=4.1&amp;sourceID=14","4.1")</f>
        <v>4.1</v>
      </c>
      <c r="G4035" s="4" t="str">
        <f>HYPERLINK("http://141.218.60.56/~jnz1568/getInfo.php?workbook=12_05.xlsx&amp;sheet=U0&amp;row=4035&amp;col=7&amp;number=0.0053&amp;sourceID=14","0.0053")</f>
        <v>0.0053</v>
      </c>
    </row>
    <row r="4036" spans="1:7">
      <c r="A4036" s="3"/>
      <c r="B4036" s="3"/>
      <c r="C4036" s="3"/>
      <c r="D4036" s="3"/>
      <c r="E4036" s="3">
        <v>13</v>
      </c>
      <c r="F4036" s="4" t="str">
        <f>HYPERLINK("http://141.218.60.56/~jnz1568/getInfo.php?workbook=12_05.xlsx&amp;sheet=U0&amp;row=4036&amp;col=6&amp;number=4.2&amp;sourceID=14","4.2")</f>
        <v>4.2</v>
      </c>
      <c r="G4036" s="4" t="str">
        <f>HYPERLINK("http://141.218.60.56/~jnz1568/getInfo.php?workbook=12_05.xlsx&amp;sheet=U0&amp;row=4036&amp;col=7&amp;number=0.0053&amp;sourceID=14","0.0053")</f>
        <v>0.0053</v>
      </c>
    </row>
    <row r="4037" spans="1:7">
      <c r="A4037" s="3"/>
      <c r="B4037" s="3"/>
      <c r="C4037" s="3"/>
      <c r="D4037" s="3"/>
      <c r="E4037" s="3">
        <v>14</v>
      </c>
      <c r="F4037" s="4" t="str">
        <f>HYPERLINK("http://141.218.60.56/~jnz1568/getInfo.php?workbook=12_05.xlsx&amp;sheet=U0&amp;row=4037&amp;col=6&amp;number=4.3&amp;sourceID=14","4.3")</f>
        <v>4.3</v>
      </c>
      <c r="G4037" s="4" t="str">
        <f>HYPERLINK("http://141.218.60.56/~jnz1568/getInfo.php?workbook=12_05.xlsx&amp;sheet=U0&amp;row=4037&amp;col=7&amp;number=0.0053&amp;sourceID=14","0.0053")</f>
        <v>0.0053</v>
      </c>
    </row>
    <row r="4038" spans="1:7">
      <c r="A4038" s="3"/>
      <c r="B4038" s="3"/>
      <c r="C4038" s="3"/>
      <c r="D4038" s="3"/>
      <c r="E4038" s="3">
        <v>15</v>
      </c>
      <c r="F4038" s="4" t="str">
        <f>HYPERLINK("http://141.218.60.56/~jnz1568/getInfo.php?workbook=12_05.xlsx&amp;sheet=U0&amp;row=4038&amp;col=6&amp;number=4.4&amp;sourceID=14","4.4")</f>
        <v>4.4</v>
      </c>
      <c r="G4038" s="4" t="str">
        <f>HYPERLINK("http://141.218.60.56/~jnz1568/getInfo.php?workbook=12_05.xlsx&amp;sheet=U0&amp;row=4038&amp;col=7&amp;number=0.0053&amp;sourceID=14","0.0053")</f>
        <v>0.0053</v>
      </c>
    </row>
    <row r="4039" spans="1:7">
      <c r="A4039" s="3"/>
      <c r="B4039" s="3"/>
      <c r="C4039" s="3"/>
      <c r="D4039" s="3"/>
      <c r="E4039" s="3">
        <v>16</v>
      </c>
      <c r="F4039" s="4" t="str">
        <f>HYPERLINK("http://141.218.60.56/~jnz1568/getInfo.php?workbook=12_05.xlsx&amp;sheet=U0&amp;row=4039&amp;col=6&amp;number=4.5&amp;sourceID=14","4.5")</f>
        <v>4.5</v>
      </c>
      <c r="G4039" s="4" t="str">
        <f>HYPERLINK("http://141.218.60.56/~jnz1568/getInfo.php?workbook=12_05.xlsx&amp;sheet=U0&amp;row=4039&amp;col=7&amp;number=0.0053&amp;sourceID=14","0.0053")</f>
        <v>0.0053</v>
      </c>
    </row>
    <row r="4040" spans="1:7">
      <c r="A4040" s="3"/>
      <c r="B4040" s="3"/>
      <c r="C4040" s="3"/>
      <c r="D4040" s="3"/>
      <c r="E4040" s="3">
        <v>17</v>
      </c>
      <c r="F4040" s="4" t="str">
        <f>HYPERLINK("http://141.218.60.56/~jnz1568/getInfo.php?workbook=12_05.xlsx&amp;sheet=U0&amp;row=4040&amp;col=6&amp;number=4.6&amp;sourceID=14","4.6")</f>
        <v>4.6</v>
      </c>
      <c r="G4040" s="4" t="str">
        <f>HYPERLINK("http://141.218.60.56/~jnz1568/getInfo.php?workbook=12_05.xlsx&amp;sheet=U0&amp;row=4040&amp;col=7&amp;number=0.00531&amp;sourceID=14","0.00531")</f>
        <v>0.00531</v>
      </c>
    </row>
    <row r="4041" spans="1:7">
      <c r="A4041" s="3"/>
      <c r="B4041" s="3"/>
      <c r="C4041" s="3"/>
      <c r="D4041" s="3"/>
      <c r="E4041" s="3">
        <v>18</v>
      </c>
      <c r="F4041" s="4" t="str">
        <f>HYPERLINK("http://141.218.60.56/~jnz1568/getInfo.php?workbook=12_05.xlsx&amp;sheet=U0&amp;row=4041&amp;col=6&amp;number=4.7&amp;sourceID=14","4.7")</f>
        <v>4.7</v>
      </c>
      <c r="G4041" s="4" t="str">
        <f>HYPERLINK("http://141.218.60.56/~jnz1568/getInfo.php?workbook=12_05.xlsx&amp;sheet=U0&amp;row=4041&amp;col=7&amp;number=0.00531&amp;sourceID=14","0.00531")</f>
        <v>0.00531</v>
      </c>
    </row>
    <row r="4042" spans="1:7">
      <c r="A4042" s="3"/>
      <c r="B4042" s="3"/>
      <c r="C4042" s="3"/>
      <c r="D4042" s="3"/>
      <c r="E4042" s="3">
        <v>19</v>
      </c>
      <c r="F4042" s="4" t="str">
        <f>HYPERLINK("http://141.218.60.56/~jnz1568/getInfo.php?workbook=12_05.xlsx&amp;sheet=U0&amp;row=4042&amp;col=6&amp;number=4.8&amp;sourceID=14","4.8")</f>
        <v>4.8</v>
      </c>
      <c r="G4042" s="4" t="str">
        <f>HYPERLINK("http://141.218.60.56/~jnz1568/getInfo.php?workbook=12_05.xlsx&amp;sheet=U0&amp;row=4042&amp;col=7&amp;number=0.00532&amp;sourceID=14","0.00532")</f>
        <v>0.00532</v>
      </c>
    </row>
    <row r="4043" spans="1:7">
      <c r="A4043" s="3"/>
      <c r="B4043" s="3"/>
      <c r="C4043" s="3"/>
      <c r="D4043" s="3"/>
      <c r="E4043" s="3">
        <v>20</v>
      </c>
      <c r="F4043" s="4" t="str">
        <f>HYPERLINK("http://141.218.60.56/~jnz1568/getInfo.php?workbook=12_05.xlsx&amp;sheet=U0&amp;row=4043&amp;col=6&amp;number=4.9&amp;sourceID=14","4.9")</f>
        <v>4.9</v>
      </c>
      <c r="G4043" s="4" t="str">
        <f>HYPERLINK("http://141.218.60.56/~jnz1568/getInfo.php?workbook=12_05.xlsx&amp;sheet=U0&amp;row=4043&amp;col=7&amp;number=0.00533&amp;sourceID=14","0.00533")</f>
        <v>0.00533</v>
      </c>
    </row>
    <row r="4044" spans="1:7">
      <c r="A4044" s="3">
        <v>12</v>
      </c>
      <c r="B4044" s="3">
        <v>5</v>
      </c>
      <c r="C4044" s="3">
        <v>2</v>
      </c>
      <c r="D4044" s="3">
        <v>55</v>
      </c>
      <c r="E4044" s="3">
        <v>1</v>
      </c>
      <c r="F4044" s="4" t="str">
        <f>HYPERLINK("http://141.218.60.56/~jnz1568/getInfo.php?workbook=12_05.xlsx&amp;sheet=U0&amp;row=4044&amp;col=6&amp;number=3&amp;sourceID=14","3")</f>
        <v>3</v>
      </c>
      <c r="G4044" s="4" t="str">
        <f>HYPERLINK("http://141.218.60.56/~jnz1568/getInfo.php?workbook=12_05.xlsx&amp;sheet=U0&amp;row=4044&amp;col=7&amp;number=0.000187&amp;sourceID=14","0.000187")</f>
        <v>0.000187</v>
      </c>
    </row>
    <row r="4045" spans="1:7">
      <c r="A4045" s="3"/>
      <c r="B4045" s="3"/>
      <c r="C4045" s="3"/>
      <c r="D4045" s="3"/>
      <c r="E4045" s="3">
        <v>2</v>
      </c>
      <c r="F4045" s="4" t="str">
        <f>HYPERLINK("http://141.218.60.56/~jnz1568/getInfo.php?workbook=12_05.xlsx&amp;sheet=U0&amp;row=4045&amp;col=6&amp;number=3.1&amp;sourceID=14","3.1")</f>
        <v>3.1</v>
      </c>
      <c r="G4045" s="4" t="str">
        <f>HYPERLINK("http://141.218.60.56/~jnz1568/getInfo.php?workbook=12_05.xlsx&amp;sheet=U0&amp;row=4045&amp;col=7&amp;number=0.000187&amp;sourceID=14","0.000187")</f>
        <v>0.000187</v>
      </c>
    </row>
    <row r="4046" spans="1:7">
      <c r="A4046" s="3"/>
      <c r="B4046" s="3"/>
      <c r="C4046" s="3"/>
      <c r="D4046" s="3"/>
      <c r="E4046" s="3">
        <v>3</v>
      </c>
      <c r="F4046" s="4" t="str">
        <f>HYPERLINK("http://141.218.60.56/~jnz1568/getInfo.php?workbook=12_05.xlsx&amp;sheet=U0&amp;row=4046&amp;col=6&amp;number=3.2&amp;sourceID=14","3.2")</f>
        <v>3.2</v>
      </c>
      <c r="G4046" s="4" t="str">
        <f>HYPERLINK("http://141.218.60.56/~jnz1568/getInfo.php?workbook=12_05.xlsx&amp;sheet=U0&amp;row=4046&amp;col=7&amp;number=0.000187&amp;sourceID=14","0.000187")</f>
        <v>0.000187</v>
      </c>
    </row>
    <row r="4047" spans="1:7">
      <c r="A4047" s="3"/>
      <c r="B4047" s="3"/>
      <c r="C4047" s="3"/>
      <c r="D4047" s="3"/>
      <c r="E4047" s="3">
        <v>4</v>
      </c>
      <c r="F4047" s="4" t="str">
        <f>HYPERLINK("http://141.218.60.56/~jnz1568/getInfo.php?workbook=12_05.xlsx&amp;sheet=U0&amp;row=4047&amp;col=6&amp;number=3.3&amp;sourceID=14","3.3")</f>
        <v>3.3</v>
      </c>
      <c r="G4047" s="4" t="str">
        <f>HYPERLINK("http://141.218.60.56/~jnz1568/getInfo.php?workbook=12_05.xlsx&amp;sheet=U0&amp;row=4047&amp;col=7&amp;number=0.000187&amp;sourceID=14","0.000187")</f>
        <v>0.000187</v>
      </c>
    </row>
    <row r="4048" spans="1:7">
      <c r="A4048" s="3"/>
      <c r="B4048" s="3"/>
      <c r="C4048" s="3"/>
      <c r="D4048" s="3"/>
      <c r="E4048" s="3">
        <v>5</v>
      </c>
      <c r="F4048" s="4" t="str">
        <f>HYPERLINK("http://141.218.60.56/~jnz1568/getInfo.php?workbook=12_05.xlsx&amp;sheet=U0&amp;row=4048&amp;col=6&amp;number=3.4&amp;sourceID=14","3.4")</f>
        <v>3.4</v>
      </c>
      <c r="G4048" s="4" t="str">
        <f>HYPERLINK("http://141.218.60.56/~jnz1568/getInfo.php?workbook=12_05.xlsx&amp;sheet=U0&amp;row=4048&amp;col=7&amp;number=0.000186&amp;sourceID=14","0.000186")</f>
        <v>0.000186</v>
      </c>
    </row>
    <row r="4049" spans="1:7">
      <c r="A4049" s="3"/>
      <c r="B4049" s="3"/>
      <c r="C4049" s="3"/>
      <c r="D4049" s="3"/>
      <c r="E4049" s="3">
        <v>6</v>
      </c>
      <c r="F4049" s="4" t="str">
        <f>HYPERLINK("http://141.218.60.56/~jnz1568/getInfo.php?workbook=12_05.xlsx&amp;sheet=U0&amp;row=4049&amp;col=6&amp;number=3.5&amp;sourceID=14","3.5")</f>
        <v>3.5</v>
      </c>
      <c r="G4049" s="4" t="str">
        <f>HYPERLINK("http://141.218.60.56/~jnz1568/getInfo.php?workbook=12_05.xlsx&amp;sheet=U0&amp;row=4049&amp;col=7&amp;number=0.000186&amp;sourceID=14","0.000186")</f>
        <v>0.000186</v>
      </c>
    </row>
    <row r="4050" spans="1:7">
      <c r="A4050" s="3"/>
      <c r="B4050" s="3"/>
      <c r="C4050" s="3"/>
      <c r="D4050" s="3"/>
      <c r="E4050" s="3">
        <v>7</v>
      </c>
      <c r="F4050" s="4" t="str">
        <f>HYPERLINK("http://141.218.60.56/~jnz1568/getInfo.php?workbook=12_05.xlsx&amp;sheet=U0&amp;row=4050&amp;col=6&amp;number=3.6&amp;sourceID=14","3.6")</f>
        <v>3.6</v>
      </c>
      <c r="G4050" s="4" t="str">
        <f>HYPERLINK("http://141.218.60.56/~jnz1568/getInfo.php?workbook=12_05.xlsx&amp;sheet=U0&amp;row=4050&amp;col=7&amp;number=0.000186&amp;sourceID=14","0.000186")</f>
        <v>0.000186</v>
      </c>
    </row>
    <row r="4051" spans="1:7">
      <c r="A4051" s="3"/>
      <c r="B4051" s="3"/>
      <c r="C4051" s="3"/>
      <c r="D4051" s="3"/>
      <c r="E4051" s="3">
        <v>8</v>
      </c>
      <c r="F4051" s="4" t="str">
        <f>HYPERLINK("http://141.218.60.56/~jnz1568/getInfo.php?workbook=12_05.xlsx&amp;sheet=U0&amp;row=4051&amp;col=6&amp;number=3.7&amp;sourceID=14","3.7")</f>
        <v>3.7</v>
      </c>
      <c r="G4051" s="4" t="str">
        <f>HYPERLINK("http://141.218.60.56/~jnz1568/getInfo.php?workbook=12_05.xlsx&amp;sheet=U0&amp;row=4051&amp;col=7&amp;number=0.000186&amp;sourceID=14","0.000186")</f>
        <v>0.000186</v>
      </c>
    </row>
    <row r="4052" spans="1:7">
      <c r="A4052" s="3"/>
      <c r="B4052" s="3"/>
      <c r="C4052" s="3"/>
      <c r="D4052" s="3"/>
      <c r="E4052" s="3">
        <v>9</v>
      </c>
      <c r="F4052" s="4" t="str">
        <f>HYPERLINK("http://141.218.60.56/~jnz1568/getInfo.php?workbook=12_05.xlsx&amp;sheet=U0&amp;row=4052&amp;col=6&amp;number=3.8&amp;sourceID=14","3.8")</f>
        <v>3.8</v>
      </c>
      <c r="G4052" s="4" t="str">
        <f>HYPERLINK("http://141.218.60.56/~jnz1568/getInfo.php?workbook=12_05.xlsx&amp;sheet=U0&amp;row=4052&amp;col=7&amp;number=0.000186&amp;sourceID=14","0.000186")</f>
        <v>0.000186</v>
      </c>
    </row>
    <row r="4053" spans="1:7">
      <c r="A4053" s="3"/>
      <c r="B4053" s="3"/>
      <c r="C4053" s="3"/>
      <c r="D4053" s="3"/>
      <c r="E4053" s="3">
        <v>10</v>
      </c>
      <c r="F4053" s="4" t="str">
        <f>HYPERLINK("http://141.218.60.56/~jnz1568/getInfo.php?workbook=12_05.xlsx&amp;sheet=U0&amp;row=4053&amp;col=6&amp;number=3.9&amp;sourceID=14","3.9")</f>
        <v>3.9</v>
      </c>
      <c r="G4053" s="4" t="str">
        <f>HYPERLINK("http://141.218.60.56/~jnz1568/getInfo.php?workbook=12_05.xlsx&amp;sheet=U0&amp;row=4053&amp;col=7&amp;number=0.000186&amp;sourceID=14","0.000186")</f>
        <v>0.000186</v>
      </c>
    </row>
    <row r="4054" spans="1:7">
      <c r="A4054" s="3"/>
      <c r="B4054" s="3"/>
      <c r="C4054" s="3"/>
      <c r="D4054" s="3"/>
      <c r="E4054" s="3">
        <v>11</v>
      </c>
      <c r="F4054" s="4" t="str">
        <f>HYPERLINK("http://141.218.60.56/~jnz1568/getInfo.php?workbook=12_05.xlsx&amp;sheet=U0&amp;row=4054&amp;col=6&amp;number=4&amp;sourceID=14","4")</f>
        <v>4</v>
      </c>
      <c r="G4054" s="4" t="str">
        <f>HYPERLINK("http://141.218.60.56/~jnz1568/getInfo.php?workbook=12_05.xlsx&amp;sheet=U0&amp;row=4054&amp;col=7&amp;number=0.000186&amp;sourceID=14","0.000186")</f>
        <v>0.000186</v>
      </c>
    </row>
    <row r="4055" spans="1:7">
      <c r="A4055" s="3"/>
      <c r="B4055" s="3"/>
      <c r="C4055" s="3"/>
      <c r="D4055" s="3"/>
      <c r="E4055" s="3">
        <v>12</v>
      </c>
      <c r="F4055" s="4" t="str">
        <f>HYPERLINK("http://141.218.60.56/~jnz1568/getInfo.php?workbook=12_05.xlsx&amp;sheet=U0&amp;row=4055&amp;col=6&amp;number=4.1&amp;sourceID=14","4.1")</f>
        <v>4.1</v>
      </c>
      <c r="G4055" s="4" t="str">
        <f>HYPERLINK("http://141.218.60.56/~jnz1568/getInfo.php?workbook=12_05.xlsx&amp;sheet=U0&amp;row=4055&amp;col=7&amp;number=0.000185&amp;sourceID=14","0.000185")</f>
        <v>0.000185</v>
      </c>
    </row>
    <row r="4056" spans="1:7">
      <c r="A4056" s="3"/>
      <c r="B4056" s="3"/>
      <c r="C4056" s="3"/>
      <c r="D4056" s="3"/>
      <c r="E4056" s="3">
        <v>13</v>
      </c>
      <c r="F4056" s="4" t="str">
        <f>HYPERLINK("http://141.218.60.56/~jnz1568/getInfo.php?workbook=12_05.xlsx&amp;sheet=U0&amp;row=4056&amp;col=6&amp;number=4.2&amp;sourceID=14","4.2")</f>
        <v>4.2</v>
      </c>
      <c r="G4056" s="4" t="str">
        <f>HYPERLINK("http://141.218.60.56/~jnz1568/getInfo.php?workbook=12_05.xlsx&amp;sheet=U0&amp;row=4056&amp;col=7&amp;number=0.000185&amp;sourceID=14","0.000185")</f>
        <v>0.000185</v>
      </c>
    </row>
    <row r="4057" spans="1:7">
      <c r="A4057" s="3"/>
      <c r="B4057" s="3"/>
      <c r="C4057" s="3"/>
      <c r="D4057" s="3"/>
      <c r="E4057" s="3">
        <v>14</v>
      </c>
      <c r="F4057" s="4" t="str">
        <f>HYPERLINK("http://141.218.60.56/~jnz1568/getInfo.php?workbook=12_05.xlsx&amp;sheet=U0&amp;row=4057&amp;col=6&amp;number=4.3&amp;sourceID=14","4.3")</f>
        <v>4.3</v>
      </c>
      <c r="G4057" s="4" t="str">
        <f>HYPERLINK("http://141.218.60.56/~jnz1568/getInfo.php?workbook=12_05.xlsx&amp;sheet=U0&amp;row=4057&amp;col=7&amp;number=0.000184&amp;sourceID=14","0.000184")</f>
        <v>0.000184</v>
      </c>
    </row>
    <row r="4058" spans="1:7">
      <c r="A4058" s="3"/>
      <c r="B4058" s="3"/>
      <c r="C4058" s="3"/>
      <c r="D4058" s="3"/>
      <c r="E4058" s="3">
        <v>15</v>
      </c>
      <c r="F4058" s="4" t="str">
        <f>HYPERLINK("http://141.218.60.56/~jnz1568/getInfo.php?workbook=12_05.xlsx&amp;sheet=U0&amp;row=4058&amp;col=6&amp;number=4.4&amp;sourceID=14","4.4")</f>
        <v>4.4</v>
      </c>
      <c r="G4058" s="4" t="str">
        <f>HYPERLINK("http://141.218.60.56/~jnz1568/getInfo.php?workbook=12_05.xlsx&amp;sheet=U0&amp;row=4058&amp;col=7&amp;number=0.000184&amp;sourceID=14","0.000184")</f>
        <v>0.000184</v>
      </c>
    </row>
    <row r="4059" spans="1:7">
      <c r="A4059" s="3"/>
      <c r="B4059" s="3"/>
      <c r="C4059" s="3"/>
      <c r="D4059" s="3"/>
      <c r="E4059" s="3">
        <v>16</v>
      </c>
      <c r="F4059" s="4" t="str">
        <f>HYPERLINK("http://141.218.60.56/~jnz1568/getInfo.php?workbook=12_05.xlsx&amp;sheet=U0&amp;row=4059&amp;col=6&amp;number=4.5&amp;sourceID=14","4.5")</f>
        <v>4.5</v>
      </c>
      <c r="G4059" s="4" t="str">
        <f>HYPERLINK("http://141.218.60.56/~jnz1568/getInfo.php?workbook=12_05.xlsx&amp;sheet=U0&amp;row=4059&amp;col=7&amp;number=0.000183&amp;sourceID=14","0.000183")</f>
        <v>0.000183</v>
      </c>
    </row>
    <row r="4060" spans="1:7">
      <c r="A4060" s="3"/>
      <c r="B4060" s="3"/>
      <c r="C4060" s="3"/>
      <c r="D4060" s="3"/>
      <c r="E4060" s="3">
        <v>17</v>
      </c>
      <c r="F4060" s="4" t="str">
        <f>HYPERLINK("http://141.218.60.56/~jnz1568/getInfo.php?workbook=12_05.xlsx&amp;sheet=U0&amp;row=4060&amp;col=6&amp;number=4.6&amp;sourceID=14","4.6")</f>
        <v>4.6</v>
      </c>
      <c r="G4060" s="4" t="str">
        <f>HYPERLINK("http://141.218.60.56/~jnz1568/getInfo.php?workbook=12_05.xlsx&amp;sheet=U0&amp;row=4060&amp;col=7&amp;number=0.000182&amp;sourceID=14","0.000182")</f>
        <v>0.000182</v>
      </c>
    </row>
    <row r="4061" spans="1:7">
      <c r="A4061" s="3"/>
      <c r="B4061" s="3"/>
      <c r="C4061" s="3"/>
      <c r="D4061" s="3"/>
      <c r="E4061" s="3">
        <v>18</v>
      </c>
      <c r="F4061" s="4" t="str">
        <f>HYPERLINK("http://141.218.60.56/~jnz1568/getInfo.php?workbook=12_05.xlsx&amp;sheet=U0&amp;row=4061&amp;col=6&amp;number=4.7&amp;sourceID=14","4.7")</f>
        <v>4.7</v>
      </c>
      <c r="G4061" s="4" t="str">
        <f>HYPERLINK("http://141.218.60.56/~jnz1568/getInfo.php?workbook=12_05.xlsx&amp;sheet=U0&amp;row=4061&amp;col=7&amp;number=0.000181&amp;sourceID=14","0.000181")</f>
        <v>0.000181</v>
      </c>
    </row>
    <row r="4062" spans="1:7">
      <c r="A4062" s="3"/>
      <c r="B4062" s="3"/>
      <c r="C4062" s="3"/>
      <c r="D4062" s="3"/>
      <c r="E4062" s="3">
        <v>19</v>
      </c>
      <c r="F4062" s="4" t="str">
        <f>HYPERLINK("http://141.218.60.56/~jnz1568/getInfo.php?workbook=12_05.xlsx&amp;sheet=U0&amp;row=4062&amp;col=6&amp;number=4.8&amp;sourceID=14","4.8")</f>
        <v>4.8</v>
      </c>
      <c r="G4062" s="4" t="str">
        <f>HYPERLINK("http://141.218.60.56/~jnz1568/getInfo.php?workbook=12_05.xlsx&amp;sheet=U0&amp;row=4062&amp;col=7&amp;number=0.000179&amp;sourceID=14","0.000179")</f>
        <v>0.000179</v>
      </c>
    </row>
    <row r="4063" spans="1:7">
      <c r="A4063" s="3"/>
      <c r="B4063" s="3"/>
      <c r="C4063" s="3"/>
      <c r="D4063" s="3"/>
      <c r="E4063" s="3">
        <v>20</v>
      </c>
      <c r="F4063" s="4" t="str">
        <f>HYPERLINK("http://141.218.60.56/~jnz1568/getInfo.php?workbook=12_05.xlsx&amp;sheet=U0&amp;row=4063&amp;col=6&amp;number=4.9&amp;sourceID=14","4.9")</f>
        <v>4.9</v>
      </c>
      <c r="G4063" s="4" t="str">
        <f>HYPERLINK("http://141.218.60.56/~jnz1568/getInfo.php?workbook=12_05.xlsx&amp;sheet=U0&amp;row=4063&amp;col=7&amp;number=0.000177&amp;sourceID=14","0.000177")</f>
        <v>0.000177</v>
      </c>
    </row>
    <row r="4064" spans="1:7">
      <c r="A4064" s="3">
        <v>12</v>
      </c>
      <c r="B4064" s="3">
        <v>5</v>
      </c>
      <c r="C4064" s="3">
        <v>2</v>
      </c>
      <c r="D4064" s="3">
        <v>56</v>
      </c>
      <c r="E4064" s="3">
        <v>1</v>
      </c>
      <c r="F4064" s="4" t="str">
        <f>HYPERLINK("http://141.218.60.56/~jnz1568/getInfo.php?workbook=12_05.xlsx&amp;sheet=U0&amp;row=4064&amp;col=6&amp;number=3&amp;sourceID=14","3")</f>
        <v>3</v>
      </c>
      <c r="G4064" s="4" t="str">
        <f>HYPERLINK("http://141.218.60.56/~jnz1568/getInfo.php?workbook=12_05.xlsx&amp;sheet=U0&amp;row=4064&amp;col=7&amp;number=0.000805&amp;sourceID=14","0.000805")</f>
        <v>0.000805</v>
      </c>
    </row>
    <row r="4065" spans="1:7">
      <c r="A4065" s="3"/>
      <c r="B4065" s="3"/>
      <c r="C4065" s="3"/>
      <c r="D4065" s="3"/>
      <c r="E4065" s="3">
        <v>2</v>
      </c>
      <c r="F4065" s="4" t="str">
        <f>HYPERLINK("http://141.218.60.56/~jnz1568/getInfo.php?workbook=12_05.xlsx&amp;sheet=U0&amp;row=4065&amp;col=6&amp;number=3.1&amp;sourceID=14","3.1")</f>
        <v>3.1</v>
      </c>
      <c r="G4065" s="4" t="str">
        <f>HYPERLINK("http://141.218.60.56/~jnz1568/getInfo.php?workbook=12_05.xlsx&amp;sheet=U0&amp;row=4065&amp;col=7&amp;number=0.000806&amp;sourceID=14","0.000806")</f>
        <v>0.000806</v>
      </c>
    </row>
    <row r="4066" spans="1:7">
      <c r="A4066" s="3"/>
      <c r="B4066" s="3"/>
      <c r="C4066" s="3"/>
      <c r="D4066" s="3"/>
      <c r="E4066" s="3">
        <v>3</v>
      </c>
      <c r="F4066" s="4" t="str">
        <f>HYPERLINK("http://141.218.60.56/~jnz1568/getInfo.php?workbook=12_05.xlsx&amp;sheet=U0&amp;row=4066&amp;col=6&amp;number=3.2&amp;sourceID=14","3.2")</f>
        <v>3.2</v>
      </c>
      <c r="G4066" s="4" t="str">
        <f>HYPERLINK("http://141.218.60.56/~jnz1568/getInfo.php?workbook=12_05.xlsx&amp;sheet=U0&amp;row=4066&amp;col=7&amp;number=0.000806&amp;sourceID=14","0.000806")</f>
        <v>0.000806</v>
      </c>
    </row>
    <row r="4067" spans="1:7">
      <c r="A4067" s="3"/>
      <c r="B4067" s="3"/>
      <c r="C4067" s="3"/>
      <c r="D4067" s="3"/>
      <c r="E4067" s="3">
        <v>4</v>
      </c>
      <c r="F4067" s="4" t="str">
        <f>HYPERLINK("http://141.218.60.56/~jnz1568/getInfo.php?workbook=12_05.xlsx&amp;sheet=U0&amp;row=4067&amp;col=6&amp;number=3.3&amp;sourceID=14","3.3")</f>
        <v>3.3</v>
      </c>
      <c r="G4067" s="4" t="str">
        <f>HYPERLINK("http://141.218.60.56/~jnz1568/getInfo.php?workbook=12_05.xlsx&amp;sheet=U0&amp;row=4067&amp;col=7&amp;number=0.000806&amp;sourceID=14","0.000806")</f>
        <v>0.000806</v>
      </c>
    </row>
    <row r="4068" spans="1:7">
      <c r="A4068" s="3"/>
      <c r="B4068" s="3"/>
      <c r="C4068" s="3"/>
      <c r="D4068" s="3"/>
      <c r="E4068" s="3">
        <v>5</v>
      </c>
      <c r="F4068" s="4" t="str">
        <f>HYPERLINK("http://141.218.60.56/~jnz1568/getInfo.php?workbook=12_05.xlsx&amp;sheet=U0&amp;row=4068&amp;col=6&amp;number=3.4&amp;sourceID=14","3.4")</f>
        <v>3.4</v>
      </c>
      <c r="G4068" s="4" t="str">
        <f>HYPERLINK("http://141.218.60.56/~jnz1568/getInfo.php?workbook=12_05.xlsx&amp;sheet=U0&amp;row=4068&amp;col=7&amp;number=0.000807&amp;sourceID=14","0.000807")</f>
        <v>0.000807</v>
      </c>
    </row>
    <row r="4069" spans="1:7">
      <c r="A4069" s="3"/>
      <c r="B4069" s="3"/>
      <c r="C4069" s="3"/>
      <c r="D4069" s="3"/>
      <c r="E4069" s="3">
        <v>6</v>
      </c>
      <c r="F4069" s="4" t="str">
        <f>HYPERLINK("http://141.218.60.56/~jnz1568/getInfo.php?workbook=12_05.xlsx&amp;sheet=U0&amp;row=4069&amp;col=6&amp;number=3.5&amp;sourceID=14","3.5")</f>
        <v>3.5</v>
      </c>
      <c r="G4069" s="4" t="str">
        <f>HYPERLINK("http://141.218.60.56/~jnz1568/getInfo.php?workbook=12_05.xlsx&amp;sheet=U0&amp;row=4069&amp;col=7&amp;number=0.000807&amp;sourceID=14","0.000807")</f>
        <v>0.000807</v>
      </c>
    </row>
    <row r="4070" spans="1:7">
      <c r="A4070" s="3"/>
      <c r="B4070" s="3"/>
      <c r="C4070" s="3"/>
      <c r="D4070" s="3"/>
      <c r="E4070" s="3">
        <v>7</v>
      </c>
      <c r="F4070" s="4" t="str">
        <f>HYPERLINK("http://141.218.60.56/~jnz1568/getInfo.php?workbook=12_05.xlsx&amp;sheet=U0&amp;row=4070&amp;col=6&amp;number=3.6&amp;sourceID=14","3.6")</f>
        <v>3.6</v>
      </c>
      <c r="G4070" s="4" t="str">
        <f>HYPERLINK("http://141.218.60.56/~jnz1568/getInfo.php?workbook=12_05.xlsx&amp;sheet=U0&amp;row=4070&amp;col=7&amp;number=0.000808&amp;sourceID=14","0.000808")</f>
        <v>0.000808</v>
      </c>
    </row>
    <row r="4071" spans="1:7">
      <c r="A4071" s="3"/>
      <c r="B4071" s="3"/>
      <c r="C4071" s="3"/>
      <c r="D4071" s="3"/>
      <c r="E4071" s="3">
        <v>8</v>
      </c>
      <c r="F4071" s="4" t="str">
        <f>HYPERLINK("http://141.218.60.56/~jnz1568/getInfo.php?workbook=12_05.xlsx&amp;sheet=U0&amp;row=4071&amp;col=6&amp;number=3.7&amp;sourceID=14","3.7")</f>
        <v>3.7</v>
      </c>
      <c r="G4071" s="4" t="str">
        <f>HYPERLINK("http://141.218.60.56/~jnz1568/getInfo.php?workbook=12_05.xlsx&amp;sheet=U0&amp;row=4071&amp;col=7&amp;number=0.000809&amp;sourceID=14","0.000809")</f>
        <v>0.000809</v>
      </c>
    </row>
    <row r="4072" spans="1:7">
      <c r="A4072" s="3"/>
      <c r="B4072" s="3"/>
      <c r="C4072" s="3"/>
      <c r="D4072" s="3"/>
      <c r="E4072" s="3">
        <v>9</v>
      </c>
      <c r="F4072" s="4" t="str">
        <f>HYPERLINK("http://141.218.60.56/~jnz1568/getInfo.php?workbook=12_05.xlsx&amp;sheet=U0&amp;row=4072&amp;col=6&amp;number=3.8&amp;sourceID=14","3.8")</f>
        <v>3.8</v>
      </c>
      <c r="G4072" s="4" t="str">
        <f>HYPERLINK("http://141.218.60.56/~jnz1568/getInfo.php?workbook=12_05.xlsx&amp;sheet=U0&amp;row=4072&amp;col=7&amp;number=0.00081&amp;sourceID=14","0.00081")</f>
        <v>0.00081</v>
      </c>
    </row>
    <row r="4073" spans="1:7">
      <c r="A4073" s="3"/>
      <c r="B4073" s="3"/>
      <c r="C4073" s="3"/>
      <c r="D4073" s="3"/>
      <c r="E4073" s="3">
        <v>10</v>
      </c>
      <c r="F4073" s="4" t="str">
        <f>HYPERLINK("http://141.218.60.56/~jnz1568/getInfo.php?workbook=12_05.xlsx&amp;sheet=U0&amp;row=4073&amp;col=6&amp;number=3.9&amp;sourceID=14","3.9")</f>
        <v>3.9</v>
      </c>
      <c r="G4073" s="4" t="str">
        <f>HYPERLINK("http://141.218.60.56/~jnz1568/getInfo.php?workbook=12_05.xlsx&amp;sheet=U0&amp;row=4073&amp;col=7&amp;number=0.000811&amp;sourceID=14","0.000811")</f>
        <v>0.000811</v>
      </c>
    </row>
    <row r="4074" spans="1:7">
      <c r="A4074" s="3"/>
      <c r="B4074" s="3"/>
      <c r="C4074" s="3"/>
      <c r="D4074" s="3"/>
      <c r="E4074" s="3">
        <v>11</v>
      </c>
      <c r="F4074" s="4" t="str">
        <f>HYPERLINK("http://141.218.60.56/~jnz1568/getInfo.php?workbook=12_05.xlsx&amp;sheet=U0&amp;row=4074&amp;col=6&amp;number=4&amp;sourceID=14","4")</f>
        <v>4</v>
      </c>
      <c r="G4074" s="4" t="str">
        <f>HYPERLINK("http://141.218.60.56/~jnz1568/getInfo.php?workbook=12_05.xlsx&amp;sheet=U0&amp;row=4074&amp;col=7&amp;number=0.000813&amp;sourceID=14","0.000813")</f>
        <v>0.000813</v>
      </c>
    </row>
    <row r="4075" spans="1:7">
      <c r="A4075" s="3"/>
      <c r="B4075" s="3"/>
      <c r="C4075" s="3"/>
      <c r="D4075" s="3"/>
      <c r="E4075" s="3">
        <v>12</v>
      </c>
      <c r="F4075" s="4" t="str">
        <f>HYPERLINK("http://141.218.60.56/~jnz1568/getInfo.php?workbook=12_05.xlsx&amp;sheet=U0&amp;row=4075&amp;col=6&amp;number=4.1&amp;sourceID=14","4.1")</f>
        <v>4.1</v>
      </c>
      <c r="G4075" s="4" t="str">
        <f>HYPERLINK("http://141.218.60.56/~jnz1568/getInfo.php?workbook=12_05.xlsx&amp;sheet=U0&amp;row=4075&amp;col=7&amp;number=0.000815&amp;sourceID=14","0.000815")</f>
        <v>0.000815</v>
      </c>
    </row>
    <row r="4076" spans="1:7">
      <c r="A4076" s="3"/>
      <c r="B4076" s="3"/>
      <c r="C4076" s="3"/>
      <c r="D4076" s="3"/>
      <c r="E4076" s="3">
        <v>13</v>
      </c>
      <c r="F4076" s="4" t="str">
        <f>HYPERLINK("http://141.218.60.56/~jnz1568/getInfo.php?workbook=12_05.xlsx&amp;sheet=U0&amp;row=4076&amp;col=6&amp;number=4.2&amp;sourceID=14","4.2")</f>
        <v>4.2</v>
      </c>
      <c r="G4076" s="4" t="str">
        <f>HYPERLINK("http://141.218.60.56/~jnz1568/getInfo.php?workbook=12_05.xlsx&amp;sheet=U0&amp;row=4076&amp;col=7&amp;number=0.000818&amp;sourceID=14","0.000818")</f>
        <v>0.000818</v>
      </c>
    </row>
    <row r="4077" spans="1:7">
      <c r="A4077" s="3"/>
      <c r="B4077" s="3"/>
      <c r="C4077" s="3"/>
      <c r="D4077" s="3"/>
      <c r="E4077" s="3">
        <v>14</v>
      </c>
      <c r="F4077" s="4" t="str">
        <f>HYPERLINK("http://141.218.60.56/~jnz1568/getInfo.php?workbook=12_05.xlsx&amp;sheet=U0&amp;row=4077&amp;col=6&amp;number=4.3&amp;sourceID=14","4.3")</f>
        <v>4.3</v>
      </c>
      <c r="G4077" s="4" t="str">
        <f>HYPERLINK("http://141.218.60.56/~jnz1568/getInfo.php?workbook=12_05.xlsx&amp;sheet=U0&amp;row=4077&amp;col=7&amp;number=0.000822&amp;sourceID=14","0.000822")</f>
        <v>0.000822</v>
      </c>
    </row>
    <row r="4078" spans="1:7">
      <c r="A4078" s="3"/>
      <c r="B4078" s="3"/>
      <c r="C4078" s="3"/>
      <c r="D4078" s="3"/>
      <c r="E4078" s="3">
        <v>15</v>
      </c>
      <c r="F4078" s="4" t="str">
        <f>HYPERLINK("http://141.218.60.56/~jnz1568/getInfo.php?workbook=12_05.xlsx&amp;sheet=U0&amp;row=4078&amp;col=6&amp;number=4.4&amp;sourceID=14","4.4")</f>
        <v>4.4</v>
      </c>
      <c r="G4078" s="4" t="str">
        <f>HYPERLINK("http://141.218.60.56/~jnz1568/getInfo.php?workbook=12_05.xlsx&amp;sheet=U0&amp;row=4078&amp;col=7&amp;number=0.000826&amp;sourceID=14","0.000826")</f>
        <v>0.000826</v>
      </c>
    </row>
    <row r="4079" spans="1:7">
      <c r="A4079" s="3"/>
      <c r="B4079" s="3"/>
      <c r="C4079" s="3"/>
      <c r="D4079" s="3"/>
      <c r="E4079" s="3">
        <v>16</v>
      </c>
      <c r="F4079" s="4" t="str">
        <f>HYPERLINK("http://141.218.60.56/~jnz1568/getInfo.php?workbook=12_05.xlsx&amp;sheet=U0&amp;row=4079&amp;col=6&amp;number=4.5&amp;sourceID=14","4.5")</f>
        <v>4.5</v>
      </c>
      <c r="G4079" s="4" t="str">
        <f>HYPERLINK("http://141.218.60.56/~jnz1568/getInfo.php?workbook=12_05.xlsx&amp;sheet=U0&amp;row=4079&amp;col=7&amp;number=0.000831&amp;sourceID=14","0.000831")</f>
        <v>0.000831</v>
      </c>
    </row>
    <row r="4080" spans="1:7">
      <c r="A4080" s="3"/>
      <c r="B4080" s="3"/>
      <c r="C4080" s="3"/>
      <c r="D4080" s="3"/>
      <c r="E4080" s="3">
        <v>17</v>
      </c>
      <c r="F4080" s="4" t="str">
        <f>HYPERLINK("http://141.218.60.56/~jnz1568/getInfo.php?workbook=12_05.xlsx&amp;sheet=U0&amp;row=4080&amp;col=6&amp;number=4.6&amp;sourceID=14","4.6")</f>
        <v>4.6</v>
      </c>
      <c r="G4080" s="4" t="str">
        <f>HYPERLINK("http://141.218.60.56/~jnz1568/getInfo.php?workbook=12_05.xlsx&amp;sheet=U0&amp;row=4080&amp;col=7&amp;number=0.000838&amp;sourceID=14","0.000838")</f>
        <v>0.000838</v>
      </c>
    </row>
    <row r="4081" spans="1:7">
      <c r="A4081" s="3"/>
      <c r="B4081" s="3"/>
      <c r="C4081" s="3"/>
      <c r="D4081" s="3"/>
      <c r="E4081" s="3">
        <v>18</v>
      </c>
      <c r="F4081" s="4" t="str">
        <f>HYPERLINK("http://141.218.60.56/~jnz1568/getInfo.php?workbook=12_05.xlsx&amp;sheet=U0&amp;row=4081&amp;col=6&amp;number=4.7&amp;sourceID=14","4.7")</f>
        <v>4.7</v>
      </c>
      <c r="G4081" s="4" t="str">
        <f>HYPERLINK("http://141.218.60.56/~jnz1568/getInfo.php?workbook=12_05.xlsx&amp;sheet=U0&amp;row=4081&amp;col=7&amp;number=0.000847&amp;sourceID=14","0.000847")</f>
        <v>0.000847</v>
      </c>
    </row>
    <row r="4082" spans="1:7">
      <c r="A4082" s="3"/>
      <c r="B4082" s="3"/>
      <c r="C4082" s="3"/>
      <c r="D4082" s="3"/>
      <c r="E4082" s="3">
        <v>19</v>
      </c>
      <c r="F4082" s="4" t="str">
        <f>HYPERLINK("http://141.218.60.56/~jnz1568/getInfo.php?workbook=12_05.xlsx&amp;sheet=U0&amp;row=4082&amp;col=6&amp;number=4.8&amp;sourceID=14","4.8")</f>
        <v>4.8</v>
      </c>
      <c r="G4082" s="4" t="str">
        <f>HYPERLINK("http://141.218.60.56/~jnz1568/getInfo.php?workbook=12_05.xlsx&amp;sheet=U0&amp;row=4082&amp;col=7&amp;number=0.000857&amp;sourceID=14","0.000857")</f>
        <v>0.000857</v>
      </c>
    </row>
    <row r="4083" spans="1:7">
      <c r="A4083" s="3"/>
      <c r="B4083" s="3"/>
      <c r="C4083" s="3"/>
      <c r="D4083" s="3"/>
      <c r="E4083" s="3">
        <v>20</v>
      </c>
      <c r="F4083" s="4" t="str">
        <f>HYPERLINK("http://141.218.60.56/~jnz1568/getInfo.php?workbook=12_05.xlsx&amp;sheet=U0&amp;row=4083&amp;col=6&amp;number=4.9&amp;sourceID=14","4.9")</f>
        <v>4.9</v>
      </c>
      <c r="G4083" s="4" t="str">
        <f>HYPERLINK("http://141.218.60.56/~jnz1568/getInfo.php?workbook=12_05.xlsx&amp;sheet=U0&amp;row=4083&amp;col=7&amp;number=0.000871&amp;sourceID=14","0.000871")</f>
        <v>0.000871</v>
      </c>
    </row>
    <row r="4084" spans="1:7">
      <c r="A4084" s="3">
        <v>12</v>
      </c>
      <c r="B4084" s="3">
        <v>5</v>
      </c>
      <c r="C4084" s="3">
        <v>2</v>
      </c>
      <c r="D4084" s="3">
        <v>57</v>
      </c>
      <c r="E4084" s="3">
        <v>1</v>
      </c>
      <c r="F4084" s="4" t="str">
        <f>HYPERLINK("http://141.218.60.56/~jnz1568/getInfo.php?workbook=12_05.xlsx&amp;sheet=U0&amp;row=4084&amp;col=6&amp;number=3&amp;sourceID=14","3")</f>
        <v>3</v>
      </c>
      <c r="G4084" s="4" t="str">
        <f>HYPERLINK("http://141.218.60.56/~jnz1568/getInfo.php?workbook=12_05.xlsx&amp;sheet=U0&amp;row=4084&amp;col=7&amp;number=0.00039&amp;sourceID=14","0.00039")</f>
        <v>0.00039</v>
      </c>
    </row>
    <row r="4085" spans="1:7">
      <c r="A4085" s="3"/>
      <c r="B4085" s="3"/>
      <c r="C4085" s="3"/>
      <c r="D4085" s="3"/>
      <c r="E4085" s="3">
        <v>2</v>
      </c>
      <c r="F4085" s="4" t="str">
        <f>HYPERLINK("http://141.218.60.56/~jnz1568/getInfo.php?workbook=12_05.xlsx&amp;sheet=U0&amp;row=4085&amp;col=6&amp;number=3.1&amp;sourceID=14","3.1")</f>
        <v>3.1</v>
      </c>
      <c r="G4085" s="4" t="str">
        <f>HYPERLINK("http://141.218.60.56/~jnz1568/getInfo.php?workbook=12_05.xlsx&amp;sheet=U0&amp;row=4085&amp;col=7&amp;number=0.000389&amp;sourceID=14","0.000389")</f>
        <v>0.000389</v>
      </c>
    </row>
    <row r="4086" spans="1:7">
      <c r="A4086" s="3"/>
      <c r="B4086" s="3"/>
      <c r="C4086" s="3"/>
      <c r="D4086" s="3"/>
      <c r="E4086" s="3">
        <v>3</v>
      </c>
      <c r="F4086" s="4" t="str">
        <f>HYPERLINK("http://141.218.60.56/~jnz1568/getInfo.php?workbook=12_05.xlsx&amp;sheet=U0&amp;row=4086&amp;col=6&amp;number=3.2&amp;sourceID=14","3.2")</f>
        <v>3.2</v>
      </c>
      <c r="G4086" s="4" t="str">
        <f>HYPERLINK("http://141.218.60.56/~jnz1568/getInfo.php?workbook=12_05.xlsx&amp;sheet=U0&amp;row=4086&amp;col=7&amp;number=0.000389&amp;sourceID=14","0.000389")</f>
        <v>0.000389</v>
      </c>
    </row>
    <row r="4087" spans="1:7">
      <c r="A4087" s="3"/>
      <c r="B4087" s="3"/>
      <c r="C4087" s="3"/>
      <c r="D4087" s="3"/>
      <c r="E4087" s="3">
        <v>4</v>
      </c>
      <c r="F4087" s="4" t="str">
        <f>HYPERLINK("http://141.218.60.56/~jnz1568/getInfo.php?workbook=12_05.xlsx&amp;sheet=U0&amp;row=4087&amp;col=6&amp;number=3.3&amp;sourceID=14","3.3")</f>
        <v>3.3</v>
      </c>
      <c r="G4087" s="4" t="str">
        <f>HYPERLINK("http://141.218.60.56/~jnz1568/getInfo.php?workbook=12_05.xlsx&amp;sheet=U0&amp;row=4087&amp;col=7&amp;number=0.000389&amp;sourceID=14","0.000389")</f>
        <v>0.000389</v>
      </c>
    </row>
    <row r="4088" spans="1:7">
      <c r="A4088" s="3"/>
      <c r="B4088" s="3"/>
      <c r="C4088" s="3"/>
      <c r="D4088" s="3"/>
      <c r="E4088" s="3">
        <v>5</v>
      </c>
      <c r="F4088" s="4" t="str">
        <f>HYPERLINK("http://141.218.60.56/~jnz1568/getInfo.php?workbook=12_05.xlsx&amp;sheet=U0&amp;row=4088&amp;col=6&amp;number=3.4&amp;sourceID=14","3.4")</f>
        <v>3.4</v>
      </c>
      <c r="G4088" s="4" t="str">
        <f>HYPERLINK("http://141.218.60.56/~jnz1568/getInfo.php?workbook=12_05.xlsx&amp;sheet=U0&amp;row=4088&amp;col=7&amp;number=0.000389&amp;sourceID=14","0.000389")</f>
        <v>0.000389</v>
      </c>
    </row>
    <row r="4089" spans="1:7">
      <c r="A4089" s="3"/>
      <c r="B4089" s="3"/>
      <c r="C4089" s="3"/>
      <c r="D4089" s="3"/>
      <c r="E4089" s="3">
        <v>6</v>
      </c>
      <c r="F4089" s="4" t="str">
        <f>HYPERLINK("http://141.218.60.56/~jnz1568/getInfo.php?workbook=12_05.xlsx&amp;sheet=U0&amp;row=4089&amp;col=6&amp;number=3.5&amp;sourceID=14","3.5")</f>
        <v>3.5</v>
      </c>
      <c r="G4089" s="4" t="str">
        <f>HYPERLINK("http://141.218.60.56/~jnz1568/getInfo.php?workbook=12_05.xlsx&amp;sheet=U0&amp;row=4089&amp;col=7&amp;number=0.000389&amp;sourceID=14","0.000389")</f>
        <v>0.000389</v>
      </c>
    </row>
    <row r="4090" spans="1:7">
      <c r="A4090" s="3"/>
      <c r="B4090" s="3"/>
      <c r="C4090" s="3"/>
      <c r="D4090" s="3"/>
      <c r="E4090" s="3">
        <v>7</v>
      </c>
      <c r="F4090" s="4" t="str">
        <f>HYPERLINK("http://141.218.60.56/~jnz1568/getInfo.php?workbook=12_05.xlsx&amp;sheet=U0&amp;row=4090&amp;col=6&amp;number=3.6&amp;sourceID=14","3.6")</f>
        <v>3.6</v>
      </c>
      <c r="G4090" s="4" t="str">
        <f>HYPERLINK("http://141.218.60.56/~jnz1568/getInfo.php?workbook=12_05.xlsx&amp;sheet=U0&amp;row=4090&amp;col=7&amp;number=0.000388&amp;sourceID=14","0.000388")</f>
        <v>0.000388</v>
      </c>
    </row>
    <row r="4091" spans="1:7">
      <c r="A4091" s="3"/>
      <c r="B4091" s="3"/>
      <c r="C4091" s="3"/>
      <c r="D4091" s="3"/>
      <c r="E4091" s="3">
        <v>8</v>
      </c>
      <c r="F4091" s="4" t="str">
        <f>HYPERLINK("http://141.218.60.56/~jnz1568/getInfo.php?workbook=12_05.xlsx&amp;sheet=U0&amp;row=4091&amp;col=6&amp;number=3.7&amp;sourceID=14","3.7")</f>
        <v>3.7</v>
      </c>
      <c r="G4091" s="4" t="str">
        <f>HYPERLINK("http://141.218.60.56/~jnz1568/getInfo.php?workbook=12_05.xlsx&amp;sheet=U0&amp;row=4091&amp;col=7&amp;number=0.000388&amp;sourceID=14","0.000388")</f>
        <v>0.000388</v>
      </c>
    </row>
    <row r="4092" spans="1:7">
      <c r="A4092" s="3"/>
      <c r="B4092" s="3"/>
      <c r="C4092" s="3"/>
      <c r="D4092" s="3"/>
      <c r="E4092" s="3">
        <v>9</v>
      </c>
      <c r="F4092" s="4" t="str">
        <f>HYPERLINK("http://141.218.60.56/~jnz1568/getInfo.php?workbook=12_05.xlsx&amp;sheet=U0&amp;row=4092&amp;col=6&amp;number=3.8&amp;sourceID=14","3.8")</f>
        <v>3.8</v>
      </c>
      <c r="G4092" s="4" t="str">
        <f>HYPERLINK("http://141.218.60.56/~jnz1568/getInfo.php?workbook=12_05.xlsx&amp;sheet=U0&amp;row=4092&amp;col=7&amp;number=0.000387&amp;sourceID=14","0.000387")</f>
        <v>0.000387</v>
      </c>
    </row>
    <row r="4093" spans="1:7">
      <c r="A4093" s="3"/>
      <c r="B4093" s="3"/>
      <c r="C4093" s="3"/>
      <c r="D4093" s="3"/>
      <c r="E4093" s="3">
        <v>10</v>
      </c>
      <c r="F4093" s="4" t="str">
        <f>HYPERLINK("http://141.218.60.56/~jnz1568/getInfo.php?workbook=12_05.xlsx&amp;sheet=U0&amp;row=4093&amp;col=6&amp;number=3.9&amp;sourceID=14","3.9")</f>
        <v>3.9</v>
      </c>
      <c r="G4093" s="4" t="str">
        <f>HYPERLINK("http://141.218.60.56/~jnz1568/getInfo.php?workbook=12_05.xlsx&amp;sheet=U0&amp;row=4093&amp;col=7&amp;number=0.000386&amp;sourceID=14","0.000386")</f>
        <v>0.000386</v>
      </c>
    </row>
    <row r="4094" spans="1:7">
      <c r="A4094" s="3"/>
      <c r="B4094" s="3"/>
      <c r="C4094" s="3"/>
      <c r="D4094" s="3"/>
      <c r="E4094" s="3">
        <v>11</v>
      </c>
      <c r="F4094" s="4" t="str">
        <f>HYPERLINK("http://141.218.60.56/~jnz1568/getInfo.php?workbook=12_05.xlsx&amp;sheet=U0&amp;row=4094&amp;col=6&amp;number=4&amp;sourceID=14","4")</f>
        <v>4</v>
      </c>
      <c r="G4094" s="4" t="str">
        <f>HYPERLINK("http://141.218.60.56/~jnz1568/getInfo.php?workbook=12_05.xlsx&amp;sheet=U0&amp;row=4094&amp;col=7&amp;number=0.000386&amp;sourceID=14","0.000386")</f>
        <v>0.000386</v>
      </c>
    </row>
    <row r="4095" spans="1:7">
      <c r="A4095" s="3"/>
      <c r="B4095" s="3"/>
      <c r="C4095" s="3"/>
      <c r="D4095" s="3"/>
      <c r="E4095" s="3">
        <v>12</v>
      </c>
      <c r="F4095" s="4" t="str">
        <f>HYPERLINK("http://141.218.60.56/~jnz1568/getInfo.php?workbook=12_05.xlsx&amp;sheet=U0&amp;row=4095&amp;col=6&amp;number=4.1&amp;sourceID=14","4.1")</f>
        <v>4.1</v>
      </c>
      <c r="G4095" s="4" t="str">
        <f>HYPERLINK("http://141.218.60.56/~jnz1568/getInfo.php?workbook=12_05.xlsx&amp;sheet=U0&amp;row=4095&amp;col=7&amp;number=0.000384&amp;sourceID=14","0.000384")</f>
        <v>0.000384</v>
      </c>
    </row>
    <row r="4096" spans="1:7">
      <c r="A4096" s="3"/>
      <c r="B4096" s="3"/>
      <c r="C4096" s="3"/>
      <c r="D4096" s="3"/>
      <c r="E4096" s="3">
        <v>13</v>
      </c>
      <c r="F4096" s="4" t="str">
        <f>HYPERLINK("http://141.218.60.56/~jnz1568/getInfo.php?workbook=12_05.xlsx&amp;sheet=U0&amp;row=4096&amp;col=6&amp;number=4.2&amp;sourceID=14","4.2")</f>
        <v>4.2</v>
      </c>
      <c r="G4096" s="4" t="str">
        <f>HYPERLINK("http://141.218.60.56/~jnz1568/getInfo.php?workbook=12_05.xlsx&amp;sheet=U0&amp;row=4096&amp;col=7&amp;number=0.000383&amp;sourceID=14","0.000383")</f>
        <v>0.000383</v>
      </c>
    </row>
    <row r="4097" spans="1:7">
      <c r="A4097" s="3"/>
      <c r="B4097" s="3"/>
      <c r="C4097" s="3"/>
      <c r="D4097" s="3"/>
      <c r="E4097" s="3">
        <v>14</v>
      </c>
      <c r="F4097" s="4" t="str">
        <f>HYPERLINK("http://141.218.60.56/~jnz1568/getInfo.php?workbook=12_05.xlsx&amp;sheet=U0&amp;row=4097&amp;col=6&amp;number=4.3&amp;sourceID=14","4.3")</f>
        <v>4.3</v>
      </c>
      <c r="G4097" s="4" t="str">
        <f>HYPERLINK("http://141.218.60.56/~jnz1568/getInfo.php?workbook=12_05.xlsx&amp;sheet=U0&amp;row=4097&amp;col=7&amp;number=0.000381&amp;sourceID=14","0.000381")</f>
        <v>0.000381</v>
      </c>
    </row>
    <row r="4098" spans="1:7">
      <c r="A4098" s="3"/>
      <c r="B4098" s="3"/>
      <c r="C4098" s="3"/>
      <c r="D4098" s="3"/>
      <c r="E4098" s="3">
        <v>15</v>
      </c>
      <c r="F4098" s="4" t="str">
        <f>HYPERLINK("http://141.218.60.56/~jnz1568/getInfo.php?workbook=12_05.xlsx&amp;sheet=U0&amp;row=4098&amp;col=6&amp;number=4.4&amp;sourceID=14","4.4")</f>
        <v>4.4</v>
      </c>
      <c r="G4098" s="4" t="str">
        <f>HYPERLINK("http://141.218.60.56/~jnz1568/getInfo.php?workbook=12_05.xlsx&amp;sheet=U0&amp;row=4098&amp;col=7&amp;number=0.000379&amp;sourceID=14","0.000379")</f>
        <v>0.000379</v>
      </c>
    </row>
    <row r="4099" spans="1:7">
      <c r="A4099" s="3"/>
      <c r="B4099" s="3"/>
      <c r="C4099" s="3"/>
      <c r="D4099" s="3"/>
      <c r="E4099" s="3">
        <v>16</v>
      </c>
      <c r="F4099" s="4" t="str">
        <f>HYPERLINK("http://141.218.60.56/~jnz1568/getInfo.php?workbook=12_05.xlsx&amp;sheet=U0&amp;row=4099&amp;col=6&amp;number=4.5&amp;sourceID=14","4.5")</f>
        <v>4.5</v>
      </c>
      <c r="G4099" s="4" t="str">
        <f>HYPERLINK("http://141.218.60.56/~jnz1568/getInfo.php?workbook=12_05.xlsx&amp;sheet=U0&amp;row=4099&amp;col=7&amp;number=0.000376&amp;sourceID=14","0.000376")</f>
        <v>0.000376</v>
      </c>
    </row>
    <row r="4100" spans="1:7">
      <c r="A4100" s="3"/>
      <c r="B4100" s="3"/>
      <c r="C4100" s="3"/>
      <c r="D4100" s="3"/>
      <c r="E4100" s="3">
        <v>17</v>
      </c>
      <c r="F4100" s="4" t="str">
        <f>HYPERLINK("http://141.218.60.56/~jnz1568/getInfo.php?workbook=12_05.xlsx&amp;sheet=U0&amp;row=4100&amp;col=6&amp;number=4.6&amp;sourceID=14","4.6")</f>
        <v>4.6</v>
      </c>
      <c r="G4100" s="4" t="str">
        <f>HYPERLINK("http://141.218.60.56/~jnz1568/getInfo.php?workbook=12_05.xlsx&amp;sheet=U0&amp;row=4100&amp;col=7&amp;number=0.000373&amp;sourceID=14","0.000373")</f>
        <v>0.000373</v>
      </c>
    </row>
    <row r="4101" spans="1:7">
      <c r="A4101" s="3"/>
      <c r="B4101" s="3"/>
      <c r="C4101" s="3"/>
      <c r="D4101" s="3"/>
      <c r="E4101" s="3">
        <v>18</v>
      </c>
      <c r="F4101" s="4" t="str">
        <f>HYPERLINK("http://141.218.60.56/~jnz1568/getInfo.php?workbook=12_05.xlsx&amp;sheet=U0&amp;row=4101&amp;col=6&amp;number=4.7&amp;sourceID=14","4.7")</f>
        <v>4.7</v>
      </c>
      <c r="G4101" s="4" t="str">
        <f>HYPERLINK("http://141.218.60.56/~jnz1568/getInfo.php?workbook=12_05.xlsx&amp;sheet=U0&amp;row=4101&amp;col=7&amp;number=0.000369&amp;sourceID=14","0.000369")</f>
        <v>0.000369</v>
      </c>
    </row>
    <row r="4102" spans="1:7">
      <c r="A4102" s="3"/>
      <c r="B4102" s="3"/>
      <c r="C4102" s="3"/>
      <c r="D4102" s="3"/>
      <c r="E4102" s="3">
        <v>19</v>
      </c>
      <c r="F4102" s="4" t="str">
        <f>HYPERLINK("http://141.218.60.56/~jnz1568/getInfo.php?workbook=12_05.xlsx&amp;sheet=U0&amp;row=4102&amp;col=6&amp;number=4.8&amp;sourceID=14","4.8")</f>
        <v>4.8</v>
      </c>
      <c r="G4102" s="4" t="str">
        <f>HYPERLINK("http://141.218.60.56/~jnz1568/getInfo.php?workbook=12_05.xlsx&amp;sheet=U0&amp;row=4102&amp;col=7&amp;number=0.000363&amp;sourceID=14","0.000363")</f>
        <v>0.000363</v>
      </c>
    </row>
    <row r="4103" spans="1:7">
      <c r="A4103" s="3"/>
      <c r="B4103" s="3"/>
      <c r="C4103" s="3"/>
      <c r="D4103" s="3"/>
      <c r="E4103" s="3">
        <v>20</v>
      </c>
      <c r="F4103" s="4" t="str">
        <f>HYPERLINK("http://141.218.60.56/~jnz1568/getInfo.php?workbook=12_05.xlsx&amp;sheet=U0&amp;row=4103&amp;col=6&amp;number=4.9&amp;sourceID=14","4.9")</f>
        <v>4.9</v>
      </c>
      <c r="G4103" s="4" t="str">
        <f>HYPERLINK("http://141.218.60.56/~jnz1568/getInfo.php?workbook=12_05.xlsx&amp;sheet=U0&amp;row=4103&amp;col=7&amp;number=0.000357&amp;sourceID=14","0.000357")</f>
        <v>0.000357</v>
      </c>
    </row>
    <row r="4104" spans="1:7">
      <c r="A4104" s="3">
        <v>12</v>
      </c>
      <c r="B4104" s="3">
        <v>5</v>
      </c>
      <c r="C4104" s="3">
        <v>2</v>
      </c>
      <c r="D4104" s="3">
        <v>58</v>
      </c>
      <c r="E4104" s="3">
        <v>1</v>
      </c>
      <c r="F4104" s="4" t="str">
        <f>HYPERLINK("http://141.218.60.56/~jnz1568/getInfo.php?workbook=12_05.xlsx&amp;sheet=U0&amp;row=4104&amp;col=6&amp;number=3&amp;sourceID=14","3")</f>
        <v>3</v>
      </c>
      <c r="G4104" s="4" t="str">
        <f>HYPERLINK("http://141.218.60.56/~jnz1568/getInfo.php?workbook=12_05.xlsx&amp;sheet=U0&amp;row=4104&amp;col=7&amp;number=0.000735&amp;sourceID=14","0.000735")</f>
        <v>0.000735</v>
      </c>
    </row>
    <row r="4105" spans="1:7">
      <c r="A4105" s="3"/>
      <c r="B4105" s="3"/>
      <c r="C4105" s="3"/>
      <c r="D4105" s="3"/>
      <c r="E4105" s="3">
        <v>2</v>
      </c>
      <c r="F4105" s="4" t="str">
        <f>HYPERLINK("http://141.218.60.56/~jnz1568/getInfo.php?workbook=12_05.xlsx&amp;sheet=U0&amp;row=4105&amp;col=6&amp;number=3.1&amp;sourceID=14","3.1")</f>
        <v>3.1</v>
      </c>
      <c r="G4105" s="4" t="str">
        <f>HYPERLINK("http://141.218.60.56/~jnz1568/getInfo.php?workbook=12_05.xlsx&amp;sheet=U0&amp;row=4105&amp;col=7&amp;number=0.000735&amp;sourceID=14","0.000735")</f>
        <v>0.000735</v>
      </c>
    </row>
    <row r="4106" spans="1:7">
      <c r="A4106" s="3"/>
      <c r="B4106" s="3"/>
      <c r="C4106" s="3"/>
      <c r="D4106" s="3"/>
      <c r="E4106" s="3">
        <v>3</v>
      </c>
      <c r="F4106" s="4" t="str">
        <f>HYPERLINK("http://141.218.60.56/~jnz1568/getInfo.php?workbook=12_05.xlsx&amp;sheet=U0&amp;row=4106&amp;col=6&amp;number=3.2&amp;sourceID=14","3.2")</f>
        <v>3.2</v>
      </c>
      <c r="G4106" s="4" t="str">
        <f>HYPERLINK("http://141.218.60.56/~jnz1568/getInfo.php?workbook=12_05.xlsx&amp;sheet=U0&amp;row=4106&amp;col=7&amp;number=0.000735&amp;sourceID=14","0.000735")</f>
        <v>0.000735</v>
      </c>
    </row>
    <row r="4107" spans="1:7">
      <c r="A4107" s="3"/>
      <c r="B4107" s="3"/>
      <c r="C4107" s="3"/>
      <c r="D4107" s="3"/>
      <c r="E4107" s="3">
        <v>4</v>
      </c>
      <c r="F4107" s="4" t="str">
        <f>HYPERLINK("http://141.218.60.56/~jnz1568/getInfo.php?workbook=12_05.xlsx&amp;sheet=U0&amp;row=4107&amp;col=6&amp;number=3.3&amp;sourceID=14","3.3")</f>
        <v>3.3</v>
      </c>
      <c r="G4107" s="4" t="str">
        <f>HYPERLINK("http://141.218.60.56/~jnz1568/getInfo.php?workbook=12_05.xlsx&amp;sheet=U0&amp;row=4107&amp;col=7&amp;number=0.000734&amp;sourceID=14","0.000734")</f>
        <v>0.000734</v>
      </c>
    </row>
    <row r="4108" spans="1:7">
      <c r="A4108" s="3"/>
      <c r="B4108" s="3"/>
      <c r="C4108" s="3"/>
      <c r="D4108" s="3"/>
      <c r="E4108" s="3">
        <v>5</v>
      </c>
      <c r="F4108" s="4" t="str">
        <f>HYPERLINK("http://141.218.60.56/~jnz1568/getInfo.php?workbook=12_05.xlsx&amp;sheet=U0&amp;row=4108&amp;col=6&amp;number=3.4&amp;sourceID=14","3.4")</f>
        <v>3.4</v>
      </c>
      <c r="G4108" s="4" t="str">
        <f>HYPERLINK("http://141.218.60.56/~jnz1568/getInfo.php?workbook=12_05.xlsx&amp;sheet=U0&amp;row=4108&amp;col=7&amp;number=0.000734&amp;sourceID=14","0.000734")</f>
        <v>0.000734</v>
      </c>
    </row>
    <row r="4109" spans="1:7">
      <c r="A4109" s="3"/>
      <c r="B4109" s="3"/>
      <c r="C4109" s="3"/>
      <c r="D4109" s="3"/>
      <c r="E4109" s="3">
        <v>6</v>
      </c>
      <c r="F4109" s="4" t="str">
        <f>HYPERLINK("http://141.218.60.56/~jnz1568/getInfo.php?workbook=12_05.xlsx&amp;sheet=U0&amp;row=4109&amp;col=6&amp;number=3.5&amp;sourceID=14","3.5")</f>
        <v>3.5</v>
      </c>
      <c r="G4109" s="4" t="str">
        <f>HYPERLINK("http://141.218.60.56/~jnz1568/getInfo.php?workbook=12_05.xlsx&amp;sheet=U0&amp;row=4109&amp;col=7&amp;number=0.000733&amp;sourceID=14","0.000733")</f>
        <v>0.000733</v>
      </c>
    </row>
    <row r="4110" spans="1:7">
      <c r="A4110" s="3"/>
      <c r="B4110" s="3"/>
      <c r="C4110" s="3"/>
      <c r="D4110" s="3"/>
      <c r="E4110" s="3">
        <v>7</v>
      </c>
      <c r="F4110" s="4" t="str">
        <f>HYPERLINK("http://141.218.60.56/~jnz1568/getInfo.php?workbook=12_05.xlsx&amp;sheet=U0&amp;row=4110&amp;col=6&amp;number=3.6&amp;sourceID=14","3.6")</f>
        <v>3.6</v>
      </c>
      <c r="G4110" s="4" t="str">
        <f>HYPERLINK("http://141.218.60.56/~jnz1568/getInfo.php?workbook=12_05.xlsx&amp;sheet=U0&amp;row=4110&amp;col=7&amp;number=0.000733&amp;sourceID=14","0.000733")</f>
        <v>0.000733</v>
      </c>
    </row>
    <row r="4111" spans="1:7">
      <c r="A4111" s="3"/>
      <c r="B4111" s="3"/>
      <c r="C4111" s="3"/>
      <c r="D4111" s="3"/>
      <c r="E4111" s="3">
        <v>8</v>
      </c>
      <c r="F4111" s="4" t="str">
        <f>HYPERLINK("http://141.218.60.56/~jnz1568/getInfo.php?workbook=12_05.xlsx&amp;sheet=U0&amp;row=4111&amp;col=6&amp;number=3.7&amp;sourceID=14","3.7")</f>
        <v>3.7</v>
      </c>
      <c r="G4111" s="4" t="str">
        <f>HYPERLINK("http://141.218.60.56/~jnz1568/getInfo.php?workbook=12_05.xlsx&amp;sheet=U0&amp;row=4111&amp;col=7&amp;number=0.000732&amp;sourceID=14","0.000732")</f>
        <v>0.000732</v>
      </c>
    </row>
    <row r="4112" spans="1:7">
      <c r="A4112" s="3"/>
      <c r="B4112" s="3"/>
      <c r="C4112" s="3"/>
      <c r="D4112" s="3"/>
      <c r="E4112" s="3">
        <v>9</v>
      </c>
      <c r="F4112" s="4" t="str">
        <f>HYPERLINK("http://141.218.60.56/~jnz1568/getInfo.php?workbook=12_05.xlsx&amp;sheet=U0&amp;row=4112&amp;col=6&amp;number=3.8&amp;sourceID=14","3.8")</f>
        <v>3.8</v>
      </c>
      <c r="G4112" s="4" t="str">
        <f>HYPERLINK("http://141.218.60.56/~jnz1568/getInfo.php?workbook=12_05.xlsx&amp;sheet=U0&amp;row=4112&amp;col=7&amp;number=0.000731&amp;sourceID=14","0.000731")</f>
        <v>0.000731</v>
      </c>
    </row>
    <row r="4113" spans="1:7">
      <c r="A4113" s="3"/>
      <c r="B4113" s="3"/>
      <c r="C4113" s="3"/>
      <c r="D4113" s="3"/>
      <c r="E4113" s="3">
        <v>10</v>
      </c>
      <c r="F4113" s="4" t="str">
        <f>HYPERLINK("http://141.218.60.56/~jnz1568/getInfo.php?workbook=12_05.xlsx&amp;sheet=U0&amp;row=4113&amp;col=6&amp;number=3.9&amp;sourceID=14","3.9")</f>
        <v>3.9</v>
      </c>
      <c r="G4113" s="4" t="str">
        <f>HYPERLINK("http://141.218.60.56/~jnz1568/getInfo.php?workbook=12_05.xlsx&amp;sheet=U0&amp;row=4113&amp;col=7&amp;number=0.00073&amp;sourceID=14","0.00073")</f>
        <v>0.00073</v>
      </c>
    </row>
    <row r="4114" spans="1:7">
      <c r="A4114" s="3"/>
      <c r="B4114" s="3"/>
      <c r="C4114" s="3"/>
      <c r="D4114" s="3"/>
      <c r="E4114" s="3">
        <v>11</v>
      </c>
      <c r="F4114" s="4" t="str">
        <f>HYPERLINK("http://141.218.60.56/~jnz1568/getInfo.php?workbook=12_05.xlsx&amp;sheet=U0&amp;row=4114&amp;col=6&amp;number=4&amp;sourceID=14","4")</f>
        <v>4</v>
      </c>
      <c r="G4114" s="4" t="str">
        <f>HYPERLINK("http://141.218.60.56/~jnz1568/getInfo.php?workbook=12_05.xlsx&amp;sheet=U0&amp;row=4114&amp;col=7&amp;number=0.000729&amp;sourceID=14","0.000729")</f>
        <v>0.000729</v>
      </c>
    </row>
    <row r="4115" spans="1:7">
      <c r="A4115" s="3"/>
      <c r="B4115" s="3"/>
      <c r="C4115" s="3"/>
      <c r="D4115" s="3"/>
      <c r="E4115" s="3">
        <v>12</v>
      </c>
      <c r="F4115" s="4" t="str">
        <f>HYPERLINK("http://141.218.60.56/~jnz1568/getInfo.php?workbook=12_05.xlsx&amp;sheet=U0&amp;row=4115&amp;col=6&amp;number=4.1&amp;sourceID=14","4.1")</f>
        <v>4.1</v>
      </c>
      <c r="G4115" s="4" t="str">
        <f>HYPERLINK("http://141.218.60.56/~jnz1568/getInfo.php?workbook=12_05.xlsx&amp;sheet=U0&amp;row=4115&amp;col=7&amp;number=0.000727&amp;sourceID=14","0.000727")</f>
        <v>0.000727</v>
      </c>
    </row>
    <row r="4116" spans="1:7">
      <c r="A4116" s="3"/>
      <c r="B4116" s="3"/>
      <c r="C4116" s="3"/>
      <c r="D4116" s="3"/>
      <c r="E4116" s="3">
        <v>13</v>
      </c>
      <c r="F4116" s="4" t="str">
        <f>HYPERLINK("http://141.218.60.56/~jnz1568/getInfo.php?workbook=12_05.xlsx&amp;sheet=U0&amp;row=4116&amp;col=6&amp;number=4.2&amp;sourceID=14","4.2")</f>
        <v>4.2</v>
      </c>
      <c r="G4116" s="4" t="str">
        <f>HYPERLINK("http://141.218.60.56/~jnz1568/getInfo.php?workbook=12_05.xlsx&amp;sheet=U0&amp;row=4116&amp;col=7&amp;number=0.000724&amp;sourceID=14","0.000724")</f>
        <v>0.000724</v>
      </c>
    </row>
    <row r="4117" spans="1:7">
      <c r="A4117" s="3"/>
      <c r="B4117" s="3"/>
      <c r="C4117" s="3"/>
      <c r="D4117" s="3"/>
      <c r="E4117" s="3">
        <v>14</v>
      </c>
      <c r="F4117" s="4" t="str">
        <f>HYPERLINK("http://141.218.60.56/~jnz1568/getInfo.php?workbook=12_05.xlsx&amp;sheet=U0&amp;row=4117&amp;col=6&amp;number=4.3&amp;sourceID=14","4.3")</f>
        <v>4.3</v>
      </c>
      <c r="G4117" s="4" t="str">
        <f>HYPERLINK("http://141.218.60.56/~jnz1568/getInfo.php?workbook=12_05.xlsx&amp;sheet=U0&amp;row=4117&amp;col=7&amp;number=0.000722&amp;sourceID=14","0.000722")</f>
        <v>0.000722</v>
      </c>
    </row>
    <row r="4118" spans="1:7">
      <c r="A4118" s="3"/>
      <c r="B4118" s="3"/>
      <c r="C4118" s="3"/>
      <c r="D4118" s="3"/>
      <c r="E4118" s="3">
        <v>15</v>
      </c>
      <c r="F4118" s="4" t="str">
        <f>HYPERLINK("http://141.218.60.56/~jnz1568/getInfo.php?workbook=12_05.xlsx&amp;sheet=U0&amp;row=4118&amp;col=6&amp;number=4.4&amp;sourceID=14","4.4")</f>
        <v>4.4</v>
      </c>
      <c r="G4118" s="4" t="str">
        <f>HYPERLINK("http://141.218.60.56/~jnz1568/getInfo.php?workbook=12_05.xlsx&amp;sheet=U0&amp;row=4118&amp;col=7&amp;number=0.000718&amp;sourceID=14","0.000718")</f>
        <v>0.000718</v>
      </c>
    </row>
    <row r="4119" spans="1:7">
      <c r="A4119" s="3"/>
      <c r="B4119" s="3"/>
      <c r="C4119" s="3"/>
      <c r="D4119" s="3"/>
      <c r="E4119" s="3">
        <v>16</v>
      </c>
      <c r="F4119" s="4" t="str">
        <f>HYPERLINK("http://141.218.60.56/~jnz1568/getInfo.php?workbook=12_05.xlsx&amp;sheet=U0&amp;row=4119&amp;col=6&amp;number=4.5&amp;sourceID=14","4.5")</f>
        <v>4.5</v>
      </c>
      <c r="G4119" s="4" t="str">
        <f>HYPERLINK("http://141.218.60.56/~jnz1568/getInfo.php?workbook=12_05.xlsx&amp;sheet=U0&amp;row=4119&amp;col=7&amp;number=0.000714&amp;sourceID=14","0.000714")</f>
        <v>0.000714</v>
      </c>
    </row>
    <row r="4120" spans="1:7">
      <c r="A4120" s="3"/>
      <c r="B4120" s="3"/>
      <c r="C4120" s="3"/>
      <c r="D4120" s="3"/>
      <c r="E4120" s="3">
        <v>17</v>
      </c>
      <c r="F4120" s="4" t="str">
        <f>HYPERLINK("http://141.218.60.56/~jnz1568/getInfo.php?workbook=12_05.xlsx&amp;sheet=U0&amp;row=4120&amp;col=6&amp;number=4.6&amp;sourceID=14","4.6")</f>
        <v>4.6</v>
      </c>
      <c r="G4120" s="4" t="str">
        <f>HYPERLINK("http://141.218.60.56/~jnz1568/getInfo.php?workbook=12_05.xlsx&amp;sheet=U0&amp;row=4120&amp;col=7&amp;number=0.000708&amp;sourceID=14","0.000708")</f>
        <v>0.000708</v>
      </c>
    </row>
    <row r="4121" spans="1:7">
      <c r="A4121" s="3"/>
      <c r="B4121" s="3"/>
      <c r="C4121" s="3"/>
      <c r="D4121" s="3"/>
      <c r="E4121" s="3">
        <v>18</v>
      </c>
      <c r="F4121" s="4" t="str">
        <f>HYPERLINK("http://141.218.60.56/~jnz1568/getInfo.php?workbook=12_05.xlsx&amp;sheet=U0&amp;row=4121&amp;col=6&amp;number=4.7&amp;sourceID=14","4.7")</f>
        <v>4.7</v>
      </c>
      <c r="G4121" s="4" t="str">
        <f>HYPERLINK("http://141.218.60.56/~jnz1568/getInfo.php?workbook=12_05.xlsx&amp;sheet=U0&amp;row=4121&amp;col=7&amp;number=0.000701&amp;sourceID=14","0.000701")</f>
        <v>0.000701</v>
      </c>
    </row>
    <row r="4122" spans="1:7">
      <c r="A4122" s="3"/>
      <c r="B4122" s="3"/>
      <c r="C4122" s="3"/>
      <c r="D4122" s="3"/>
      <c r="E4122" s="3">
        <v>19</v>
      </c>
      <c r="F4122" s="4" t="str">
        <f>HYPERLINK("http://141.218.60.56/~jnz1568/getInfo.php?workbook=12_05.xlsx&amp;sheet=U0&amp;row=4122&amp;col=6&amp;number=4.8&amp;sourceID=14","4.8")</f>
        <v>4.8</v>
      </c>
      <c r="G4122" s="4" t="str">
        <f>HYPERLINK("http://141.218.60.56/~jnz1568/getInfo.php?workbook=12_05.xlsx&amp;sheet=U0&amp;row=4122&amp;col=7&amp;number=0.000692&amp;sourceID=14","0.000692")</f>
        <v>0.000692</v>
      </c>
    </row>
    <row r="4123" spans="1:7">
      <c r="A4123" s="3"/>
      <c r="B4123" s="3"/>
      <c r="C4123" s="3"/>
      <c r="D4123" s="3"/>
      <c r="E4123" s="3">
        <v>20</v>
      </c>
      <c r="F4123" s="4" t="str">
        <f>HYPERLINK("http://141.218.60.56/~jnz1568/getInfo.php?workbook=12_05.xlsx&amp;sheet=U0&amp;row=4123&amp;col=6&amp;number=4.9&amp;sourceID=14","4.9")</f>
        <v>4.9</v>
      </c>
      <c r="G4123" s="4" t="str">
        <f>HYPERLINK("http://141.218.60.56/~jnz1568/getInfo.php?workbook=12_05.xlsx&amp;sheet=U0&amp;row=4123&amp;col=7&amp;number=0.000682&amp;sourceID=14","0.000682")</f>
        <v>0.000682</v>
      </c>
    </row>
    <row r="4124" spans="1:7">
      <c r="A4124" s="3">
        <v>12</v>
      </c>
      <c r="B4124" s="3">
        <v>5</v>
      </c>
      <c r="C4124" s="3">
        <v>2</v>
      </c>
      <c r="D4124" s="3">
        <v>59</v>
      </c>
      <c r="E4124" s="3">
        <v>1</v>
      </c>
      <c r="F4124" s="4" t="str">
        <f>HYPERLINK("http://141.218.60.56/~jnz1568/getInfo.php?workbook=12_05.xlsx&amp;sheet=U0&amp;row=4124&amp;col=6&amp;number=3&amp;sourceID=14","3")</f>
        <v>3</v>
      </c>
      <c r="G4124" s="4" t="str">
        <f>HYPERLINK("http://141.218.60.56/~jnz1568/getInfo.php?workbook=12_05.xlsx&amp;sheet=U0&amp;row=4124&amp;col=7&amp;number=0.000342&amp;sourceID=14","0.000342")</f>
        <v>0.000342</v>
      </c>
    </row>
    <row r="4125" spans="1:7">
      <c r="A4125" s="3"/>
      <c r="B4125" s="3"/>
      <c r="C4125" s="3"/>
      <c r="D4125" s="3"/>
      <c r="E4125" s="3">
        <v>2</v>
      </c>
      <c r="F4125" s="4" t="str">
        <f>HYPERLINK("http://141.218.60.56/~jnz1568/getInfo.php?workbook=12_05.xlsx&amp;sheet=U0&amp;row=4125&amp;col=6&amp;number=3.1&amp;sourceID=14","3.1")</f>
        <v>3.1</v>
      </c>
      <c r="G4125" s="4" t="str">
        <f>HYPERLINK("http://141.218.60.56/~jnz1568/getInfo.php?workbook=12_05.xlsx&amp;sheet=U0&amp;row=4125&amp;col=7&amp;number=0.000342&amp;sourceID=14","0.000342")</f>
        <v>0.000342</v>
      </c>
    </row>
    <row r="4126" spans="1:7">
      <c r="A4126" s="3"/>
      <c r="B4126" s="3"/>
      <c r="C4126" s="3"/>
      <c r="D4126" s="3"/>
      <c r="E4126" s="3">
        <v>3</v>
      </c>
      <c r="F4126" s="4" t="str">
        <f>HYPERLINK("http://141.218.60.56/~jnz1568/getInfo.php?workbook=12_05.xlsx&amp;sheet=U0&amp;row=4126&amp;col=6&amp;number=3.2&amp;sourceID=14","3.2")</f>
        <v>3.2</v>
      </c>
      <c r="G4126" s="4" t="str">
        <f>HYPERLINK("http://141.218.60.56/~jnz1568/getInfo.php?workbook=12_05.xlsx&amp;sheet=U0&amp;row=4126&amp;col=7&amp;number=0.000342&amp;sourceID=14","0.000342")</f>
        <v>0.000342</v>
      </c>
    </row>
    <row r="4127" spans="1:7">
      <c r="A4127" s="3"/>
      <c r="B4127" s="3"/>
      <c r="C4127" s="3"/>
      <c r="D4127" s="3"/>
      <c r="E4127" s="3">
        <v>4</v>
      </c>
      <c r="F4127" s="4" t="str">
        <f>HYPERLINK("http://141.218.60.56/~jnz1568/getInfo.php?workbook=12_05.xlsx&amp;sheet=U0&amp;row=4127&amp;col=6&amp;number=3.3&amp;sourceID=14","3.3")</f>
        <v>3.3</v>
      </c>
      <c r="G4127" s="4" t="str">
        <f>HYPERLINK("http://141.218.60.56/~jnz1568/getInfo.php?workbook=12_05.xlsx&amp;sheet=U0&amp;row=4127&amp;col=7&amp;number=0.000342&amp;sourceID=14","0.000342")</f>
        <v>0.000342</v>
      </c>
    </row>
    <row r="4128" spans="1:7">
      <c r="A4128" s="3"/>
      <c r="B4128" s="3"/>
      <c r="C4128" s="3"/>
      <c r="D4128" s="3"/>
      <c r="E4128" s="3">
        <v>5</v>
      </c>
      <c r="F4128" s="4" t="str">
        <f>HYPERLINK("http://141.218.60.56/~jnz1568/getInfo.php?workbook=12_05.xlsx&amp;sheet=U0&amp;row=4128&amp;col=6&amp;number=3.4&amp;sourceID=14","3.4")</f>
        <v>3.4</v>
      </c>
      <c r="G4128" s="4" t="str">
        <f>HYPERLINK("http://141.218.60.56/~jnz1568/getInfo.php?workbook=12_05.xlsx&amp;sheet=U0&amp;row=4128&amp;col=7&amp;number=0.000342&amp;sourceID=14","0.000342")</f>
        <v>0.000342</v>
      </c>
    </row>
    <row r="4129" spans="1:7">
      <c r="A4129" s="3"/>
      <c r="B4129" s="3"/>
      <c r="C4129" s="3"/>
      <c r="D4129" s="3"/>
      <c r="E4129" s="3">
        <v>6</v>
      </c>
      <c r="F4129" s="4" t="str">
        <f>HYPERLINK("http://141.218.60.56/~jnz1568/getInfo.php?workbook=12_05.xlsx&amp;sheet=U0&amp;row=4129&amp;col=6&amp;number=3.5&amp;sourceID=14","3.5")</f>
        <v>3.5</v>
      </c>
      <c r="G4129" s="4" t="str">
        <f>HYPERLINK("http://141.218.60.56/~jnz1568/getInfo.php?workbook=12_05.xlsx&amp;sheet=U0&amp;row=4129&amp;col=7&amp;number=0.000342&amp;sourceID=14","0.000342")</f>
        <v>0.000342</v>
      </c>
    </row>
    <row r="4130" spans="1:7">
      <c r="A4130" s="3"/>
      <c r="B4130" s="3"/>
      <c r="C4130" s="3"/>
      <c r="D4130" s="3"/>
      <c r="E4130" s="3">
        <v>7</v>
      </c>
      <c r="F4130" s="4" t="str">
        <f>HYPERLINK("http://141.218.60.56/~jnz1568/getInfo.php?workbook=12_05.xlsx&amp;sheet=U0&amp;row=4130&amp;col=6&amp;number=3.6&amp;sourceID=14","3.6")</f>
        <v>3.6</v>
      </c>
      <c r="G4130" s="4" t="str">
        <f>HYPERLINK("http://141.218.60.56/~jnz1568/getInfo.php?workbook=12_05.xlsx&amp;sheet=U0&amp;row=4130&amp;col=7&amp;number=0.000341&amp;sourceID=14","0.000341")</f>
        <v>0.000341</v>
      </c>
    </row>
    <row r="4131" spans="1:7">
      <c r="A4131" s="3"/>
      <c r="B4131" s="3"/>
      <c r="C4131" s="3"/>
      <c r="D4131" s="3"/>
      <c r="E4131" s="3">
        <v>8</v>
      </c>
      <c r="F4131" s="4" t="str">
        <f>HYPERLINK("http://141.218.60.56/~jnz1568/getInfo.php?workbook=12_05.xlsx&amp;sheet=U0&amp;row=4131&amp;col=6&amp;number=3.7&amp;sourceID=14","3.7")</f>
        <v>3.7</v>
      </c>
      <c r="G4131" s="4" t="str">
        <f>HYPERLINK("http://141.218.60.56/~jnz1568/getInfo.php?workbook=12_05.xlsx&amp;sheet=U0&amp;row=4131&amp;col=7&amp;number=0.000341&amp;sourceID=14","0.000341")</f>
        <v>0.000341</v>
      </c>
    </row>
    <row r="4132" spans="1:7">
      <c r="A4132" s="3"/>
      <c r="B4132" s="3"/>
      <c r="C4132" s="3"/>
      <c r="D4132" s="3"/>
      <c r="E4132" s="3">
        <v>9</v>
      </c>
      <c r="F4132" s="4" t="str">
        <f>HYPERLINK("http://141.218.60.56/~jnz1568/getInfo.php?workbook=12_05.xlsx&amp;sheet=U0&amp;row=4132&amp;col=6&amp;number=3.8&amp;sourceID=14","3.8")</f>
        <v>3.8</v>
      </c>
      <c r="G4132" s="4" t="str">
        <f>HYPERLINK("http://141.218.60.56/~jnz1568/getInfo.php?workbook=12_05.xlsx&amp;sheet=U0&amp;row=4132&amp;col=7&amp;number=0.000341&amp;sourceID=14","0.000341")</f>
        <v>0.000341</v>
      </c>
    </row>
    <row r="4133" spans="1:7">
      <c r="A4133" s="3"/>
      <c r="B4133" s="3"/>
      <c r="C4133" s="3"/>
      <c r="D4133" s="3"/>
      <c r="E4133" s="3">
        <v>10</v>
      </c>
      <c r="F4133" s="4" t="str">
        <f>HYPERLINK("http://141.218.60.56/~jnz1568/getInfo.php?workbook=12_05.xlsx&amp;sheet=U0&amp;row=4133&amp;col=6&amp;number=3.9&amp;sourceID=14","3.9")</f>
        <v>3.9</v>
      </c>
      <c r="G4133" s="4" t="str">
        <f>HYPERLINK("http://141.218.60.56/~jnz1568/getInfo.php?workbook=12_05.xlsx&amp;sheet=U0&amp;row=4133&amp;col=7&amp;number=0.00034&amp;sourceID=14","0.00034")</f>
        <v>0.00034</v>
      </c>
    </row>
    <row r="4134" spans="1:7">
      <c r="A4134" s="3"/>
      <c r="B4134" s="3"/>
      <c r="C4134" s="3"/>
      <c r="D4134" s="3"/>
      <c r="E4134" s="3">
        <v>11</v>
      </c>
      <c r="F4134" s="4" t="str">
        <f>HYPERLINK("http://141.218.60.56/~jnz1568/getInfo.php?workbook=12_05.xlsx&amp;sheet=U0&amp;row=4134&amp;col=6&amp;number=4&amp;sourceID=14","4")</f>
        <v>4</v>
      </c>
      <c r="G4134" s="4" t="str">
        <f>HYPERLINK("http://141.218.60.56/~jnz1568/getInfo.php?workbook=12_05.xlsx&amp;sheet=U0&amp;row=4134&amp;col=7&amp;number=0.00034&amp;sourceID=14","0.00034")</f>
        <v>0.00034</v>
      </c>
    </row>
    <row r="4135" spans="1:7">
      <c r="A4135" s="3"/>
      <c r="B4135" s="3"/>
      <c r="C4135" s="3"/>
      <c r="D4135" s="3"/>
      <c r="E4135" s="3">
        <v>12</v>
      </c>
      <c r="F4135" s="4" t="str">
        <f>HYPERLINK("http://141.218.60.56/~jnz1568/getInfo.php?workbook=12_05.xlsx&amp;sheet=U0&amp;row=4135&amp;col=6&amp;number=4.1&amp;sourceID=14","4.1")</f>
        <v>4.1</v>
      </c>
      <c r="G4135" s="4" t="str">
        <f>HYPERLINK("http://141.218.60.56/~jnz1568/getInfo.php?workbook=12_05.xlsx&amp;sheet=U0&amp;row=4135&amp;col=7&amp;number=0.000339&amp;sourceID=14","0.000339")</f>
        <v>0.000339</v>
      </c>
    </row>
    <row r="4136" spans="1:7">
      <c r="A4136" s="3"/>
      <c r="B4136" s="3"/>
      <c r="C4136" s="3"/>
      <c r="D4136" s="3"/>
      <c r="E4136" s="3">
        <v>13</v>
      </c>
      <c r="F4136" s="4" t="str">
        <f>HYPERLINK("http://141.218.60.56/~jnz1568/getInfo.php?workbook=12_05.xlsx&amp;sheet=U0&amp;row=4136&amp;col=6&amp;number=4.2&amp;sourceID=14","4.2")</f>
        <v>4.2</v>
      </c>
      <c r="G4136" s="4" t="str">
        <f>HYPERLINK("http://141.218.60.56/~jnz1568/getInfo.php?workbook=12_05.xlsx&amp;sheet=U0&amp;row=4136&amp;col=7&amp;number=0.000338&amp;sourceID=14","0.000338")</f>
        <v>0.000338</v>
      </c>
    </row>
    <row r="4137" spans="1:7">
      <c r="A4137" s="3"/>
      <c r="B4137" s="3"/>
      <c r="C4137" s="3"/>
      <c r="D4137" s="3"/>
      <c r="E4137" s="3">
        <v>14</v>
      </c>
      <c r="F4137" s="4" t="str">
        <f>HYPERLINK("http://141.218.60.56/~jnz1568/getInfo.php?workbook=12_05.xlsx&amp;sheet=U0&amp;row=4137&amp;col=6&amp;number=4.3&amp;sourceID=14","4.3")</f>
        <v>4.3</v>
      </c>
      <c r="G4137" s="4" t="str">
        <f>HYPERLINK("http://141.218.60.56/~jnz1568/getInfo.php?workbook=12_05.xlsx&amp;sheet=U0&amp;row=4137&amp;col=7&amp;number=0.000337&amp;sourceID=14","0.000337")</f>
        <v>0.000337</v>
      </c>
    </row>
    <row r="4138" spans="1:7">
      <c r="A4138" s="3"/>
      <c r="B4138" s="3"/>
      <c r="C4138" s="3"/>
      <c r="D4138" s="3"/>
      <c r="E4138" s="3">
        <v>15</v>
      </c>
      <c r="F4138" s="4" t="str">
        <f>HYPERLINK("http://141.218.60.56/~jnz1568/getInfo.php?workbook=12_05.xlsx&amp;sheet=U0&amp;row=4138&amp;col=6&amp;number=4.4&amp;sourceID=14","4.4")</f>
        <v>4.4</v>
      </c>
      <c r="G4138" s="4" t="str">
        <f>HYPERLINK("http://141.218.60.56/~jnz1568/getInfo.php?workbook=12_05.xlsx&amp;sheet=U0&amp;row=4138&amp;col=7&amp;number=0.000335&amp;sourceID=14","0.000335")</f>
        <v>0.000335</v>
      </c>
    </row>
    <row r="4139" spans="1:7">
      <c r="A4139" s="3"/>
      <c r="B4139" s="3"/>
      <c r="C4139" s="3"/>
      <c r="D4139" s="3"/>
      <c r="E4139" s="3">
        <v>16</v>
      </c>
      <c r="F4139" s="4" t="str">
        <f>HYPERLINK("http://141.218.60.56/~jnz1568/getInfo.php?workbook=12_05.xlsx&amp;sheet=U0&amp;row=4139&amp;col=6&amp;number=4.5&amp;sourceID=14","4.5")</f>
        <v>4.5</v>
      </c>
      <c r="G4139" s="4" t="str">
        <f>HYPERLINK("http://141.218.60.56/~jnz1568/getInfo.php?workbook=12_05.xlsx&amp;sheet=U0&amp;row=4139&amp;col=7&amp;number=0.000334&amp;sourceID=14","0.000334")</f>
        <v>0.000334</v>
      </c>
    </row>
    <row r="4140" spans="1:7">
      <c r="A4140" s="3"/>
      <c r="B4140" s="3"/>
      <c r="C4140" s="3"/>
      <c r="D4140" s="3"/>
      <c r="E4140" s="3">
        <v>17</v>
      </c>
      <c r="F4140" s="4" t="str">
        <f>HYPERLINK("http://141.218.60.56/~jnz1568/getInfo.php?workbook=12_05.xlsx&amp;sheet=U0&amp;row=4140&amp;col=6&amp;number=4.6&amp;sourceID=14","4.6")</f>
        <v>4.6</v>
      </c>
      <c r="G4140" s="4" t="str">
        <f>HYPERLINK("http://141.218.60.56/~jnz1568/getInfo.php?workbook=12_05.xlsx&amp;sheet=U0&amp;row=4140&amp;col=7&amp;number=0.000331&amp;sourceID=14","0.000331")</f>
        <v>0.000331</v>
      </c>
    </row>
    <row r="4141" spans="1:7">
      <c r="A4141" s="3"/>
      <c r="B4141" s="3"/>
      <c r="C4141" s="3"/>
      <c r="D4141" s="3"/>
      <c r="E4141" s="3">
        <v>18</v>
      </c>
      <c r="F4141" s="4" t="str">
        <f>HYPERLINK("http://141.218.60.56/~jnz1568/getInfo.php?workbook=12_05.xlsx&amp;sheet=U0&amp;row=4141&amp;col=6&amp;number=4.7&amp;sourceID=14","4.7")</f>
        <v>4.7</v>
      </c>
      <c r="G4141" s="4" t="str">
        <f>HYPERLINK("http://141.218.60.56/~jnz1568/getInfo.php?workbook=12_05.xlsx&amp;sheet=U0&amp;row=4141&amp;col=7&amp;number=0.000329&amp;sourceID=14","0.000329")</f>
        <v>0.000329</v>
      </c>
    </row>
    <row r="4142" spans="1:7">
      <c r="A4142" s="3"/>
      <c r="B4142" s="3"/>
      <c r="C4142" s="3"/>
      <c r="D4142" s="3"/>
      <c r="E4142" s="3">
        <v>19</v>
      </c>
      <c r="F4142" s="4" t="str">
        <f>HYPERLINK("http://141.218.60.56/~jnz1568/getInfo.php?workbook=12_05.xlsx&amp;sheet=U0&amp;row=4142&amp;col=6&amp;number=4.8&amp;sourceID=14","4.8")</f>
        <v>4.8</v>
      </c>
      <c r="G4142" s="4" t="str">
        <f>HYPERLINK("http://141.218.60.56/~jnz1568/getInfo.php?workbook=12_05.xlsx&amp;sheet=U0&amp;row=4142&amp;col=7&amp;number=0.000325&amp;sourceID=14","0.000325")</f>
        <v>0.000325</v>
      </c>
    </row>
    <row r="4143" spans="1:7">
      <c r="A4143" s="3"/>
      <c r="B4143" s="3"/>
      <c r="C4143" s="3"/>
      <c r="D4143" s="3"/>
      <c r="E4143" s="3">
        <v>20</v>
      </c>
      <c r="F4143" s="4" t="str">
        <f>HYPERLINK("http://141.218.60.56/~jnz1568/getInfo.php?workbook=12_05.xlsx&amp;sheet=U0&amp;row=4143&amp;col=6&amp;number=4.9&amp;sourceID=14","4.9")</f>
        <v>4.9</v>
      </c>
      <c r="G4143" s="4" t="str">
        <f>HYPERLINK("http://141.218.60.56/~jnz1568/getInfo.php?workbook=12_05.xlsx&amp;sheet=U0&amp;row=4143&amp;col=7&amp;number=0.000321&amp;sourceID=14","0.000321")</f>
        <v>0.000321</v>
      </c>
    </row>
    <row r="4144" spans="1:7">
      <c r="A4144" s="3">
        <v>12</v>
      </c>
      <c r="B4144" s="3">
        <v>5</v>
      </c>
      <c r="C4144" s="3">
        <v>2</v>
      </c>
      <c r="D4144" s="3">
        <v>60</v>
      </c>
      <c r="E4144" s="3">
        <v>1</v>
      </c>
      <c r="F4144" s="4" t="str">
        <f>HYPERLINK("http://141.218.60.56/~jnz1568/getInfo.php?workbook=12_05.xlsx&amp;sheet=U0&amp;row=4144&amp;col=6&amp;number=3&amp;sourceID=14","3")</f>
        <v>3</v>
      </c>
      <c r="G4144" s="4" t="str">
        <f>HYPERLINK("http://141.218.60.56/~jnz1568/getInfo.php?workbook=12_05.xlsx&amp;sheet=U0&amp;row=4144&amp;col=7&amp;number=0.000565&amp;sourceID=14","0.000565")</f>
        <v>0.000565</v>
      </c>
    </row>
    <row r="4145" spans="1:7">
      <c r="A4145" s="3"/>
      <c r="B4145" s="3"/>
      <c r="C4145" s="3"/>
      <c r="D4145" s="3"/>
      <c r="E4145" s="3">
        <v>2</v>
      </c>
      <c r="F4145" s="4" t="str">
        <f>HYPERLINK("http://141.218.60.56/~jnz1568/getInfo.php?workbook=12_05.xlsx&amp;sheet=U0&amp;row=4145&amp;col=6&amp;number=3.1&amp;sourceID=14","3.1")</f>
        <v>3.1</v>
      </c>
      <c r="G4145" s="4" t="str">
        <f>HYPERLINK("http://141.218.60.56/~jnz1568/getInfo.php?workbook=12_05.xlsx&amp;sheet=U0&amp;row=4145&amp;col=7&amp;number=0.000565&amp;sourceID=14","0.000565")</f>
        <v>0.000565</v>
      </c>
    </row>
    <row r="4146" spans="1:7">
      <c r="A4146" s="3"/>
      <c r="B4146" s="3"/>
      <c r="C4146" s="3"/>
      <c r="D4146" s="3"/>
      <c r="E4146" s="3">
        <v>3</v>
      </c>
      <c r="F4146" s="4" t="str">
        <f>HYPERLINK("http://141.218.60.56/~jnz1568/getInfo.php?workbook=12_05.xlsx&amp;sheet=U0&amp;row=4146&amp;col=6&amp;number=3.2&amp;sourceID=14","3.2")</f>
        <v>3.2</v>
      </c>
      <c r="G4146" s="4" t="str">
        <f>HYPERLINK("http://141.218.60.56/~jnz1568/getInfo.php?workbook=12_05.xlsx&amp;sheet=U0&amp;row=4146&amp;col=7&amp;number=0.000565&amp;sourceID=14","0.000565")</f>
        <v>0.000565</v>
      </c>
    </row>
    <row r="4147" spans="1:7">
      <c r="A4147" s="3"/>
      <c r="B4147" s="3"/>
      <c r="C4147" s="3"/>
      <c r="D4147" s="3"/>
      <c r="E4147" s="3">
        <v>4</v>
      </c>
      <c r="F4147" s="4" t="str">
        <f>HYPERLINK("http://141.218.60.56/~jnz1568/getInfo.php?workbook=12_05.xlsx&amp;sheet=U0&amp;row=4147&amp;col=6&amp;number=3.3&amp;sourceID=14","3.3")</f>
        <v>3.3</v>
      </c>
      <c r="G4147" s="4" t="str">
        <f>HYPERLINK("http://141.218.60.56/~jnz1568/getInfo.php?workbook=12_05.xlsx&amp;sheet=U0&amp;row=4147&amp;col=7&amp;number=0.000565&amp;sourceID=14","0.000565")</f>
        <v>0.000565</v>
      </c>
    </row>
    <row r="4148" spans="1:7">
      <c r="A4148" s="3"/>
      <c r="B4148" s="3"/>
      <c r="C4148" s="3"/>
      <c r="D4148" s="3"/>
      <c r="E4148" s="3">
        <v>5</v>
      </c>
      <c r="F4148" s="4" t="str">
        <f>HYPERLINK("http://141.218.60.56/~jnz1568/getInfo.php?workbook=12_05.xlsx&amp;sheet=U0&amp;row=4148&amp;col=6&amp;number=3.4&amp;sourceID=14","3.4")</f>
        <v>3.4</v>
      </c>
      <c r="G4148" s="4" t="str">
        <f>HYPERLINK("http://141.218.60.56/~jnz1568/getInfo.php?workbook=12_05.xlsx&amp;sheet=U0&amp;row=4148&amp;col=7&amp;number=0.000564&amp;sourceID=14","0.000564")</f>
        <v>0.000564</v>
      </c>
    </row>
    <row r="4149" spans="1:7">
      <c r="A4149" s="3"/>
      <c r="B4149" s="3"/>
      <c r="C4149" s="3"/>
      <c r="D4149" s="3"/>
      <c r="E4149" s="3">
        <v>6</v>
      </c>
      <c r="F4149" s="4" t="str">
        <f>HYPERLINK("http://141.218.60.56/~jnz1568/getInfo.php?workbook=12_05.xlsx&amp;sheet=U0&amp;row=4149&amp;col=6&amp;number=3.5&amp;sourceID=14","3.5")</f>
        <v>3.5</v>
      </c>
      <c r="G4149" s="4" t="str">
        <f>HYPERLINK("http://141.218.60.56/~jnz1568/getInfo.php?workbook=12_05.xlsx&amp;sheet=U0&amp;row=4149&amp;col=7&amp;number=0.000564&amp;sourceID=14","0.000564")</f>
        <v>0.000564</v>
      </c>
    </row>
    <row r="4150" spans="1:7">
      <c r="A4150" s="3"/>
      <c r="B4150" s="3"/>
      <c r="C4150" s="3"/>
      <c r="D4150" s="3"/>
      <c r="E4150" s="3">
        <v>7</v>
      </c>
      <c r="F4150" s="4" t="str">
        <f>HYPERLINK("http://141.218.60.56/~jnz1568/getInfo.php?workbook=12_05.xlsx&amp;sheet=U0&amp;row=4150&amp;col=6&amp;number=3.6&amp;sourceID=14","3.6")</f>
        <v>3.6</v>
      </c>
      <c r="G4150" s="4" t="str">
        <f>HYPERLINK("http://141.218.60.56/~jnz1568/getInfo.php?workbook=12_05.xlsx&amp;sheet=U0&amp;row=4150&amp;col=7&amp;number=0.000564&amp;sourceID=14","0.000564")</f>
        <v>0.000564</v>
      </c>
    </row>
    <row r="4151" spans="1:7">
      <c r="A4151" s="3"/>
      <c r="B4151" s="3"/>
      <c r="C4151" s="3"/>
      <c r="D4151" s="3"/>
      <c r="E4151" s="3">
        <v>8</v>
      </c>
      <c r="F4151" s="4" t="str">
        <f>HYPERLINK("http://141.218.60.56/~jnz1568/getInfo.php?workbook=12_05.xlsx&amp;sheet=U0&amp;row=4151&amp;col=6&amp;number=3.7&amp;sourceID=14","3.7")</f>
        <v>3.7</v>
      </c>
      <c r="G4151" s="4" t="str">
        <f>HYPERLINK("http://141.218.60.56/~jnz1568/getInfo.php?workbook=12_05.xlsx&amp;sheet=U0&amp;row=4151&amp;col=7&amp;number=0.000563&amp;sourceID=14","0.000563")</f>
        <v>0.000563</v>
      </c>
    </row>
    <row r="4152" spans="1:7">
      <c r="A4152" s="3"/>
      <c r="B4152" s="3"/>
      <c r="C4152" s="3"/>
      <c r="D4152" s="3"/>
      <c r="E4152" s="3">
        <v>9</v>
      </c>
      <c r="F4152" s="4" t="str">
        <f>HYPERLINK("http://141.218.60.56/~jnz1568/getInfo.php?workbook=12_05.xlsx&amp;sheet=U0&amp;row=4152&amp;col=6&amp;number=3.8&amp;sourceID=14","3.8")</f>
        <v>3.8</v>
      </c>
      <c r="G4152" s="4" t="str">
        <f>HYPERLINK("http://141.218.60.56/~jnz1568/getInfo.php?workbook=12_05.xlsx&amp;sheet=U0&amp;row=4152&amp;col=7&amp;number=0.000562&amp;sourceID=14","0.000562")</f>
        <v>0.000562</v>
      </c>
    </row>
    <row r="4153" spans="1:7">
      <c r="A4153" s="3"/>
      <c r="B4153" s="3"/>
      <c r="C4153" s="3"/>
      <c r="D4153" s="3"/>
      <c r="E4153" s="3">
        <v>10</v>
      </c>
      <c r="F4153" s="4" t="str">
        <f>HYPERLINK("http://141.218.60.56/~jnz1568/getInfo.php?workbook=12_05.xlsx&amp;sheet=U0&amp;row=4153&amp;col=6&amp;number=3.9&amp;sourceID=14","3.9")</f>
        <v>3.9</v>
      </c>
      <c r="G4153" s="4" t="str">
        <f>HYPERLINK("http://141.218.60.56/~jnz1568/getInfo.php?workbook=12_05.xlsx&amp;sheet=U0&amp;row=4153&amp;col=7&amp;number=0.000561&amp;sourceID=14","0.000561")</f>
        <v>0.000561</v>
      </c>
    </row>
    <row r="4154" spans="1:7">
      <c r="A4154" s="3"/>
      <c r="B4154" s="3"/>
      <c r="C4154" s="3"/>
      <c r="D4154" s="3"/>
      <c r="E4154" s="3">
        <v>11</v>
      </c>
      <c r="F4154" s="4" t="str">
        <f>HYPERLINK("http://141.218.60.56/~jnz1568/getInfo.php?workbook=12_05.xlsx&amp;sheet=U0&amp;row=4154&amp;col=6&amp;number=4&amp;sourceID=14","4")</f>
        <v>4</v>
      </c>
      <c r="G4154" s="4" t="str">
        <f>HYPERLINK("http://141.218.60.56/~jnz1568/getInfo.php?workbook=12_05.xlsx&amp;sheet=U0&amp;row=4154&amp;col=7&amp;number=0.00056&amp;sourceID=14","0.00056")</f>
        <v>0.00056</v>
      </c>
    </row>
    <row r="4155" spans="1:7">
      <c r="A4155" s="3"/>
      <c r="B4155" s="3"/>
      <c r="C4155" s="3"/>
      <c r="D4155" s="3"/>
      <c r="E4155" s="3">
        <v>12</v>
      </c>
      <c r="F4155" s="4" t="str">
        <f>HYPERLINK("http://141.218.60.56/~jnz1568/getInfo.php?workbook=12_05.xlsx&amp;sheet=U0&amp;row=4155&amp;col=6&amp;number=4.1&amp;sourceID=14","4.1")</f>
        <v>4.1</v>
      </c>
      <c r="G4155" s="4" t="str">
        <f>HYPERLINK("http://141.218.60.56/~jnz1568/getInfo.php?workbook=12_05.xlsx&amp;sheet=U0&amp;row=4155&amp;col=7&amp;number=0.000559&amp;sourceID=14","0.000559")</f>
        <v>0.000559</v>
      </c>
    </row>
    <row r="4156" spans="1:7">
      <c r="A4156" s="3"/>
      <c r="B4156" s="3"/>
      <c r="C4156" s="3"/>
      <c r="D4156" s="3"/>
      <c r="E4156" s="3">
        <v>13</v>
      </c>
      <c r="F4156" s="4" t="str">
        <f>HYPERLINK("http://141.218.60.56/~jnz1568/getInfo.php?workbook=12_05.xlsx&amp;sheet=U0&amp;row=4156&amp;col=6&amp;number=4.2&amp;sourceID=14","4.2")</f>
        <v>4.2</v>
      </c>
      <c r="G4156" s="4" t="str">
        <f>HYPERLINK("http://141.218.60.56/~jnz1568/getInfo.php?workbook=12_05.xlsx&amp;sheet=U0&amp;row=4156&amp;col=7&amp;number=0.000557&amp;sourceID=14","0.000557")</f>
        <v>0.000557</v>
      </c>
    </row>
    <row r="4157" spans="1:7">
      <c r="A4157" s="3"/>
      <c r="B4157" s="3"/>
      <c r="C4157" s="3"/>
      <c r="D4157" s="3"/>
      <c r="E4157" s="3">
        <v>14</v>
      </c>
      <c r="F4157" s="4" t="str">
        <f>HYPERLINK("http://141.218.60.56/~jnz1568/getInfo.php?workbook=12_05.xlsx&amp;sheet=U0&amp;row=4157&amp;col=6&amp;number=4.3&amp;sourceID=14","4.3")</f>
        <v>4.3</v>
      </c>
      <c r="G4157" s="4" t="str">
        <f>HYPERLINK("http://141.218.60.56/~jnz1568/getInfo.php?workbook=12_05.xlsx&amp;sheet=U0&amp;row=4157&amp;col=7&amp;number=0.000555&amp;sourceID=14","0.000555")</f>
        <v>0.000555</v>
      </c>
    </row>
    <row r="4158" spans="1:7">
      <c r="A4158" s="3"/>
      <c r="B4158" s="3"/>
      <c r="C4158" s="3"/>
      <c r="D4158" s="3"/>
      <c r="E4158" s="3">
        <v>15</v>
      </c>
      <c r="F4158" s="4" t="str">
        <f>HYPERLINK("http://141.218.60.56/~jnz1568/getInfo.php?workbook=12_05.xlsx&amp;sheet=U0&amp;row=4158&amp;col=6&amp;number=4.4&amp;sourceID=14","4.4")</f>
        <v>4.4</v>
      </c>
      <c r="G4158" s="4" t="str">
        <f>HYPERLINK("http://141.218.60.56/~jnz1568/getInfo.php?workbook=12_05.xlsx&amp;sheet=U0&amp;row=4158&amp;col=7&amp;number=0.000552&amp;sourceID=14","0.000552")</f>
        <v>0.000552</v>
      </c>
    </row>
    <row r="4159" spans="1:7">
      <c r="A4159" s="3"/>
      <c r="B4159" s="3"/>
      <c r="C4159" s="3"/>
      <c r="D4159" s="3"/>
      <c r="E4159" s="3">
        <v>16</v>
      </c>
      <c r="F4159" s="4" t="str">
        <f>HYPERLINK("http://141.218.60.56/~jnz1568/getInfo.php?workbook=12_05.xlsx&amp;sheet=U0&amp;row=4159&amp;col=6&amp;number=4.5&amp;sourceID=14","4.5")</f>
        <v>4.5</v>
      </c>
      <c r="G4159" s="4" t="str">
        <f>HYPERLINK("http://141.218.60.56/~jnz1568/getInfo.php?workbook=12_05.xlsx&amp;sheet=U0&amp;row=4159&amp;col=7&amp;number=0.000549&amp;sourceID=14","0.000549")</f>
        <v>0.000549</v>
      </c>
    </row>
    <row r="4160" spans="1:7">
      <c r="A4160" s="3"/>
      <c r="B4160" s="3"/>
      <c r="C4160" s="3"/>
      <c r="D4160" s="3"/>
      <c r="E4160" s="3">
        <v>17</v>
      </c>
      <c r="F4160" s="4" t="str">
        <f>HYPERLINK("http://141.218.60.56/~jnz1568/getInfo.php?workbook=12_05.xlsx&amp;sheet=U0&amp;row=4160&amp;col=6&amp;number=4.6&amp;sourceID=14","4.6")</f>
        <v>4.6</v>
      </c>
      <c r="G4160" s="4" t="str">
        <f>HYPERLINK("http://141.218.60.56/~jnz1568/getInfo.php?workbook=12_05.xlsx&amp;sheet=U0&amp;row=4160&amp;col=7&amp;number=0.000545&amp;sourceID=14","0.000545")</f>
        <v>0.000545</v>
      </c>
    </row>
    <row r="4161" spans="1:7">
      <c r="A4161" s="3"/>
      <c r="B4161" s="3"/>
      <c r="C4161" s="3"/>
      <c r="D4161" s="3"/>
      <c r="E4161" s="3">
        <v>18</v>
      </c>
      <c r="F4161" s="4" t="str">
        <f>HYPERLINK("http://141.218.60.56/~jnz1568/getInfo.php?workbook=12_05.xlsx&amp;sheet=U0&amp;row=4161&amp;col=6&amp;number=4.7&amp;sourceID=14","4.7")</f>
        <v>4.7</v>
      </c>
      <c r="G4161" s="4" t="str">
        <f>HYPERLINK("http://141.218.60.56/~jnz1568/getInfo.php?workbook=12_05.xlsx&amp;sheet=U0&amp;row=4161&amp;col=7&amp;number=0.000539&amp;sourceID=14","0.000539")</f>
        <v>0.000539</v>
      </c>
    </row>
    <row r="4162" spans="1:7">
      <c r="A4162" s="3"/>
      <c r="B4162" s="3"/>
      <c r="C4162" s="3"/>
      <c r="D4162" s="3"/>
      <c r="E4162" s="3">
        <v>19</v>
      </c>
      <c r="F4162" s="4" t="str">
        <f>HYPERLINK("http://141.218.60.56/~jnz1568/getInfo.php?workbook=12_05.xlsx&amp;sheet=U0&amp;row=4162&amp;col=6&amp;number=4.8&amp;sourceID=14","4.8")</f>
        <v>4.8</v>
      </c>
      <c r="G4162" s="4" t="str">
        <f>HYPERLINK("http://141.218.60.56/~jnz1568/getInfo.php?workbook=12_05.xlsx&amp;sheet=U0&amp;row=4162&amp;col=7&amp;number=0.000533&amp;sourceID=14","0.000533")</f>
        <v>0.000533</v>
      </c>
    </row>
    <row r="4163" spans="1:7">
      <c r="A4163" s="3"/>
      <c r="B4163" s="3"/>
      <c r="C4163" s="3"/>
      <c r="D4163" s="3"/>
      <c r="E4163" s="3">
        <v>20</v>
      </c>
      <c r="F4163" s="4" t="str">
        <f>HYPERLINK("http://141.218.60.56/~jnz1568/getInfo.php?workbook=12_05.xlsx&amp;sheet=U0&amp;row=4163&amp;col=6&amp;number=4.9&amp;sourceID=14","4.9")</f>
        <v>4.9</v>
      </c>
      <c r="G4163" s="4" t="str">
        <f>HYPERLINK("http://141.218.60.56/~jnz1568/getInfo.php?workbook=12_05.xlsx&amp;sheet=U0&amp;row=4163&amp;col=7&amp;number=0.000525&amp;sourceID=14","0.000525")</f>
        <v>0.000525</v>
      </c>
    </row>
    <row r="4164" spans="1:7">
      <c r="A4164" s="3">
        <v>12</v>
      </c>
      <c r="B4164" s="3">
        <v>5</v>
      </c>
      <c r="C4164" s="3">
        <v>2</v>
      </c>
      <c r="D4164" s="3">
        <v>61</v>
      </c>
      <c r="E4164" s="3">
        <v>1</v>
      </c>
      <c r="F4164" s="4" t="str">
        <f>HYPERLINK("http://141.218.60.56/~jnz1568/getInfo.php?workbook=12_05.xlsx&amp;sheet=U0&amp;row=4164&amp;col=6&amp;number=3&amp;sourceID=14","3")</f>
        <v>3</v>
      </c>
      <c r="G4164" s="4" t="str">
        <f>HYPERLINK("http://141.218.60.56/~jnz1568/getInfo.php?workbook=12_05.xlsx&amp;sheet=U0&amp;row=4164&amp;col=7&amp;number=0.0063&amp;sourceID=14","0.0063")</f>
        <v>0.0063</v>
      </c>
    </row>
    <row r="4165" spans="1:7">
      <c r="A4165" s="3"/>
      <c r="B4165" s="3"/>
      <c r="C4165" s="3"/>
      <c r="D4165" s="3"/>
      <c r="E4165" s="3">
        <v>2</v>
      </c>
      <c r="F4165" s="4" t="str">
        <f>HYPERLINK("http://141.218.60.56/~jnz1568/getInfo.php?workbook=12_05.xlsx&amp;sheet=U0&amp;row=4165&amp;col=6&amp;number=3.1&amp;sourceID=14","3.1")</f>
        <v>3.1</v>
      </c>
      <c r="G4165" s="4" t="str">
        <f>HYPERLINK("http://141.218.60.56/~jnz1568/getInfo.php?workbook=12_05.xlsx&amp;sheet=U0&amp;row=4165&amp;col=7&amp;number=0.0063&amp;sourceID=14","0.0063")</f>
        <v>0.0063</v>
      </c>
    </row>
    <row r="4166" spans="1:7">
      <c r="A4166" s="3"/>
      <c r="B4166" s="3"/>
      <c r="C4166" s="3"/>
      <c r="D4166" s="3"/>
      <c r="E4166" s="3">
        <v>3</v>
      </c>
      <c r="F4166" s="4" t="str">
        <f>HYPERLINK("http://141.218.60.56/~jnz1568/getInfo.php?workbook=12_05.xlsx&amp;sheet=U0&amp;row=4166&amp;col=6&amp;number=3.2&amp;sourceID=14","3.2")</f>
        <v>3.2</v>
      </c>
      <c r="G4166" s="4" t="str">
        <f>HYPERLINK("http://141.218.60.56/~jnz1568/getInfo.php?workbook=12_05.xlsx&amp;sheet=U0&amp;row=4166&amp;col=7&amp;number=0.0063&amp;sourceID=14","0.0063")</f>
        <v>0.0063</v>
      </c>
    </row>
    <row r="4167" spans="1:7">
      <c r="A4167" s="3"/>
      <c r="B4167" s="3"/>
      <c r="C4167" s="3"/>
      <c r="D4167" s="3"/>
      <c r="E4167" s="3">
        <v>4</v>
      </c>
      <c r="F4167" s="4" t="str">
        <f>HYPERLINK("http://141.218.60.56/~jnz1568/getInfo.php?workbook=12_05.xlsx&amp;sheet=U0&amp;row=4167&amp;col=6&amp;number=3.3&amp;sourceID=14","3.3")</f>
        <v>3.3</v>
      </c>
      <c r="G4167" s="4" t="str">
        <f>HYPERLINK("http://141.218.60.56/~jnz1568/getInfo.php?workbook=12_05.xlsx&amp;sheet=U0&amp;row=4167&amp;col=7&amp;number=0.00631&amp;sourceID=14","0.00631")</f>
        <v>0.00631</v>
      </c>
    </row>
    <row r="4168" spans="1:7">
      <c r="A4168" s="3"/>
      <c r="B4168" s="3"/>
      <c r="C4168" s="3"/>
      <c r="D4168" s="3"/>
      <c r="E4168" s="3">
        <v>5</v>
      </c>
      <c r="F4168" s="4" t="str">
        <f>HYPERLINK("http://141.218.60.56/~jnz1568/getInfo.php?workbook=12_05.xlsx&amp;sheet=U0&amp;row=4168&amp;col=6&amp;number=3.4&amp;sourceID=14","3.4")</f>
        <v>3.4</v>
      </c>
      <c r="G4168" s="4" t="str">
        <f>HYPERLINK("http://141.218.60.56/~jnz1568/getInfo.php?workbook=12_05.xlsx&amp;sheet=U0&amp;row=4168&amp;col=7&amp;number=0.00631&amp;sourceID=14","0.00631")</f>
        <v>0.00631</v>
      </c>
    </row>
    <row r="4169" spans="1:7">
      <c r="A4169" s="3"/>
      <c r="B4169" s="3"/>
      <c r="C4169" s="3"/>
      <c r="D4169" s="3"/>
      <c r="E4169" s="3">
        <v>6</v>
      </c>
      <c r="F4169" s="4" t="str">
        <f>HYPERLINK("http://141.218.60.56/~jnz1568/getInfo.php?workbook=12_05.xlsx&amp;sheet=U0&amp;row=4169&amp;col=6&amp;number=3.5&amp;sourceID=14","3.5")</f>
        <v>3.5</v>
      </c>
      <c r="G4169" s="4" t="str">
        <f>HYPERLINK("http://141.218.60.56/~jnz1568/getInfo.php?workbook=12_05.xlsx&amp;sheet=U0&amp;row=4169&amp;col=7&amp;number=0.00631&amp;sourceID=14","0.00631")</f>
        <v>0.00631</v>
      </c>
    </row>
    <row r="4170" spans="1:7">
      <c r="A4170" s="3"/>
      <c r="B4170" s="3"/>
      <c r="C4170" s="3"/>
      <c r="D4170" s="3"/>
      <c r="E4170" s="3">
        <v>7</v>
      </c>
      <c r="F4170" s="4" t="str">
        <f>HYPERLINK("http://141.218.60.56/~jnz1568/getInfo.php?workbook=12_05.xlsx&amp;sheet=U0&amp;row=4170&amp;col=6&amp;number=3.6&amp;sourceID=14","3.6")</f>
        <v>3.6</v>
      </c>
      <c r="G4170" s="4" t="str">
        <f>HYPERLINK("http://141.218.60.56/~jnz1568/getInfo.php?workbook=12_05.xlsx&amp;sheet=U0&amp;row=4170&amp;col=7&amp;number=0.00631&amp;sourceID=14","0.00631")</f>
        <v>0.00631</v>
      </c>
    </row>
    <row r="4171" spans="1:7">
      <c r="A4171" s="3"/>
      <c r="B4171" s="3"/>
      <c r="C4171" s="3"/>
      <c r="D4171" s="3"/>
      <c r="E4171" s="3">
        <v>8</v>
      </c>
      <c r="F4171" s="4" t="str">
        <f>HYPERLINK("http://141.218.60.56/~jnz1568/getInfo.php?workbook=12_05.xlsx&amp;sheet=U0&amp;row=4171&amp;col=6&amp;number=3.7&amp;sourceID=14","3.7")</f>
        <v>3.7</v>
      </c>
      <c r="G4171" s="4" t="str">
        <f>HYPERLINK("http://141.218.60.56/~jnz1568/getInfo.php?workbook=12_05.xlsx&amp;sheet=U0&amp;row=4171&amp;col=7&amp;number=0.00632&amp;sourceID=14","0.00632")</f>
        <v>0.00632</v>
      </c>
    </row>
    <row r="4172" spans="1:7">
      <c r="A4172" s="3"/>
      <c r="B4172" s="3"/>
      <c r="C4172" s="3"/>
      <c r="D4172" s="3"/>
      <c r="E4172" s="3">
        <v>9</v>
      </c>
      <c r="F4172" s="4" t="str">
        <f>HYPERLINK("http://141.218.60.56/~jnz1568/getInfo.php?workbook=12_05.xlsx&amp;sheet=U0&amp;row=4172&amp;col=6&amp;number=3.8&amp;sourceID=14","3.8")</f>
        <v>3.8</v>
      </c>
      <c r="G4172" s="4" t="str">
        <f>HYPERLINK("http://141.218.60.56/~jnz1568/getInfo.php?workbook=12_05.xlsx&amp;sheet=U0&amp;row=4172&amp;col=7&amp;number=0.00633&amp;sourceID=14","0.00633")</f>
        <v>0.00633</v>
      </c>
    </row>
    <row r="4173" spans="1:7">
      <c r="A4173" s="3"/>
      <c r="B4173" s="3"/>
      <c r="C4173" s="3"/>
      <c r="D4173" s="3"/>
      <c r="E4173" s="3">
        <v>10</v>
      </c>
      <c r="F4173" s="4" t="str">
        <f>HYPERLINK("http://141.218.60.56/~jnz1568/getInfo.php?workbook=12_05.xlsx&amp;sheet=U0&amp;row=4173&amp;col=6&amp;number=3.9&amp;sourceID=14","3.9")</f>
        <v>3.9</v>
      </c>
      <c r="G4173" s="4" t="str">
        <f>HYPERLINK("http://141.218.60.56/~jnz1568/getInfo.php?workbook=12_05.xlsx&amp;sheet=U0&amp;row=4173&amp;col=7&amp;number=0.00633&amp;sourceID=14","0.00633")</f>
        <v>0.00633</v>
      </c>
    </row>
    <row r="4174" spans="1:7">
      <c r="A4174" s="3"/>
      <c r="B4174" s="3"/>
      <c r="C4174" s="3"/>
      <c r="D4174" s="3"/>
      <c r="E4174" s="3">
        <v>11</v>
      </c>
      <c r="F4174" s="4" t="str">
        <f>HYPERLINK("http://141.218.60.56/~jnz1568/getInfo.php?workbook=12_05.xlsx&amp;sheet=U0&amp;row=4174&amp;col=6&amp;number=4&amp;sourceID=14","4")</f>
        <v>4</v>
      </c>
      <c r="G4174" s="4" t="str">
        <f>HYPERLINK("http://141.218.60.56/~jnz1568/getInfo.php?workbook=12_05.xlsx&amp;sheet=U0&amp;row=4174&amp;col=7&amp;number=0.00634&amp;sourceID=14","0.00634")</f>
        <v>0.00634</v>
      </c>
    </row>
    <row r="4175" spans="1:7">
      <c r="A4175" s="3"/>
      <c r="B4175" s="3"/>
      <c r="C4175" s="3"/>
      <c r="D4175" s="3"/>
      <c r="E4175" s="3">
        <v>12</v>
      </c>
      <c r="F4175" s="4" t="str">
        <f>HYPERLINK("http://141.218.60.56/~jnz1568/getInfo.php?workbook=12_05.xlsx&amp;sheet=U0&amp;row=4175&amp;col=6&amp;number=4.1&amp;sourceID=14","4.1")</f>
        <v>4.1</v>
      </c>
      <c r="G4175" s="4" t="str">
        <f>HYPERLINK("http://141.218.60.56/~jnz1568/getInfo.php?workbook=12_05.xlsx&amp;sheet=U0&amp;row=4175&amp;col=7&amp;number=0.00635&amp;sourceID=14","0.00635")</f>
        <v>0.00635</v>
      </c>
    </row>
    <row r="4176" spans="1:7">
      <c r="A4176" s="3"/>
      <c r="B4176" s="3"/>
      <c r="C4176" s="3"/>
      <c r="D4176" s="3"/>
      <c r="E4176" s="3">
        <v>13</v>
      </c>
      <c r="F4176" s="4" t="str">
        <f>HYPERLINK("http://141.218.60.56/~jnz1568/getInfo.php?workbook=12_05.xlsx&amp;sheet=U0&amp;row=4176&amp;col=6&amp;number=4.2&amp;sourceID=14","4.2")</f>
        <v>4.2</v>
      </c>
      <c r="G4176" s="4" t="str">
        <f>HYPERLINK("http://141.218.60.56/~jnz1568/getInfo.php?workbook=12_05.xlsx&amp;sheet=U0&amp;row=4176&amp;col=7&amp;number=0.00637&amp;sourceID=14","0.00637")</f>
        <v>0.00637</v>
      </c>
    </row>
    <row r="4177" spans="1:7">
      <c r="A4177" s="3"/>
      <c r="B4177" s="3"/>
      <c r="C4177" s="3"/>
      <c r="D4177" s="3"/>
      <c r="E4177" s="3">
        <v>14</v>
      </c>
      <c r="F4177" s="4" t="str">
        <f>HYPERLINK("http://141.218.60.56/~jnz1568/getInfo.php?workbook=12_05.xlsx&amp;sheet=U0&amp;row=4177&amp;col=6&amp;number=4.3&amp;sourceID=14","4.3")</f>
        <v>4.3</v>
      </c>
      <c r="G4177" s="4" t="str">
        <f>HYPERLINK("http://141.218.60.56/~jnz1568/getInfo.php?workbook=12_05.xlsx&amp;sheet=U0&amp;row=4177&amp;col=7&amp;number=0.00639&amp;sourceID=14","0.00639")</f>
        <v>0.00639</v>
      </c>
    </row>
    <row r="4178" spans="1:7">
      <c r="A4178" s="3"/>
      <c r="B4178" s="3"/>
      <c r="C4178" s="3"/>
      <c r="D4178" s="3"/>
      <c r="E4178" s="3">
        <v>15</v>
      </c>
      <c r="F4178" s="4" t="str">
        <f>HYPERLINK("http://141.218.60.56/~jnz1568/getInfo.php?workbook=12_05.xlsx&amp;sheet=U0&amp;row=4178&amp;col=6&amp;number=4.4&amp;sourceID=14","4.4")</f>
        <v>4.4</v>
      </c>
      <c r="G4178" s="4" t="str">
        <f>HYPERLINK("http://141.218.60.56/~jnz1568/getInfo.php?workbook=12_05.xlsx&amp;sheet=U0&amp;row=4178&amp;col=7&amp;number=0.00641&amp;sourceID=14","0.00641")</f>
        <v>0.00641</v>
      </c>
    </row>
    <row r="4179" spans="1:7">
      <c r="A4179" s="3"/>
      <c r="B4179" s="3"/>
      <c r="C4179" s="3"/>
      <c r="D4179" s="3"/>
      <c r="E4179" s="3">
        <v>16</v>
      </c>
      <c r="F4179" s="4" t="str">
        <f>HYPERLINK("http://141.218.60.56/~jnz1568/getInfo.php?workbook=12_05.xlsx&amp;sheet=U0&amp;row=4179&amp;col=6&amp;number=4.5&amp;sourceID=14","4.5")</f>
        <v>4.5</v>
      </c>
      <c r="G4179" s="4" t="str">
        <f>HYPERLINK("http://141.218.60.56/~jnz1568/getInfo.php?workbook=12_05.xlsx&amp;sheet=U0&amp;row=4179&amp;col=7&amp;number=0.00644&amp;sourceID=14","0.00644")</f>
        <v>0.00644</v>
      </c>
    </row>
    <row r="4180" spans="1:7">
      <c r="A4180" s="3"/>
      <c r="B4180" s="3"/>
      <c r="C4180" s="3"/>
      <c r="D4180" s="3"/>
      <c r="E4180" s="3">
        <v>17</v>
      </c>
      <c r="F4180" s="4" t="str">
        <f>HYPERLINK("http://141.218.60.56/~jnz1568/getInfo.php?workbook=12_05.xlsx&amp;sheet=U0&amp;row=4180&amp;col=6&amp;number=4.6&amp;sourceID=14","4.6")</f>
        <v>4.6</v>
      </c>
      <c r="G4180" s="4" t="str">
        <f>HYPERLINK("http://141.218.60.56/~jnz1568/getInfo.php?workbook=12_05.xlsx&amp;sheet=U0&amp;row=4180&amp;col=7&amp;number=0.00647&amp;sourceID=14","0.00647")</f>
        <v>0.00647</v>
      </c>
    </row>
    <row r="4181" spans="1:7">
      <c r="A4181" s="3"/>
      <c r="B4181" s="3"/>
      <c r="C4181" s="3"/>
      <c r="D4181" s="3"/>
      <c r="E4181" s="3">
        <v>18</v>
      </c>
      <c r="F4181" s="4" t="str">
        <f>HYPERLINK("http://141.218.60.56/~jnz1568/getInfo.php?workbook=12_05.xlsx&amp;sheet=U0&amp;row=4181&amp;col=6&amp;number=4.7&amp;sourceID=14","4.7")</f>
        <v>4.7</v>
      </c>
      <c r="G4181" s="4" t="str">
        <f>HYPERLINK("http://141.218.60.56/~jnz1568/getInfo.php?workbook=12_05.xlsx&amp;sheet=U0&amp;row=4181&amp;col=7&amp;number=0.00652&amp;sourceID=14","0.00652")</f>
        <v>0.00652</v>
      </c>
    </row>
    <row r="4182" spans="1:7">
      <c r="A4182" s="3"/>
      <c r="B4182" s="3"/>
      <c r="C4182" s="3"/>
      <c r="D4182" s="3"/>
      <c r="E4182" s="3">
        <v>19</v>
      </c>
      <c r="F4182" s="4" t="str">
        <f>HYPERLINK("http://141.218.60.56/~jnz1568/getInfo.php?workbook=12_05.xlsx&amp;sheet=U0&amp;row=4182&amp;col=6&amp;number=4.8&amp;sourceID=14","4.8")</f>
        <v>4.8</v>
      </c>
      <c r="G4182" s="4" t="str">
        <f>HYPERLINK("http://141.218.60.56/~jnz1568/getInfo.php?workbook=12_05.xlsx&amp;sheet=U0&amp;row=4182&amp;col=7&amp;number=0.00658&amp;sourceID=14","0.00658")</f>
        <v>0.00658</v>
      </c>
    </row>
    <row r="4183" spans="1:7">
      <c r="A4183" s="3"/>
      <c r="B4183" s="3"/>
      <c r="C4183" s="3"/>
      <c r="D4183" s="3"/>
      <c r="E4183" s="3">
        <v>20</v>
      </c>
      <c r="F4183" s="4" t="str">
        <f>HYPERLINK("http://141.218.60.56/~jnz1568/getInfo.php?workbook=12_05.xlsx&amp;sheet=U0&amp;row=4183&amp;col=6&amp;number=4.9&amp;sourceID=14","4.9")</f>
        <v>4.9</v>
      </c>
      <c r="G4183" s="4" t="str">
        <f>HYPERLINK("http://141.218.60.56/~jnz1568/getInfo.php?workbook=12_05.xlsx&amp;sheet=U0&amp;row=4183&amp;col=7&amp;number=0.00665&amp;sourceID=14","0.00665")</f>
        <v>0.00665</v>
      </c>
    </row>
    <row r="4184" spans="1:7">
      <c r="A4184" s="3">
        <v>12</v>
      </c>
      <c r="B4184" s="3">
        <v>5</v>
      </c>
      <c r="C4184" s="3">
        <v>2</v>
      </c>
      <c r="D4184" s="3">
        <v>62</v>
      </c>
      <c r="E4184" s="3">
        <v>1</v>
      </c>
      <c r="F4184" s="4" t="str">
        <f>HYPERLINK("http://141.218.60.56/~jnz1568/getInfo.php?workbook=12_05.xlsx&amp;sheet=U0&amp;row=4184&amp;col=6&amp;number=3&amp;sourceID=14","3")</f>
        <v>3</v>
      </c>
      <c r="G4184" s="4" t="str">
        <f>HYPERLINK("http://141.218.60.56/~jnz1568/getInfo.php?workbook=12_05.xlsx&amp;sheet=U0&amp;row=4184&amp;col=7&amp;number=0.00438&amp;sourceID=14","0.00438")</f>
        <v>0.00438</v>
      </c>
    </row>
    <row r="4185" spans="1:7">
      <c r="A4185" s="3"/>
      <c r="B4185" s="3"/>
      <c r="C4185" s="3"/>
      <c r="D4185" s="3"/>
      <c r="E4185" s="3">
        <v>2</v>
      </c>
      <c r="F4185" s="4" t="str">
        <f>HYPERLINK("http://141.218.60.56/~jnz1568/getInfo.php?workbook=12_05.xlsx&amp;sheet=U0&amp;row=4185&amp;col=6&amp;number=3.1&amp;sourceID=14","3.1")</f>
        <v>3.1</v>
      </c>
      <c r="G4185" s="4" t="str">
        <f>HYPERLINK("http://141.218.60.56/~jnz1568/getInfo.php?workbook=12_05.xlsx&amp;sheet=U0&amp;row=4185&amp;col=7&amp;number=0.00438&amp;sourceID=14","0.00438")</f>
        <v>0.00438</v>
      </c>
    </row>
    <row r="4186" spans="1:7">
      <c r="A4186" s="3"/>
      <c r="B4186" s="3"/>
      <c r="C4186" s="3"/>
      <c r="D4186" s="3"/>
      <c r="E4186" s="3">
        <v>3</v>
      </c>
      <c r="F4186" s="4" t="str">
        <f>HYPERLINK("http://141.218.60.56/~jnz1568/getInfo.php?workbook=12_05.xlsx&amp;sheet=U0&amp;row=4186&amp;col=6&amp;number=3.2&amp;sourceID=14","3.2")</f>
        <v>3.2</v>
      </c>
      <c r="G4186" s="4" t="str">
        <f>HYPERLINK("http://141.218.60.56/~jnz1568/getInfo.php?workbook=12_05.xlsx&amp;sheet=U0&amp;row=4186&amp;col=7&amp;number=0.00438&amp;sourceID=14","0.00438")</f>
        <v>0.00438</v>
      </c>
    </row>
    <row r="4187" spans="1:7">
      <c r="A4187" s="3"/>
      <c r="B4187" s="3"/>
      <c r="C4187" s="3"/>
      <c r="D4187" s="3"/>
      <c r="E4187" s="3">
        <v>4</v>
      </c>
      <c r="F4187" s="4" t="str">
        <f>HYPERLINK("http://141.218.60.56/~jnz1568/getInfo.php?workbook=12_05.xlsx&amp;sheet=U0&amp;row=4187&amp;col=6&amp;number=3.3&amp;sourceID=14","3.3")</f>
        <v>3.3</v>
      </c>
      <c r="G4187" s="4" t="str">
        <f>HYPERLINK("http://141.218.60.56/~jnz1568/getInfo.php?workbook=12_05.xlsx&amp;sheet=U0&amp;row=4187&amp;col=7&amp;number=0.00438&amp;sourceID=14","0.00438")</f>
        <v>0.00438</v>
      </c>
    </row>
    <row r="4188" spans="1:7">
      <c r="A4188" s="3"/>
      <c r="B4188" s="3"/>
      <c r="C4188" s="3"/>
      <c r="D4188" s="3"/>
      <c r="E4188" s="3">
        <v>5</v>
      </c>
      <c r="F4188" s="4" t="str">
        <f>HYPERLINK("http://141.218.60.56/~jnz1568/getInfo.php?workbook=12_05.xlsx&amp;sheet=U0&amp;row=4188&amp;col=6&amp;number=3.4&amp;sourceID=14","3.4")</f>
        <v>3.4</v>
      </c>
      <c r="G4188" s="4" t="str">
        <f>HYPERLINK("http://141.218.60.56/~jnz1568/getInfo.php?workbook=12_05.xlsx&amp;sheet=U0&amp;row=4188&amp;col=7&amp;number=0.00439&amp;sourceID=14","0.00439")</f>
        <v>0.00439</v>
      </c>
    </row>
    <row r="4189" spans="1:7">
      <c r="A4189" s="3"/>
      <c r="B4189" s="3"/>
      <c r="C4189" s="3"/>
      <c r="D4189" s="3"/>
      <c r="E4189" s="3">
        <v>6</v>
      </c>
      <c r="F4189" s="4" t="str">
        <f>HYPERLINK("http://141.218.60.56/~jnz1568/getInfo.php?workbook=12_05.xlsx&amp;sheet=U0&amp;row=4189&amp;col=6&amp;number=3.5&amp;sourceID=14","3.5")</f>
        <v>3.5</v>
      </c>
      <c r="G4189" s="4" t="str">
        <f>HYPERLINK("http://141.218.60.56/~jnz1568/getInfo.php?workbook=12_05.xlsx&amp;sheet=U0&amp;row=4189&amp;col=7&amp;number=0.00439&amp;sourceID=14","0.00439")</f>
        <v>0.00439</v>
      </c>
    </row>
    <row r="4190" spans="1:7">
      <c r="A4190" s="3"/>
      <c r="B4190" s="3"/>
      <c r="C4190" s="3"/>
      <c r="D4190" s="3"/>
      <c r="E4190" s="3">
        <v>7</v>
      </c>
      <c r="F4190" s="4" t="str">
        <f>HYPERLINK("http://141.218.60.56/~jnz1568/getInfo.php?workbook=12_05.xlsx&amp;sheet=U0&amp;row=4190&amp;col=6&amp;number=3.6&amp;sourceID=14","3.6")</f>
        <v>3.6</v>
      </c>
      <c r="G4190" s="4" t="str">
        <f>HYPERLINK("http://141.218.60.56/~jnz1568/getInfo.php?workbook=12_05.xlsx&amp;sheet=U0&amp;row=4190&amp;col=7&amp;number=0.00439&amp;sourceID=14","0.00439")</f>
        <v>0.00439</v>
      </c>
    </row>
    <row r="4191" spans="1:7">
      <c r="A4191" s="3"/>
      <c r="B4191" s="3"/>
      <c r="C4191" s="3"/>
      <c r="D4191" s="3"/>
      <c r="E4191" s="3">
        <v>8</v>
      </c>
      <c r="F4191" s="4" t="str">
        <f>HYPERLINK("http://141.218.60.56/~jnz1568/getInfo.php?workbook=12_05.xlsx&amp;sheet=U0&amp;row=4191&amp;col=6&amp;number=3.7&amp;sourceID=14","3.7")</f>
        <v>3.7</v>
      </c>
      <c r="G4191" s="4" t="str">
        <f>HYPERLINK("http://141.218.60.56/~jnz1568/getInfo.php?workbook=12_05.xlsx&amp;sheet=U0&amp;row=4191&amp;col=7&amp;number=0.00439&amp;sourceID=14","0.00439")</f>
        <v>0.00439</v>
      </c>
    </row>
    <row r="4192" spans="1:7">
      <c r="A4192" s="3"/>
      <c r="B4192" s="3"/>
      <c r="C4192" s="3"/>
      <c r="D4192" s="3"/>
      <c r="E4192" s="3">
        <v>9</v>
      </c>
      <c r="F4192" s="4" t="str">
        <f>HYPERLINK("http://141.218.60.56/~jnz1568/getInfo.php?workbook=12_05.xlsx&amp;sheet=U0&amp;row=4192&amp;col=6&amp;number=3.8&amp;sourceID=14","3.8")</f>
        <v>3.8</v>
      </c>
      <c r="G4192" s="4" t="str">
        <f>HYPERLINK("http://141.218.60.56/~jnz1568/getInfo.php?workbook=12_05.xlsx&amp;sheet=U0&amp;row=4192&amp;col=7&amp;number=0.0044&amp;sourceID=14","0.0044")</f>
        <v>0.0044</v>
      </c>
    </row>
    <row r="4193" spans="1:7">
      <c r="A4193" s="3"/>
      <c r="B4193" s="3"/>
      <c r="C4193" s="3"/>
      <c r="D4193" s="3"/>
      <c r="E4193" s="3">
        <v>10</v>
      </c>
      <c r="F4193" s="4" t="str">
        <f>HYPERLINK("http://141.218.60.56/~jnz1568/getInfo.php?workbook=12_05.xlsx&amp;sheet=U0&amp;row=4193&amp;col=6&amp;number=3.9&amp;sourceID=14","3.9")</f>
        <v>3.9</v>
      </c>
      <c r="G4193" s="4" t="str">
        <f>HYPERLINK("http://141.218.60.56/~jnz1568/getInfo.php?workbook=12_05.xlsx&amp;sheet=U0&amp;row=4193&amp;col=7&amp;number=0.0044&amp;sourceID=14","0.0044")</f>
        <v>0.0044</v>
      </c>
    </row>
    <row r="4194" spans="1:7">
      <c r="A4194" s="3"/>
      <c r="B4194" s="3"/>
      <c r="C4194" s="3"/>
      <c r="D4194" s="3"/>
      <c r="E4194" s="3">
        <v>11</v>
      </c>
      <c r="F4194" s="4" t="str">
        <f>HYPERLINK("http://141.218.60.56/~jnz1568/getInfo.php?workbook=12_05.xlsx&amp;sheet=U0&amp;row=4194&amp;col=6&amp;number=4&amp;sourceID=14","4")</f>
        <v>4</v>
      </c>
      <c r="G4194" s="4" t="str">
        <f>HYPERLINK("http://141.218.60.56/~jnz1568/getInfo.php?workbook=12_05.xlsx&amp;sheet=U0&amp;row=4194&amp;col=7&amp;number=0.00441&amp;sourceID=14","0.00441")</f>
        <v>0.00441</v>
      </c>
    </row>
    <row r="4195" spans="1:7">
      <c r="A4195" s="3"/>
      <c r="B4195" s="3"/>
      <c r="C4195" s="3"/>
      <c r="D4195" s="3"/>
      <c r="E4195" s="3">
        <v>12</v>
      </c>
      <c r="F4195" s="4" t="str">
        <f>HYPERLINK("http://141.218.60.56/~jnz1568/getInfo.php?workbook=12_05.xlsx&amp;sheet=U0&amp;row=4195&amp;col=6&amp;number=4.1&amp;sourceID=14","4.1")</f>
        <v>4.1</v>
      </c>
      <c r="G4195" s="4" t="str">
        <f>HYPERLINK("http://141.218.60.56/~jnz1568/getInfo.php?workbook=12_05.xlsx&amp;sheet=U0&amp;row=4195&amp;col=7&amp;number=0.00441&amp;sourceID=14","0.00441")</f>
        <v>0.00441</v>
      </c>
    </row>
    <row r="4196" spans="1:7">
      <c r="A4196" s="3"/>
      <c r="B4196" s="3"/>
      <c r="C4196" s="3"/>
      <c r="D4196" s="3"/>
      <c r="E4196" s="3">
        <v>13</v>
      </c>
      <c r="F4196" s="4" t="str">
        <f>HYPERLINK("http://141.218.60.56/~jnz1568/getInfo.php?workbook=12_05.xlsx&amp;sheet=U0&amp;row=4196&amp;col=6&amp;number=4.2&amp;sourceID=14","4.2")</f>
        <v>4.2</v>
      </c>
      <c r="G4196" s="4" t="str">
        <f>HYPERLINK("http://141.218.60.56/~jnz1568/getInfo.php?workbook=12_05.xlsx&amp;sheet=U0&amp;row=4196&amp;col=7&amp;number=0.00442&amp;sourceID=14","0.00442")</f>
        <v>0.00442</v>
      </c>
    </row>
    <row r="4197" spans="1:7">
      <c r="A4197" s="3"/>
      <c r="B4197" s="3"/>
      <c r="C4197" s="3"/>
      <c r="D4197" s="3"/>
      <c r="E4197" s="3">
        <v>14</v>
      </c>
      <c r="F4197" s="4" t="str">
        <f>HYPERLINK("http://141.218.60.56/~jnz1568/getInfo.php?workbook=12_05.xlsx&amp;sheet=U0&amp;row=4197&amp;col=6&amp;number=4.3&amp;sourceID=14","4.3")</f>
        <v>4.3</v>
      </c>
      <c r="G4197" s="4" t="str">
        <f>HYPERLINK("http://141.218.60.56/~jnz1568/getInfo.php?workbook=12_05.xlsx&amp;sheet=U0&amp;row=4197&amp;col=7&amp;number=0.00443&amp;sourceID=14","0.00443")</f>
        <v>0.00443</v>
      </c>
    </row>
    <row r="4198" spans="1:7">
      <c r="A4198" s="3"/>
      <c r="B4198" s="3"/>
      <c r="C4198" s="3"/>
      <c r="D4198" s="3"/>
      <c r="E4198" s="3">
        <v>15</v>
      </c>
      <c r="F4198" s="4" t="str">
        <f>HYPERLINK("http://141.218.60.56/~jnz1568/getInfo.php?workbook=12_05.xlsx&amp;sheet=U0&amp;row=4198&amp;col=6&amp;number=4.4&amp;sourceID=14","4.4")</f>
        <v>4.4</v>
      </c>
      <c r="G4198" s="4" t="str">
        <f>HYPERLINK("http://141.218.60.56/~jnz1568/getInfo.php?workbook=12_05.xlsx&amp;sheet=U0&amp;row=4198&amp;col=7&amp;number=0.00445&amp;sourceID=14","0.00445")</f>
        <v>0.00445</v>
      </c>
    </row>
    <row r="4199" spans="1:7">
      <c r="A4199" s="3"/>
      <c r="B4199" s="3"/>
      <c r="C4199" s="3"/>
      <c r="D4199" s="3"/>
      <c r="E4199" s="3">
        <v>16</v>
      </c>
      <c r="F4199" s="4" t="str">
        <f>HYPERLINK("http://141.218.60.56/~jnz1568/getInfo.php?workbook=12_05.xlsx&amp;sheet=U0&amp;row=4199&amp;col=6&amp;number=4.5&amp;sourceID=14","4.5")</f>
        <v>4.5</v>
      </c>
      <c r="G4199" s="4" t="str">
        <f>HYPERLINK("http://141.218.60.56/~jnz1568/getInfo.php?workbook=12_05.xlsx&amp;sheet=U0&amp;row=4199&amp;col=7&amp;number=0.00447&amp;sourceID=14","0.00447")</f>
        <v>0.00447</v>
      </c>
    </row>
    <row r="4200" spans="1:7">
      <c r="A4200" s="3"/>
      <c r="B4200" s="3"/>
      <c r="C4200" s="3"/>
      <c r="D4200" s="3"/>
      <c r="E4200" s="3">
        <v>17</v>
      </c>
      <c r="F4200" s="4" t="str">
        <f>HYPERLINK("http://141.218.60.56/~jnz1568/getInfo.php?workbook=12_05.xlsx&amp;sheet=U0&amp;row=4200&amp;col=6&amp;number=4.6&amp;sourceID=14","4.6")</f>
        <v>4.6</v>
      </c>
      <c r="G4200" s="4" t="str">
        <f>HYPERLINK("http://141.218.60.56/~jnz1568/getInfo.php?workbook=12_05.xlsx&amp;sheet=U0&amp;row=4200&amp;col=7&amp;number=0.00449&amp;sourceID=14","0.00449")</f>
        <v>0.00449</v>
      </c>
    </row>
    <row r="4201" spans="1:7">
      <c r="A4201" s="3"/>
      <c r="B4201" s="3"/>
      <c r="C4201" s="3"/>
      <c r="D4201" s="3"/>
      <c r="E4201" s="3">
        <v>18</v>
      </c>
      <c r="F4201" s="4" t="str">
        <f>HYPERLINK("http://141.218.60.56/~jnz1568/getInfo.php?workbook=12_05.xlsx&amp;sheet=U0&amp;row=4201&amp;col=6&amp;number=4.7&amp;sourceID=14","4.7")</f>
        <v>4.7</v>
      </c>
      <c r="G4201" s="4" t="str">
        <f>HYPERLINK("http://141.218.60.56/~jnz1568/getInfo.php?workbook=12_05.xlsx&amp;sheet=U0&amp;row=4201&amp;col=7&amp;number=0.00452&amp;sourceID=14","0.00452")</f>
        <v>0.00452</v>
      </c>
    </row>
    <row r="4202" spans="1:7">
      <c r="A4202" s="3"/>
      <c r="B4202" s="3"/>
      <c r="C4202" s="3"/>
      <c r="D4202" s="3"/>
      <c r="E4202" s="3">
        <v>19</v>
      </c>
      <c r="F4202" s="4" t="str">
        <f>HYPERLINK("http://141.218.60.56/~jnz1568/getInfo.php?workbook=12_05.xlsx&amp;sheet=U0&amp;row=4202&amp;col=6&amp;number=4.8&amp;sourceID=14","4.8")</f>
        <v>4.8</v>
      </c>
      <c r="G4202" s="4" t="str">
        <f>HYPERLINK("http://141.218.60.56/~jnz1568/getInfo.php?workbook=12_05.xlsx&amp;sheet=U0&amp;row=4202&amp;col=7&amp;number=0.00455&amp;sourceID=14","0.00455")</f>
        <v>0.00455</v>
      </c>
    </row>
    <row r="4203" spans="1:7">
      <c r="A4203" s="3"/>
      <c r="B4203" s="3"/>
      <c r="C4203" s="3"/>
      <c r="D4203" s="3"/>
      <c r="E4203" s="3">
        <v>20</v>
      </c>
      <c r="F4203" s="4" t="str">
        <f>HYPERLINK("http://141.218.60.56/~jnz1568/getInfo.php?workbook=12_05.xlsx&amp;sheet=U0&amp;row=4203&amp;col=6&amp;number=4.9&amp;sourceID=14","4.9")</f>
        <v>4.9</v>
      </c>
      <c r="G4203" s="4" t="str">
        <f>HYPERLINK("http://141.218.60.56/~jnz1568/getInfo.php?workbook=12_05.xlsx&amp;sheet=U0&amp;row=4203&amp;col=7&amp;number=0.00459&amp;sourceID=14","0.00459")</f>
        <v>0.00459</v>
      </c>
    </row>
    <row r="4204" spans="1:7">
      <c r="A4204" s="3">
        <v>12</v>
      </c>
      <c r="B4204" s="3">
        <v>5</v>
      </c>
      <c r="C4204" s="3">
        <v>2</v>
      </c>
      <c r="D4204" s="3">
        <v>63</v>
      </c>
      <c r="E4204" s="3">
        <v>1</v>
      </c>
      <c r="F4204" s="4" t="str">
        <f>HYPERLINK("http://141.218.60.56/~jnz1568/getInfo.php?workbook=12_05.xlsx&amp;sheet=U0&amp;row=4204&amp;col=6&amp;number=3&amp;sourceID=14","3")</f>
        <v>3</v>
      </c>
      <c r="G4204" s="4" t="str">
        <f>HYPERLINK("http://141.218.60.56/~jnz1568/getInfo.php?workbook=12_05.xlsx&amp;sheet=U0&amp;row=4204&amp;col=7&amp;number=0.000773&amp;sourceID=14","0.000773")</f>
        <v>0.000773</v>
      </c>
    </row>
    <row r="4205" spans="1:7">
      <c r="A4205" s="3"/>
      <c r="B4205" s="3"/>
      <c r="C4205" s="3"/>
      <c r="D4205" s="3"/>
      <c r="E4205" s="3">
        <v>2</v>
      </c>
      <c r="F4205" s="4" t="str">
        <f>HYPERLINK("http://141.218.60.56/~jnz1568/getInfo.php?workbook=12_05.xlsx&amp;sheet=U0&amp;row=4205&amp;col=6&amp;number=3.1&amp;sourceID=14","3.1")</f>
        <v>3.1</v>
      </c>
      <c r="G4205" s="4" t="str">
        <f>HYPERLINK("http://141.218.60.56/~jnz1568/getInfo.php?workbook=12_05.xlsx&amp;sheet=U0&amp;row=4205&amp;col=7&amp;number=0.000773&amp;sourceID=14","0.000773")</f>
        <v>0.000773</v>
      </c>
    </row>
    <row r="4206" spans="1:7">
      <c r="A4206" s="3"/>
      <c r="B4206" s="3"/>
      <c r="C4206" s="3"/>
      <c r="D4206" s="3"/>
      <c r="E4206" s="3">
        <v>3</v>
      </c>
      <c r="F4206" s="4" t="str">
        <f>HYPERLINK("http://141.218.60.56/~jnz1568/getInfo.php?workbook=12_05.xlsx&amp;sheet=U0&amp;row=4206&amp;col=6&amp;number=3.2&amp;sourceID=14","3.2")</f>
        <v>3.2</v>
      </c>
      <c r="G4206" s="4" t="str">
        <f>HYPERLINK("http://141.218.60.56/~jnz1568/getInfo.php?workbook=12_05.xlsx&amp;sheet=U0&amp;row=4206&amp;col=7&amp;number=0.000773&amp;sourceID=14","0.000773")</f>
        <v>0.000773</v>
      </c>
    </row>
    <row r="4207" spans="1:7">
      <c r="A4207" s="3"/>
      <c r="B4207" s="3"/>
      <c r="C4207" s="3"/>
      <c r="D4207" s="3"/>
      <c r="E4207" s="3">
        <v>4</v>
      </c>
      <c r="F4207" s="4" t="str">
        <f>HYPERLINK("http://141.218.60.56/~jnz1568/getInfo.php?workbook=12_05.xlsx&amp;sheet=U0&amp;row=4207&amp;col=6&amp;number=3.3&amp;sourceID=14","3.3")</f>
        <v>3.3</v>
      </c>
      <c r="G4207" s="4" t="str">
        <f>HYPERLINK("http://141.218.60.56/~jnz1568/getInfo.php?workbook=12_05.xlsx&amp;sheet=U0&amp;row=4207&amp;col=7&amp;number=0.000774&amp;sourceID=14","0.000774")</f>
        <v>0.000774</v>
      </c>
    </row>
    <row r="4208" spans="1:7">
      <c r="A4208" s="3"/>
      <c r="B4208" s="3"/>
      <c r="C4208" s="3"/>
      <c r="D4208" s="3"/>
      <c r="E4208" s="3">
        <v>5</v>
      </c>
      <c r="F4208" s="4" t="str">
        <f>HYPERLINK("http://141.218.60.56/~jnz1568/getInfo.php?workbook=12_05.xlsx&amp;sheet=U0&amp;row=4208&amp;col=6&amp;number=3.4&amp;sourceID=14","3.4")</f>
        <v>3.4</v>
      </c>
      <c r="G4208" s="4" t="str">
        <f>HYPERLINK("http://141.218.60.56/~jnz1568/getInfo.php?workbook=12_05.xlsx&amp;sheet=U0&amp;row=4208&amp;col=7&amp;number=0.000774&amp;sourceID=14","0.000774")</f>
        <v>0.000774</v>
      </c>
    </row>
    <row r="4209" spans="1:7">
      <c r="A4209" s="3"/>
      <c r="B4209" s="3"/>
      <c r="C4209" s="3"/>
      <c r="D4209" s="3"/>
      <c r="E4209" s="3">
        <v>6</v>
      </c>
      <c r="F4209" s="4" t="str">
        <f>HYPERLINK("http://141.218.60.56/~jnz1568/getInfo.php?workbook=12_05.xlsx&amp;sheet=U0&amp;row=4209&amp;col=6&amp;number=3.5&amp;sourceID=14","3.5")</f>
        <v>3.5</v>
      </c>
      <c r="G4209" s="4" t="str">
        <f>HYPERLINK("http://141.218.60.56/~jnz1568/getInfo.php?workbook=12_05.xlsx&amp;sheet=U0&amp;row=4209&amp;col=7&amp;number=0.000774&amp;sourceID=14","0.000774")</f>
        <v>0.000774</v>
      </c>
    </row>
    <row r="4210" spans="1:7">
      <c r="A4210" s="3"/>
      <c r="B4210" s="3"/>
      <c r="C4210" s="3"/>
      <c r="D4210" s="3"/>
      <c r="E4210" s="3">
        <v>7</v>
      </c>
      <c r="F4210" s="4" t="str">
        <f>HYPERLINK("http://141.218.60.56/~jnz1568/getInfo.php?workbook=12_05.xlsx&amp;sheet=U0&amp;row=4210&amp;col=6&amp;number=3.6&amp;sourceID=14","3.6")</f>
        <v>3.6</v>
      </c>
      <c r="G4210" s="4" t="str">
        <f>HYPERLINK("http://141.218.60.56/~jnz1568/getInfo.php?workbook=12_05.xlsx&amp;sheet=U0&amp;row=4210&amp;col=7&amp;number=0.000774&amp;sourceID=14","0.000774")</f>
        <v>0.000774</v>
      </c>
    </row>
    <row r="4211" spans="1:7">
      <c r="A4211" s="3"/>
      <c r="B4211" s="3"/>
      <c r="C4211" s="3"/>
      <c r="D4211" s="3"/>
      <c r="E4211" s="3">
        <v>8</v>
      </c>
      <c r="F4211" s="4" t="str">
        <f>HYPERLINK("http://141.218.60.56/~jnz1568/getInfo.php?workbook=12_05.xlsx&amp;sheet=U0&amp;row=4211&amp;col=6&amp;number=3.7&amp;sourceID=14","3.7")</f>
        <v>3.7</v>
      </c>
      <c r="G4211" s="4" t="str">
        <f>HYPERLINK("http://141.218.60.56/~jnz1568/getInfo.php?workbook=12_05.xlsx&amp;sheet=U0&amp;row=4211&amp;col=7&amp;number=0.000774&amp;sourceID=14","0.000774")</f>
        <v>0.000774</v>
      </c>
    </row>
    <row r="4212" spans="1:7">
      <c r="A4212" s="3"/>
      <c r="B4212" s="3"/>
      <c r="C4212" s="3"/>
      <c r="D4212" s="3"/>
      <c r="E4212" s="3">
        <v>9</v>
      </c>
      <c r="F4212" s="4" t="str">
        <f>HYPERLINK("http://141.218.60.56/~jnz1568/getInfo.php?workbook=12_05.xlsx&amp;sheet=U0&amp;row=4212&amp;col=6&amp;number=3.8&amp;sourceID=14","3.8")</f>
        <v>3.8</v>
      </c>
      <c r="G4212" s="4" t="str">
        <f>HYPERLINK("http://141.218.60.56/~jnz1568/getInfo.php?workbook=12_05.xlsx&amp;sheet=U0&amp;row=4212&amp;col=7&amp;number=0.000774&amp;sourceID=14","0.000774")</f>
        <v>0.000774</v>
      </c>
    </row>
    <row r="4213" spans="1:7">
      <c r="A4213" s="3"/>
      <c r="B4213" s="3"/>
      <c r="C4213" s="3"/>
      <c r="D4213" s="3"/>
      <c r="E4213" s="3">
        <v>10</v>
      </c>
      <c r="F4213" s="4" t="str">
        <f>HYPERLINK("http://141.218.60.56/~jnz1568/getInfo.php?workbook=12_05.xlsx&amp;sheet=U0&amp;row=4213&amp;col=6&amp;number=3.9&amp;sourceID=14","3.9")</f>
        <v>3.9</v>
      </c>
      <c r="G4213" s="4" t="str">
        <f>HYPERLINK("http://141.218.60.56/~jnz1568/getInfo.php?workbook=12_05.xlsx&amp;sheet=U0&amp;row=4213&amp;col=7&amp;number=0.000774&amp;sourceID=14","0.000774")</f>
        <v>0.000774</v>
      </c>
    </row>
    <row r="4214" spans="1:7">
      <c r="A4214" s="3"/>
      <c r="B4214" s="3"/>
      <c r="C4214" s="3"/>
      <c r="D4214" s="3"/>
      <c r="E4214" s="3">
        <v>11</v>
      </c>
      <c r="F4214" s="4" t="str">
        <f>HYPERLINK("http://141.218.60.56/~jnz1568/getInfo.php?workbook=12_05.xlsx&amp;sheet=U0&amp;row=4214&amp;col=6&amp;number=4&amp;sourceID=14","4")</f>
        <v>4</v>
      </c>
      <c r="G4214" s="4" t="str">
        <f>HYPERLINK("http://141.218.60.56/~jnz1568/getInfo.php?workbook=12_05.xlsx&amp;sheet=U0&amp;row=4214&amp;col=7&amp;number=0.000775&amp;sourceID=14","0.000775")</f>
        <v>0.000775</v>
      </c>
    </row>
    <row r="4215" spans="1:7">
      <c r="A4215" s="3"/>
      <c r="B4215" s="3"/>
      <c r="C4215" s="3"/>
      <c r="D4215" s="3"/>
      <c r="E4215" s="3">
        <v>12</v>
      </c>
      <c r="F4215" s="4" t="str">
        <f>HYPERLINK("http://141.218.60.56/~jnz1568/getInfo.php?workbook=12_05.xlsx&amp;sheet=U0&amp;row=4215&amp;col=6&amp;number=4.1&amp;sourceID=14","4.1")</f>
        <v>4.1</v>
      </c>
      <c r="G4215" s="4" t="str">
        <f>HYPERLINK("http://141.218.60.56/~jnz1568/getInfo.php?workbook=12_05.xlsx&amp;sheet=U0&amp;row=4215&amp;col=7&amp;number=0.000775&amp;sourceID=14","0.000775")</f>
        <v>0.000775</v>
      </c>
    </row>
    <row r="4216" spans="1:7">
      <c r="A4216" s="3"/>
      <c r="B4216" s="3"/>
      <c r="C4216" s="3"/>
      <c r="D4216" s="3"/>
      <c r="E4216" s="3">
        <v>13</v>
      </c>
      <c r="F4216" s="4" t="str">
        <f>HYPERLINK("http://141.218.60.56/~jnz1568/getInfo.php?workbook=12_05.xlsx&amp;sheet=U0&amp;row=4216&amp;col=6&amp;number=4.2&amp;sourceID=14","4.2")</f>
        <v>4.2</v>
      </c>
      <c r="G4216" s="4" t="str">
        <f>HYPERLINK("http://141.218.60.56/~jnz1568/getInfo.php?workbook=12_05.xlsx&amp;sheet=U0&amp;row=4216&amp;col=7&amp;number=0.000776&amp;sourceID=14","0.000776")</f>
        <v>0.000776</v>
      </c>
    </row>
    <row r="4217" spans="1:7">
      <c r="A4217" s="3"/>
      <c r="B4217" s="3"/>
      <c r="C4217" s="3"/>
      <c r="D4217" s="3"/>
      <c r="E4217" s="3">
        <v>14</v>
      </c>
      <c r="F4217" s="4" t="str">
        <f>HYPERLINK("http://141.218.60.56/~jnz1568/getInfo.php?workbook=12_05.xlsx&amp;sheet=U0&amp;row=4217&amp;col=6&amp;number=4.3&amp;sourceID=14","4.3")</f>
        <v>4.3</v>
      </c>
      <c r="G4217" s="4" t="str">
        <f>HYPERLINK("http://141.218.60.56/~jnz1568/getInfo.php?workbook=12_05.xlsx&amp;sheet=U0&amp;row=4217&amp;col=7&amp;number=0.000776&amp;sourceID=14","0.000776")</f>
        <v>0.000776</v>
      </c>
    </row>
    <row r="4218" spans="1:7">
      <c r="A4218" s="3"/>
      <c r="B4218" s="3"/>
      <c r="C4218" s="3"/>
      <c r="D4218" s="3"/>
      <c r="E4218" s="3">
        <v>15</v>
      </c>
      <c r="F4218" s="4" t="str">
        <f>HYPERLINK("http://141.218.60.56/~jnz1568/getInfo.php?workbook=12_05.xlsx&amp;sheet=U0&amp;row=4218&amp;col=6&amp;number=4.4&amp;sourceID=14","4.4")</f>
        <v>4.4</v>
      </c>
      <c r="G4218" s="4" t="str">
        <f>HYPERLINK("http://141.218.60.56/~jnz1568/getInfo.php?workbook=12_05.xlsx&amp;sheet=U0&amp;row=4218&amp;col=7&amp;number=0.000777&amp;sourceID=14","0.000777")</f>
        <v>0.000777</v>
      </c>
    </row>
    <row r="4219" spans="1:7">
      <c r="A4219" s="3"/>
      <c r="B4219" s="3"/>
      <c r="C4219" s="3"/>
      <c r="D4219" s="3"/>
      <c r="E4219" s="3">
        <v>16</v>
      </c>
      <c r="F4219" s="4" t="str">
        <f>HYPERLINK("http://141.218.60.56/~jnz1568/getInfo.php?workbook=12_05.xlsx&amp;sheet=U0&amp;row=4219&amp;col=6&amp;number=4.5&amp;sourceID=14","4.5")</f>
        <v>4.5</v>
      </c>
      <c r="G4219" s="4" t="str">
        <f>HYPERLINK("http://141.218.60.56/~jnz1568/getInfo.php?workbook=12_05.xlsx&amp;sheet=U0&amp;row=4219&amp;col=7&amp;number=0.000778&amp;sourceID=14","0.000778")</f>
        <v>0.000778</v>
      </c>
    </row>
    <row r="4220" spans="1:7">
      <c r="A4220" s="3"/>
      <c r="B4220" s="3"/>
      <c r="C4220" s="3"/>
      <c r="D4220" s="3"/>
      <c r="E4220" s="3">
        <v>17</v>
      </c>
      <c r="F4220" s="4" t="str">
        <f>HYPERLINK("http://141.218.60.56/~jnz1568/getInfo.php?workbook=12_05.xlsx&amp;sheet=U0&amp;row=4220&amp;col=6&amp;number=4.6&amp;sourceID=14","4.6")</f>
        <v>4.6</v>
      </c>
      <c r="G4220" s="4" t="str">
        <f>HYPERLINK("http://141.218.60.56/~jnz1568/getInfo.php?workbook=12_05.xlsx&amp;sheet=U0&amp;row=4220&amp;col=7&amp;number=0.000779&amp;sourceID=14","0.000779")</f>
        <v>0.000779</v>
      </c>
    </row>
    <row r="4221" spans="1:7">
      <c r="A4221" s="3"/>
      <c r="B4221" s="3"/>
      <c r="C4221" s="3"/>
      <c r="D4221" s="3"/>
      <c r="E4221" s="3">
        <v>18</v>
      </c>
      <c r="F4221" s="4" t="str">
        <f>HYPERLINK("http://141.218.60.56/~jnz1568/getInfo.php?workbook=12_05.xlsx&amp;sheet=U0&amp;row=4221&amp;col=6&amp;number=4.7&amp;sourceID=14","4.7")</f>
        <v>4.7</v>
      </c>
      <c r="G4221" s="4" t="str">
        <f>HYPERLINK("http://141.218.60.56/~jnz1568/getInfo.php?workbook=12_05.xlsx&amp;sheet=U0&amp;row=4221&amp;col=7&amp;number=0.000781&amp;sourceID=14","0.000781")</f>
        <v>0.000781</v>
      </c>
    </row>
    <row r="4222" spans="1:7">
      <c r="A4222" s="3"/>
      <c r="B4222" s="3"/>
      <c r="C4222" s="3"/>
      <c r="D4222" s="3"/>
      <c r="E4222" s="3">
        <v>19</v>
      </c>
      <c r="F4222" s="4" t="str">
        <f>HYPERLINK("http://141.218.60.56/~jnz1568/getInfo.php?workbook=12_05.xlsx&amp;sheet=U0&amp;row=4222&amp;col=6&amp;number=4.8&amp;sourceID=14","4.8")</f>
        <v>4.8</v>
      </c>
      <c r="G4222" s="4" t="str">
        <f>HYPERLINK("http://141.218.60.56/~jnz1568/getInfo.php?workbook=12_05.xlsx&amp;sheet=U0&amp;row=4222&amp;col=7&amp;number=0.000783&amp;sourceID=14","0.000783")</f>
        <v>0.000783</v>
      </c>
    </row>
    <row r="4223" spans="1:7">
      <c r="A4223" s="3"/>
      <c r="B4223" s="3"/>
      <c r="C4223" s="3"/>
      <c r="D4223" s="3"/>
      <c r="E4223" s="3">
        <v>20</v>
      </c>
      <c r="F4223" s="4" t="str">
        <f>HYPERLINK("http://141.218.60.56/~jnz1568/getInfo.php?workbook=12_05.xlsx&amp;sheet=U0&amp;row=4223&amp;col=6&amp;number=4.9&amp;sourceID=14","4.9")</f>
        <v>4.9</v>
      </c>
      <c r="G4223" s="4" t="str">
        <f>HYPERLINK("http://141.218.60.56/~jnz1568/getInfo.php?workbook=12_05.xlsx&amp;sheet=U0&amp;row=4223&amp;col=7&amp;number=0.000785&amp;sourceID=14","0.000785")</f>
        <v>0.000785</v>
      </c>
    </row>
    <row r="4224" spans="1:7">
      <c r="A4224" s="3">
        <v>12</v>
      </c>
      <c r="B4224" s="3">
        <v>5</v>
      </c>
      <c r="C4224" s="3">
        <v>2</v>
      </c>
      <c r="D4224" s="3">
        <v>64</v>
      </c>
      <c r="E4224" s="3">
        <v>1</v>
      </c>
      <c r="F4224" s="4" t="str">
        <f>HYPERLINK("http://141.218.60.56/~jnz1568/getInfo.php?workbook=12_05.xlsx&amp;sheet=U0&amp;row=4224&amp;col=6&amp;number=3&amp;sourceID=14","3")</f>
        <v>3</v>
      </c>
      <c r="G4224" s="4" t="str">
        <f>HYPERLINK("http://141.218.60.56/~jnz1568/getInfo.php?workbook=12_05.xlsx&amp;sheet=U0&amp;row=4224&amp;col=7&amp;number=0.00173&amp;sourceID=14","0.00173")</f>
        <v>0.00173</v>
      </c>
    </row>
    <row r="4225" spans="1:7">
      <c r="A4225" s="3"/>
      <c r="B4225" s="3"/>
      <c r="C4225" s="3"/>
      <c r="D4225" s="3"/>
      <c r="E4225" s="3">
        <v>2</v>
      </c>
      <c r="F4225" s="4" t="str">
        <f>HYPERLINK("http://141.218.60.56/~jnz1568/getInfo.php?workbook=12_05.xlsx&amp;sheet=U0&amp;row=4225&amp;col=6&amp;number=3.1&amp;sourceID=14","3.1")</f>
        <v>3.1</v>
      </c>
      <c r="G4225" s="4" t="str">
        <f>HYPERLINK("http://141.218.60.56/~jnz1568/getInfo.php?workbook=12_05.xlsx&amp;sheet=U0&amp;row=4225&amp;col=7&amp;number=0.00173&amp;sourceID=14","0.00173")</f>
        <v>0.00173</v>
      </c>
    </row>
    <row r="4226" spans="1:7">
      <c r="A4226" s="3"/>
      <c r="B4226" s="3"/>
      <c r="C4226" s="3"/>
      <c r="D4226" s="3"/>
      <c r="E4226" s="3">
        <v>3</v>
      </c>
      <c r="F4226" s="4" t="str">
        <f>HYPERLINK("http://141.218.60.56/~jnz1568/getInfo.php?workbook=12_05.xlsx&amp;sheet=U0&amp;row=4226&amp;col=6&amp;number=3.2&amp;sourceID=14","3.2")</f>
        <v>3.2</v>
      </c>
      <c r="G4226" s="4" t="str">
        <f>HYPERLINK("http://141.218.60.56/~jnz1568/getInfo.php?workbook=12_05.xlsx&amp;sheet=U0&amp;row=4226&amp;col=7&amp;number=0.00173&amp;sourceID=14","0.00173")</f>
        <v>0.00173</v>
      </c>
    </row>
    <row r="4227" spans="1:7">
      <c r="A4227" s="3"/>
      <c r="B4227" s="3"/>
      <c r="C4227" s="3"/>
      <c r="D4227" s="3"/>
      <c r="E4227" s="3">
        <v>4</v>
      </c>
      <c r="F4227" s="4" t="str">
        <f>HYPERLINK("http://141.218.60.56/~jnz1568/getInfo.php?workbook=12_05.xlsx&amp;sheet=U0&amp;row=4227&amp;col=6&amp;number=3.3&amp;sourceID=14","3.3")</f>
        <v>3.3</v>
      </c>
      <c r="G4227" s="4" t="str">
        <f>HYPERLINK("http://141.218.60.56/~jnz1568/getInfo.php?workbook=12_05.xlsx&amp;sheet=U0&amp;row=4227&amp;col=7&amp;number=0.00173&amp;sourceID=14","0.00173")</f>
        <v>0.00173</v>
      </c>
    </row>
    <row r="4228" spans="1:7">
      <c r="A4228" s="3"/>
      <c r="B4228" s="3"/>
      <c r="C4228" s="3"/>
      <c r="D4228" s="3"/>
      <c r="E4228" s="3">
        <v>5</v>
      </c>
      <c r="F4228" s="4" t="str">
        <f>HYPERLINK("http://141.218.60.56/~jnz1568/getInfo.php?workbook=12_05.xlsx&amp;sheet=U0&amp;row=4228&amp;col=6&amp;number=3.4&amp;sourceID=14","3.4")</f>
        <v>3.4</v>
      </c>
      <c r="G4228" s="4" t="str">
        <f>HYPERLINK("http://141.218.60.56/~jnz1568/getInfo.php?workbook=12_05.xlsx&amp;sheet=U0&amp;row=4228&amp;col=7&amp;number=0.00173&amp;sourceID=14","0.00173")</f>
        <v>0.00173</v>
      </c>
    </row>
    <row r="4229" spans="1:7">
      <c r="A4229" s="3"/>
      <c r="B4229" s="3"/>
      <c r="C4229" s="3"/>
      <c r="D4229" s="3"/>
      <c r="E4229" s="3">
        <v>6</v>
      </c>
      <c r="F4229" s="4" t="str">
        <f>HYPERLINK("http://141.218.60.56/~jnz1568/getInfo.php?workbook=12_05.xlsx&amp;sheet=U0&amp;row=4229&amp;col=6&amp;number=3.5&amp;sourceID=14","3.5")</f>
        <v>3.5</v>
      </c>
      <c r="G4229" s="4" t="str">
        <f>HYPERLINK("http://141.218.60.56/~jnz1568/getInfo.php?workbook=12_05.xlsx&amp;sheet=U0&amp;row=4229&amp;col=7&amp;number=0.00173&amp;sourceID=14","0.00173")</f>
        <v>0.00173</v>
      </c>
    </row>
    <row r="4230" spans="1:7">
      <c r="A4230" s="3"/>
      <c r="B4230" s="3"/>
      <c r="C4230" s="3"/>
      <c r="D4230" s="3"/>
      <c r="E4230" s="3">
        <v>7</v>
      </c>
      <c r="F4230" s="4" t="str">
        <f>HYPERLINK("http://141.218.60.56/~jnz1568/getInfo.php?workbook=12_05.xlsx&amp;sheet=U0&amp;row=4230&amp;col=6&amp;number=3.6&amp;sourceID=14","3.6")</f>
        <v>3.6</v>
      </c>
      <c r="G4230" s="4" t="str">
        <f>HYPERLINK("http://141.218.60.56/~jnz1568/getInfo.php?workbook=12_05.xlsx&amp;sheet=U0&amp;row=4230&amp;col=7&amp;number=0.00174&amp;sourceID=14","0.00174")</f>
        <v>0.00174</v>
      </c>
    </row>
    <row r="4231" spans="1:7">
      <c r="A4231" s="3"/>
      <c r="B4231" s="3"/>
      <c r="C4231" s="3"/>
      <c r="D4231" s="3"/>
      <c r="E4231" s="3">
        <v>8</v>
      </c>
      <c r="F4231" s="4" t="str">
        <f>HYPERLINK("http://141.218.60.56/~jnz1568/getInfo.php?workbook=12_05.xlsx&amp;sheet=U0&amp;row=4231&amp;col=6&amp;number=3.7&amp;sourceID=14","3.7")</f>
        <v>3.7</v>
      </c>
      <c r="G4231" s="4" t="str">
        <f>HYPERLINK("http://141.218.60.56/~jnz1568/getInfo.php?workbook=12_05.xlsx&amp;sheet=U0&amp;row=4231&amp;col=7&amp;number=0.00174&amp;sourceID=14","0.00174")</f>
        <v>0.00174</v>
      </c>
    </row>
    <row r="4232" spans="1:7">
      <c r="A4232" s="3"/>
      <c r="B4232" s="3"/>
      <c r="C4232" s="3"/>
      <c r="D4232" s="3"/>
      <c r="E4232" s="3">
        <v>9</v>
      </c>
      <c r="F4232" s="4" t="str">
        <f>HYPERLINK("http://141.218.60.56/~jnz1568/getInfo.php?workbook=12_05.xlsx&amp;sheet=U0&amp;row=4232&amp;col=6&amp;number=3.8&amp;sourceID=14","3.8")</f>
        <v>3.8</v>
      </c>
      <c r="G4232" s="4" t="str">
        <f>HYPERLINK("http://141.218.60.56/~jnz1568/getInfo.php?workbook=12_05.xlsx&amp;sheet=U0&amp;row=4232&amp;col=7&amp;number=0.00174&amp;sourceID=14","0.00174")</f>
        <v>0.00174</v>
      </c>
    </row>
    <row r="4233" spans="1:7">
      <c r="A4233" s="3"/>
      <c r="B4233" s="3"/>
      <c r="C4233" s="3"/>
      <c r="D4233" s="3"/>
      <c r="E4233" s="3">
        <v>10</v>
      </c>
      <c r="F4233" s="4" t="str">
        <f>HYPERLINK("http://141.218.60.56/~jnz1568/getInfo.php?workbook=12_05.xlsx&amp;sheet=U0&amp;row=4233&amp;col=6&amp;number=3.9&amp;sourceID=14","3.9")</f>
        <v>3.9</v>
      </c>
      <c r="G4233" s="4" t="str">
        <f>HYPERLINK("http://141.218.60.56/~jnz1568/getInfo.php?workbook=12_05.xlsx&amp;sheet=U0&amp;row=4233&amp;col=7&amp;number=0.00174&amp;sourceID=14","0.00174")</f>
        <v>0.00174</v>
      </c>
    </row>
    <row r="4234" spans="1:7">
      <c r="A4234" s="3"/>
      <c r="B4234" s="3"/>
      <c r="C4234" s="3"/>
      <c r="D4234" s="3"/>
      <c r="E4234" s="3">
        <v>11</v>
      </c>
      <c r="F4234" s="4" t="str">
        <f>HYPERLINK("http://141.218.60.56/~jnz1568/getInfo.php?workbook=12_05.xlsx&amp;sheet=U0&amp;row=4234&amp;col=6&amp;number=4&amp;sourceID=14","4")</f>
        <v>4</v>
      </c>
      <c r="G4234" s="4" t="str">
        <f>HYPERLINK("http://141.218.60.56/~jnz1568/getInfo.php?workbook=12_05.xlsx&amp;sheet=U0&amp;row=4234&amp;col=7&amp;number=0.00174&amp;sourceID=14","0.00174")</f>
        <v>0.00174</v>
      </c>
    </row>
    <row r="4235" spans="1:7">
      <c r="A4235" s="3"/>
      <c r="B4235" s="3"/>
      <c r="C4235" s="3"/>
      <c r="D4235" s="3"/>
      <c r="E4235" s="3">
        <v>12</v>
      </c>
      <c r="F4235" s="4" t="str">
        <f>HYPERLINK("http://141.218.60.56/~jnz1568/getInfo.php?workbook=12_05.xlsx&amp;sheet=U0&amp;row=4235&amp;col=6&amp;number=4.1&amp;sourceID=14","4.1")</f>
        <v>4.1</v>
      </c>
      <c r="G4235" s="4" t="str">
        <f>HYPERLINK("http://141.218.60.56/~jnz1568/getInfo.php?workbook=12_05.xlsx&amp;sheet=U0&amp;row=4235&amp;col=7&amp;number=0.00174&amp;sourceID=14","0.00174")</f>
        <v>0.00174</v>
      </c>
    </row>
    <row r="4236" spans="1:7">
      <c r="A4236" s="3"/>
      <c r="B4236" s="3"/>
      <c r="C4236" s="3"/>
      <c r="D4236" s="3"/>
      <c r="E4236" s="3">
        <v>13</v>
      </c>
      <c r="F4236" s="4" t="str">
        <f>HYPERLINK("http://141.218.60.56/~jnz1568/getInfo.php?workbook=12_05.xlsx&amp;sheet=U0&amp;row=4236&amp;col=6&amp;number=4.2&amp;sourceID=14","4.2")</f>
        <v>4.2</v>
      </c>
      <c r="G4236" s="4" t="str">
        <f>HYPERLINK("http://141.218.60.56/~jnz1568/getInfo.php?workbook=12_05.xlsx&amp;sheet=U0&amp;row=4236&amp;col=7&amp;number=0.00174&amp;sourceID=14","0.00174")</f>
        <v>0.00174</v>
      </c>
    </row>
    <row r="4237" spans="1:7">
      <c r="A4237" s="3"/>
      <c r="B4237" s="3"/>
      <c r="C4237" s="3"/>
      <c r="D4237" s="3"/>
      <c r="E4237" s="3">
        <v>14</v>
      </c>
      <c r="F4237" s="4" t="str">
        <f>HYPERLINK("http://141.218.60.56/~jnz1568/getInfo.php?workbook=12_05.xlsx&amp;sheet=U0&amp;row=4237&amp;col=6&amp;number=4.3&amp;sourceID=14","4.3")</f>
        <v>4.3</v>
      </c>
      <c r="G4237" s="4" t="str">
        <f>HYPERLINK("http://141.218.60.56/~jnz1568/getInfo.php?workbook=12_05.xlsx&amp;sheet=U0&amp;row=4237&amp;col=7&amp;number=0.00174&amp;sourceID=14","0.00174")</f>
        <v>0.00174</v>
      </c>
    </row>
    <row r="4238" spans="1:7">
      <c r="A4238" s="3"/>
      <c r="B4238" s="3"/>
      <c r="C4238" s="3"/>
      <c r="D4238" s="3"/>
      <c r="E4238" s="3">
        <v>15</v>
      </c>
      <c r="F4238" s="4" t="str">
        <f>HYPERLINK("http://141.218.60.56/~jnz1568/getInfo.php?workbook=12_05.xlsx&amp;sheet=U0&amp;row=4238&amp;col=6&amp;number=4.4&amp;sourceID=14","4.4")</f>
        <v>4.4</v>
      </c>
      <c r="G4238" s="4" t="str">
        <f>HYPERLINK("http://141.218.60.56/~jnz1568/getInfo.php?workbook=12_05.xlsx&amp;sheet=U0&amp;row=4238&amp;col=7&amp;number=0.00174&amp;sourceID=14","0.00174")</f>
        <v>0.00174</v>
      </c>
    </row>
    <row r="4239" spans="1:7">
      <c r="A4239" s="3"/>
      <c r="B4239" s="3"/>
      <c r="C4239" s="3"/>
      <c r="D4239" s="3"/>
      <c r="E4239" s="3">
        <v>16</v>
      </c>
      <c r="F4239" s="4" t="str">
        <f>HYPERLINK("http://141.218.60.56/~jnz1568/getInfo.php?workbook=12_05.xlsx&amp;sheet=U0&amp;row=4239&amp;col=6&amp;number=4.5&amp;sourceID=14","4.5")</f>
        <v>4.5</v>
      </c>
      <c r="G4239" s="4" t="str">
        <f>HYPERLINK("http://141.218.60.56/~jnz1568/getInfo.php?workbook=12_05.xlsx&amp;sheet=U0&amp;row=4239&amp;col=7&amp;number=0.00174&amp;sourceID=14","0.00174")</f>
        <v>0.00174</v>
      </c>
    </row>
    <row r="4240" spans="1:7">
      <c r="A4240" s="3"/>
      <c r="B4240" s="3"/>
      <c r="C4240" s="3"/>
      <c r="D4240" s="3"/>
      <c r="E4240" s="3">
        <v>17</v>
      </c>
      <c r="F4240" s="4" t="str">
        <f>HYPERLINK("http://141.218.60.56/~jnz1568/getInfo.php?workbook=12_05.xlsx&amp;sheet=U0&amp;row=4240&amp;col=6&amp;number=4.6&amp;sourceID=14","4.6")</f>
        <v>4.6</v>
      </c>
      <c r="G4240" s="4" t="str">
        <f>HYPERLINK("http://141.218.60.56/~jnz1568/getInfo.php?workbook=12_05.xlsx&amp;sheet=U0&amp;row=4240&amp;col=7&amp;number=0.00174&amp;sourceID=14","0.00174")</f>
        <v>0.00174</v>
      </c>
    </row>
    <row r="4241" spans="1:7">
      <c r="A4241" s="3"/>
      <c r="B4241" s="3"/>
      <c r="C4241" s="3"/>
      <c r="D4241" s="3"/>
      <c r="E4241" s="3">
        <v>18</v>
      </c>
      <c r="F4241" s="4" t="str">
        <f>HYPERLINK("http://141.218.60.56/~jnz1568/getInfo.php?workbook=12_05.xlsx&amp;sheet=U0&amp;row=4241&amp;col=6&amp;number=4.7&amp;sourceID=14","4.7")</f>
        <v>4.7</v>
      </c>
      <c r="G4241" s="4" t="str">
        <f>HYPERLINK("http://141.218.60.56/~jnz1568/getInfo.php?workbook=12_05.xlsx&amp;sheet=U0&amp;row=4241&amp;col=7&amp;number=0.00175&amp;sourceID=14","0.00175")</f>
        <v>0.00175</v>
      </c>
    </row>
    <row r="4242" spans="1:7">
      <c r="A4242" s="3"/>
      <c r="B4242" s="3"/>
      <c r="C4242" s="3"/>
      <c r="D4242" s="3"/>
      <c r="E4242" s="3">
        <v>19</v>
      </c>
      <c r="F4242" s="4" t="str">
        <f>HYPERLINK("http://141.218.60.56/~jnz1568/getInfo.php?workbook=12_05.xlsx&amp;sheet=U0&amp;row=4242&amp;col=6&amp;number=4.8&amp;sourceID=14","4.8")</f>
        <v>4.8</v>
      </c>
      <c r="G4242" s="4" t="str">
        <f>HYPERLINK("http://141.218.60.56/~jnz1568/getInfo.php?workbook=12_05.xlsx&amp;sheet=U0&amp;row=4242&amp;col=7&amp;number=0.00175&amp;sourceID=14","0.00175")</f>
        <v>0.00175</v>
      </c>
    </row>
    <row r="4243" spans="1:7">
      <c r="A4243" s="3"/>
      <c r="B4243" s="3"/>
      <c r="C4243" s="3"/>
      <c r="D4243" s="3"/>
      <c r="E4243" s="3">
        <v>20</v>
      </c>
      <c r="F4243" s="4" t="str">
        <f>HYPERLINK("http://141.218.60.56/~jnz1568/getInfo.php?workbook=12_05.xlsx&amp;sheet=U0&amp;row=4243&amp;col=6&amp;number=4.9&amp;sourceID=14","4.9")</f>
        <v>4.9</v>
      </c>
      <c r="G4243" s="4" t="str">
        <f>HYPERLINK("http://141.218.60.56/~jnz1568/getInfo.php?workbook=12_05.xlsx&amp;sheet=U0&amp;row=4243&amp;col=7&amp;number=0.00175&amp;sourceID=14","0.00175")</f>
        <v>0.00175</v>
      </c>
    </row>
    <row r="4244" spans="1:7">
      <c r="A4244" s="3">
        <v>12</v>
      </c>
      <c r="B4244" s="3">
        <v>5</v>
      </c>
      <c r="C4244" s="3">
        <v>2</v>
      </c>
      <c r="D4244" s="3">
        <v>65</v>
      </c>
      <c r="E4244" s="3">
        <v>1</v>
      </c>
      <c r="F4244" s="4" t="str">
        <f>HYPERLINK("http://141.218.60.56/~jnz1568/getInfo.php?workbook=12_05.xlsx&amp;sheet=U0&amp;row=4244&amp;col=6&amp;number=3&amp;sourceID=14","3")</f>
        <v>3</v>
      </c>
      <c r="G4244" s="4" t="str">
        <f>HYPERLINK("http://141.218.60.56/~jnz1568/getInfo.php?workbook=12_05.xlsx&amp;sheet=U0&amp;row=4244&amp;col=7&amp;number=0.0136&amp;sourceID=14","0.0136")</f>
        <v>0.0136</v>
      </c>
    </row>
    <row r="4245" spans="1:7">
      <c r="A4245" s="3"/>
      <c r="B4245" s="3"/>
      <c r="C4245" s="3"/>
      <c r="D4245" s="3"/>
      <c r="E4245" s="3">
        <v>2</v>
      </c>
      <c r="F4245" s="4" t="str">
        <f>HYPERLINK("http://141.218.60.56/~jnz1568/getInfo.php?workbook=12_05.xlsx&amp;sheet=U0&amp;row=4245&amp;col=6&amp;number=3.1&amp;sourceID=14","3.1")</f>
        <v>3.1</v>
      </c>
      <c r="G4245" s="4" t="str">
        <f>HYPERLINK("http://141.218.60.56/~jnz1568/getInfo.php?workbook=12_05.xlsx&amp;sheet=U0&amp;row=4245&amp;col=7&amp;number=0.0136&amp;sourceID=14","0.0136")</f>
        <v>0.0136</v>
      </c>
    </row>
    <row r="4246" spans="1:7">
      <c r="A4246" s="3"/>
      <c r="B4246" s="3"/>
      <c r="C4246" s="3"/>
      <c r="D4246" s="3"/>
      <c r="E4246" s="3">
        <v>3</v>
      </c>
      <c r="F4246" s="4" t="str">
        <f>HYPERLINK("http://141.218.60.56/~jnz1568/getInfo.php?workbook=12_05.xlsx&amp;sheet=U0&amp;row=4246&amp;col=6&amp;number=3.2&amp;sourceID=14","3.2")</f>
        <v>3.2</v>
      </c>
      <c r="G4246" s="4" t="str">
        <f>HYPERLINK("http://141.218.60.56/~jnz1568/getInfo.php?workbook=12_05.xlsx&amp;sheet=U0&amp;row=4246&amp;col=7&amp;number=0.0136&amp;sourceID=14","0.0136")</f>
        <v>0.0136</v>
      </c>
    </row>
    <row r="4247" spans="1:7">
      <c r="A4247" s="3"/>
      <c r="B4247" s="3"/>
      <c r="C4247" s="3"/>
      <c r="D4247" s="3"/>
      <c r="E4247" s="3">
        <v>4</v>
      </c>
      <c r="F4247" s="4" t="str">
        <f>HYPERLINK("http://141.218.60.56/~jnz1568/getInfo.php?workbook=12_05.xlsx&amp;sheet=U0&amp;row=4247&amp;col=6&amp;number=3.3&amp;sourceID=14","3.3")</f>
        <v>3.3</v>
      </c>
      <c r="G4247" s="4" t="str">
        <f>HYPERLINK("http://141.218.60.56/~jnz1568/getInfo.php?workbook=12_05.xlsx&amp;sheet=U0&amp;row=4247&amp;col=7&amp;number=0.0136&amp;sourceID=14","0.0136")</f>
        <v>0.0136</v>
      </c>
    </row>
    <row r="4248" spans="1:7">
      <c r="A4248" s="3"/>
      <c r="B4248" s="3"/>
      <c r="C4248" s="3"/>
      <c r="D4248" s="3"/>
      <c r="E4248" s="3">
        <v>5</v>
      </c>
      <c r="F4248" s="4" t="str">
        <f>HYPERLINK("http://141.218.60.56/~jnz1568/getInfo.php?workbook=12_05.xlsx&amp;sheet=U0&amp;row=4248&amp;col=6&amp;number=3.4&amp;sourceID=14","3.4")</f>
        <v>3.4</v>
      </c>
      <c r="G4248" s="4" t="str">
        <f>HYPERLINK("http://141.218.60.56/~jnz1568/getInfo.php?workbook=12_05.xlsx&amp;sheet=U0&amp;row=4248&amp;col=7&amp;number=0.0136&amp;sourceID=14","0.0136")</f>
        <v>0.0136</v>
      </c>
    </row>
    <row r="4249" spans="1:7">
      <c r="A4249" s="3"/>
      <c r="B4249" s="3"/>
      <c r="C4249" s="3"/>
      <c r="D4249" s="3"/>
      <c r="E4249" s="3">
        <v>6</v>
      </c>
      <c r="F4249" s="4" t="str">
        <f>HYPERLINK("http://141.218.60.56/~jnz1568/getInfo.php?workbook=12_05.xlsx&amp;sheet=U0&amp;row=4249&amp;col=6&amp;number=3.5&amp;sourceID=14","3.5")</f>
        <v>3.5</v>
      </c>
      <c r="G4249" s="4" t="str">
        <f>HYPERLINK("http://141.218.60.56/~jnz1568/getInfo.php?workbook=12_05.xlsx&amp;sheet=U0&amp;row=4249&amp;col=7&amp;number=0.0136&amp;sourceID=14","0.0136")</f>
        <v>0.0136</v>
      </c>
    </row>
    <row r="4250" spans="1:7">
      <c r="A4250" s="3"/>
      <c r="B4250" s="3"/>
      <c r="C4250" s="3"/>
      <c r="D4250" s="3"/>
      <c r="E4250" s="3">
        <v>7</v>
      </c>
      <c r="F4250" s="4" t="str">
        <f>HYPERLINK("http://141.218.60.56/~jnz1568/getInfo.php?workbook=12_05.xlsx&amp;sheet=U0&amp;row=4250&amp;col=6&amp;number=3.6&amp;sourceID=14","3.6")</f>
        <v>3.6</v>
      </c>
      <c r="G4250" s="4" t="str">
        <f>HYPERLINK("http://141.218.60.56/~jnz1568/getInfo.php?workbook=12_05.xlsx&amp;sheet=U0&amp;row=4250&amp;col=7&amp;number=0.0136&amp;sourceID=14","0.0136")</f>
        <v>0.0136</v>
      </c>
    </row>
    <row r="4251" spans="1:7">
      <c r="A4251" s="3"/>
      <c r="B4251" s="3"/>
      <c r="C4251" s="3"/>
      <c r="D4251" s="3"/>
      <c r="E4251" s="3">
        <v>8</v>
      </c>
      <c r="F4251" s="4" t="str">
        <f>HYPERLINK("http://141.218.60.56/~jnz1568/getInfo.php?workbook=12_05.xlsx&amp;sheet=U0&amp;row=4251&amp;col=6&amp;number=3.7&amp;sourceID=14","3.7")</f>
        <v>3.7</v>
      </c>
      <c r="G4251" s="4" t="str">
        <f>HYPERLINK("http://141.218.60.56/~jnz1568/getInfo.php?workbook=12_05.xlsx&amp;sheet=U0&amp;row=4251&amp;col=7&amp;number=0.0136&amp;sourceID=14","0.0136")</f>
        <v>0.0136</v>
      </c>
    </row>
    <row r="4252" spans="1:7">
      <c r="A4252" s="3"/>
      <c r="B4252" s="3"/>
      <c r="C4252" s="3"/>
      <c r="D4252" s="3"/>
      <c r="E4252" s="3">
        <v>9</v>
      </c>
      <c r="F4252" s="4" t="str">
        <f>HYPERLINK("http://141.218.60.56/~jnz1568/getInfo.php?workbook=12_05.xlsx&amp;sheet=U0&amp;row=4252&amp;col=6&amp;number=3.8&amp;sourceID=14","3.8")</f>
        <v>3.8</v>
      </c>
      <c r="G4252" s="4" t="str">
        <f>HYPERLINK("http://141.218.60.56/~jnz1568/getInfo.php?workbook=12_05.xlsx&amp;sheet=U0&amp;row=4252&amp;col=7&amp;number=0.0135&amp;sourceID=14","0.0135")</f>
        <v>0.0135</v>
      </c>
    </row>
    <row r="4253" spans="1:7">
      <c r="A4253" s="3"/>
      <c r="B4253" s="3"/>
      <c r="C4253" s="3"/>
      <c r="D4253" s="3"/>
      <c r="E4253" s="3">
        <v>10</v>
      </c>
      <c r="F4253" s="4" t="str">
        <f>HYPERLINK("http://141.218.60.56/~jnz1568/getInfo.php?workbook=12_05.xlsx&amp;sheet=U0&amp;row=4253&amp;col=6&amp;number=3.9&amp;sourceID=14","3.9")</f>
        <v>3.9</v>
      </c>
      <c r="G4253" s="4" t="str">
        <f>HYPERLINK("http://141.218.60.56/~jnz1568/getInfo.php?workbook=12_05.xlsx&amp;sheet=U0&amp;row=4253&amp;col=7&amp;number=0.0135&amp;sourceID=14","0.0135")</f>
        <v>0.0135</v>
      </c>
    </row>
    <row r="4254" spans="1:7">
      <c r="A4254" s="3"/>
      <c r="B4254" s="3"/>
      <c r="C4254" s="3"/>
      <c r="D4254" s="3"/>
      <c r="E4254" s="3">
        <v>11</v>
      </c>
      <c r="F4254" s="4" t="str">
        <f>HYPERLINK("http://141.218.60.56/~jnz1568/getInfo.php?workbook=12_05.xlsx&amp;sheet=U0&amp;row=4254&amp;col=6&amp;number=4&amp;sourceID=14","4")</f>
        <v>4</v>
      </c>
      <c r="G4254" s="4" t="str">
        <f>HYPERLINK("http://141.218.60.56/~jnz1568/getInfo.php?workbook=12_05.xlsx&amp;sheet=U0&amp;row=4254&amp;col=7&amp;number=0.0135&amp;sourceID=14","0.0135")</f>
        <v>0.0135</v>
      </c>
    </row>
    <row r="4255" spans="1:7">
      <c r="A4255" s="3"/>
      <c r="B4255" s="3"/>
      <c r="C4255" s="3"/>
      <c r="D4255" s="3"/>
      <c r="E4255" s="3">
        <v>12</v>
      </c>
      <c r="F4255" s="4" t="str">
        <f>HYPERLINK("http://141.218.60.56/~jnz1568/getInfo.php?workbook=12_05.xlsx&amp;sheet=U0&amp;row=4255&amp;col=6&amp;number=4.1&amp;sourceID=14","4.1")</f>
        <v>4.1</v>
      </c>
      <c r="G4255" s="4" t="str">
        <f>HYPERLINK("http://141.218.60.56/~jnz1568/getInfo.php?workbook=12_05.xlsx&amp;sheet=U0&amp;row=4255&amp;col=7&amp;number=0.0135&amp;sourceID=14","0.0135")</f>
        <v>0.0135</v>
      </c>
    </row>
    <row r="4256" spans="1:7">
      <c r="A4256" s="3"/>
      <c r="B4256" s="3"/>
      <c r="C4256" s="3"/>
      <c r="D4256" s="3"/>
      <c r="E4256" s="3">
        <v>13</v>
      </c>
      <c r="F4256" s="4" t="str">
        <f>HYPERLINK("http://141.218.60.56/~jnz1568/getInfo.php?workbook=12_05.xlsx&amp;sheet=U0&amp;row=4256&amp;col=6&amp;number=4.2&amp;sourceID=14","4.2")</f>
        <v>4.2</v>
      </c>
      <c r="G4256" s="4" t="str">
        <f>HYPERLINK("http://141.218.60.56/~jnz1568/getInfo.php?workbook=12_05.xlsx&amp;sheet=U0&amp;row=4256&amp;col=7&amp;number=0.0134&amp;sourceID=14","0.0134")</f>
        <v>0.0134</v>
      </c>
    </row>
    <row r="4257" spans="1:7">
      <c r="A4257" s="3"/>
      <c r="B4257" s="3"/>
      <c r="C4257" s="3"/>
      <c r="D4257" s="3"/>
      <c r="E4257" s="3">
        <v>14</v>
      </c>
      <c r="F4257" s="4" t="str">
        <f>HYPERLINK("http://141.218.60.56/~jnz1568/getInfo.php?workbook=12_05.xlsx&amp;sheet=U0&amp;row=4257&amp;col=6&amp;number=4.3&amp;sourceID=14","4.3")</f>
        <v>4.3</v>
      </c>
      <c r="G4257" s="4" t="str">
        <f>HYPERLINK("http://141.218.60.56/~jnz1568/getInfo.php?workbook=12_05.xlsx&amp;sheet=U0&amp;row=4257&amp;col=7&amp;number=0.0134&amp;sourceID=14","0.0134")</f>
        <v>0.0134</v>
      </c>
    </row>
    <row r="4258" spans="1:7">
      <c r="A4258" s="3"/>
      <c r="B4258" s="3"/>
      <c r="C4258" s="3"/>
      <c r="D4258" s="3"/>
      <c r="E4258" s="3">
        <v>15</v>
      </c>
      <c r="F4258" s="4" t="str">
        <f>HYPERLINK("http://141.218.60.56/~jnz1568/getInfo.php?workbook=12_05.xlsx&amp;sheet=U0&amp;row=4258&amp;col=6&amp;number=4.4&amp;sourceID=14","4.4")</f>
        <v>4.4</v>
      </c>
      <c r="G4258" s="4" t="str">
        <f>HYPERLINK("http://141.218.60.56/~jnz1568/getInfo.php?workbook=12_05.xlsx&amp;sheet=U0&amp;row=4258&amp;col=7&amp;number=0.0133&amp;sourceID=14","0.0133")</f>
        <v>0.0133</v>
      </c>
    </row>
    <row r="4259" spans="1:7">
      <c r="A4259" s="3"/>
      <c r="B4259" s="3"/>
      <c r="C4259" s="3"/>
      <c r="D4259" s="3"/>
      <c r="E4259" s="3">
        <v>16</v>
      </c>
      <c r="F4259" s="4" t="str">
        <f>HYPERLINK("http://141.218.60.56/~jnz1568/getInfo.php?workbook=12_05.xlsx&amp;sheet=U0&amp;row=4259&amp;col=6&amp;number=4.5&amp;sourceID=14","4.5")</f>
        <v>4.5</v>
      </c>
      <c r="G4259" s="4" t="str">
        <f>HYPERLINK("http://141.218.60.56/~jnz1568/getInfo.php?workbook=12_05.xlsx&amp;sheet=U0&amp;row=4259&amp;col=7&amp;number=0.0132&amp;sourceID=14","0.0132")</f>
        <v>0.0132</v>
      </c>
    </row>
    <row r="4260" spans="1:7">
      <c r="A4260" s="3"/>
      <c r="B4260" s="3"/>
      <c r="C4260" s="3"/>
      <c r="D4260" s="3"/>
      <c r="E4260" s="3">
        <v>17</v>
      </c>
      <c r="F4260" s="4" t="str">
        <f>HYPERLINK("http://141.218.60.56/~jnz1568/getInfo.php?workbook=12_05.xlsx&amp;sheet=U0&amp;row=4260&amp;col=6&amp;number=4.6&amp;sourceID=14","4.6")</f>
        <v>4.6</v>
      </c>
      <c r="G4260" s="4" t="str">
        <f>HYPERLINK("http://141.218.60.56/~jnz1568/getInfo.php?workbook=12_05.xlsx&amp;sheet=U0&amp;row=4260&amp;col=7&amp;number=0.0131&amp;sourceID=14","0.0131")</f>
        <v>0.0131</v>
      </c>
    </row>
    <row r="4261" spans="1:7">
      <c r="A4261" s="3"/>
      <c r="B4261" s="3"/>
      <c r="C4261" s="3"/>
      <c r="D4261" s="3"/>
      <c r="E4261" s="3">
        <v>18</v>
      </c>
      <c r="F4261" s="4" t="str">
        <f>HYPERLINK("http://141.218.60.56/~jnz1568/getInfo.php?workbook=12_05.xlsx&amp;sheet=U0&amp;row=4261&amp;col=6&amp;number=4.7&amp;sourceID=14","4.7")</f>
        <v>4.7</v>
      </c>
      <c r="G4261" s="4" t="str">
        <f>HYPERLINK("http://141.218.60.56/~jnz1568/getInfo.php?workbook=12_05.xlsx&amp;sheet=U0&amp;row=4261&amp;col=7&amp;number=0.013&amp;sourceID=14","0.013")</f>
        <v>0.013</v>
      </c>
    </row>
    <row r="4262" spans="1:7">
      <c r="A4262" s="3"/>
      <c r="B4262" s="3"/>
      <c r="C4262" s="3"/>
      <c r="D4262" s="3"/>
      <c r="E4262" s="3">
        <v>19</v>
      </c>
      <c r="F4262" s="4" t="str">
        <f>HYPERLINK("http://141.218.60.56/~jnz1568/getInfo.php?workbook=12_05.xlsx&amp;sheet=U0&amp;row=4262&amp;col=6&amp;number=4.8&amp;sourceID=14","4.8")</f>
        <v>4.8</v>
      </c>
      <c r="G4262" s="4" t="str">
        <f>HYPERLINK("http://141.218.60.56/~jnz1568/getInfo.php?workbook=12_05.xlsx&amp;sheet=U0&amp;row=4262&amp;col=7&amp;number=0.0129&amp;sourceID=14","0.0129")</f>
        <v>0.0129</v>
      </c>
    </row>
    <row r="4263" spans="1:7">
      <c r="A4263" s="3"/>
      <c r="B4263" s="3"/>
      <c r="C4263" s="3"/>
      <c r="D4263" s="3"/>
      <c r="E4263" s="3">
        <v>20</v>
      </c>
      <c r="F4263" s="4" t="str">
        <f>HYPERLINK("http://141.218.60.56/~jnz1568/getInfo.php?workbook=12_05.xlsx&amp;sheet=U0&amp;row=4263&amp;col=6&amp;number=4.9&amp;sourceID=14","4.9")</f>
        <v>4.9</v>
      </c>
      <c r="G4263" s="4" t="str">
        <f>HYPERLINK("http://141.218.60.56/~jnz1568/getInfo.php?workbook=12_05.xlsx&amp;sheet=U0&amp;row=4263&amp;col=7&amp;number=0.0127&amp;sourceID=14","0.0127")</f>
        <v>0.0127</v>
      </c>
    </row>
    <row r="4264" spans="1:7">
      <c r="A4264" s="3">
        <v>12</v>
      </c>
      <c r="B4264" s="3">
        <v>5</v>
      </c>
      <c r="C4264" s="3">
        <v>2</v>
      </c>
      <c r="D4264" s="3">
        <v>66</v>
      </c>
      <c r="E4264" s="3">
        <v>1</v>
      </c>
      <c r="F4264" s="4" t="str">
        <f>HYPERLINK("http://141.218.60.56/~jnz1568/getInfo.php?workbook=12_05.xlsx&amp;sheet=U0&amp;row=4264&amp;col=6&amp;number=3&amp;sourceID=14","3")</f>
        <v>3</v>
      </c>
      <c r="G4264" s="4" t="str">
        <f>HYPERLINK("http://141.218.60.56/~jnz1568/getInfo.php?workbook=12_05.xlsx&amp;sheet=U0&amp;row=4264&amp;col=7&amp;number=0.000617&amp;sourceID=14","0.000617")</f>
        <v>0.000617</v>
      </c>
    </row>
    <row r="4265" spans="1:7">
      <c r="A4265" s="3"/>
      <c r="B4265" s="3"/>
      <c r="C4265" s="3"/>
      <c r="D4265" s="3"/>
      <c r="E4265" s="3">
        <v>2</v>
      </c>
      <c r="F4265" s="4" t="str">
        <f>HYPERLINK("http://141.218.60.56/~jnz1568/getInfo.php?workbook=12_05.xlsx&amp;sheet=U0&amp;row=4265&amp;col=6&amp;number=3.1&amp;sourceID=14","3.1")</f>
        <v>3.1</v>
      </c>
      <c r="G4265" s="4" t="str">
        <f>HYPERLINK("http://141.218.60.56/~jnz1568/getInfo.php?workbook=12_05.xlsx&amp;sheet=U0&amp;row=4265&amp;col=7&amp;number=0.000617&amp;sourceID=14","0.000617")</f>
        <v>0.000617</v>
      </c>
    </row>
    <row r="4266" spans="1:7">
      <c r="A4266" s="3"/>
      <c r="B4266" s="3"/>
      <c r="C4266" s="3"/>
      <c r="D4266" s="3"/>
      <c r="E4266" s="3">
        <v>3</v>
      </c>
      <c r="F4266" s="4" t="str">
        <f>HYPERLINK("http://141.218.60.56/~jnz1568/getInfo.php?workbook=12_05.xlsx&amp;sheet=U0&amp;row=4266&amp;col=6&amp;number=3.2&amp;sourceID=14","3.2")</f>
        <v>3.2</v>
      </c>
      <c r="G4266" s="4" t="str">
        <f>HYPERLINK("http://141.218.60.56/~jnz1568/getInfo.php?workbook=12_05.xlsx&amp;sheet=U0&amp;row=4266&amp;col=7&amp;number=0.000617&amp;sourceID=14","0.000617")</f>
        <v>0.000617</v>
      </c>
    </row>
    <row r="4267" spans="1:7">
      <c r="A4267" s="3"/>
      <c r="B4267" s="3"/>
      <c r="C4267" s="3"/>
      <c r="D4267" s="3"/>
      <c r="E4267" s="3">
        <v>4</v>
      </c>
      <c r="F4267" s="4" t="str">
        <f>HYPERLINK("http://141.218.60.56/~jnz1568/getInfo.php?workbook=12_05.xlsx&amp;sheet=U0&amp;row=4267&amp;col=6&amp;number=3.3&amp;sourceID=14","3.3")</f>
        <v>3.3</v>
      </c>
      <c r="G4267" s="4" t="str">
        <f>HYPERLINK("http://141.218.60.56/~jnz1568/getInfo.php?workbook=12_05.xlsx&amp;sheet=U0&amp;row=4267&amp;col=7&amp;number=0.000617&amp;sourceID=14","0.000617")</f>
        <v>0.000617</v>
      </c>
    </row>
    <row r="4268" spans="1:7">
      <c r="A4268" s="3"/>
      <c r="B4268" s="3"/>
      <c r="C4268" s="3"/>
      <c r="D4268" s="3"/>
      <c r="E4268" s="3">
        <v>5</v>
      </c>
      <c r="F4268" s="4" t="str">
        <f>HYPERLINK("http://141.218.60.56/~jnz1568/getInfo.php?workbook=12_05.xlsx&amp;sheet=U0&amp;row=4268&amp;col=6&amp;number=3.4&amp;sourceID=14","3.4")</f>
        <v>3.4</v>
      </c>
      <c r="G4268" s="4" t="str">
        <f>HYPERLINK("http://141.218.60.56/~jnz1568/getInfo.php?workbook=12_05.xlsx&amp;sheet=U0&amp;row=4268&amp;col=7&amp;number=0.000616&amp;sourceID=14","0.000616")</f>
        <v>0.000616</v>
      </c>
    </row>
    <row r="4269" spans="1:7">
      <c r="A4269" s="3"/>
      <c r="B4269" s="3"/>
      <c r="C4269" s="3"/>
      <c r="D4269" s="3"/>
      <c r="E4269" s="3">
        <v>6</v>
      </c>
      <c r="F4269" s="4" t="str">
        <f>HYPERLINK("http://141.218.60.56/~jnz1568/getInfo.php?workbook=12_05.xlsx&amp;sheet=U0&amp;row=4269&amp;col=6&amp;number=3.5&amp;sourceID=14","3.5")</f>
        <v>3.5</v>
      </c>
      <c r="G4269" s="4" t="str">
        <f>HYPERLINK("http://141.218.60.56/~jnz1568/getInfo.php?workbook=12_05.xlsx&amp;sheet=U0&amp;row=4269&amp;col=7&amp;number=0.000616&amp;sourceID=14","0.000616")</f>
        <v>0.000616</v>
      </c>
    </row>
    <row r="4270" spans="1:7">
      <c r="A4270" s="3"/>
      <c r="B4270" s="3"/>
      <c r="C4270" s="3"/>
      <c r="D4270" s="3"/>
      <c r="E4270" s="3">
        <v>7</v>
      </c>
      <c r="F4270" s="4" t="str">
        <f>HYPERLINK("http://141.218.60.56/~jnz1568/getInfo.php?workbook=12_05.xlsx&amp;sheet=U0&amp;row=4270&amp;col=6&amp;number=3.6&amp;sourceID=14","3.6")</f>
        <v>3.6</v>
      </c>
      <c r="G4270" s="4" t="str">
        <f>HYPERLINK("http://141.218.60.56/~jnz1568/getInfo.php?workbook=12_05.xlsx&amp;sheet=U0&amp;row=4270&amp;col=7&amp;number=0.000615&amp;sourceID=14","0.000615")</f>
        <v>0.000615</v>
      </c>
    </row>
    <row r="4271" spans="1:7">
      <c r="A4271" s="3"/>
      <c r="B4271" s="3"/>
      <c r="C4271" s="3"/>
      <c r="D4271" s="3"/>
      <c r="E4271" s="3">
        <v>8</v>
      </c>
      <c r="F4271" s="4" t="str">
        <f>HYPERLINK("http://141.218.60.56/~jnz1568/getInfo.php?workbook=12_05.xlsx&amp;sheet=U0&amp;row=4271&amp;col=6&amp;number=3.7&amp;sourceID=14","3.7")</f>
        <v>3.7</v>
      </c>
      <c r="G4271" s="4" t="str">
        <f>HYPERLINK("http://141.218.60.56/~jnz1568/getInfo.php?workbook=12_05.xlsx&amp;sheet=U0&amp;row=4271&amp;col=7&amp;number=0.000615&amp;sourceID=14","0.000615")</f>
        <v>0.000615</v>
      </c>
    </row>
    <row r="4272" spans="1:7">
      <c r="A4272" s="3"/>
      <c r="B4272" s="3"/>
      <c r="C4272" s="3"/>
      <c r="D4272" s="3"/>
      <c r="E4272" s="3">
        <v>9</v>
      </c>
      <c r="F4272" s="4" t="str">
        <f>HYPERLINK("http://141.218.60.56/~jnz1568/getInfo.php?workbook=12_05.xlsx&amp;sheet=U0&amp;row=4272&amp;col=6&amp;number=3.8&amp;sourceID=14","3.8")</f>
        <v>3.8</v>
      </c>
      <c r="G4272" s="4" t="str">
        <f>HYPERLINK("http://141.218.60.56/~jnz1568/getInfo.php?workbook=12_05.xlsx&amp;sheet=U0&amp;row=4272&amp;col=7&amp;number=0.000614&amp;sourceID=14","0.000614")</f>
        <v>0.000614</v>
      </c>
    </row>
    <row r="4273" spans="1:7">
      <c r="A4273" s="3"/>
      <c r="B4273" s="3"/>
      <c r="C4273" s="3"/>
      <c r="D4273" s="3"/>
      <c r="E4273" s="3">
        <v>10</v>
      </c>
      <c r="F4273" s="4" t="str">
        <f>HYPERLINK("http://141.218.60.56/~jnz1568/getInfo.php?workbook=12_05.xlsx&amp;sheet=U0&amp;row=4273&amp;col=6&amp;number=3.9&amp;sourceID=14","3.9")</f>
        <v>3.9</v>
      </c>
      <c r="G4273" s="4" t="str">
        <f>HYPERLINK("http://141.218.60.56/~jnz1568/getInfo.php?workbook=12_05.xlsx&amp;sheet=U0&amp;row=4273&amp;col=7&amp;number=0.000613&amp;sourceID=14","0.000613")</f>
        <v>0.000613</v>
      </c>
    </row>
    <row r="4274" spans="1:7">
      <c r="A4274" s="3"/>
      <c r="B4274" s="3"/>
      <c r="C4274" s="3"/>
      <c r="D4274" s="3"/>
      <c r="E4274" s="3">
        <v>11</v>
      </c>
      <c r="F4274" s="4" t="str">
        <f>HYPERLINK("http://141.218.60.56/~jnz1568/getInfo.php?workbook=12_05.xlsx&amp;sheet=U0&amp;row=4274&amp;col=6&amp;number=4&amp;sourceID=14","4")</f>
        <v>4</v>
      </c>
      <c r="G4274" s="4" t="str">
        <f>HYPERLINK("http://141.218.60.56/~jnz1568/getInfo.php?workbook=12_05.xlsx&amp;sheet=U0&amp;row=4274&amp;col=7&amp;number=0.000611&amp;sourceID=14","0.000611")</f>
        <v>0.000611</v>
      </c>
    </row>
    <row r="4275" spans="1:7">
      <c r="A4275" s="3"/>
      <c r="B4275" s="3"/>
      <c r="C4275" s="3"/>
      <c r="D4275" s="3"/>
      <c r="E4275" s="3">
        <v>12</v>
      </c>
      <c r="F4275" s="4" t="str">
        <f>HYPERLINK("http://141.218.60.56/~jnz1568/getInfo.php?workbook=12_05.xlsx&amp;sheet=U0&amp;row=4275&amp;col=6&amp;number=4.1&amp;sourceID=14","4.1")</f>
        <v>4.1</v>
      </c>
      <c r="G4275" s="4" t="str">
        <f>HYPERLINK("http://141.218.60.56/~jnz1568/getInfo.php?workbook=12_05.xlsx&amp;sheet=U0&amp;row=4275&amp;col=7&amp;number=0.00061&amp;sourceID=14","0.00061")</f>
        <v>0.00061</v>
      </c>
    </row>
    <row r="4276" spans="1:7">
      <c r="A4276" s="3"/>
      <c r="B4276" s="3"/>
      <c r="C4276" s="3"/>
      <c r="D4276" s="3"/>
      <c r="E4276" s="3">
        <v>13</v>
      </c>
      <c r="F4276" s="4" t="str">
        <f>HYPERLINK("http://141.218.60.56/~jnz1568/getInfo.php?workbook=12_05.xlsx&amp;sheet=U0&amp;row=4276&amp;col=6&amp;number=4.2&amp;sourceID=14","4.2")</f>
        <v>4.2</v>
      </c>
      <c r="G4276" s="4" t="str">
        <f>HYPERLINK("http://141.218.60.56/~jnz1568/getInfo.php?workbook=12_05.xlsx&amp;sheet=U0&amp;row=4276&amp;col=7&amp;number=0.000607&amp;sourceID=14","0.000607")</f>
        <v>0.000607</v>
      </c>
    </row>
    <row r="4277" spans="1:7">
      <c r="A4277" s="3"/>
      <c r="B4277" s="3"/>
      <c r="C4277" s="3"/>
      <c r="D4277" s="3"/>
      <c r="E4277" s="3">
        <v>14</v>
      </c>
      <c r="F4277" s="4" t="str">
        <f>HYPERLINK("http://141.218.60.56/~jnz1568/getInfo.php?workbook=12_05.xlsx&amp;sheet=U0&amp;row=4277&amp;col=6&amp;number=4.3&amp;sourceID=14","4.3")</f>
        <v>4.3</v>
      </c>
      <c r="G4277" s="4" t="str">
        <f>HYPERLINK("http://141.218.60.56/~jnz1568/getInfo.php?workbook=12_05.xlsx&amp;sheet=U0&amp;row=4277&amp;col=7&amp;number=0.000605&amp;sourceID=14","0.000605")</f>
        <v>0.000605</v>
      </c>
    </row>
    <row r="4278" spans="1:7">
      <c r="A4278" s="3"/>
      <c r="B4278" s="3"/>
      <c r="C4278" s="3"/>
      <c r="D4278" s="3"/>
      <c r="E4278" s="3">
        <v>15</v>
      </c>
      <c r="F4278" s="4" t="str">
        <f>HYPERLINK("http://141.218.60.56/~jnz1568/getInfo.php?workbook=12_05.xlsx&amp;sheet=U0&amp;row=4278&amp;col=6&amp;number=4.4&amp;sourceID=14","4.4")</f>
        <v>4.4</v>
      </c>
      <c r="G4278" s="4" t="str">
        <f>HYPERLINK("http://141.218.60.56/~jnz1568/getInfo.php?workbook=12_05.xlsx&amp;sheet=U0&amp;row=4278&amp;col=7&amp;number=0.000601&amp;sourceID=14","0.000601")</f>
        <v>0.000601</v>
      </c>
    </row>
    <row r="4279" spans="1:7">
      <c r="A4279" s="3"/>
      <c r="B4279" s="3"/>
      <c r="C4279" s="3"/>
      <c r="D4279" s="3"/>
      <c r="E4279" s="3">
        <v>16</v>
      </c>
      <c r="F4279" s="4" t="str">
        <f>HYPERLINK("http://141.218.60.56/~jnz1568/getInfo.php?workbook=12_05.xlsx&amp;sheet=U0&amp;row=4279&amp;col=6&amp;number=4.5&amp;sourceID=14","4.5")</f>
        <v>4.5</v>
      </c>
      <c r="G4279" s="4" t="str">
        <f>HYPERLINK("http://141.218.60.56/~jnz1568/getInfo.php?workbook=12_05.xlsx&amp;sheet=U0&amp;row=4279&amp;col=7&amp;number=0.000597&amp;sourceID=14","0.000597")</f>
        <v>0.000597</v>
      </c>
    </row>
    <row r="4280" spans="1:7">
      <c r="A4280" s="3"/>
      <c r="B4280" s="3"/>
      <c r="C4280" s="3"/>
      <c r="D4280" s="3"/>
      <c r="E4280" s="3">
        <v>17</v>
      </c>
      <c r="F4280" s="4" t="str">
        <f>HYPERLINK("http://141.218.60.56/~jnz1568/getInfo.php?workbook=12_05.xlsx&amp;sheet=U0&amp;row=4280&amp;col=6&amp;number=4.6&amp;sourceID=14","4.6")</f>
        <v>4.6</v>
      </c>
      <c r="G4280" s="4" t="str">
        <f>HYPERLINK("http://141.218.60.56/~jnz1568/getInfo.php?workbook=12_05.xlsx&amp;sheet=U0&amp;row=4280&amp;col=7&amp;number=0.000592&amp;sourceID=14","0.000592")</f>
        <v>0.000592</v>
      </c>
    </row>
    <row r="4281" spans="1:7">
      <c r="A4281" s="3"/>
      <c r="B4281" s="3"/>
      <c r="C4281" s="3"/>
      <c r="D4281" s="3"/>
      <c r="E4281" s="3">
        <v>18</v>
      </c>
      <c r="F4281" s="4" t="str">
        <f>HYPERLINK("http://141.218.60.56/~jnz1568/getInfo.php?workbook=12_05.xlsx&amp;sheet=U0&amp;row=4281&amp;col=6&amp;number=4.7&amp;sourceID=14","4.7")</f>
        <v>4.7</v>
      </c>
      <c r="G4281" s="4" t="str">
        <f>HYPERLINK("http://141.218.60.56/~jnz1568/getInfo.php?workbook=12_05.xlsx&amp;sheet=U0&amp;row=4281&amp;col=7&amp;number=0.000585&amp;sourceID=14","0.000585")</f>
        <v>0.000585</v>
      </c>
    </row>
    <row r="4282" spans="1:7">
      <c r="A4282" s="3"/>
      <c r="B4282" s="3"/>
      <c r="C4282" s="3"/>
      <c r="D4282" s="3"/>
      <c r="E4282" s="3">
        <v>19</v>
      </c>
      <c r="F4282" s="4" t="str">
        <f>HYPERLINK("http://141.218.60.56/~jnz1568/getInfo.php?workbook=12_05.xlsx&amp;sheet=U0&amp;row=4282&amp;col=6&amp;number=4.8&amp;sourceID=14","4.8")</f>
        <v>4.8</v>
      </c>
      <c r="G4282" s="4" t="str">
        <f>HYPERLINK("http://141.218.60.56/~jnz1568/getInfo.php?workbook=12_05.xlsx&amp;sheet=U0&amp;row=4282&amp;col=7&amp;number=0.000577&amp;sourceID=14","0.000577")</f>
        <v>0.000577</v>
      </c>
    </row>
    <row r="4283" spans="1:7">
      <c r="A4283" s="3"/>
      <c r="B4283" s="3"/>
      <c r="C4283" s="3"/>
      <c r="D4283" s="3"/>
      <c r="E4283" s="3">
        <v>20</v>
      </c>
      <c r="F4283" s="4" t="str">
        <f>HYPERLINK("http://141.218.60.56/~jnz1568/getInfo.php?workbook=12_05.xlsx&amp;sheet=U0&amp;row=4283&amp;col=6&amp;number=4.9&amp;sourceID=14","4.9")</f>
        <v>4.9</v>
      </c>
      <c r="G4283" s="4" t="str">
        <f>HYPERLINK("http://141.218.60.56/~jnz1568/getInfo.php?workbook=12_05.xlsx&amp;sheet=U0&amp;row=4283&amp;col=7&amp;number=0.000568&amp;sourceID=14","0.000568")</f>
        <v>0.000568</v>
      </c>
    </row>
    <row r="4284" spans="1:7">
      <c r="A4284" s="3">
        <v>12</v>
      </c>
      <c r="B4284" s="3">
        <v>5</v>
      </c>
      <c r="C4284" s="3">
        <v>2</v>
      </c>
      <c r="D4284" s="3">
        <v>67</v>
      </c>
      <c r="E4284" s="3">
        <v>1</v>
      </c>
      <c r="F4284" s="4" t="str">
        <f>HYPERLINK("http://141.218.60.56/~jnz1568/getInfo.php?workbook=12_05.xlsx&amp;sheet=U0&amp;row=4284&amp;col=6&amp;number=3&amp;sourceID=14","3")</f>
        <v>3</v>
      </c>
      <c r="G4284" s="4" t="str">
        <f>HYPERLINK("http://141.218.60.56/~jnz1568/getInfo.php?workbook=12_05.xlsx&amp;sheet=U0&amp;row=4284&amp;col=7&amp;number=0.00129&amp;sourceID=14","0.00129")</f>
        <v>0.00129</v>
      </c>
    </row>
    <row r="4285" spans="1:7">
      <c r="A4285" s="3"/>
      <c r="B4285" s="3"/>
      <c r="C4285" s="3"/>
      <c r="D4285" s="3"/>
      <c r="E4285" s="3">
        <v>2</v>
      </c>
      <c r="F4285" s="4" t="str">
        <f>HYPERLINK("http://141.218.60.56/~jnz1568/getInfo.php?workbook=12_05.xlsx&amp;sheet=U0&amp;row=4285&amp;col=6&amp;number=3.1&amp;sourceID=14","3.1")</f>
        <v>3.1</v>
      </c>
      <c r="G4285" s="4" t="str">
        <f>HYPERLINK("http://141.218.60.56/~jnz1568/getInfo.php?workbook=12_05.xlsx&amp;sheet=U0&amp;row=4285&amp;col=7&amp;number=0.00129&amp;sourceID=14","0.00129")</f>
        <v>0.00129</v>
      </c>
    </row>
    <row r="4286" spans="1:7">
      <c r="A4286" s="3"/>
      <c r="B4286" s="3"/>
      <c r="C4286" s="3"/>
      <c r="D4286" s="3"/>
      <c r="E4286" s="3">
        <v>3</v>
      </c>
      <c r="F4286" s="4" t="str">
        <f>HYPERLINK("http://141.218.60.56/~jnz1568/getInfo.php?workbook=12_05.xlsx&amp;sheet=U0&amp;row=4286&amp;col=6&amp;number=3.2&amp;sourceID=14","3.2")</f>
        <v>3.2</v>
      </c>
      <c r="G4286" s="4" t="str">
        <f>HYPERLINK("http://141.218.60.56/~jnz1568/getInfo.php?workbook=12_05.xlsx&amp;sheet=U0&amp;row=4286&amp;col=7&amp;number=0.00129&amp;sourceID=14","0.00129")</f>
        <v>0.00129</v>
      </c>
    </row>
    <row r="4287" spans="1:7">
      <c r="A4287" s="3"/>
      <c r="B4287" s="3"/>
      <c r="C4287" s="3"/>
      <c r="D4287" s="3"/>
      <c r="E4287" s="3">
        <v>4</v>
      </c>
      <c r="F4287" s="4" t="str">
        <f>HYPERLINK("http://141.218.60.56/~jnz1568/getInfo.php?workbook=12_05.xlsx&amp;sheet=U0&amp;row=4287&amp;col=6&amp;number=3.3&amp;sourceID=14","3.3")</f>
        <v>3.3</v>
      </c>
      <c r="G4287" s="4" t="str">
        <f>HYPERLINK("http://141.218.60.56/~jnz1568/getInfo.php?workbook=12_05.xlsx&amp;sheet=U0&amp;row=4287&amp;col=7&amp;number=0.00129&amp;sourceID=14","0.00129")</f>
        <v>0.00129</v>
      </c>
    </row>
    <row r="4288" spans="1:7">
      <c r="A4288" s="3"/>
      <c r="B4288" s="3"/>
      <c r="C4288" s="3"/>
      <c r="D4288" s="3"/>
      <c r="E4288" s="3">
        <v>5</v>
      </c>
      <c r="F4288" s="4" t="str">
        <f>HYPERLINK("http://141.218.60.56/~jnz1568/getInfo.php?workbook=12_05.xlsx&amp;sheet=U0&amp;row=4288&amp;col=6&amp;number=3.4&amp;sourceID=14","3.4")</f>
        <v>3.4</v>
      </c>
      <c r="G4288" s="4" t="str">
        <f>HYPERLINK("http://141.218.60.56/~jnz1568/getInfo.php?workbook=12_05.xlsx&amp;sheet=U0&amp;row=4288&amp;col=7&amp;number=0.00129&amp;sourceID=14","0.00129")</f>
        <v>0.00129</v>
      </c>
    </row>
    <row r="4289" spans="1:7">
      <c r="A4289" s="3"/>
      <c r="B4289" s="3"/>
      <c r="C4289" s="3"/>
      <c r="D4289" s="3"/>
      <c r="E4289" s="3">
        <v>6</v>
      </c>
      <c r="F4289" s="4" t="str">
        <f>HYPERLINK("http://141.218.60.56/~jnz1568/getInfo.php?workbook=12_05.xlsx&amp;sheet=U0&amp;row=4289&amp;col=6&amp;number=3.5&amp;sourceID=14","3.5")</f>
        <v>3.5</v>
      </c>
      <c r="G4289" s="4" t="str">
        <f>HYPERLINK("http://141.218.60.56/~jnz1568/getInfo.php?workbook=12_05.xlsx&amp;sheet=U0&amp;row=4289&amp;col=7&amp;number=0.00129&amp;sourceID=14","0.00129")</f>
        <v>0.00129</v>
      </c>
    </row>
    <row r="4290" spans="1:7">
      <c r="A4290" s="3"/>
      <c r="B4290" s="3"/>
      <c r="C4290" s="3"/>
      <c r="D4290" s="3"/>
      <c r="E4290" s="3">
        <v>7</v>
      </c>
      <c r="F4290" s="4" t="str">
        <f>HYPERLINK("http://141.218.60.56/~jnz1568/getInfo.php?workbook=12_05.xlsx&amp;sheet=U0&amp;row=4290&amp;col=6&amp;number=3.6&amp;sourceID=14","3.6")</f>
        <v>3.6</v>
      </c>
      <c r="G4290" s="4" t="str">
        <f>HYPERLINK("http://141.218.60.56/~jnz1568/getInfo.php?workbook=12_05.xlsx&amp;sheet=U0&amp;row=4290&amp;col=7&amp;number=0.00129&amp;sourceID=14","0.00129")</f>
        <v>0.00129</v>
      </c>
    </row>
    <row r="4291" spans="1:7">
      <c r="A4291" s="3"/>
      <c r="B4291" s="3"/>
      <c r="C4291" s="3"/>
      <c r="D4291" s="3"/>
      <c r="E4291" s="3">
        <v>8</v>
      </c>
      <c r="F4291" s="4" t="str">
        <f>HYPERLINK("http://141.218.60.56/~jnz1568/getInfo.php?workbook=12_05.xlsx&amp;sheet=U0&amp;row=4291&amp;col=6&amp;number=3.7&amp;sourceID=14","3.7")</f>
        <v>3.7</v>
      </c>
      <c r="G4291" s="4" t="str">
        <f>HYPERLINK("http://141.218.60.56/~jnz1568/getInfo.php?workbook=12_05.xlsx&amp;sheet=U0&amp;row=4291&amp;col=7&amp;number=0.00129&amp;sourceID=14","0.00129")</f>
        <v>0.00129</v>
      </c>
    </row>
    <row r="4292" spans="1:7">
      <c r="A4292" s="3"/>
      <c r="B4292" s="3"/>
      <c r="C4292" s="3"/>
      <c r="D4292" s="3"/>
      <c r="E4292" s="3">
        <v>9</v>
      </c>
      <c r="F4292" s="4" t="str">
        <f>HYPERLINK("http://141.218.60.56/~jnz1568/getInfo.php?workbook=12_05.xlsx&amp;sheet=U0&amp;row=4292&amp;col=6&amp;number=3.8&amp;sourceID=14","3.8")</f>
        <v>3.8</v>
      </c>
      <c r="G4292" s="4" t="str">
        <f>HYPERLINK("http://141.218.60.56/~jnz1568/getInfo.php?workbook=12_05.xlsx&amp;sheet=U0&amp;row=4292&amp;col=7&amp;number=0.00128&amp;sourceID=14","0.00128")</f>
        <v>0.00128</v>
      </c>
    </row>
    <row r="4293" spans="1:7">
      <c r="A4293" s="3"/>
      <c r="B4293" s="3"/>
      <c r="C4293" s="3"/>
      <c r="D4293" s="3"/>
      <c r="E4293" s="3">
        <v>10</v>
      </c>
      <c r="F4293" s="4" t="str">
        <f>HYPERLINK("http://141.218.60.56/~jnz1568/getInfo.php?workbook=12_05.xlsx&amp;sheet=U0&amp;row=4293&amp;col=6&amp;number=3.9&amp;sourceID=14","3.9")</f>
        <v>3.9</v>
      </c>
      <c r="G4293" s="4" t="str">
        <f>HYPERLINK("http://141.218.60.56/~jnz1568/getInfo.php?workbook=12_05.xlsx&amp;sheet=U0&amp;row=4293&amp;col=7&amp;number=0.00128&amp;sourceID=14","0.00128")</f>
        <v>0.00128</v>
      </c>
    </row>
    <row r="4294" spans="1:7">
      <c r="A4294" s="3"/>
      <c r="B4294" s="3"/>
      <c r="C4294" s="3"/>
      <c r="D4294" s="3"/>
      <c r="E4294" s="3">
        <v>11</v>
      </c>
      <c r="F4294" s="4" t="str">
        <f>HYPERLINK("http://141.218.60.56/~jnz1568/getInfo.php?workbook=12_05.xlsx&amp;sheet=U0&amp;row=4294&amp;col=6&amp;number=4&amp;sourceID=14","4")</f>
        <v>4</v>
      </c>
      <c r="G4294" s="4" t="str">
        <f>HYPERLINK("http://141.218.60.56/~jnz1568/getInfo.php?workbook=12_05.xlsx&amp;sheet=U0&amp;row=4294&amp;col=7&amp;number=0.00128&amp;sourceID=14","0.00128")</f>
        <v>0.00128</v>
      </c>
    </row>
    <row r="4295" spans="1:7">
      <c r="A4295" s="3"/>
      <c r="B4295" s="3"/>
      <c r="C4295" s="3"/>
      <c r="D4295" s="3"/>
      <c r="E4295" s="3">
        <v>12</v>
      </c>
      <c r="F4295" s="4" t="str">
        <f>HYPERLINK("http://141.218.60.56/~jnz1568/getInfo.php?workbook=12_05.xlsx&amp;sheet=U0&amp;row=4295&amp;col=6&amp;number=4.1&amp;sourceID=14","4.1")</f>
        <v>4.1</v>
      </c>
      <c r="G4295" s="4" t="str">
        <f>HYPERLINK("http://141.218.60.56/~jnz1568/getInfo.php?workbook=12_05.xlsx&amp;sheet=U0&amp;row=4295&amp;col=7&amp;number=0.00128&amp;sourceID=14","0.00128")</f>
        <v>0.00128</v>
      </c>
    </row>
    <row r="4296" spans="1:7">
      <c r="A4296" s="3"/>
      <c r="B4296" s="3"/>
      <c r="C4296" s="3"/>
      <c r="D4296" s="3"/>
      <c r="E4296" s="3">
        <v>13</v>
      </c>
      <c r="F4296" s="4" t="str">
        <f>HYPERLINK("http://141.218.60.56/~jnz1568/getInfo.php?workbook=12_05.xlsx&amp;sheet=U0&amp;row=4296&amp;col=6&amp;number=4.2&amp;sourceID=14","4.2")</f>
        <v>4.2</v>
      </c>
      <c r="G4296" s="4" t="str">
        <f>HYPERLINK("http://141.218.60.56/~jnz1568/getInfo.php?workbook=12_05.xlsx&amp;sheet=U0&amp;row=4296&amp;col=7&amp;number=0.00127&amp;sourceID=14","0.00127")</f>
        <v>0.00127</v>
      </c>
    </row>
    <row r="4297" spans="1:7">
      <c r="A4297" s="3"/>
      <c r="B4297" s="3"/>
      <c r="C4297" s="3"/>
      <c r="D4297" s="3"/>
      <c r="E4297" s="3">
        <v>14</v>
      </c>
      <c r="F4297" s="4" t="str">
        <f>HYPERLINK("http://141.218.60.56/~jnz1568/getInfo.php?workbook=12_05.xlsx&amp;sheet=U0&amp;row=4297&amp;col=6&amp;number=4.3&amp;sourceID=14","4.3")</f>
        <v>4.3</v>
      </c>
      <c r="G4297" s="4" t="str">
        <f>HYPERLINK("http://141.218.60.56/~jnz1568/getInfo.php?workbook=12_05.xlsx&amp;sheet=U0&amp;row=4297&amp;col=7&amp;number=0.00127&amp;sourceID=14","0.00127")</f>
        <v>0.00127</v>
      </c>
    </row>
    <row r="4298" spans="1:7">
      <c r="A4298" s="3"/>
      <c r="B4298" s="3"/>
      <c r="C4298" s="3"/>
      <c r="D4298" s="3"/>
      <c r="E4298" s="3">
        <v>15</v>
      </c>
      <c r="F4298" s="4" t="str">
        <f>HYPERLINK("http://141.218.60.56/~jnz1568/getInfo.php?workbook=12_05.xlsx&amp;sheet=U0&amp;row=4298&amp;col=6&amp;number=4.4&amp;sourceID=14","4.4")</f>
        <v>4.4</v>
      </c>
      <c r="G4298" s="4" t="str">
        <f>HYPERLINK("http://141.218.60.56/~jnz1568/getInfo.php?workbook=12_05.xlsx&amp;sheet=U0&amp;row=4298&amp;col=7&amp;number=0.00126&amp;sourceID=14","0.00126")</f>
        <v>0.00126</v>
      </c>
    </row>
    <row r="4299" spans="1:7">
      <c r="A4299" s="3"/>
      <c r="B4299" s="3"/>
      <c r="C4299" s="3"/>
      <c r="D4299" s="3"/>
      <c r="E4299" s="3">
        <v>16</v>
      </c>
      <c r="F4299" s="4" t="str">
        <f>HYPERLINK("http://141.218.60.56/~jnz1568/getInfo.php?workbook=12_05.xlsx&amp;sheet=U0&amp;row=4299&amp;col=6&amp;number=4.5&amp;sourceID=14","4.5")</f>
        <v>4.5</v>
      </c>
      <c r="G4299" s="4" t="str">
        <f>HYPERLINK("http://141.218.60.56/~jnz1568/getInfo.php?workbook=12_05.xlsx&amp;sheet=U0&amp;row=4299&amp;col=7&amp;number=0.00126&amp;sourceID=14","0.00126")</f>
        <v>0.00126</v>
      </c>
    </row>
    <row r="4300" spans="1:7">
      <c r="A4300" s="3"/>
      <c r="B4300" s="3"/>
      <c r="C4300" s="3"/>
      <c r="D4300" s="3"/>
      <c r="E4300" s="3">
        <v>17</v>
      </c>
      <c r="F4300" s="4" t="str">
        <f>HYPERLINK("http://141.218.60.56/~jnz1568/getInfo.php?workbook=12_05.xlsx&amp;sheet=U0&amp;row=4300&amp;col=6&amp;number=4.6&amp;sourceID=14","4.6")</f>
        <v>4.6</v>
      </c>
      <c r="G4300" s="4" t="str">
        <f>HYPERLINK("http://141.218.60.56/~jnz1568/getInfo.php?workbook=12_05.xlsx&amp;sheet=U0&amp;row=4300&amp;col=7&amp;number=0.00125&amp;sourceID=14","0.00125")</f>
        <v>0.00125</v>
      </c>
    </row>
    <row r="4301" spans="1:7">
      <c r="A4301" s="3"/>
      <c r="B4301" s="3"/>
      <c r="C4301" s="3"/>
      <c r="D4301" s="3"/>
      <c r="E4301" s="3">
        <v>18</v>
      </c>
      <c r="F4301" s="4" t="str">
        <f>HYPERLINK("http://141.218.60.56/~jnz1568/getInfo.php?workbook=12_05.xlsx&amp;sheet=U0&amp;row=4301&amp;col=6&amp;number=4.7&amp;sourceID=14","4.7")</f>
        <v>4.7</v>
      </c>
      <c r="G4301" s="4" t="str">
        <f>HYPERLINK("http://141.218.60.56/~jnz1568/getInfo.php?workbook=12_05.xlsx&amp;sheet=U0&amp;row=4301&amp;col=7&amp;number=0.00123&amp;sourceID=14","0.00123")</f>
        <v>0.00123</v>
      </c>
    </row>
    <row r="4302" spans="1:7">
      <c r="A4302" s="3"/>
      <c r="B4302" s="3"/>
      <c r="C4302" s="3"/>
      <c r="D4302" s="3"/>
      <c r="E4302" s="3">
        <v>19</v>
      </c>
      <c r="F4302" s="4" t="str">
        <f>HYPERLINK("http://141.218.60.56/~jnz1568/getInfo.php?workbook=12_05.xlsx&amp;sheet=U0&amp;row=4302&amp;col=6&amp;number=4.8&amp;sourceID=14","4.8")</f>
        <v>4.8</v>
      </c>
      <c r="G4302" s="4" t="str">
        <f>HYPERLINK("http://141.218.60.56/~jnz1568/getInfo.php?workbook=12_05.xlsx&amp;sheet=U0&amp;row=4302&amp;col=7&amp;number=0.00122&amp;sourceID=14","0.00122")</f>
        <v>0.00122</v>
      </c>
    </row>
    <row r="4303" spans="1:7">
      <c r="A4303" s="3"/>
      <c r="B4303" s="3"/>
      <c r="C4303" s="3"/>
      <c r="D4303" s="3"/>
      <c r="E4303" s="3">
        <v>20</v>
      </c>
      <c r="F4303" s="4" t="str">
        <f>HYPERLINK("http://141.218.60.56/~jnz1568/getInfo.php?workbook=12_05.xlsx&amp;sheet=U0&amp;row=4303&amp;col=6&amp;number=4.9&amp;sourceID=14","4.9")</f>
        <v>4.9</v>
      </c>
      <c r="G4303" s="4" t="str">
        <f>HYPERLINK("http://141.218.60.56/~jnz1568/getInfo.php?workbook=12_05.xlsx&amp;sheet=U0&amp;row=4303&amp;col=7&amp;number=0.0012&amp;sourceID=14","0.0012")</f>
        <v>0.0012</v>
      </c>
    </row>
    <row r="4304" spans="1:7">
      <c r="A4304" s="3">
        <v>12</v>
      </c>
      <c r="B4304" s="3">
        <v>5</v>
      </c>
      <c r="C4304" s="3">
        <v>2</v>
      </c>
      <c r="D4304" s="3">
        <v>68</v>
      </c>
      <c r="E4304" s="3">
        <v>1</v>
      </c>
      <c r="F4304" s="4" t="str">
        <f>HYPERLINK("http://141.218.60.56/~jnz1568/getInfo.php?workbook=12_05.xlsx&amp;sheet=U0&amp;row=4304&amp;col=6&amp;number=3&amp;sourceID=14","3")</f>
        <v>3</v>
      </c>
      <c r="G4304" s="4" t="str">
        <f>HYPERLINK("http://141.218.60.56/~jnz1568/getInfo.php?workbook=12_05.xlsx&amp;sheet=U0&amp;row=4304&amp;col=7&amp;number=0.000674&amp;sourceID=14","0.000674")</f>
        <v>0.000674</v>
      </c>
    </row>
    <row r="4305" spans="1:7">
      <c r="A4305" s="3"/>
      <c r="B4305" s="3"/>
      <c r="C4305" s="3"/>
      <c r="D4305" s="3"/>
      <c r="E4305" s="3">
        <v>2</v>
      </c>
      <c r="F4305" s="4" t="str">
        <f>HYPERLINK("http://141.218.60.56/~jnz1568/getInfo.php?workbook=12_05.xlsx&amp;sheet=U0&amp;row=4305&amp;col=6&amp;number=3.1&amp;sourceID=14","3.1")</f>
        <v>3.1</v>
      </c>
      <c r="G4305" s="4" t="str">
        <f>HYPERLINK("http://141.218.60.56/~jnz1568/getInfo.php?workbook=12_05.xlsx&amp;sheet=U0&amp;row=4305&amp;col=7&amp;number=0.000674&amp;sourceID=14","0.000674")</f>
        <v>0.000674</v>
      </c>
    </row>
    <row r="4306" spans="1:7">
      <c r="A4306" s="3"/>
      <c r="B4306" s="3"/>
      <c r="C4306" s="3"/>
      <c r="D4306" s="3"/>
      <c r="E4306" s="3">
        <v>3</v>
      </c>
      <c r="F4306" s="4" t="str">
        <f>HYPERLINK("http://141.218.60.56/~jnz1568/getInfo.php?workbook=12_05.xlsx&amp;sheet=U0&amp;row=4306&amp;col=6&amp;number=3.2&amp;sourceID=14","3.2")</f>
        <v>3.2</v>
      </c>
      <c r="G4306" s="4" t="str">
        <f>HYPERLINK("http://141.218.60.56/~jnz1568/getInfo.php?workbook=12_05.xlsx&amp;sheet=U0&amp;row=4306&amp;col=7&amp;number=0.000674&amp;sourceID=14","0.000674")</f>
        <v>0.000674</v>
      </c>
    </row>
    <row r="4307" spans="1:7">
      <c r="A4307" s="3"/>
      <c r="B4307" s="3"/>
      <c r="C4307" s="3"/>
      <c r="D4307" s="3"/>
      <c r="E4307" s="3">
        <v>4</v>
      </c>
      <c r="F4307" s="4" t="str">
        <f>HYPERLINK("http://141.218.60.56/~jnz1568/getInfo.php?workbook=12_05.xlsx&amp;sheet=U0&amp;row=4307&amp;col=6&amp;number=3.3&amp;sourceID=14","3.3")</f>
        <v>3.3</v>
      </c>
      <c r="G4307" s="4" t="str">
        <f>HYPERLINK("http://141.218.60.56/~jnz1568/getInfo.php?workbook=12_05.xlsx&amp;sheet=U0&amp;row=4307&amp;col=7&amp;number=0.000673&amp;sourceID=14","0.000673")</f>
        <v>0.000673</v>
      </c>
    </row>
    <row r="4308" spans="1:7">
      <c r="A4308" s="3"/>
      <c r="B4308" s="3"/>
      <c r="C4308" s="3"/>
      <c r="D4308" s="3"/>
      <c r="E4308" s="3">
        <v>5</v>
      </c>
      <c r="F4308" s="4" t="str">
        <f>HYPERLINK("http://141.218.60.56/~jnz1568/getInfo.php?workbook=12_05.xlsx&amp;sheet=U0&amp;row=4308&amp;col=6&amp;number=3.4&amp;sourceID=14","3.4")</f>
        <v>3.4</v>
      </c>
      <c r="G4308" s="4" t="str">
        <f>HYPERLINK("http://141.218.60.56/~jnz1568/getInfo.php?workbook=12_05.xlsx&amp;sheet=U0&amp;row=4308&amp;col=7&amp;number=0.000673&amp;sourceID=14","0.000673")</f>
        <v>0.000673</v>
      </c>
    </row>
    <row r="4309" spans="1:7">
      <c r="A4309" s="3"/>
      <c r="B4309" s="3"/>
      <c r="C4309" s="3"/>
      <c r="D4309" s="3"/>
      <c r="E4309" s="3">
        <v>6</v>
      </c>
      <c r="F4309" s="4" t="str">
        <f>HYPERLINK("http://141.218.60.56/~jnz1568/getInfo.php?workbook=12_05.xlsx&amp;sheet=U0&amp;row=4309&amp;col=6&amp;number=3.5&amp;sourceID=14","3.5")</f>
        <v>3.5</v>
      </c>
      <c r="G4309" s="4" t="str">
        <f>HYPERLINK("http://141.218.60.56/~jnz1568/getInfo.php?workbook=12_05.xlsx&amp;sheet=U0&amp;row=4309&amp;col=7&amp;number=0.000673&amp;sourceID=14","0.000673")</f>
        <v>0.000673</v>
      </c>
    </row>
    <row r="4310" spans="1:7">
      <c r="A4310" s="3"/>
      <c r="B4310" s="3"/>
      <c r="C4310" s="3"/>
      <c r="D4310" s="3"/>
      <c r="E4310" s="3">
        <v>7</v>
      </c>
      <c r="F4310" s="4" t="str">
        <f>HYPERLINK("http://141.218.60.56/~jnz1568/getInfo.php?workbook=12_05.xlsx&amp;sheet=U0&amp;row=4310&amp;col=6&amp;number=3.6&amp;sourceID=14","3.6")</f>
        <v>3.6</v>
      </c>
      <c r="G4310" s="4" t="str">
        <f>HYPERLINK("http://141.218.60.56/~jnz1568/getInfo.php?workbook=12_05.xlsx&amp;sheet=U0&amp;row=4310&amp;col=7&amp;number=0.000672&amp;sourceID=14","0.000672")</f>
        <v>0.000672</v>
      </c>
    </row>
    <row r="4311" spans="1:7">
      <c r="A4311" s="3"/>
      <c r="B4311" s="3"/>
      <c r="C4311" s="3"/>
      <c r="D4311" s="3"/>
      <c r="E4311" s="3">
        <v>8</v>
      </c>
      <c r="F4311" s="4" t="str">
        <f>HYPERLINK("http://141.218.60.56/~jnz1568/getInfo.php?workbook=12_05.xlsx&amp;sheet=U0&amp;row=4311&amp;col=6&amp;number=3.7&amp;sourceID=14","3.7")</f>
        <v>3.7</v>
      </c>
      <c r="G4311" s="4" t="str">
        <f>HYPERLINK("http://141.218.60.56/~jnz1568/getInfo.php?workbook=12_05.xlsx&amp;sheet=U0&amp;row=4311&amp;col=7&amp;number=0.000671&amp;sourceID=14","0.000671")</f>
        <v>0.000671</v>
      </c>
    </row>
    <row r="4312" spans="1:7">
      <c r="A4312" s="3"/>
      <c r="B4312" s="3"/>
      <c r="C4312" s="3"/>
      <c r="D4312" s="3"/>
      <c r="E4312" s="3">
        <v>9</v>
      </c>
      <c r="F4312" s="4" t="str">
        <f>HYPERLINK("http://141.218.60.56/~jnz1568/getInfo.php?workbook=12_05.xlsx&amp;sheet=U0&amp;row=4312&amp;col=6&amp;number=3.8&amp;sourceID=14","3.8")</f>
        <v>3.8</v>
      </c>
      <c r="G4312" s="4" t="str">
        <f>HYPERLINK("http://141.218.60.56/~jnz1568/getInfo.php?workbook=12_05.xlsx&amp;sheet=U0&amp;row=4312&amp;col=7&amp;number=0.000671&amp;sourceID=14","0.000671")</f>
        <v>0.000671</v>
      </c>
    </row>
    <row r="4313" spans="1:7">
      <c r="A4313" s="3"/>
      <c r="B4313" s="3"/>
      <c r="C4313" s="3"/>
      <c r="D4313" s="3"/>
      <c r="E4313" s="3">
        <v>10</v>
      </c>
      <c r="F4313" s="4" t="str">
        <f>HYPERLINK("http://141.218.60.56/~jnz1568/getInfo.php?workbook=12_05.xlsx&amp;sheet=U0&amp;row=4313&amp;col=6&amp;number=3.9&amp;sourceID=14","3.9")</f>
        <v>3.9</v>
      </c>
      <c r="G4313" s="4" t="str">
        <f>HYPERLINK("http://141.218.60.56/~jnz1568/getInfo.php?workbook=12_05.xlsx&amp;sheet=U0&amp;row=4313&amp;col=7&amp;number=0.000669&amp;sourceID=14","0.000669")</f>
        <v>0.000669</v>
      </c>
    </row>
    <row r="4314" spans="1:7">
      <c r="A4314" s="3"/>
      <c r="B4314" s="3"/>
      <c r="C4314" s="3"/>
      <c r="D4314" s="3"/>
      <c r="E4314" s="3">
        <v>11</v>
      </c>
      <c r="F4314" s="4" t="str">
        <f>HYPERLINK("http://141.218.60.56/~jnz1568/getInfo.php?workbook=12_05.xlsx&amp;sheet=U0&amp;row=4314&amp;col=6&amp;number=4&amp;sourceID=14","4")</f>
        <v>4</v>
      </c>
      <c r="G4314" s="4" t="str">
        <f>HYPERLINK("http://141.218.60.56/~jnz1568/getInfo.php?workbook=12_05.xlsx&amp;sheet=U0&amp;row=4314&amp;col=7&amp;number=0.000668&amp;sourceID=14","0.000668")</f>
        <v>0.000668</v>
      </c>
    </row>
    <row r="4315" spans="1:7">
      <c r="A4315" s="3"/>
      <c r="B4315" s="3"/>
      <c r="C4315" s="3"/>
      <c r="D4315" s="3"/>
      <c r="E4315" s="3">
        <v>12</v>
      </c>
      <c r="F4315" s="4" t="str">
        <f>HYPERLINK("http://141.218.60.56/~jnz1568/getInfo.php?workbook=12_05.xlsx&amp;sheet=U0&amp;row=4315&amp;col=6&amp;number=4.1&amp;sourceID=14","4.1")</f>
        <v>4.1</v>
      </c>
      <c r="G4315" s="4" t="str">
        <f>HYPERLINK("http://141.218.60.56/~jnz1568/getInfo.php?workbook=12_05.xlsx&amp;sheet=U0&amp;row=4315&amp;col=7&amp;number=0.000666&amp;sourceID=14","0.000666")</f>
        <v>0.000666</v>
      </c>
    </row>
    <row r="4316" spans="1:7">
      <c r="A4316" s="3"/>
      <c r="B4316" s="3"/>
      <c r="C4316" s="3"/>
      <c r="D4316" s="3"/>
      <c r="E4316" s="3">
        <v>13</v>
      </c>
      <c r="F4316" s="4" t="str">
        <f>HYPERLINK("http://141.218.60.56/~jnz1568/getInfo.php?workbook=12_05.xlsx&amp;sheet=U0&amp;row=4316&amp;col=6&amp;number=4.2&amp;sourceID=14","4.2")</f>
        <v>4.2</v>
      </c>
      <c r="G4316" s="4" t="str">
        <f>HYPERLINK("http://141.218.60.56/~jnz1568/getInfo.php?workbook=12_05.xlsx&amp;sheet=U0&amp;row=4316&amp;col=7&amp;number=0.000664&amp;sourceID=14","0.000664")</f>
        <v>0.000664</v>
      </c>
    </row>
    <row r="4317" spans="1:7">
      <c r="A4317" s="3"/>
      <c r="B4317" s="3"/>
      <c r="C4317" s="3"/>
      <c r="D4317" s="3"/>
      <c r="E4317" s="3">
        <v>14</v>
      </c>
      <c r="F4317" s="4" t="str">
        <f>HYPERLINK("http://141.218.60.56/~jnz1568/getInfo.php?workbook=12_05.xlsx&amp;sheet=U0&amp;row=4317&amp;col=6&amp;number=4.3&amp;sourceID=14","4.3")</f>
        <v>4.3</v>
      </c>
      <c r="G4317" s="4" t="str">
        <f>HYPERLINK("http://141.218.60.56/~jnz1568/getInfo.php?workbook=12_05.xlsx&amp;sheet=U0&amp;row=4317&amp;col=7&amp;number=0.000662&amp;sourceID=14","0.000662")</f>
        <v>0.000662</v>
      </c>
    </row>
    <row r="4318" spans="1:7">
      <c r="A4318" s="3"/>
      <c r="B4318" s="3"/>
      <c r="C4318" s="3"/>
      <c r="D4318" s="3"/>
      <c r="E4318" s="3">
        <v>15</v>
      </c>
      <c r="F4318" s="4" t="str">
        <f>HYPERLINK("http://141.218.60.56/~jnz1568/getInfo.php?workbook=12_05.xlsx&amp;sheet=U0&amp;row=4318&amp;col=6&amp;number=4.4&amp;sourceID=14","4.4")</f>
        <v>4.4</v>
      </c>
      <c r="G4318" s="4" t="str">
        <f>HYPERLINK("http://141.218.60.56/~jnz1568/getInfo.php?workbook=12_05.xlsx&amp;sheet=U0&amp;row=4318&amp;col=7&amp;number=0.000658&amp;sourceID=14","0.000658")</f>
        <v>0.000658</v>
      </c>
    </row>
    <row r="4319" spans="1:7">
      <c r="A4319" s="3"/>
      <c r="B4319" s="3"/>
      <c r="C4319" s="3"/>
      <c r="D4319" s="3"/>
      <c r="E4319" s="3">
        <v>16</v>
      </c>
      <c r="F4319" s="4" t="str">
        <f>HYPERLINK("http://141.218.60.56/~jnz1568/getInfo.php?workbook=12_05.xlsx&amp;sheet=U0&amp;row=4319&amp;col=6&amp;number=4.5&amp;sourceID=14","4.5")</f>
        <v>4.5</v>
      </c>
      <c r="G4319" s="4" t="str">
        <f>HYPERLINK("http://141.218.60.56/~jnz1568/getInfo.php?workbook=12_05.xlsx&amp;sheet=U0&amp;row=4319&amp;col=7&amp;number=0.000654&amp;sourceID=14","0.000654")</f>
        <v>0.000654</v>
      </c>
    </row>
    <row r="4320" spans="1:7">
      <c r="A4320" s="3"/>
      <c r="B4320" s="3"/>
      <c r="C4320" s="3"/>
      <c r="D4320" s="3"/>
      <c r="E4320" s="3">
        <v>17</v>
      </c>
      <c r="F4320" s="4" t="str">
        <f>HYPERLINK("http://141.218.60.56/~jnz1568/getInfo.php?workbook=12_05.xlsx&amp;sheet=U0&amp;row=4320&amp;col=6&amp;number=4.6&amp;sourceID=14","4.6")</f>
        <v>4.6</v>
      </c>
      <c r="G4320" s="4" t="str">
        <f>HYPERLINK("http://141.218.60.56/~jnz1568/getInfo.php?workbook=12_05.xlsx&amp;sheet=U0&amp;row=4320&amp;col=7&amp;number=0.000649&amp;sourceID=14","0.000649")</f>
        <v>0.000649</v>
      </c>
    </row>
    <row r="4321" spans="1:7">
      <c r="A4321" s="3"/>
      <c r="B4321" s="3"/>
      <c r="C4321" s="3"/>
      <c r="D4321" s="3"/>
      <c r="E4321" s="3">
        <v>18</v>
      </c>
      <c r="F4321" s="4" t="str">
        <f>HYPERLINK("http://141.218.60.56/~jnz1568/getInfo.php?workbook=12_05.xlsx&amp;sheet=U0&amp;row=4321&amp;col=6&amp;number=4.7&amp;sourceID=14","4.7")</f>
        <v>4.7</v>
      </c>
      <c r="G4321" s="4" t="str">
        <f>HYPERLINK("http://141.218.60.56/~jnz1568/getInfo.php?workbook=12_05.xlsx&amp;sheet=U0&amp;row=4321&amp;col=7&amp;number=0.000643&amp;sourceID=14","0.000643")</f>
        <v>0.000643</v>
      </c>
    </row>
    <row r="4322" spans="1:7">
      <c r="A4322" s="3"/>
      <c r="B4322" s="3"/>
      <c r="C4322" s="3"/>
      <c r="D4322" s="3"/>
      <c r="E4322" s="3">
        <v>19</v>
      </c>
      <c r="F4322" s="4" t="str">
        <f>HYPERLINK("http://141.218.60.56/~jnz1568/getInfo.php?workbook=12_05.xlsx&amp;sheet=U0&amp;row=4322&amp;col=6&amp;number=4.8&amp;sourceID=14","4.8")</f>
        <v>4.8</v>
      </c>
      <c r="G4322" s="4" t="str">
        <f>HYPERLINK("http://141.218.60.56/~jnz1568/getInfo.php?workbook=12_05.xlsx&amp;sheet=U0&amp;row=4322&amp;col=7&amp;number=0.000635&amp;sourceID=14","0.000635")</f>
        <v>0.000635</v>
      </c>
    </row>
    <row r="4323" spans="1:7">
      <c r="A4323" s="3"/>
      <c r="B4323" s="3"/>
      <c r="C4323" s="3"/>
      <c r="D4323" s="3"/>
      <c r="E4323" s="3">
        <v>20</v>
      </c>
      <c r="F4323" s="4" t="str">
        <f>HYPERLINK("http://141.218.60.56/~jnz1568/getInfo.php?workbook=12_05.xlsx&amp;sheet=U0&amp;row=4323&amp;col=6&amp;number=4.9&amp;sourceID=14","4.9")</f>
        <v>4.9</v>
      </c>
      <c r="G4323" s="4" t="str">
        <f>HYPERLINK("http://141.218.60.56/~jnz1568/getInfo.php?workbook=12_05.xlsx&amp;sheet=U0&amp;row=4323&amp;col=7&amp;number=0.000626&amp;sourceID=14","0.000626")</f>
        <v>0.000626</v>
      </c>
    </row>
    <row r="4324" spans="1:7">
      <c r="A4324" s="3">
        <v>12</v>
      </c>
      <c r="B4324" s="3">
        <v>5</v>
      </c>
      <c r="C4324" s="3">
        <v>2</v>
      </c>
      <c r="D4324" s="3">
        <v>69</v>
      </c>
      <c r="E4324" s="3">
        <v>1</v>
      </c>
      <c r="F4324" s="4" t="str">
        <f>HYPERLINK("http://141.218.60.56/~jnz1568/getInfo.php?workbook=12_05.xlsx&amp;sheet=U0&amp;row=4324&amp;col=6&amp;number=3&amp;sourceID=14","3")</f>
        <v>3</v>
      </c>
      <c r="G4324" s="4" t="str">
        <f>HYPERLINK("http://141.218.60.56/~jnz1568/getInfo.php?workbook=12_05.xlsx&amp;sheet=U0&amp;row=4324&amp;col=7&amp;number=0.000726&amp;sourceID=14","0.000726")</f>
        <v>0.000726</v>
      </c>
    </row>
    <row r="4325" spans="1:7">
      <c r="A4325" s="3"/>
      <c r="B4325" s="3"/>
      <c r="C4325" s="3"/>
      <c r="D4325" s="3"/>
      <c r="E4325" s="3">
        <v>2</v>
      </c>
      <c r="F4325" s="4" t="str">
        <f>HYPERLINK("http://141.218.60.56/~jnz1568/getInfo.php?workbook=12_05.xlsx&amp;sheet=U0&amp;row=4325&amp;col=6&amp;number=3.1&amp;sourceID=14","3.1")</f>
        <v>3.1</v>
      </c>
      <c r="G4325" s="4" t="str">
        <f>HYPERLINK("http://141.218.60.56/~jnz1568/getInfo.php?workbook=12_05.xlsx&amp;sheet=U0&amp;row=4325&amp;col=7&amp;number=0.000726&amp;sourceID=14","0.000726")</f>
        <v>0.000726</v>
      </c>
    </row>
    <row r="4326" spans="1:7">
      <c r="A4326" s="3"/>
      <c r="B4326" s="3"/>
      <c r="C4326" s="3"/>
      <c r="D4326" s="3"/>
      <c r="E4326" s="3">
        <v>3</v>
      </c>
      <c r="F4326" s="4" t="str">
        <f>HYPERLINK("http://141.218.60.56/~jnz1568/getInfo.php?workbook=12_05.xlsx&amp;sheet=U0&amp;row=4326&amp;col=6&amp;number=3.2&amp;sourceID=14","3.2")</f>
        <v>3.2</v>
      </c>
      <c r="G4326" s="4" t="str">
        <f>HYPERLINK("http://141.218.60.56/~jnz1568/getInfo.php?workbook=12_05.xlsx&amp;sheet=U0&amp;row=4326&amp;col=7&amp;number=0.000725&amp;sourceID=14","0.000725")</f>
        <v>0.000725</v>
      </c>
    </row>
    <row r="4327" spans="1:7">
      <c r="A4327" s="3"/>
      <c r="B4327" s="3"/>
      <c r="C4327" s="3"/>
      <c r="D4327" s="3"/>
      <c r="E4327" s="3">
        <v>4</v>
      </c>
      <c r="F4327" s="4" t="str">
        <f>HYPERLINK("http://141.218.60.56/~jnz1568/getInfo.php?workbook=12_05.xlsx&amp;sheet=U0&amp;row=4327&amp;col=6&amp;number=3.3&amp;sourceID=14","3.3")</f>
        <v>3.3</v>
      </c>
      <c r="G4327" s="4" t="str">
        <f>HYPERLINK("http://141.218.60.56/~jnz1568/getInfo.php?workbook=12_05.xlsx&amp;sheet=U0&amp;row=4327&amp;col=7&amp;number=0.000725&amp;sourceID=14","0.000725")</f>
        <v>0.000725</v>
      </c>
    </row>
    <row r="4328" spans="1:7">
      <c r="A4328" s="3"/>
      <c r="B4328" s="3"/>
      <c r="C4328" s="3"/>
      <c r="D4328" s="3"/>
      <c r="E4328" s="3">
        <v>5</v>
      </c>
      <c r="F4328" s="4" t="str">
        <f>HYPERLINK("http://141.218.60.56/~jnz1568/getInfo.php?workbook=12_05.xlsx&amp;sheet=U0&amp;row=4328&amp;col=6&amp;number=3.4&amp;sourceID=14","3.4")</f>
        <v>3.4</v>
      </c>
      <c r="G4328" s="4" t="str">
        <f>HYPERLINK("http://141.218.60.56/~jnz1568/getInfo.php?workbook=12_05.xlsx&amp;sheet=U0&amp;row=4328&amp;col=7&amp;number=0.000725&amp;sourceID=14","0.000725")</f>
        <v>0.000725</v>
      </c>
    </row>
    <row r="4329" spans="1:7">
      <c r="A4329" s="3"/>
      <c r="B4329" s="3"/>
      <c r="C4329" s="3"/>
      <c r="D4329" s="3"/>
      <c r="E4329" s="3">
        <v>6</v>
      </c>
      <c r="F4329" s="4" t="str">
        <f>HYPERLINK("http://141.218.60.56/~jnz1568/getInfo.php?workbook=12_05.xlsx&amp;sheet=U0&amp;row=4329&amp;col=6&amp;number=3.5&amp;sourceID=14","3.5")</f>
        <v>3.5</v>
      </c>
      <c r="G4329" s="4" t="str">
        <f>HYPERLINK("http://141.218.60.56/~jnz1568/getInfo.php?workbook=12_05.xlsx&amp;sheet=U0&amp;row=4329&amp;col=7&amp;number=0.000724&amp;sourceID=14","0.000724")</f>
        <v>0.000724</v>
      </c>
    </row>
    <row r="4330" spans="1:7">
      <c r="A4330" s="3"/>
      <c r="B4330" s="3"/>
      <c r="C4330" s="3"/>
      <c r="D4330" s="3"/>
      <c r="E4330" s="3">
        <v>7</v>
      </c>
      <c r="F4330" s="4" t="str">
        <f>HYPERLINK("http://141.218.60.56/~jnz1568/getInfo.php?workbook=12_05.xlsx&amp;sheet=U0&amp;row=4330&amp;col=6&amp;number=3.6&amp;sourceID=14","3.6")</f>
        <v>3.6</v>
      </c>
      <c r="G4330" s="4" t="str">
        <f>HYPERLINK("http://141.218.60.56/~jnz1568/getInfo.php?workbook=12_05.xlsx&amp;sheet=U0&amp;row=4330&amp;col=7&amp;number=0.000724&amp;sourceID=14","0.000724")</f>
        <v>0.000724</v>
      </c>
    </row>
    <row r="4331" spans="1:7">
      <c r="A4331" s="3"/>
      <c r="B4331" s="3"/>
      <c r="C4331" s="3"/>
      <c r="D4331" s="3"/>
      <c r="E4331" s="3">
        <v>8</v>
      </c>
      <c r="F4331" s="4" t="str">
        <f>HYPERLINK("http://141.218.60.56/~jnz1568/getInfo.php?workbook=12_05.xlsx&amp;sheet=U0&amp;row=4331&amp;col=6&amp;number=3.7&amp;sourceID=14","3.7")</f>
        <v>3.7</v>
      </c>
      <c r="G4331" s="4" t="str">
        <f>HYPERLINK("http://141.218.60.56/~jnz1568/getInfo.php?workbook=12_05.xlsx&amp;sheet=U0&amp;row=4331&amp;col=7&amp;number=0.000723&amp;sourceID=14","0.000723")</f>
        <v>0.000723</v>
      </c>
    </row>
    <row r="4332" spans="1:7">
      <c r="A4332" s="3"/>
      <c r="B4332" s="3"/>
      <c r="C4332" s="3"/>
      <c r="D4332" s="3"/>
      <c r="E4332" s="3">
        <v>9</v>
      </c>
      <c r="F4332" s="4" t="str">
        <f>HYPERLINK("http://141.218.60.56/~jnz1568/getInfo.php?workbook=12_05.xlsx&amp;sheet=U0&amp;row=4332&amp;col=6&amp;number=3.8&amp;sourceID=14","3.8")</f>
        <v>3.8</v>
      </c>
      <c r="G4332" s="4" t="str">
        <f>HYPERLINK("http://141.218.60.56/~jnz1568/getInfo.php?workbook=12_05.xlsx&amp;sheet=U0&amp;row=4332&amp;col=7&amp;number=0.000722&amp;sourceID=14","0.000722")</f>
        <v>0.000722</v>
      </c>
    </row>
    <row r="4333" spans="1:7">
      <c r="A4333" s="3"/>
      <c r="B4333" s="3"/>
      <c r="C4333" s="3"/>
      <c r="D4333" s="3"/>
      <c r="E4333" s="3">
        <v>10</v>
      </c>
      <c r="F4333" s="4" t="str">
        <f>HYPERLINK("http://141.218.60.56/~jnz1568/getInfo.php?workbook=12_05.xlsx&amp;sheet=U0&amp;row=4333&amp;col=6&amp;number=3.9&amp;sourceID=14","3.9")</f>
        <v>3.9</v>
      </c>
      <c r="G4333" s="4" t="str">
        <f>HYPERLINK("http://141.218.60.56/~jnz1568/getInfo.php?workbook=12_05.xlsx&amp;sheet=U0&amp;row=4333&amp;col=7&amp;number=0.000721&amp;sourceID=14","0.000721")</f>
        <v>0.000721</v>
      </c>
    </row>
    <row r="4334" spans="1:7">
      <c r="A4334" s="3"/>
      <c r="B4334" s="3"/>
      <c r="C4334" s="3"/>
      <c r="D4334" s="3"/>
      <c r="E4334" s="3">
        <v>11</v>
      </c>
      <c r="F4334" s="4" t="str">
        <f>HYPERLINK("http://141.218.60.56/~jnz1568/getInfo.php?workbook=12_05.xlsx&amp;sheet=U0&amp;row=4334&amp;col=6&amp;number=4&amp;sourceID=14","4")</f>
        <v>4</v>
      </c>
      <c r="G4334" s="4" t="str">
        <f>HYPERLINK("http://141.218.60.56/~jnz1568/getInfo.php?workbook=12_05.xlsx&amp;sheet=U0&amp;row=4334&amp;col=7&amp;number=0.000719&amp;sourceID=14","0.000719")</f>
        <v>0.000719</v>
      </c>
    </row>
    <row r="4335" spans="1:7">
      <c r="A4335" s="3"/>
      <c r="B4335" s="3"/>
      <c r="C4335" s="3"/>
      <c r="D4335" s="3"/>
      <c r="E4335" s="3">
        <v>12</v>
      </c>
      <c r="F4335" s="4" t="str">
        <f>HYPERLINK("http://141.218.60.56/~jnz1568/getInfo.php?workbook=12_05.xlsx&amp;sheet=U0&amp;row=4335&amp;col=6&amp;number=4.1&amp;sourceID=14","4.1")</f>
        <v>4.1</v>
      </c>
      <c r="G4335" s="4" t="str">
        <f>HYPERLINK("http://141.218.60.56/~jnz1568/getInfo.php?workbook=12_05.xlsx&amp;sheet=U0&amp;row=4335&amp;col=7&amp;number=0.000717&amp;sourceID=14","0.000717")</f>
        <v>0.000717</v>
      </c>
    </row>
    <row r="4336" spans="1:7">
      <c r="A4336" s="3"/>
      <c r="B4336" s="3"/>
      <c r="C4336" s="3"/>
      <c r="D4336" s="3"/>
      <c r="E4336" s="3">
        <v>13</v>
      </c>
      <c r="F4336" s="4" t="str">
        <f>HYPERLINK("http://141.218.60.56/~jnz1568/getInfo.php?workbook=12_05.xlsx&amp;sheet=U0&amp;row=4336&amp;col=6&amp;number=4.2&amp;sourceID=14","4.2")</f>
        <v>4.2</v>
      </c>
      <c r="G4336" s="4" t="str">
        <f>HYPERLINK("http://141.218.60.56/~jnz1568/getInfo.php?workbook=12_05.xlsx&amp;sheet=U0&amp;row=4336&amp;col=7&amp;number=0.000715&amp;sourceID=14","0.000715")</f>
        <v>0.000715</v>
      </c>
    </row>
    <row r="4337" spans="1:7">
      <c r="A4337" s="3"/>
      <c r="B4337" s="3"/>
      <c r="C4337" s="3"/>
      <c r="D4337" s="3"/>
      <c r="E4337" s="3">
        <v>14</v>
      </c>
      <c r="F4337" s="4" t="str">
        <f>HYPERLINK("http://141.218.60.56/~jnz1568/getInfo.php?workbook=12_05.xlsx&amp;sheet=U0&amp;row=4337&amp;col=6&amp;number=4.3&amp;sourceID=14","4.3")</f>
        <v>4.3</v>
      </c>
      <c r="G4337" s="4" t="str">
        <f>HYPERLINK("http://141.218.60.56/~jnz1568/getInfo.php?workbook=12_05.xlsx&amp;sheet=U0&amp;row=4337&amp;col=7&amp;number=0.000712&amp;sourceID=14","0.000712")</f>
        <v>0.000712</v>
      </c>
    </row>
    <row r="4338" spans="1:7">
      <c r="A4338" s="3"/>
      <c r="B4338" s="3"/>
      <c r="C4338" s="3"/>
      <c r="D4338" s="3"/>
      <c r="E4338" s="3">
        <v>15</v>
      </c>
      <c r="F4338" s="4" t="str">
        <f>HYPERLINK("http://141.218.60.56/~jnz1568/getInfo.php?workbook=12_05.xlsx&amp;sheet=U0&amp;row=4338&amp;col=6&amp;number=4.4&amp;sourceID=14","4.4")</f>
        <v>4.4</v>
      </c>
      <c r="G4338" s="4" t="str">
        <f>HYPERLINK("http://141.218.60.56/~jnz1568/getInfo.php?workbook=12_05.xlsx&amp;sheet=U0&amp;row=4338&amp;col=7&amp;number=0.000709&amp;sourceID=14","0.000709")</f>
        <v>0.000709</v>
      </c>
    </row>
    <row r="4339" spans="1:7">
      <c r="A4339" s="3"/>
      <c r="B4339" s="3"/>
      <c r="C4339" s="3"/>
      <c r="D4339" s="3"/>
      <c r="E4339" s="3">
        <v>16</v>
      </c>
      <c r="F4339" s="4" t="str">
        <f>HYPERLINK("http://141.218.60.56/~jnz1568/getInfo.php?workbook=12_05.xlsx&amp;sheet=U0&amp;row=4339&amp;col=6&amp;number=4.5&amp;sourceID=14","4.5")</f>
        <v>4.5</v>
      </c>
      <c r="G4339" s="4" t="str">
        <f>HYPERLINK("http://141.218.60.56/~jnz1568/getInfo.php?workbook=12_05.xlsx&amp;sheet=U0&amp;row=4339&amp;col=7&amp;number=0.000704&amp;sourceID=14","0.000704")</f>
        <v>0.000704</v>
      </c>
    </row>
    <row r="4340" spans="1:7">
      <c r="A4340" s="3"/>
      <c r="B4340" s="3"/>
      <c r="C4340" s="3"/>
      <c r="D4340" s="3"/>
      <c r="E4340" s="3">
        <v>17</v>
      </c>
      <c r="F4340" s="4" t="str">
        <f>HYPERLINK("http://141.218.60.56/~jnz1568/getInfo.php?workbook=12_05.xlsx&amp;sheet=U0&amp;row=4340&amp;col=6&amp;number=4.6&amp;sourceID=14","4.6")</f>
        <v>4.6</v>
      </c>
      <c r="G4340" s="4" t="str">
        <f>HYPERLINK("http://141.218.60.56/~jnz1568/getInfo.php?workbook=12_05.xlsx&amp;sheet=U0&amp;row=4340&amp;col=7&amp;number=0.000698&amp;sourceID=14","0.000698")</f>
        <v>0.000698</v>
      </c>
    </row>
    <row r="4341" spans="1:7">
      <c r="A4341" s="3"/>
      <c r="B4341" s="3"/>
      <c r="C4341" s="3"/>
      <c r="D4341" s="3"/>
      <c r="E4341" s="3">
        <v>18</v>
      </c>
      <c r="F4341" s="4" t="str">
        <f>HYPERLINK("http://141.218.60.56/~jnz1568/getInfo.php?workbook=12_05.xlsx&amp;sheet=U0&amp;row=4341&amp;col=6&amp;number=4.7&amp;sourceID=14","4.7")</f>
        <v>4.7</v>
      </c>
      <c r="G4341" s="4" t="str">
        <f>HYPERLINK("http://141.218.60.56/~jnz1568/getInfo.php?workbook=12_05.xlsx&amp;sheet=U0&amp;row=4341&amp;col=7&amp;number=0.000691&amp;sourceID=14","0.000691")</f>
        <v>0.000691</v>
      </c>
    </row>
    <row r="4342" spans="1:7">
      <c r="A4342" s="3"/>
      <c r="B4342" s="3"/>
      <c r="C4342" s="3"/>
      <c r="D4342" s="3"/>
      <c r="E4342" s="3">
        <v>19</v>
      </c>
      <c r="F4342" s="4" t="str">
        <f>HYPERLINK("http://141.218.60.56/~jnz1568/getInfo.php?workbook=12_05.xlsx&amp;sheet=U0&amp;row=4342&amp;col=6&amp;number=4.8&amp;sourceID=14","4.8")</f>
        <v>4.8</v>
      </c>
      <c r="G4342" s="4" t="str">
        <f>HYPERLINK("http://141.218.60.56/~jnz1568/getInfo.php?workbook=12_05.xlsx&amp;sheet=U0&amp;row=4342&amp;col=7&amp;number=0.000683&amp;sourceID=14","0.000683")</f>
        <v>0.000683</v>
      </c>
    </row>
    <row r="4343" spans="1:7">
      <c r="A4343" s="3"/>
      <c r="B4343" s="3"/>
      <c r="C4343" s="3"/>
      <c r="D4343" s="3"/>
      <c r="E4343" s="3">
        <v>20</v>
      </c>
      <c r="F4343" s="4" t="str">
        <f>HYPERLINK("http://141.218.60.56/~jnz1568/getInfo.php?workbook=12_05.xlsx&amp;sheet=U0&amp;row=4343&amp;col=6&amp;number=4.9&amp;sourceID=14","4.9")</f>
        <v>4.9</v>
      </c>
      <c r="G4343" s="4" t="str">
        <f>HYPERLINK("http://141.218.60.56/~jnz1568/getInfo.php?workbook=12_05.xlsx&amp;sheet=U0&amp;row=4343&amp;col=7&amp;number=0.000672&amp;sourceID=14","0.000672")</f>
        <v>0.000672</v>
      </c>
    </row>
    <row r="4344" spans="1:7">
      <c r="A4344" s="3">
        <v>12</v>
      </c>
      <c r="B4344" s="3">
        <v>5</v>
      </c>
      <c r="C4344" s="3">
        <v>2</v>
      </c>
      <c r="D4344" s="3">
        <v>70</v>
      </c>
      <c r="E4344" s="3">
        <v>1</v>
      </c>
      <c r="F4344" s="4" t="str">
        <f>HYPERLINK("http://141.218.60.56/~jnz1568/getInfo.php?workbook=12_05.xlsx&amp;sheet=U0&amp;row=4344&amp;col=6&amp;number=3&amp;sourceID=14","3")</f>
        <v>3</v>
      </c>
      <c r="G4344" s="4" t="str">
        <f>HYPERLINK("http://141.218.60.56/~jnz1568/getInfo.php?workbook=12_05.xlsx&amp;sheet=U0&amp;row=4344&amp;col=7&amp;number=0.000415&amp;sourceID=14","0.000415")</f>
        <v>0.000415</v>
      </c>
    </row>
    <row r="4345" spans="1:7">
      <c r="A4345" s="3"/>
      <c r="B4345" s="3"/>
      <c r="C4345" s="3"/>
      <c r="D4345" s="3"/>
      <c r="E4345" s="3">
        <v>2</v>
      </c>
      <c r="F4345" s="4" t="str">
        <f>HYPERLINK("http://141.218.60.56/~jnz1568/getInfo.php?workbook=12_05.xlsx&amp;sheet=U0&amp;row=4345&amp;col=6&amp;number=3.1&amp;sourceID=14","3.1")</f>
        <v>3.1</v>
      </c>
      <c r="G4345" s="4" t="str">
        <f>HYPERLINK("http://141.218.60.56/~jnz1568/getInfo.php?workbook=12_05.xlsx&amp;sheet=U0&amp;row=4345&amp;col=7&amp;number=0.000415&amp;sourceID=14","0.000415")</f>
        <v>0.000415</v>
      </c>
    </row>
    <row r="4346" spans="1:7">
      <c r="A4346" s="3"/>
      <c r="B4346" s="3"/>
      <c r="C4346" s="3"/>
      <c r="D4346" s="3"/>
      <c r="E4346" s="3">
        <v>3</v>
      </c>
      <c r="F4346" s="4" t="str">
        <f>HYPERLINK("http://141.218.60.56/~jnz1568/getInfo.php?workbook=12_05.xlsx&amp;sheet=U0&amp;row=4346&amp;col=6&amp;number=3.2&amp;sourceID=14","3.2")</f>
        <v>3.2</v>
      </c>
      <c r="G4346" s="4" t="str">
        <f>HYPERLINK("http://141.218.60.56/~jnz1568/getInfo.php?workbook=12_05.xlsx&amp;sheet=U0&amp;row=4346&amp;col=7&amp;number=0.000415&amp;sourceID=14","0.000415")</f>
        <v>0.000415</v>
      </c>
    </row>
    <row r="4347" spans="1:7">
      <c r="A4347" s="3"/>
      <c r="B4347" s="3"/>
      <c r="C4347" s="3"/>
      <c r="D4347" s="3"/>
      <c r="E4347" s="3">
        <v>4</v>
      </c>
      <c r="F4347" s="4" t="str">
        <f>HYPERLINK("http://141.218.60.56/~jnz1568/getInfo.php?workbook=12_05.xlsx&amp;sheet=U0&amp;row=4347&amp;col=6&amp;number=3.3&amp;sourceID=14","3.3")</f>
        <v>3.3</v>
      </c>
      <c r="G4347" s="4" t="str">
        <f>HYPERLINK("http://141.218.60.56/~jnz1568/getInfo.php?workbook=12_05.xlsx&amp;sheet=U0&amp;row=4347&amp;col=7&amp;number=0.000415&amp;sourceID=14","0.000415")</f>
        <v>0.000415</v>
      </c>
    </row>
    <row r="4348" spans="1:7">
      <c r="A4348" s="3"/>
      <c r="B4348" s="3"/>
      <c r="C4348" s="3"/>
      <c r="D4348" s="3"/>
      <c r="E4348" s="3">
        <v>5</v>
      </c>
      <c r="F4348" s="4" t="str">
        <f>HYPERLINK("http://141.218.60.56/~jnz1568/getInfo.php?workbook=12_05.xlsx&amp;sheet=U0&amp;row=4348&amp;col=6&amp;number=3.4&amp;sourceID=14","3.4")</f>
        <v>3.4</v>
      </c>
      <c r="G4348" s="4" t="str">
        <f>HYPERLINK("http://141.218.60.56/~jnz1568/getInfo.php?workbook=12_05.xlsx&amp;sheet=U0&amp;row=4348&amp;col=7&amp;number=0.000415&amp;sourceID=14","0.000415")</f>
        <v>0.000415</v>
      </c>
    </row>
    <row r="4349" spans="1:7">
      <c r="A4349" s="3"/>
      <c r="B4349" s="3"/>
      <c r="C4349" s="3"/>
      <c r="D4349" s="3"/>
      <c r="E4349" s="3">
        <v>6</v>
      </c>
      <c r="F4349" s="4" t="str">
        <f>HYPERLINK("http://141.218.60.56/~jnz1568/getInfo.php?workbook=12_05.xlsx&amp;sheet=U0&amp;row=4349&amp;col=6&amp;number=3.5&amp;sourceID=14","3.5")</f>
        <v>3.5</v>
      </c>
      <c r="G4349" s="4" t="str">
        <f>HYPERLINK("http://141.218.60.56/~jnz1568/getInfo.php?workbook=12_05.xlsx&amp;sheet=U0&amp;row=4349&amp;col=7&amp;number=0.000415&amp;sourceID=14","0.000415")</f>
        <v>0.000415</v>
      </c>
    </row>
    <row r="4350" spans="1:7">
      <c r="A4350" s="3"/>
      <c r="B4350" s="3"/>
      <c r="C4350" s="3"/>
      <c r="D4350" s="3"/>
      <c r="E4350" s="3">
        <v>7</v>
      </c>
      <c r="F4350" s="4" t="str">
        <f>HYPERLINK("http://141.218.60.56/~jnz1568/getInfo.php?workbook=12_05.xlsx&amp;sheet=U0&amp;row=4350&amp;col=6&amp;number=3.6&amp;sourceID=14","3.6")</f>
        <v>3.6</v>
      </c>
      <c r="G4350" s="4" t="str">
        <f>HYPERLINK("http://141.218.60.56/~jnz1568/getInfo.php?workbook=12_05.xlsx&amp;sheet=U0&amp;row=4350&amp;col=7&amp;number=0.000414&amp;sourceID=14","0.000414")</f>
        <v>0.000414</v>
      </c>
    </row>
    <row r="4351" spans="1:7">
      <c r="A4351" s="3"/>
      <c r="B4351" s="3"/>
      <c r="C4351" s="3"/>
      <c r="D4351" s="3"/>
      <c r="E4351" s="3">
        <v>8</v>
      </c>
      <c r="F4351" s="4" t="str">
        <f>HYPERLINK("http://141.218.60.56/~jnz1568/getInfo.php?workbook=12_05.xlsx&amp;sheet=U0&amp;row=4351&amp;col=6&amp;number=3.7&amp;sourceID=14","3.7")</f>
        <v>3.7</v>
      </c>
      <c r="G4351" s="4" t="str">
        <f>HYPERLINK("http://141.218.60.56/~jnz1568/getInfo.php?workbook=12_05.xlsx&amp;sheet=U0&amp;row=4351&amp;col=7&amp;number=0.000414&amp;sourceID=14","0.000414")</f>
        <v>0.000414</v>
      </c>
    </row>
    <row r="4352" spans="1:7">
      <c r="A4352" s="3"/>
      <c r="B4352" s="3"/>
      <c r="C4352" s="3"/>
      <c r="D4352" s="3"/>
      <c r="E4352" s="3">
        <v>9</v>
      </c>
      <c r="F4352" s="4" t="str">
        <f>HYPERLINK("http://141.218.60.56/~jnz1568/getInfo.php?workbook=12_05.xlsx&amp;sheet=U0&amp;row=4352&amp;col=6&amp;number=3.8&amp;sourceID=14","3.8")</f>
        <v>3.8</v>
      </c>
      <c r="G4352" s="4" t="str">
        <f>HYPERLINK("http://141.218.60.56/~jnz1568/getInfo.php?workbook=12_05.xlsx&amp;sheet=U0&amp;row=4352&amp;col=7&amp;number=0.000414&amp;sourceID=14","0.000414")</f>
        <v>0.000414</v>
      </c>
    </row>
    <row r="4353" spans="1:7">
      <c r="A4353" s="3"/>
      <c r="B4353" s="3"/>
      <c r="C4353" s="3"/>
      <c r="D4353" s="3"/>
      <c r="E4353" s="3">
        <v>10</v>
      </c>
      <c r="F4353" s="4" t="str">
        <f>HYPERLINK("http://141.218.60.56/~jnz1568/getInfo.php?workbook=12_05.xlsx&amp;sheet=U0&amp;row=4353&amp;col=6&amp;number=3.9&amp;sourceID=14","3.9")</f>
        <v>3.9</v>
      </c>
      <c r="G4353" s="4" t="str">
        <f>HYPERLINK("http://141.218.60.56/~jnz1568/getInfo.php?workbook=12_05.xlsx&amp;sheet=U0&amp;row=4353&amp;col=7&amp;number=0.000414&amp;sourceID=14","0.000414")</f>
        <v>0.000414</v>
      </c>
    </row>
    <row r="4354" spans="1:7">
      <c r="A4354" s="3"/>
      <c r="B4354" s="3"/>
      <c r="C4354" s="3"/>
      <c r="D4354" s="3"/>
      <c r="E4354" s="3">
        <v>11</v>
      </c>
      <c r="F4354" s="4" t="str">
        <f>HYPERLINK("http://141.218.60.56/~jnz1568/getInfo.php?workbook=12_05.xlsx&amp;sheet=U0&amp;row=4354&amp;col=6&amp;number=4&amp;sourceID=14","4")</f>
        <v>4</v>
      </c>
      <c r="G4354" s="4" t="str">
        <f>HYPERLINK("http://141.218.60.56/~jnz1568/getInfo.php?workbook=12_05.xlsx&amp;sheet=U0&amp;row=4354&amp;col=7&amp;number=0.000414&amp;sourceID=14","0.000414")</f>
        <v>0.000414</v>
      </c>
    </row>
    <row r="4355" spans="1:7">
      <c r="A4355" s="3"/>
      <c r="B4355" s="3"/>
      <c r="C4355" s="3"/>
      <c r="D4355" s="3"/>
      <c r="E4355" s="3">
        <v>12</v>
      </c>
      <c r="F4355" s="4" t="str">
        <f>HYPERLINK("http://141.218.60.56/~jnz1568/getInfo.php?workbook=12_05.xlsx&amp;sheet=U0&amp;row=4355&amp;col=6&amp;number=4.1&amp;sourceID=14","4.1")</f>
        <v>4.1</v>
      </c>
      <c r="G4355" s="4" t="str">
        <f>HYPERLINK("http://141.218.60.56/~jnz1568/getInfo.php?workbook=12_05.xlsx&amp;sheet=U0&amp;row=4355&amp;col=7&amp;number=0.000414&amp;sourceID=14","0.000414")</f>
        <v>0.000414</v>
      </c>
    </row>
    <row r="4356" spans="1:7">
      <c r="A4356" s="3"/>
      <c r="B4356" s="3"/>
      <c r="C4356" s="3"/>
      <c r="D4356" s="3"/>
      <c r="E4356" s="3">
        <v>13</v>
      </c>
      <c r="F4356" s="4" t="str">
        <f>HYPERLINK("http://141.218.60.56/~jnz1568/getInfo.php?workbook=12_05.xlsx&amp;sheet=U0&amp;row=4356&amp;col=6&amp;number=4.2&amp;sourceID=14","4.2")</f>
        <v>4.2</v>
      </c>
      <c r="G4356" s="4" t="str">
        <f>HYPERLINK("http://141.218.60.56/~jnz1568/getInfo.php?workbook=12_05.xlsx&amp;sheet=U0&amp;row=4356&amp;col=7&amp;number=0.000414&amp;sourceID=14","0.000414")</f>
        <v>0.000414</v>
      </c>
    </row>
    <row r="4357" spans="1:7">
      <c r="A4357" s="3"/>
      <c r="B4357" s="3"/>
      <c r="C4357" s="3"/>
      <c r="D4357" s="3"/>
      <c r="E4357" s="3">
        <v>14</v>
      </c>
      <c r="F4357" s="4" t="str">
        <f>HYPERLINK("http://141.218.60.56/~jnz1568/getInfo.php?workbook=12_05.xlsx&amp;sheet=U0&amp;row=4357&amp;col=6&amp;number=4.3&amp;sourceID=14","4.3")</f>
        <v>4.3</v>
      </c>
      <c r="G4357" s="4" t="str">
        <f>HYPERLINK("http://141.218.60.56/~jnz1568/getInfo.php?workbook=12_05.xlsx&amp;sheet=U0&amp;row=4357&amp;col=7&amp;number=0.000414&amp;sourceID=14","0.000414")</f>
        <v>0.000414</v>
      </c>
    </row>
    <row r="4358" spans="1:7">
      <c r="A4358" s="3"/>
      <c r="B4358" s="3"/>
      <c r="C4358" s="3"/>
      <c r="D4358" s="3"/>
      <c r="E4358" s="3">
        <v>15</v>
      </c>
      <c r="F4358" s="4" t="str">
        <f>HYPERLINK("http://141.218.60.56/~jnz1568/getInfo.php?workbook=12_05.xlsx&amp;sheet=U0&amp;row=4358&amp;col=6&amp;number=4.4&amp;sourceID=14","4.4")</f>
        <v>4.4</v>
      </c>
      <c r="G4358" s="4" t="str">
        <f>HYPERLINK("http://141.218.60.56/~jnz1568/getInfo.php?workbook=12_05.xlsx&amp;sheet=U0&amp;row=4358&amp;col=7&amp;number=0.000413&amp;sourceID=14","0.000413")</f>
        <v>0.000413</v>
      </c>
    </row>
    <row r="4359" spans="1:7">
      <c r="A4359" s="3"/>
      <c r="B4359" s="3"/>
      <c r="C4359" s="3"/>
      <c r="D4359" s="3"/>
      <c r="E4359" s="3">
        <v>16</v>
      </c>
      <c r="F4359" s="4" t="str">
        <f>HYPERLINK("http://141.218.60.56/~jnz1568/getInfo.php?workbook=12_05.xlsx&amp;sheet=U0&amp;row=4359&amp;col=6&amp;number=4.5&amp;sourceID=14","4.5")</f>
        <v>4.5</v>
      </c>
      <c r="G4359" s="4" t="str">
        <f>HYPERLINK("http://141.218.60.56/~jnz1568/getInfo.php?workbook=12_05.xlsx&amp;sheet=U0&amp;row=4359&amp;col=7&amp;number=0.000413&amp;sourceID=14","0.000413")</f>
        <v>0.000413</v>
      </c>
    </row>
    <row r="4360" spans="1:7">
      <c r="A4360" s="3"/>
      <c r="B4360" s="3"/>
      <c r="C4360" s="3"/>
      <c r="D4360" s="3"/>
      <c r="E4360" s="3">
        <v>17</v>
      </c>
      <c r="F4360" s="4" t="str">
        <f>HYPERLINK("http://141.218.60.56/~jnz1568/getInfo.php?workbook=12_05.xlsx&amp;sheet=U0&amp;row=4360&amp;col=6&amp;number=4.6&amp;sourceID=14","4.6")</f>
        <v>4.6</v>
      </c>
      <c r="G4360" s="4" t="str">
        <f>HYPERLINK("http://141.218.60.56/~jnz1568/getInfo.php?workbook=12_05.xlsx&amp;sheet=U0&amp;row=4360&amp;col=7&amp;number=0.000412&amp;sourceID=14","0.000412")</f>
        <v>0.000412</v>
      </c>
    </row>
    <row r="4361" spans="1:7">
      <c r="A4361" s="3"/>
      <c r="B4361" s="3"/>
      <c r="C4361" s="3"/>
      <c r="D4361" s="3"/>
      <c r="E4361" s="3">
        <v>18</v>
      </c>
      <c r="F4361" s="4" t="str">
        <f>HYPERLINK("http://141.218.60.56/~jnz1568/getInfo.php?workbook=12_05.xlsx&amp;sheet=U0&amp;row=4361&amp;col=6&amp;number=4.7&amp;sourceID=14","4.7")</f>
        <v>4.7</v>
      </c>
      <c r="G4361" s="4" t="str">
        <f>HYPERLINK("http://141.218.60.56/~jnz1568/getInfo.php?workbook=12_05.xlsx&amp;sheet=U0&amp;row=4361&amp;col=7&amp;number=0.000412&amp;sourceID=14","0.000412")</f>
        <v>0.000412</v>
      </c>
    </row>
    <row r="4362" spans="1:7">
      <c r="A4362" s="3"/>
      <c r="B4362" s="3"/>
      <c r="C4362" s="3"/>
      <c r="D4362" s="3"/>
      <c r="E4362" s="3">
        <v>19</v>
      </c>
      <c r="F4362" s="4" t="str">
        <f>HYPERLINK("http://141.218.60.56/~jnz1568/getInfo.php?workbook=12_05.xlsx&amp;sheet=U0&amp;row=4362&amp;col=6&amp;number=4.8&amp;sourceID=14","4.8")</f>
        <v>4.8</v>
      </c>
      <c r="G4362" s="4" t="str">
        <f>HYPERLINK("http://141.218.60.56/~jnz1568/getInfo.php?workbook=12_05.xlsx&amp;sheet=U0&amp;row=4362&amp;col=7&amp;number=0.000411&amp;sourceID=14","0.000411")</f>
        <v>0.000411</v>
      </c>
    </row>
    <row r="4363" spans="1:7">
      <c r="A4363" s="3"/>
      <c r="B4363" s="3"/>
      <c r="C4363" s="3"/>
      <c r="D4363" s="3"/>
      <c r="E4363" s="3">
        <v>20</v>
      </c>
      <c r="F4363" s="4" t="str">
        <f>HYPERLINK("http://141.218.60.56/~jnz1568/getInfo.php?workbook=12_05.xlsx&amp;sheet=U0&amp;row=4363&amp;col=6&amp;number=4.9&amp;sourceID=14","4.9")</f>
        <v>4.9</v>
      </c>
      <c r="G4363" s="4" t="str">
        <f>HYPERLINK("http://141.218.60.56/~jnz1568/getInfo.php?workbook=12_05.xlsx&amp;sheet=U0&amp;row=4363&amp;col=7&amp;number=0.00041&amp;sourceID=14","0.00041")</f>
        <v>0.00041</v>
      </c>
    </row>
    <row r="4364" spans="1:7">
      <c r="A4364" s="3">
        <v>12</v>
      </c>
      <c r="B4364" s="3">
        <v>5</v>
      </c>
      <c r="C4364" s="3">
        <v>2</v>
      </c>
      <c r="D4364" s="3">
        <v>71</v>
      </c>
      <c r="E4364" s="3">
        <v>1</v>
      </c>
      <c r="F4364" s="4" t="str">
        <f>HYPERLINK("http://141.218.60.56/~jnz1568/getInfo.php?workbook=12_05.xlsx&amp;sheet=U0&amp;row=4364&amp;col=6&amp;number=3&amp;sourceID=14","3")</f>
        <v>3</v>
      </c>
      <c r="G4364" s="4" t="str">
        <f>HYPERLINK("http://141.218.60.56/~jnz1568/getInfo.php?workbook=12_05.xlsx&amp;sheet=U0&amp;row=4364&amp;col=7&amp;number=0.000935&amp;sourceID=14","0.000935")</f>
        <v>0.000935</v>
      </c>
    </row>
    <row r="4365" spans="1:7">
      <c r="A4365" s="3"/>
      <c r="B4365" s="3"/>
      <c r="C4365" s="3"/>
      <c r="D4365" s="3"/>
      <c r="E4365" s="3">
        <v>2</v>
      </c>
      <c r="F4365" s="4" t="str">
        <f>HYPERLINK("http://141.218.60.56/~jnz1568/getInfo.php?workbook=12_05.xlsx&amp;sheet=U0&amp;row=4365&amp;col=6&amp;number=3.1&amp;sourceID=14","3.1")</f>
        <v>3.1</v>
      </c>
      <c r="G4365" s="4" t="str">
        <f>HYPERLINK("http://141.218.60.56/~jnz1568/getInfo.php?workbook=12_05.xlsx&amp;sheet=U0&amp;row=4365&amp;col=7&amp;number=0.000935&amp;sourceID=14","0.000935")</f>
        <v>0.000935</v>
      </c>
    </row>
    <row r="4366" spans="1:7">
      <c r="A4366" s="3"/>
      <c r="B4366" s="3"/>
      <c r="C4366" s="3"/>
      <c r="D4366" s="3"/>
      <c r="E4366" s="3">
        <v>3</v>
      </c>
      <c r="F4366" s="4" t="str">
        <f>HYPERLINK("http://141.218.60.56/~jnz1568/getInfo.php?workbook=12_05.xlsx&amp;sheet=U0&amp;row=4366&amp;col=6&amp;number=3.2&amp;sourceID=14","3.2")</f>
        <v>3.2</v>
      </c>
      <c r="G4366" s="4" t="str">
        <f>HYPERLINK("http://141.218.60.56/~jnz1568/getInfo.php?workbook=12_05.xlsx&amp;sheet=U0&amp;row=4366&amp;col=7&amp;number=0.000935&amp;sourceID=14","0.000935")</f>
        <v>0.000935</v>
      </c>
    </row>
    <row r="4367" spans="1:7">
      <c r="A4367" s="3"/>
      <c r="B4367" s="3"/>
      <c r="C4367" s="3"/>
      <c r="D4367" s="3"/>
      <c r="E4367" s="3">
        <v>4</v>
      </c>
      <c r="F4367" s="4" t="str">
        <f>HYPERLINK("http://141.218.60.56/~jnz1568/getInfo.php?workbook=12_05.xlsx&amp;sheet=U0&amp;row=4367&amp;col=6&amp;number=3.3&amp;sourceID=14","3.3")</f>
        <v>3.3</v>
      </c>
      <c r="G4367" s="4" t="str">
        <f>HYPERLINK("http://141.218.60.56/~jnz1568/getInfo.php?workbook=12_05.xlsx&amp;sheet=U0&amp;row=4367&amp;col=7&amp;number=0.000934&amp;sourceID=14","0.000934")</f>
        <v>0.000934</v>
      </c>
    </row>
    <row r="4368" spans="1:7">
      <c r="A4368" s="3"/>
      <c r="B4368" s="3"/>
      <c r="C4368" s="3"/>
      <c r="D4368" s="3"/>
      <c r="E4368" s="3">
        <v>5</v>
      </c>
      <c r="F4368" s="4" t="str">
        <f>HYPERLINK("http://141.218.60.56/~jnz1568/getInfo.php?workbook=12_05.xlsx&amp;sheet=U0&amp;row=4368&amp;col=6&amp;number=3.4&amp;sourceID=14","3.4")</f>
        <v>3.4</v>
      </c>
      <c r="G4368" s="4" t="str">
        <f>HYPERLINK("http://141.218.60.56/~jnz1568/getInfo.php?workbook=12_05.xlsx&amp;sheet=U0&amp;row=4368&amp;col=7&amp;number=0.000934&amp;sourceID=14","0.000934")</f>
        <v>0.000934</v>
      </c>
    </row>
    <row r="4369" spans="1:7">
      <c r="A4369" s="3"/>
      <c r="B4369" s="3"/>
      <c r="C4369" s="3"/>
      <c r="D4369" s="3"/>
      <c r="E4369" s="3">
        <v>6</v>
      </c>
      <c r="F4369" s="4" t="str">
        <f>HYPERLINK("http://141.218.60.56/~jnz1568/getInfo.php?workbook=12_05.xlsx&amp;sheet=U0&amp;row=4369&amp;col=6&amp;number=3.5&amp;sourceID=14","3.5")</f>
        <v>3.5</v>
      </c>
      <c r="G4369" s="4" t="str">
        <f>HYPERLINK("http://141.218.60.56/~jnz1568/getInfo.php?workbook=12_05.xlsx&amp;sheet=U0&amp;row=4369&amp;col=7&amp;number=0.000933&amp;sourceID=14","0.000933")</f>
        <v>0.000933</v>
      </c>
    </row>
    <row r="4370" spans="1:7">
      <c r="A4370" s="3"/>
      <c r="B4370" s="3"/>
      <c r="C4370" s="3"/>
      <c r="D4370" s="3"/>
      <c r="E4370" s="3">
        <v>7</v>
      </c>
      <c r="F4370" s="4" t="str">
        <f>HYPERLINK("http://141.218.60.56/~jnz1568/getInfo.php?workbook=12_05.xlsx&amp;sheet=U0&amp;row=4370&amp;col=6&amp;number=3.6&amp;sourceID=14","3.6")</f>
        <v>3.6</v>
      </c>
      <c r="G4370" s="4" t="str">
        <f>HYPERLINK("http://141.218.60.56/~jnz1568/getInfo.php?workbook=12_05.xlsx&amp;sheet=U0&amp;row=4370&amp;col=7&amp;number=0.000932&amp;sourceID=14","0.000932")</f>
        <v>0.000932</v>
      </c>
    </row>
    <row r="4371" spans="1:7">
      <c r="A4371" s="3"/>
      <c r="B4371" s="3"/>
      <c r="C4371" s="3"/>
      <c r="D4371" s="3"/>
      <c r="E4371" s="3">
        <v>8</v>
      </c>
      <c r="F4371" s="4" t="str">
        <f>HYPERLINK("http://141.218.60.56/~jnz1568/getInfo.php?workbook=12_05.xlsx&amp;sheet=U0&amp;row=4371&amp;col=6&amp;number=3.7&amp;sourceID=14","3.7")</f>
        <v>3.7</v>
      </c>
      <c r="G4371" s="4" t="str">
        <f>HYPERLINK("http://141.218.60.56/~jnz1568/getInfo.php?workbook=12_05.xlsx&amp;sheet=U0&amp;row=4371&amp;col=7&amp;number=0.000931&amp;sourceID=14","0.000931")</f>
        <v>0.000931</v>
      </c>
    </row>
    <row r="4372" spans="1:7">
      <c r="A4372" s="3"/>
      <c r="B4372" s="3"/>
      <c r="C4372" s="3"/>
      <c r="D4372" s="3"/>
      <c r="E4372" s="3">
        <v>9</v>
      </c>
      <c r="F4372" s="4" t="str">
        <f>HYPERLINK("http://141.218.60.56/~jnz1568/getInfo.php?workbook=12_05.xlsx&amp;sheet=U0&amp;row=4372&amp;col=6&amp;number=3.8&amp;sourceID=14","3.8")</f>
        <v>3.8</v>
      </c>
      <c r="G4372" s="4" t="str">
        <f>HYPERLINK("http://141.218.60.56/~jnz1568/getInfo.php?workbook=12_05.xlsx&amp;sheet=U0&amp;row=4372&amp;col=7&amp;number=0.00093&amp;sourceID=14","0.00093")</f>
        <v>0.00093</v>
      </c>
    </row>
    <row r="4373" spans="1:7">
      <c r="A4373" s="3"/>
      <c r="B4373" s="3"/>
      <c r="C4373" s="3"/>
      <c r="D4373" s="3"/>
      <c r="E4373" s="3">
        <v>10</v>
      </c>
      <c r="F4373" s="4" t="str">
        <f>HYPERLINK("http://141.218.60.56/~jnz1568/getInfo.php?workbook=12_05.xlsx&amp;sheet=U0&amp;row=4373&amp;col=6&amp;number=3.9&amp;sourceID=14","3.9")</f>
        <v>3.9</v>
      </c>
      <c r="G4373" s="4" t="str">
        <f>HYPERLINK("http://141.218.60.56/~jnz1568/getInfo.php?workbook=12_05.xlsx&amp;sheet=U0&amp;row=4373&amp;col=7&amp;number=0.000928&amp;sourceID=14","0.000928")</f>
        <v>0.000928</v>
      </c>
    </row>
    <row r="4374" spans="1:7">
      <c r="A4374" s="3"/>
      <c r="B4374" s="3"/>
      <c r="C4374" s="3"/>
      <c r="D4374" s="3"/>
      <c r="E4374" s="3">
        <v>11</v>
      </c>
      <c r="F4374" s="4" t="str">
        <f>HYPERLINK("http://141.218.60.56/~jnz1568/getInfo.php?workbook=12_05.xlsx&amp;sheet=U0&amp;row=4374&amp;col=6&amp;number=4&amp;sourceID=14","4")</f>
        <v>4</v>
      </c>
      <c r="G4374" s="4" t="str">
        <f>HYPERLINK("http://141.218.60.56/~jnz1568/getInfo.php?workbook=12_05.xlsx&amp;sheet=U0&amp;row=4374&amp;col=7&amp;number=0.000926&amp;sourceID=14","0.000926")</f>
        <v>0.000926</v>
      </c>
    </row>
    <row r="4375" spans="1:7">
      <c r="A4375" s="3"/>
      <c r="B4375" s="3"/>
      <c r="C4375" s="3"/>
      <c r="D4375" s="3"/>
      <c r="E4375" s="3">
        <v>12</v>
      </c>
      <c r="F4375" s="4" t="str">
        <f>HYPERLINK("http://141.218.60.56/~jnz1568/getInfo.php?workbook=12_05.xlsx&amp;sheet=U0&amp;row=4375&amp;col=6&amp;number=4.1&amp;sourceID=14","4.1")</f>
        <v>4.1</v>
      </c>
      <c r="G4375" s="4" t="str">
        <f>HYPERLINK("http://141.218.60.56/~jnz1568/getInfo.php?workbook=12_05.xlsx&amp;sheet=U0&amp;row=4375&amp;col=7&amp;number=0.000923&amp;sourceID=14","0.000923")</f>
        <v>0.000923</v>
      </c>
    </row>
    <row r="4376" spans="1:7">
      <c r="A4376" s="3"/>
      <c r="B4376" s="3"/>
      <c r="C4376" s="3"/>
      <c r="D4376" s="3"/>
      <c r="E4376" s="3">
        <v>13</v>
      </c>
      <c r="F4376" s="4" t="str">
        <f>HYPERLINK("http://141.218.60.56/~jnz1568/getInfo.php?workbook=12_05.xlsx&amp;sheet=U0&amp;row=4376&amp;col=6&amp;number=4.2&amp;sourceID=14","4.2")</f>
        <v>4.2</v>
      </c>
      <c r="G4376" s="4" t="str">
        <f>HYPERLINK("http://141.218.60.56/~jnz1568/getInfo.php?workbook=12_05.xlsx&amp;sheet=U0&amp;row=4376&amp;col=7&amp;number=0.00092&amp;sourceID=14","0.00092")</f>
        <v>0.00092</v>
      </c>
    </row>
    <row r="4377" spans="1:7">
      <c r="A4377" s="3"/>
      <c r="B4377" s="3"/>
      <c r="C4377" s="3"/>
      <c r="D4377" s="3"/>
      <c r="E4377" s="3">
        <v>14</v>
      </c>
      <c r="F4377" s="4" t="str">
        <f>HYPERLINK("http://141.218.60.56/~jnz1568/getInfo.php?workbook=12_05.xlsx&amp;sheet=U0&amp;row=4377&amp;col=6&amp;number=4.3&amp;sourceID=14","4.3")</f>
        <v>4.3</v>
      </c>
      <c r="G4377" s="4" t="str">
        <f>HYPERLINK("http://141.218.60.56/~jnz1568/getInfo.php?workbook=12_05.xlsx&amp;sheet=U0&amp;row=4377&amp;col=7&amp;number=0.000916&amp;sourceID=14","0.000916")</f>
        <v>0.000916</v>
      </c>
    </row>
    <row r="4378" spans="1:7">
      <c r="A4378" s="3"/>
      <c r="B4378" s="3"/>
      <c r="C4378" s="3"/>
      <c r="D4378" s="3"/>
      <c r="E4378" s="3">
        <v>15</v>
      </c>
      <c r="F4378" s="4" t="str">
        <f>HYPERLINK("http://141.218.60.56/~jnz1568/getInfo.php?workbook=12_05.xlsx&amp;sheet=U0&amp;row=4378&amp;col=6&amp;number=4.4&amp;sourceID=14","4.4")</f>
        <v>4.4</v>
      </c>
      <c r="G4378" s="4" t="str">
        <f>HYPERLINK("http://141.218.60.56/~jnz1568/getInfo.php?workbook=12_05.xlsx&amp;sheet=U0&amp;row=4378&amp;col=7&amp;number=0.000911&amp;sourceID=14","0.000911")</f>
        <v>0.000911</v>
      </c>
    </row>
    <row r="4379" spans="1:7">
      <c r="A4379" s="3"/>
      <c r="B4379" s="3"/>
      <c r="C4379" s="3"/>
      <c r="D4379" s="3"/>
      <c r="E4379" s="3">
        <v>16</v>
      </c>
      <c r="F4379" s="4" t="str">
        <f>HYPERLINK("http://141.218.60.56/~jnz1568/getInfo.php?workbook=12_05.xlsx&amp;sheet=U0&amp;row=4379&amp;col=6&amp;number=4.5&amp;sourceID=14","4.5")</f>
        <v>4.5</v>
      </c>
      <c r="G4379" s="4" t="str">
        <f>HYPERLINK("http://141.218.60.56/~jnz1568/getInfo.php?workbook=12_05.xlsx&amp;sheet=U0&amp;row=4379&amp;col=7&amp;number=0.000904&amp;sourceID=14","0.000904")</f>
        <v>0.000904</v>
      </c>
    </row>
    <row r="4380" spans="1:7">
      <c r="A4380" s="3"/>
      <c r="B4380" s="3"/>
      <c r="C4380" s="3"/>
      <c r="D4380" s="3"/>
      <c r="E4380" s="3">
        <v>17</v>
      </c>
      <c r="F4380" s="4" t="str">
        <f>HYPERLINK("http://141.218.60.56/~jnz1568/getInfo.php?workbook=12_05.xlsx&amp;sheet=U0&amp;row=4380&amp;col=6&amp;number=4.6&amp;sourceID=14","4.6")</f>
        <v>4.6</v>
      </c>
      <c r="G4380" s="4" t="str">
        <f>HYPERLINK("http://141.218.60.56/~jnz1568/getInfo.php?workbook=12_05.xlsx&amp;sheet=U0&amp;row=4380&amp;col=7&amp;number=0.000896&amp;sourceID=14","0.000896")</f>
        <v>0.000896</v>
      </c>
    </row>
    <row r="4381" spans="1:7">
      <c r="A4381" s="3"/>
      <c r="B4381" s="3"/>
      <c r="C4381" s="3"/>
      <c r="D4381" s="3"/>
      <c r="E4381" s="3">
        <v>18</v>
      </c>
      <c r="F4381" s="4" t="str">
        <f>HYPERLINK("http://141.218.60.56/~jnz1568/getInfo.php?workbook=12_05.xlsx&amp;sheet=U0&amp;row=4381&amp;col=6&amp;number=4.7&amp;sourceID=14","4.7")</f>
        <v>4.7</v>
      </c>
      <c r="G4381" s="4" t="str">
        <f>HYPERLINK("http://141.218.60.56/~jnz1568/getInfo.php?workbook=12_05.xlsx&amp;sheet=U0&amp;row=4381&amp;col=7&amp;number=0.000887&amp;sourceID=14","0.000887")</f>
        <v>0.000887</v>
      </c>
    </row>
    <row r="4382" spans="1:7">
      <c r="A4382" s="3"/>
      <c r="B4382" s="3"/>
      <c r="C4382" s="3"/>
      <c r="D4382" s="3"/>
      <c r="E4382" s="3">
        <v>19</v>
      </c>
      <c r="F4382" s="4" t="str">
        <f>HYPERLINK("http://141.218.60.56/~jnz1568/getInfo.php?workbook=12_05.xlsx&amp;sheet=U0&amp;row=4382&amp;col=6&amp;number=4.8&amp;sourceID=14","4.8")</f>
        <v>4.8</v>
      </c>
      <c r="G4382" s="4" t="str">
        <f>HYPERLINK("http://141.218.60.56/~jnz1568/getInfo.php?workbook=12_05.xlsx&amp;sheet=U0&amp;row=4382&amp;col=7&amp;number=0.000874&amp;sourceID=14","0.000874")</f>
        <v>0.000874</v>
      </c>
    </row>
    <row r="4383" spans="1:7">
      <c r="A4383" s="3"/>
      <c r="B4383" s="3"/>
      <c r="C4383" s="3"/>
      <c r="D4383" s="3"/>
      <c r="E4383" s="3">
        <v>20</v>
      </c>
      <c r="F4383" s="4" t="str">
        <f>HYPERLINK("http://141.218.60.56/~jnz1568/getInfo.php?workbook=12_05.xlsx&amp;sheet=U0&amp;row=4383&amp;col=6&amp;number=4.9&amp;sourceID=14","4.9")</f>
        <v>4.9</v>
      </c>
      <c r="G4383" s="4" t="str">
        <f>HYPERLINK("http://141.218.60.56/~jnz1568/getInfo.php?workbook=12_05.xlsx&amp;sheet=U0&amp;row=4383&amp;col=7&amp;number=0.000859&amp;sourceID=14","0.000859")</f>
        <v>0.000859</v>
      </c>
    </row>
    <row r="4384" spans="1:7">
      <c r="A4384" s="3">
        <v>12</v>
      </c>
      <c r="B4384" s="3">
        <v>5</v>
      </c>
      <c r="C4384" s="3">
        <v>2</v>
      </c>
      <c r="D4384" s="3">
        <v>72</v>
      </c>
      <c r="E4384" s="3">
        <v>1</v>
      </c>
      <c r="F4384" s="4" t="str">
        <f>HYPERLINK("http://141.218.60.56/~jnz1568/getInfo.php?workbook=12_05.xlsx&amp;sheet=U0&amp;row=4384&amp;col=6&amp;number=3&amp;sourceID=14","3")</f>
        <v>3</v>
      </c>
      <c r="G4384" s="4" t="str">
        <f>HYPERLINK("http://141.218.60.56/~jnz1568/getInfo.php?workbook=12_05.xlsx&amp;sheet=U0&amp;row=4384&amp;col=7&amp;number=0.000791&amp;sourceID=14","0.000791")</f>
        <v>0.000791</v>
      </c>
    </row>
    <row r="4385" spans="1:7">
      <c r="A4385" s="3"/>
      <c r="B4385" s="3"/>
      <c r="C4385" s="3"/>
      <c r="D4385" s="3"/>
      <c r="E4385" s="3">
        <v>2</v>
      </c>
      <c r="F4385" s="4" t="str">
        <f>HYPERLINK("http://141.218.60.56/~jnz1568/getInfo.php?workbook=12_05.xlsx&amp;sheet=U0&amp;row=4385&amp;col=6&amp;number=3.1&amp;sourceID=14","3.1")</f>
        <v>3.1</v>
      </c>
      <c r="G4385" s="4" t="str">
        <f>HYPERLINK("http://141.218.60.56/~jnz1568/getInfo.php?workbook=12_05.xlsx&amp;sheet=U0&amp;row=4385&amp;col=7&amp;number=0.000791&amp;sourceID=14","0.000791")</f>
        <v>0.000791</v>
      </c>
    </row>
    <row r="4386" spans="1:7">
      <c r="A4386" s="3"/>
      <c r="B4386" s="3"/>
      <c r="C4386" s="3"/>
      <c r="D4386" s="3"/>
      <c r="E4386" s="3">
        <v>3</v>
      </c>
      <c r="F4386" s="4" t="str">
        <f>HYPERLINK("http://141.218.60.56/~jnz1568/getInfo.php?workbook=12_05.xlsx&amp;sheet=U0&amp;row=4386&amp;col=6&amp;number=3.2&amp;sourceID=14","3.2")</f>
        <v>3.2</v>
      </c>
      <c r="G4386" s="4" t="str">
        <f>HYPERLINK("http://141.218.60.56/~jnz1568/getInfo.php?workbook=12_05.xlsx&amp;sheet=U0&amp;row=4386&amp;col=7&amp;number=0.000791&amp;sourceID=14","0.000791")</f>
        <v>0.000791</v>
      </c>
    </row>
    <row r="4387" spans="1:7">
      <c r="A4387" s="3"/>
      <c r="B4387" s="3"/>
      <c r="C4387" s="3"/>
      <c r="D4387" s="3"/>
      <c r="E4387" s="3">
        <v>4</v>
      </c>
      <c r="F4387" s="4" t="str">
        <f>HYPERLINK("http://141.218.60.56/~jnz1568/getInfo.php?workbook=12_05.xlsx&amp;sheet=U0&amp;row=4387&amp;col=6&amp;number=3.3&amp;sourceID=14","3.3")</f>
        <v>3.3</v>
      </c>
      <c r="G4387" s="4" t="str">
        <f>HYPERLINK("http://141.218.60.56/~jnz1568/getInfo.php?workbook=12_05.xlsx&amp;sheet=U0&amp;row=4387&amp;col=7&amp;number=0.000791&amp;sourceID=14","0.000791")</f>
        <v>0.000791</v>
      </c>
    </row>
    <row r="4388" spans="1:7">
      <c r="A4388" s="3"/>
      <c r="B4388" s="3"/>
      <c r="C4388" s="3"/>
      <c r="D4388" s="3"/>
      <c r="E4388" s="3">
        <v>5</v>
      </c>
      <c r="F4388" s="4" t="str">
        <f>HYPERLINK("http://141.218.60.56/~jnz1568/getInfo.php?workbook=12_05.xlsx&amp;sheet=U0&amp;row=4388&amp;col=6&amp;number=3.4&amp;sourceID=14","3.4")</f>
        <v>3.4</v>
      </c>
      <c r="G4388" s="4" t="str">
        <f>HYPERLINK("http://141.218.60.56/~jnz1568/getInfo.php?workbook=12_05.xlsx&amp;sheet=U0&amp;row=4388&amp;col=7&amp;number=0.00079&amp;sourceID=14","0.00079")</f>
        <v>0.00079</v>
      </c>
    </row>
    <row r="4389" spans="1:7">
      <c r="A4389" s="3"/>
      <c r="B4389" s="3"/>
      <c r="C4389" s="3"/>
      <c r="D4389" s="3"/>
      <c r="E4389" s="3">
        <v>6</v>
      </c>
      <c r="F4389" s="4" t="str">
        <f>HYPERLINK("http://141.218.60.56/~jnz1568/getInfo.php?workbook=12_05.xlsx&amp;sheet=U0&amp;row=4389&amp;col=6&amp;number=3.5&amp;sourceID=14","3.5")</f>
        <v>3.5</v>
      </c>
      <c r="G4389" s="4" t="str">
        <f>HYPERLINK("http://141.218.60.56/~jnz1568/getInfo.php?workbook=12_05.xlsx&amp;sheet=U0&amp;row=4389&amp;col=7&amp;number=0.00079&amp;sourceID=14","0.00079")</f>
        <v>0.00079</v>
      </c>
    </row>
    <row r="4390" spans="1:7">
      <c r="A4390" s="3"/>
      <c r="B4390" s="3"/>
      <c r="C4390" s="3"/>
      <c r="D4390" s="3"/>
      <c r="E4390" s="3">
        <v>7</v>
      </c>
      <c r="F4390" s="4" t="str">
        <f>HYPERLINK("http://141.218.60.56/~jnz1568/getInfo.php?workbook=12_05.xlsx&amp;sheet=U0&amp;row=4390&amp;col=6&amp;number=3.6&amp;sourceID=14","3.6")</f>
        <v>3.6</v>
      </c>
      <c r="G4390" s="4" t="str">
        <f>HYPERLINK("http://141.218.60.56/~jnz1568/getInfo.php?workbook=12_05.xlsx&amp;sheet=U0&amp;row=4390&amp;col=7&amp;number=0.00079&amp;sourceID=14","0.00079")</f>
        <v>0.00079</v>
      </c>
    </row>
    <row r="4391" spans="1:7">
      <c r="A4391" s="3"/>
      <c r="B4391" s="3"/>
      <c r="C4391" s="3"/>
      <c r="D4391" s="3"/>
      <c r="E4391" s="3">
        <v>8</v>
      </c>
      <c r="F4391" s="4" t="str">
        <f>HYPERLINK("http://141.218.60.56/~jnz1568/getInfo.php?workbook=12_05.xlsx&amp;sheet=U0&amp;row=4391&amp;col=6&amp;number=3.7&amp;sourceID=14","3.7")</f>
        <v>3.7</v>
      </c>
      <c r="G4391" s="4" t="str">
        <f>HYPERLINK("http://141.218.60.56/~jnz1568/getInfo.php?workbook=12_05.xlsx&amp;sheet=U0&amp;row=4391&amp;col=7&amp;number=0.000789&amp;sourceID=14","0.000789")</f>
        <v>0.000789</v>
      </c>
    </row>
    <row r="4392" spans="1:7">
      <c r="A4392" s="3"/>
      <c r="B4392" s="3"/>
      <c r="C4392" s="3"/>
      <c r="D4392" s="3"/>
      <c r="E4392" s="3">
        <v>9</v>
      </c>
      <c r="F4392" s="4" t="str">
        <f>HYPERLINK("http://141.218.60.56/~jnz1568/getInfo.php?workbook=12_05.xlsx&amp;sheet=U0&amp;row=4392&amp;col=6&amp;number=3.8&amp;sourceID=14","3.8")</f>
        <v>3.8</v>
      </c>
      <c r="G4392" s="4" t="str">
        <f>HYPERLINK("http://141.218.60.56/~jnz1568/getInfo.php?workbook=12_05.xlsx&amp;sheet=U0&amp;row=4392&amp;col=7&amp;number=0.000789&amp;sourceID=14","0.000789")</f>
        <v>0.000789</v>
      </c>
    </row>
    <row r="4393" spans="1:7">
      <c r="A4393" s="3"/>
      <c r="B4393" s="3"/>
      <c r="C4393" s="3"/>
      <c r="D4393" s="3"/>
      <c r="E4393" s="3">
        <v>10</v>
      </c>
      <c r="F4393" s="4" t="str">
        <f>HYPERLINK("http://141.218.60.56/~jnz1568/getInfo.php?workbook=12_05.xlsx&amp;sheet=U0&amp;row=4393&amp;col=6&amp;number=3.9&amp;sourceID=14","3.9")</f>
        <v>3.9</v>
      </c>
      <c r="G4393" s="4" t="str">
        <f>HYPERLINK("http://141.218.60.56/~jnz1568/getInfo.php?workbook=12_05.xlsx&amp;sheet=U0&amp;row=4393&amp;col=7&amp;number=0.000788&amp;sourceID=14","0.000788")</f>
        <v>0.000788</v>
      </c>
    </row>
    <row r="4394" spans="1:7">
      <c r="A4394" s="3"/>
      <c r="B4394" s="3"/>
      <c r="C4394" s="3"/>
      <c r="D4394" s="3"/>
      <c r="E4394" s="3">
        <v>11</v>
      </c>
      <c r="F4394" s="4" t="str">
        <f>HYPERLINK("http://141.218.60.56/~jnz1568/getInfo.php?workbook=12_05.xlsx&amp;sheet=U0&amp;row=4394&amp;col=6&amp;number=4&amp;sourceID=14","4")</f>
        <v>4</v>
      </c>
      <c r="G4394" s="4" t="str">
        <f>HYPERLINK("http://141.218.60.56/~jnz1568/getInfo.php?workbook=12_05.xlsx&amp;sheet=U0&amp;row=4394&amp;col=7&amp;number=0.000787&amp;sourceID=14","0.000787")</f>
        <v>0.000787</v>
      </c>
    </row>
    <row r="4395" spans="1:7">
      <c r="A4395" s="3"/>
      <c r="B4395" s="3"/>
      <c r="C4395" s="3"/>
      <c r="D4395" s="3"/>
      <c r="E4395" s="3">
        <v>12</v>
      </c>
      <c r="F4395" s="4" t="str">
        <f>HYPERLINK("http://141.218.60.56/~jnz1568/getInfo.php?workbook=12_05.xlsx&amp;sheet=U0&amp;row=4395&amp;col=6&amp;number=4.1&amp;sourceID=14","4.1")</f>
        <v>4.1</v>
      </c>
      <c r="G4395" s="4" t="str">
        <f>HYPERLINK("http://141.218.60.56/~jnz1568/getInfo.php?workbook=12_05.xlsx&amp;sheet=U0&amp;row=4395&amp;col=7&amp;number=0.000786&amp;sourceID=14","0.000786")</f>
        <v>0.000786</v>
      </c>
    </row>
    <row r="4396" spans="1:7">
      <c r="A4396" s="3"/>
      <c r="B4396" s="3"/>
      <c r="C4396" s="3"/>
      <c r="D4396" s="3"/>
      <c r="E4396" s="3">
        <v>13</v>
      </c>
      <c r="F4396" s="4" t="str">
        <f>HYPERLINK("http://141.218.60.56/~jnz1568/getInfo.php?workbook=12_05.xlsx&amp;sheet=U0&amp;row=4396&amp;col=6&amp;number=4.2&amp;sourceID=14","4.2")</f>
        <v>4.2</v>
      </c>
      <c r="G4396" s="4" t="str">
        <f>HYPERLINK("http://141.218.60.56/~jnz1568/getInfo.php?workbook=12_05.xlsx&amp;sheet=U0&amp;row=4396&amp;col=7&amp;number=0.000785&amp;sourceID=14","0.000785")</f>
        <v>0.000785</v>
      </c>
    </row>
    <row r="4397" spans="1:7">
      <c r="A4397" s="3"/>
      <c r="B4397" s="3"/>
      <c r="C4397" s="3"/>
      <c r="D4397" s="3"/>
      <c r="E4397" s="3">
        <v>14</v>
      </c>
      <c r="F4397" s="4" t="str">
        <f>HYPERLINK("http://141.218.60.56/~jnz1568/getInfo.php?workbook=12_05.xlsx&amp;sheet=U0&amp;row=4397&amp;col=6&amp;number=4.3&amp;sourceID=14","4.3")</f>
        <v>4.3</v>
      </c>
      <c r="G4397" s="4" t="str">
        <f>HYPERLINK("http://141.218.60.56/~jnz1568/getInfo.php?workbook=12_05.xlsx&amp;sheet=U0&amp;row=4397&amp;col=7&amp;number=0.000783&amp;sourceID=14","0.000783")</f>
        <v>0.000783</v>
      </c>
    </row>
    <row r="4398" spans="1:7">
      <c r="A4398" s="3"/>
      <c r="B4398" s="3"/>
      <c r="C4398" s="3"/>
      <c r="D4398" s="3"/>
      <c r="E4398" s="3">
        <v>15</v>
      </c>
      <c r="F4398" s="4" t="str">
        <f>HYPERLINK("http://141.218.60.56/~jnz1568/getInfo.php?workbook=12_05.xlsx&amp;sheet=U0&amp;row=4398&amp;col=6&amp;number=4.4&amp;sourceID=14","4.4")</f>
        <v>4.4</v>
      </c>
      <c r="G4398" s="4" t="str">
        <f>HYPERLINK("http://141.218.60.56/~jnz1568/getInfo.php?workbook=12_05.xlsx&amp;sheet=U0&amp;row=4398&amp;col=7&amp;number=0.000781&amp;sourceID=14","0.000781")</f>
        <v>0.000781</v>
      </c>
    </row>
    <row r="4399" spans="1:7">
      <c r="A4399" s="3"/>
      <c r="B4399" s="3"/>
      <c r="C4399" s="3"/>
      <c r="D4399" s="3"/>
      <c r="E4399" s="3">
        <v>16</v>
      </c>
      <c r="F4399" s="4" t="str">
        <f>HYPERLINK("http://141.218.60.56/~jnz1568/getInfo.php?workbook=12_05.xlsx&amp;sheet=U0&amp;row=4399&amp;col=6&amp;number=4.5&amp;sourceID=14","4.5")</f>
        <v>4.5</v>
      </c>
      <c r="G4399" s="4" t="str">
        <f>HYPERLINK("http://141.218.60.56/~jnz1568/getInfo.php?workbook=12_05.xlsx&amp;sheet=U0&amp;row=4399&amp;col=7&amp;number=0.000779&amp;sourceID=14","0.000779")</f>
        <v>0.000779</v>
      </c>
    </row>
    <row r="4400" spans="1:7">
      <c r="A4400" s="3"/>
      <c r="B4400" s="3"/>
      <c r="C4400" s="3"/>
      <c r="D4400" s="3"/>
      <c r="E4400" s="3">
        <v>17</v>
      </c>
      <c r="F4400" s="4" t="str">
        <f>HYPERLINK("http://141.218.60.56/~jnz1568/getInfo.php?workbook=12_05.xlsx&amp;sheet=U0&amp;row=4400&amp;col=6&amp;number=4.6&amp;sourceID=14","4.6")</f>
        <v>4.6</v>
      </c>
      <c r="G4400" s="4" t="str">
        <f>HYPERLINK("http://141.218.60.56/~jnz1568/getInfo.php?workbook=12_05.xlsx&amp;sheet=U0&amp;row=4400&amp;col=7&amp;number=0.000775&amp;sourceID=14","0.000775")</f>
        <v>0.000775</v>
      </c>
    </row>
    <row r="4401" spans="1:7">
      <c r="A4401" s="3"/>
      <c r="B4401" s="3"/>
      <c r="C4401" s="3"/>
      <c r="D4401" s="3"/>
      <c r="E4401" s="3">
        <v>18</v>
      </c>
      <c r="F4401" s="4" t="str">
        <f>HYPERLINK("http://141.218.60.56/~jnz1568/getInfo.php?workbook=12_05.xlsx&amp;sheet=U0&amp;row=4401&amp;col=6&amp;number=4.7&amp;sourceID=14","4.7")</f>
        <v>4.7</v>
      </c>
      <c r="G4401" s="4" t="str">
        <f>HYPERLINK("http://141.218.60.56/~jnz1568/getInfo.php?workbook=12_05.xlsx&amp;sheet=U0&amp;row=4401&amp;col=7&amp;number=0.000771&amp;sourceID=14","0.000771")</f>
        <v>0.000771</v>
      </c>
    </row>
    <row r="4402" spans="1:7">
      <c r="A4402" s="3"/>
      <c r="B4402" s="3"/>
      <c r="C4402" s="3"/>
      <c r="D4402" s="3"/>
      <c r="E4402" s="3">
        <v>19</v>
      </c>
      <c r="F4402" s="4" t="str">
        <f>HYPERLINK("http://141.218.60.56/~jnz1568/getInfo.php?workbook=12_05.xlsx&amp;sheet=U0&amp;row=4402&amp;col=6&amp;number=4.8&amp;sourceID=14","4.8")</f>
        <v>4.8</v>
      </c>
      <c r="G4402" s="4" t="str">
        <f>HYPERLINK("http://141.218.60.56/~jnz1568/getInfo.php?workbook=12_05.xlsx&amp;sheet=U0&amp;row=4402&amp;col=7&amp;number=0.000766&amp;sourceID=14","0.000766")</f>
        <v>0.000766</v>
      </c>
    </row>
    <row r="4403" spans="1:7">
      <c r="A4403" s="3"/>
      <c r="B4403" s="3"/>
      <c r="C4403" s="3"/>
      <c r="D4403" s="3"/>
      <c r="E4403" s="3">
        <v>20</v>
      </c>
      <c r="F4403" s="4" t="str">
        <f>HYPERLINK("http://141.218.60.56/~jnz1568/getInfo.php?workbook=12_05.xlsx&amp;sheet=U0&amp;row=4403&amp;col=6&amp;number=4.9&amp;sourceID=14","4.9")</f>
        <v>4.9</v>
      </c>
      <c r="G4403" s="4" t="str">
        <f>HYPERLINK("http://141.218.60.56/~jnz1568/getInfo.php?workbook=12_05.xlsx&amp;sheet=U0&amp;row=4403&amp;col=7&amp;number=0.00076&amp;sourceID=14","0.00076")</f>
        <v>0.00076</v>
      </c>
    </row>
    <row r="4404" spans="1:7">
      <c r="A4404" s="3">
        <v>12</v>
      </c>
      <c r="B4404" s="3">
        <v>5</v>
      </c>
      <c r="C4404" s="3">
        <v>2</v>
      </c>
      <c r="D4404" s="3">
        <v>73</v>
      </c>
      <c r="E4404" s="3">
        <v>1</v>
      </c>
      <c r="F4404" s="4" t="str">
        <f>HYPERLINK("http://141.218.60.56/~jnz1568/getInfo.php?workbook=12_05.xlsx&amp;sheet=U0&amp;row=4404&amp;col=6&amp;number=3&amp;sourceID=14","3")</f>
        <v>3</v>
      </c>
      <c r="G4404" s="4" t="str">
        <f>HYPERLINK("http://141.218.60.56/~jnz1568/getInfo.php?workbook=12_05.xlsx&amp;sheet=U0&amp;row=4404&amp;col=7&amp;number=0.0302&amp;sourceID=14","0.0302")</f>
        <v>0.0302</v>
      </c>
    </row>
    <row r="4405" spans="1:7">
      <c r="A4405" s="3"/>
      <c r="B4405" s="3"/>
      <c r="C4405" s="3"/>
      <c r="D4405" s="3"/>
      <c r="E4405" s="3">
        <v>2</v>
      </c>
      <c r="F4405" s="4" t="str">
        <f>HYPERLINK("http://141.218.60.56/~jnz1568/getInfo.php?workbook=12_05.xlsx&amp;sheet=U0&amp;row=4405&amp;col=6&amp;number=3.1&amp;sourceID=14","3.1")</f>
        <v>3.1</v>
      </c>
      <c r="G4405" s="4" t="str">
        <f>HYPERLINK("http://141.218.60.56/~jnz1568/getInfo.php?workbook=12_05.xlsx&amp;sheet=U0&amp;row=4405&amp;col=7&amp;number=0.0302&amp;sourceID=14","0.0302")</f>
        <v>0.0302</v>
      </c>
    </row>
    <row r="4406" spans="1:7">
      <c r="A4406" s="3"/>
      <c r="B4406" s="3"/>
      <c r="C4406" s="3"/>
      <c r="D4406" s="3"/>
      <c r="E4406" s="3">
        <v>3</v>
      </c>
      <c r="F4406" s="4" t="str">
        <f>HYPERLINK("http://141.218.60.56/~jnz1568/getInfo.php?workbook=12_05.xlsx&amp;sheet=U0&amp;row=4406&amp;col=6&amp;number=3.2&amp;sourceID=14","3.2")</f>
        <v>3.2</v>
      </c>
      <c r="G4406" s="4" t="str">
        <f>HYPERLINK("http://141.218.60.56/~jnz1568/getInfo.php?workbook=12_05.xlsx&amp;sheet=U0&amp;row=4406&amp;col=7&amp;number=0.0302&amp;sourceID=14","0.0302")</f>
        <v>0.0302</v>
      </c>
    </row>
    <row r="4407" spans="1:7">
      <c r="A4407" s="3"/>
      <c r="B4407" s="3"/>
      <c r="C4407" s="3"/>
      <c r="D4407" s="3"/>
      <c r="E4407" s="3">
        <v>4</v>
      </c>
      <c r="F4407" s="4" t="str">
        <f>HYPERLINK("http://141.218.60.56/~jnz1568/getInfo.php?workbook=12_05.xlsx&amp;sheet=U0&amp;row=4407&amp;col=6&amp;number=3.3&amp;sourceID=14","3.3")</f>
        <v>3.3</v>
      </c>
      <c r="G4407" s="4" t="str">
        <f>HYPERLINK("http://141.218.60.56/~jnz1568/getInfo.php?workbook=12_05.xlsx&amp;sheet=U0&amp;row=4407&amp;col=7&amp;number=0.0302&amp;sourceID=14","0.0302")</f>
        <v>0.0302</v>
      </c>
    </row>
    <row r="4408" spans="1:7">
      <c r="A4408" s="3"/>
      <c r="B4408" s="3"/>
      <c r="C4408" s="3"/>
      <c r="D4408" s="3"/>
      <c r="E4408" s="3">
        <v>5</v>
      </c>
      <c r="F4408" s="4" t="str">
        <f>HYPERLINK("http://141.218.60.56/~jnz1568/getInfo.php?workbook=12_05.xlsx&amp;sheet=U0&amp;row=4408&amp;col=6&amp;number=3.4&amp;sourceID=14","3.4")</f>
        <v>3.4</v>
      </c>
      <c r="G4408" s="4" t="str">
        <f>HYPERLINK("http://141.218.60.56/~jnz1568/getInfo.php?workbook=12_05.xlsx&amp;sheet=U0&amp;row=4408&amp;col=7&amp;number=0.0302&amp;sourceID=14","0.0302")</f>
        <v>0.0302</v>
      </c>
    </row>
    <row r="4409" spans="1:7">
      <c r="A4409" s="3"/>
      <c r="B4409" s="3"/>
      <c r="C4409" s="3"/>
      <c r="D4409" s="3"/>
      <c r="E4409" s="3">
        <v>6</v>
      </c>
      <c r="F4409" s="4" t="str">
        <f>HYPERLINK("http://141.218.60.56/~jnz1568/getInfo.php?workbook=12_05.xlsx&amp;sheet=U0&amp;row=4409&amp;col=6&amp;number=3.5&amp;sourceID=14","3.5")</f>
        <v>3.5</v>
      </c>
      <c r="G4409" s="4" t="str">
        <f>HYPERLINK("http://141.218.60.56/~jnz1568/getInfo.php?workbook=12_05.xlsx&amp;sheet=U0&amp;row=4409&amp;col=7&amp;number=0.0301&amp;sourceID=14","0.0301")</f>
        <v>0.0301</v>
      </c>
    </row>
    <row r="4410" spans="1:7">
      <c r="A4410" s="3"/>
      <c r="B4410" s="3"/>
      <c r="C4410" s="3"/>
      <c r="D4410" s="3"/>
      <c r="E4410" s="3">
        <v>7</v>
      </c>
      <c r="F4410" s="4" t="str">
        <f>HYPERLINK("http://141.218.60.56/~jnz1568/getInfo.php?workbook=12_05.xlsx&amp;sheet=U0&amp;row=4410&amp;col=6&amp;number=3.6&amp;sourceID=14","3.6")</f>
        <v>3.6</v>
      </c>
      <c r="G4410" s="4" t="str">
        <f>HYPERLINK("http://141.218.60.56/~jnz1568/getInfo.php?workbook=12_05.xlsx&amp;sheet=U0&amp;row=4410&amp;col=7&amp;number=0.0301&amp;sourceID=14","0.0301")</f>
        <v>0.0301</v>
      </c>
    </row>
    <row r="4411" spans="1:7">
      <c r="A4411" s="3"/>
      <c r="B4411" s="3"/>
      <c r="C4411" s="3"/>
      <c r="D4411" s="3"/>
      <c r="E4411" s="3">
        <v>8</v>
      </c>
      <c r="F4411" s="4" t="str">
        <f>HYPERLINK("http://141.218.60.56/~jnz1568/getInfo.php?workbook=12_05.xlsx&amp;sheet=U0&amp;row=4411&amp;col=6&amp;number=3.7&amp;sourceID=14","3.7")</f>
        <v>3.7</v>
      </c>
      <c r="G4411" s="4" t="str">
        <f>HYPERLINK("http://141.218.60.56/~jnz1568/getInfo.php?workbook=12_05.xlsx&amp;sheet=U0&amp;row=4411&amp;col=7&amp;number=0.0301&amp;sourceID=14","0.0301")</f>
        <v>0.0301</v>
      </c>
    </row>
    <row r="4412" spans="1:7">
      <c r="A4412" s="3"/>
      <c r="B4412" s="3"/>
      <c r="C4412" s="3"/>
      <c r="D4412" s="3"/>
      <c r="E4412" s="3">
        <v>9</v>
      </c>
      <c r="F4412" s="4" t="str">
        <f>HYPERLINK("http://141.218.60.56/~jnz1568/getInfo.php?workbook=12_05.xlsx&amp;sheet=U0&amp;row=4412&amp;col=6&amp;number=3.8&amp;sourceID=14","3.8")</f>
        <v>3.8</v>
      </c>
      <c r="G4412" s="4" t="str">
        <f>HYPERLINK("http://141.218.60.56/~jnz1568/getInfo.php?workbook=12_05.xlsx&amp;sheet=U0&amp;row=4412&amp;col=7&amp;number=0.0301&amp;sourceID=14","0.0301")</f>
        <v>0.0301</v>
      </c>
    </row>
    <row r="4413" spans="1:7">
      <c r="A4413" s="3"/>
      <c r="B4413" s="3"/>
      <c r="C4413" s="3"/>
      <c r="D4413" s="3"/>
      <c r="E4413" s="3">
        <v>10</v>
      </c>
      <c r="F4413" s="4" t="str">
        <f>HYPERLINK("http://141.218.60.56/~jnz1568/getInfo.php?workbook=12_05.xlsx&amp;sheet=U0&amp;row=4413&amp;col=6&amp;number=3.9&amp;sourceID=14","3.9")</f>
        <v>3.9</v>
      </c>
      <c r="G4413" s="4" t="str">
        <f>HYPERLINK("http://141.218.60.56/~jnz1568/getInfo.php?workbook=12_05.xlsx&amp;sheet=U0&amp;row=4413&amp;col=7&amp;number=0.0301&amp;sourceID=14","0.0301")</f>
        <v>0.0301</v>
      </c>
    </row>
    <row r="4414" spans="1:7">
      <c r="A4414" s="3"/>
      <c r="B4414" s="3"/>
      <c r="C4414" s="3"/>
      <c r="D4414" s="3"/>
      <c r="E4414" s="3">
        <v>11</v>
      </c>
      <c r="F4414" s="4" t="str">
        <f>HYPERLINK("http://141.218.60.56/~jnz1568/getInfo.php?workbook=12_05.xlsx&amp;sheet=U0&amp;row=4414&amp;col=6&amp;number=4&amp;sourceID=14","4")</f>
        <v>4</v>
      </c>
      <c r="G4414" s="4" t="str">
        <f>HYPERLINK("http://141.218.60.56/~jnz1568/getInfo.php?workbook=12_05.xlsx&amp;sheet=U0&amp;row=4414&amp;col=7&amp;number=0.0301&amp;sourceID=14","0.0301")</f>
        <v>0.0301</v>
      </c>
    </row>
    <row r="4415" spans="1:7">
      <c r="A4415" s="3"/>
      <c r="B4415" s="3"/>
      <c r="C4415" s="3"/>
      <c r="D4415" s="3"/>
      <c r="E4415" s="3">
        <v>12</v>
      </c>
      <c r="F4415" s="4" t="str">
        <f>HYPERLINK("http://141.218.60.56/~jnz1568/getInfo.php?workbook=12_05.xlsx&amp;sheet=U0&amp;row=4415&amp;col=6&amp;number=4.1&amp;sourceID=14","4.1")</f>
        <v>4.1</v>
      </c>
      <c r="G4415" s="4" t="str">
        <f>HYPERLINK("http://141.218.60.56/~jnz1568/getInfo.php?workbook=12_05.xlsx&amp;sheet=U0&amp;row=4415&amp;col=7&amp;number=0.03&amp;sourceID=14","0.03")</f>
        <v>0.03</v>
      </c>
    </row>
    <row r="4416" spans="1:7">
      <c r="A4416" s="3"/>
      <c r="B4416" s="3"/>
      <c r="C4416" s="3"/>
      <c r="D4416" s="3"/>
      <c r="E4416" s="3">
        <v>13</v>
      </c>
      <c r="F4416" s="4" t="str">
        <f>HYPERLINK("http://141.218.60.56/~jnz1568/getInfo.php?workbook=12_05.xlsx&amp;sheet=U0&amp;row=4416&amp;col=6&amp;number=4.2&amp;sourceID=14","4.2")</f>
        <v>4.2</v>
      </c>
      <c r="G4416" s="4" t="str">
        <f>HYPERLINK("http://141.218.60.56/~jnz1568/getInfo.php?workbook=12_05.xlsx&amp;sheet=U0&amp;row=4416&amp;col=7&amp;number=0.03&amp;sourceID=14","0.03")</f>
        <v>0.03</v>
      </c>
    </row>
    <row r="4417" spans="1:7">
      <c r="A4417" s="3"/>
      <c r="B4417" s="3"/>
      <c r="C4417" s="3"/>
      <c r="D4417" s="3"/>
      <c r="E4417" s="3">
        <v>14</v>
      </c>
      <c r="F4417" s="4" t="str">
        <f>HYPERLINK("http://141.218.60.56/~jnz1568/getInfo.php?workbook=12_05.xlsx&amp;sheet=U0&amp;row=4417&amp;col=6&amp;number=4.3&amp;sourceID=14","4.3")</f>
        <v>4.3</v>
      </c>
      <c r="G4417" s="4" t="str">
        <f>HYPERLINK("http://141.218.60.56/~jnz1568/getInfo.php?workbook=12_05.xlsx&amp;sheet=U0&amp;row=4417&amp;col=7&amp;number=0.0299&amp;sourceID=14","0.0299")</f>
        <v>0.0299</v>
      </c>
    </row>
    <row r="4418" spans="1:7">
      <c r="A4418" s="3"/>
      <c r="B4418" s="3"/>
      <c r="C4418" s="3"/>
      <c r="D4418" s="3"/>
      <c r="E4418" s="3">
        <v>15</v>
      </c>
      <c r="F4418" s="4" t="str">
        <f>HYPERLINK("http://141.218.60.56/~jnz1568/getInfo.php?workbook=12_05.xlsx&amp;sheet=U0&amp;row=4418&amp;col=6&amp;number=4.4&amp;sourceID=14","4.4")</f>
        <v>4.4</v>
      </c>
      <c r="G4418" s="4" t="str">
        <f>HYPERLINK("http://141.218.60.56/~jnz1568/getInfo.php?workbook=12_05.xlsx&amp;sheet=U0&amp;row=4418&amp;col=7&amp;number=0.0298&amp;sourceID=14","0.0298")</f>
        <v>0.0298</v>
      </c>
    </row>
    <row r="4419" spans="1:7">
      <c r="A4419" s="3"/>
      <c r="B4419" s="3"/>
      <c r="C4419" s="3"/>
      <c r="D4419" s="3"/>
      <c r="E4419" s="3">
        <v>16</v>
      </c>
      <c r="F4419" s="4" t="str">
        <f>HYPERLINK("http://141.218.60.56/~jnz1568/getInfo.php?workbook=12_05.xlsx&amp;sheet=U0&amp;row=4419&amp;col=6&amp;number=4.5&amp;sourceID=14","4.5")</f>
        <v>4.5</v>
      </c>
      <c r="G4419" s="4" t="str">
        <f>HYPERLINK("http://141.218.60.56/~jnz1568/getInfo.php?workbook=12_05.xlsx&amp;sheet=U0&amp;row=4419&amp;col=7&amp;number=0.0298&amp;sourceID=14","0.0298")</f>
        <v>0.0298</v>
      </c>
    </row>
    <row r="4420" spans="1:7">
      <c r="A4420" s="3"/>
      <c r="B4420" s="3"/>
      <c r="C4420" s="3"/>
      <c r="D4420" s="3"/>
      <c r="E4420" s="3">
        <v>17</v>
      </c>
      <c r="F4420" s="4" t="str">
        <f>HYPERLINK("http://141.218.60.56/~jnz1568/getInfo.php?workbook=12_05.xlsx&amp;sheet=U0&amp;row=4420&amp;col=6&amp;number=4.6&amp;sourceID=14","4.6")</f>
        <v>4.6</v>
      </c>
      <c r="G4420" s="4" t="str">
        <f>HYPERLINK("http://141.218.60.56/~jnz1568/getInfo.php?workbook=12_05.xlsx&amp;sheet=U0&amp;row=4420&amp;col=7&amp;number=0.0296&amp;sourceID=14","0.0296")</f>
        <v>0.0296</v>
      </c>
    </row>
    <row r="4421" spans="1:7">
      <c r="A4421" s="3"/>
      <c r="B4421" s="3"/>
      <c r="C4421" s="3"/>
      <c r="D4421" s="3"/>
      <c r="E4421" s="3">
        <v>18</v>
      </c>
      <c r="F4421" s="4" t="str">
        <f>HYPERLINK("http://141.218.60.56/~jnz1568/getInfo.php?workbook=12_05.xlsx&amp;sheet=U0&amp;row=4421&amp;col=6&amp;number=4.7&amp;sourceID=14","4.7")</f>
        <v>4.7</v>
      </c>
      <c r="G4421" s="4" t="str">
        <f>HYPERLINK("http://141.218.60.56/~jnz1568/getInfo.php?workbook=12_05.xlsx&amp;sheet=U0&amp;row=4421&amp;col=7&amp;number=0.0295&amp;sourceID=14","0.0295")</f>
        <v>0.0295</v>
      </c>
    </row>
    <row r="4422" spans="1:7">
      <c r="A4422" s="3"/>
      <c r="B4422" s="3"/>
      <c r="C4422" s="3"/>
      <c r="D4422" s="3"/>
      <c r="E4422" s="3">
        <v>19</v>
      </c>
      <c r="F4422" s="4" t="str">
        <f>HYPERLINK("http://141.218.60.56/~jnz1568/getInfo.php?workbook=12_05.xlsx&amp;sheet=U0&amp;row=4422&amp;col=6&amp;number=4.8&amp;sourceID=14","4.8")</f>
        <v>4.8</v>
      </c>
      <c r="G4422" s="4" t="str">
        <f>HYPERLINK("http://141.218.60.56/~jnz1568/getInfo.php?workbook=12_05.xlsx&amp;sheet=U0&amp;row=4422&amp;col=7&amp;number=0.0293&amp;sourceID=14","0.0293")</f>
        <v>0.0293</v>
      </c>
    </row>
    <row r="4423" spans="1:7">
      <c r="A4423" s="3"/>
      <c r="B4423" s="3"/>
      <c r="C4423" s="3"/>
      <c r="D4423" s="3"/>
      <c r="E4423" s="3">
        <v>20</v>
      </c>
      <c r="F4423" s="4" t="str">
        <f>HYPERLINK("http://141.218.60.56/~jnz1568/getInfo.php?workbook=12_05.xlsx&amp;sheet=U0&amp;row=4423&amp;col=6&amp;number=4.9&amp;sourceID=14","4.9")</f>
        <v>4.9</v>
      </c>
      <c r="G4423" s="4" t="str">
        <f>HYPERLINK("http://141.218.60.56/~jnz1568/getInfo.php?workbook=12_05.xlsx&amp;sheet=U0&amp;row=4423&amp;col=7&amp;number=0.0291&amp;sourceID=14","0.0291")</f>
        <v>0.0291</v>
      </c>
    </row>
    <row r="4424" spans="1:7">
      <c r="A4424" s="3">
        <v>12</v>
      </c>
      <c r="B4424" s="3">
        <v>5</v>
      </c>
      <c r="C4424" s="3">
        <v>2</v>
      </c>
      <c r="D4424" s="3">
        <v>74</v>
      </c>
      <c r="E4424" s="3">
        <v>1</v>
      </c>
      <c r="F4424" s="4" t="str">
        <f>HYPERLINK("http://141.218.60.56/~jnz1568/getInfo.php?workbook=12_05.xlsx&amp;sheet=U0&amp;row=4424&amp;col=6&amp;number=3&amp;sourceID=14","3")</f>
        <v>3</v>
      </c>
      <c r="G4424" s="4" t="str">
        <f>HYPERLINK("http://141.218.60.56/~jnz1568/getInfo.php?workbook=12_05.xlsx&amp;sheet=U0&amp;row=4424&amp;col=7&amp;number=0.000588&amp;sourceID=14","0.000588")</f>
        <v>0.000588</v>
      </c>
    </row>
    <row r="4425" spans="1:7">
      <c r="A4425" s="3"/>
      <c r="B4425" s="3"/>
      <c r="C4425" s="3"/>
      <c r="D4425" s="3"/>
      <c r="E4425" s="3">
        <v>2</v>
      </c>
      <c r="F4425" s="4" t="str">
        <f>HYPERLINK("http://141.218.60.56/~jnz1568/getInfo.php?workbook=12_05.xlsx&amp;sheet=U0&amp;row=4425&amp;col=6&amp;number=3.1&amp;sourceID=14","3.1")</f>
        <v>3.1</v>
      </c>
      <c r="G4425" s="4" t="str">
        <f>HYPERLINK("http://141.218.60.56/~jnz1568/getInfo.php?workbook=12_05.xlsx&amp;sheet=U0&amp;row=4425&amp;col=7&amp;number=0.000588&amp;sourceID=14","0.000588")</f>
        <v>0.000588</v>
      </c>
    </row>
    <row r="4426" spans="1:7">
      <c r="A4426" s="3"/>
      <c r="B4426" s="3"/>
      <c r="C4426" s="3"/>
      <c r="D4426" s="3"/>
      <c r="E4426" s="3">
        <v>3</v>
      </c>
      <c r="F4426" s="4" t="str">
        <f>HYPERLINK("http://141.218.60.56/~jnz1568/getInfo.php?workbook=12_05.xlsx&amp;sheet=U0&amp;row=4426&amp;col=6&amp;number=3.2&amp;sourceID=14","3.2")</f>
        <v>3.2</v>
      </c>
      <c r="G4426" s="4" t="str">
        <f>HYPERLINK("http://141.218.60.56/~jnz1568/getInfo.php?workbook=12_05.xlsx&amp;sheet=U0&amp;row=4426&amp;col=7&amp;number=0.000588&amp;sourceID=14","0.000588")</f>
        <v>0.000588</v>
      </c>
    </row>
    <row r="4427" spans="1:7">
      <c r="A4427" s="3"/>
      <c r="B4427" s="3"/>
      <c r="C4427" s="3"/>
      <c r="D4427" s="3"/>
      <c r="E4427" s="3">
        <v>4</v>
      </c>
      <c r="F4427" s="4" t="str">
        <f>HYPERLINK("http://141.218.60.56/~jnz1568/getInfo.php?workbook=12_05.xlsx&amp;sheet=U0&amp;row=4427&amp;col=6&amp;number=3.3&amp;sourceID=14","3.3")</f>
        <v>3.3</v>
      </c>
      <c r="G4427" s="4" t="str">
        <f>HYPERLINK("http://141.218.60.56/~jnz1568/getInfo.php?workbook=12_05.xlsx&amp;sheet=U0&amp;row=4427&amp;col=7&amp;number=0.000588&amp;sourceID=14","0.000588")</f>
        <v>0.000588</v>
      </c>
    </row>
    <row r="4428" spans="1:7">
      <c r="A4428" s="3"/>
      <c r="B4428" s="3"/>
      <c r="C4428" s="3"/>
      <c r="D4428" s="3"/>
      <c r="E4428" s="3">
        <v>5</v>
      </c>
      <c r="F4428" s="4" t="str">
        <f>HYPERLINK("http://141.218.60.56/~jnz1568/getInfo.php?workbook=12_05.xlsx&amp;sheet=U0&amp;row=4428&amp;col=6&amp;number=3.4&amp;sourceID=14","3.4")</f>
        <v>3.4</v>
      </c>
      <c r="G4428" s="4" t="str">
        <f>HYPERLINK("http://141.218.60.56/~jnz1568/getInfo.php?workbook=12_05.xlsx&amp;sheet=U0&amp;row=4428&amp;col=7&amp;number=0.000588&amp;sourceID=14","0.000588")</f>
        <v>0.000588</v>
      </c>
    </row>
    <row r="4429" spans="1:7">
      <c r="A4429" s="3"/>
      <c r="B4429" s="3"/>
      <c r="C4429" s="3"/>
      <c r="D4429" s="3"/>
      <c r="E4429" s="3">
        <v>6</v>
      </c>
      <c r="F4429" s="4" t="str">
        <f>HYPERLINK("http://141.218.60.56/~jnz1568/getInfo.php?workbook=12_05.xlsx&amp;sheet=U0&amp;row=4429&amp;col=6&amp;number=3.5&amp;sourceID=14","3.5")</f>
        <v>3.5</v>
      </c>
      <c r="G4429" s="4" t="str">
        <f>HYPERLINK("http://141.218.60.56/~jnz1568/getInfo.php?workbook=12_05.xlsx&amp;sheet=U0&amp;row=4429&amp;col=7&amp;number=0.000587&amp;sourceID=14","0.000587")</f>
        <v>0.000587</v>
      </c>
    </row>
    <row r="4430" spans="1:7">
      <c r="A4430" s="3"/>
      <c r="B4430" s="3"/>
      <c r="C4430" s="3"/>
      <c r="D4430" s="3"/>
      <c r="E4430" s="3">
        <v>7</v>
      </c>
      <c r="F4430" s="4" t="str">
        <f>HYPERLINK("http://141.218.60.56/~jnz1568/getInfo.php?workbook=12_05.xlsx&amp;sheet=U0&amp;row=4430&amp;col=6&amp;number=3.6&amp;sourceID=14","3.6")</f>
        <v>3.6</v>
      </c>
      <c r="G4430" s="4" t="str">
        <f>HYPERLINK("http://141.218.60.56/~jnz1568/getInfo.php?workbook=12_05.xlsx&amp;sheet=U0&amp;row=4430&amp;col=7&amp;number=0.000587&amp;sourceID=14","0.000587")</f>
        <v>0.000587</v>
      </c>
    </row>
    <row r="4431" spans="1:7">
      <c r="A4431" s="3"/>
      <c r="B4431" s="3"/>
      <c r="C4431" s="3"/>
      <c r="D4431" s="3"/>
      <c r="E4431" s="3">
        <v>8</v>
      </c>
      <c r="F4431" s="4" t="str">
        <f>HYPERLINK("http://141.218.60.56/~jnz1568/getInfo.php?workbook=12_05.xlsx&amp;sheet=U0&amp;row=4431&amp;col=6&amp;number=3.7&amp;sourceID=14","3.7")</f>
        <v>3.7</v>
      </c>
      <c r="G4431" s="4" t="str">
        <f>HYPERLINK("http://141.218.60.56/~jnz1568/getInfo.php?workbook=12_05.xlsx&amp;sheet=U0&amp;row=4431&amp;col=7&amp;number=0.000586&amp;sourceID=14","0.000586")</f>
        <v>0.000586</v>
      </c>
    </row>
    <row r="4432" spans="1:7">
      <c r="A4432" s="3"/>
      <c r="B4432" s="3"/>
      <c r="C4432" s="3"/>
      <c r="D4432" s="3"/>
      <c r="E4432" s="3">
        <v>9</v>
      </c>
      <c r="F4432" s="4" t="str">
        <f>HYPERLINK("http://141.218.60.56/~jnz1568/getInfo.php?workbook=12_05.xlsx&amp;sheet=U0&amp;row=4432&amp;col=6&amp;number=3.8&amp;sourceID=14","3.8")</f>
        <v>3.8</v>
      </c>
      <c r="G4432" s="4" t="str">
        <f>HYPERLINK("http://141.218.60.56/~jnz1568/getInfo.php?workbook=12_05.xlsx&amp;sheet=U0&amp;row=4432&amp;col=7&amp;number=0.000586&amp;sourceID=14","0.000586")</f>
        <v>0.000586</v>
      </c>
    </row>
    <row r="4433" spans="1:7">
      <c r="A4433" s="3"/>
      <c r="B4433" s="3"/>
      <c r="C4433" s="3"/>
      <c r="D4433" s="3"/>
      <c r="E4433" s="3">
        <v>10</v>
      </c>
      <c r="F4433" s="4" t="str">
        <f>HYPERLINK("http://141.218.60.56/~jnz1568/getInfo.php?workbook=12_05.xlsx&amp;sheet=U0&amp;row=4433&amp;col=6&amp;number=3.9&amp;sourceID=14","3.9")</f>
        <v>3.9</v>
      </c>
      <c r="G4433" s="4" t="str">
        <f>HYPERLINK("http://141.218.60.56/~jnz1568/getInfo.php?workbook=12_05.xlsx&amp;sheet=U0&amp;row=4433&amp;col=7&amp;number=0.000585&amp;sourceID=14","0.000585")</f>
        <v>0.000585</v>
      </c>
    </row>
    <row r="4434" spans="1:7">
      <c r="A4434" s="3"/>
      <c r="B4434" s="3"/>
      <c r="C4434" s="3"/>
      <c r="D4434" s="3"/>
      <c r="E4434" s="3">
        <v>11</v>
      </c>
      <c r="F4434" s="4" t="str">
        <f>HYPERLINK("http://141.218.60.56/~jnz1568/getInfo.php?workbook=12_05.xlsx&amp;sheet=U0&amp;row=4434&amp;col=6&amp;number=4&amp;sourceID=14","4")</f>
        <v>4</v>
      </c>
      <c r="G4434" s="4" t="str">
        <f>HYPERLINK("http://141.218.60.56/~jnz1568/getInfo.php?workbook=12_05.xlsx&amp;sheet=U0&amp;row=4434&amp;col=7&amp;number=0.000584&amp;sourceID=14","0.000584")</f>
        <v>0.000584</v>
      </c>
    </row>
    <row r="4435" spans="1:7">
      <c r="A4435" s="3"/>
      <c r="B4435" s="3"/>
      <c r="C4435" s="3"/>
      <c r="D4435" s="3"/>
      <c r="E4435" s="3">
        <v>12</v>
      </c>
      <c r="F4435" s="4" t="str">
        <f>HYPERLINK("http://141.218.60.56/~jnz1568/getInfo.php?workbook=12_05.xlsx&amp;sheet=U0&amp;row=4435&amp;col=6&amp;number=4.1&amp;sourceID=14","4.1")</f>
        <v>4.1</v>
      </c>
      <c r="G4435" s="4" t="str">
        <f>HYPERLINK("http://141.218.60.56/~jnz1568/getInfo.php?workbook=12_05.xlsx&amp;sheet=U0&amp;row=4435&amp;col=7&amp;number=0.000582&amp;sourceID=14","0.000582")</f>
        <v>0.000582</v>
      </c>
    </row>
    <row r="4436" spans="1:7">
      <c r="A4436" s="3"/>
      <c r="B4436" s="3"/>
      <c r="C4436" s="3"/>
      <c r="D4436" s="3"/>
      <c r="E4436" s="3">
        <v>13</v>
      </c>
      <c r="F4436" s="4" t="str">
        <f>HYPERLINK("http://141.218.60.56/~jnz1568/getInfo.php?workbook=12_05.xlsx&amp;sheet=U0&amp;row=4436&amp;col=6&amp;number=4.2&amp;sourceID=14","4.2")</f>
        <v>4.2</v>
      </c>
      <c r="G4436" s="4" t="str">
        <f>HYPERLINK("http://141.218.60.56/~jnz1568/getInfo.php?workbook=12_05.xlsx&amp;sheet=U0&amp;row=4436&amp;col=7&amp;number=0.00058&amp;sourceID=14","0.00058")</f>
        <v>0.00058</v>
      </c>
    </row>
    <row r="4437" spans="1:7">
      <c r="A4437" s="3"/>
      <c r="B4437" s="3"/>
      <c r="C4437" s="3"/>
      <c r="D4437" s="3"/>
      <c r="E4437" s="3">
        <v>14</v>
      </c>
      <c r="F4437" s="4" t="str">
        <f>HYPERLINK("http://141.218.60.56/~jnz1568/getInfo.php?workbook=12_05.xlsx&amp;sheet=U0&amp;row=4437&amp;col=6&amp;number=4.3&amp;sourceID=14","4.3")</f>
        <v>4.3</v>
      </c>
      <c r="G4437" s="4" t="str">
        <f>HYPERLINK("http://141.218.60.56/~jnz1568/getInfo.php?workbook=12_05.xlsx&amp;sheet=U0&amp;row=4437&amp;col=7&amp;number=0.000578&amp;sourceID=14","0.000578")</f>
        <v>0.000578</v>
      </c>
    </row>
    <row r="4438" spans="1:7">
      <c r="A4438" s="3"/>
      <c r="B4438" s="3"/>
      <c r="C4438" s="3"/>
      <c r="D4438" s="3"/>
      <c r="E4438" s="3">
        <v>15</v>
      </c>
      <c r="F4438" s="4" t="str">
        <f>HYPERLINK("http://141.218.60.56/~jnz1568/getInfo.php?workbook=12_05.xlsx&amp;sheet=U0&amp;row=4438&amp;col=6&amp;number=4.4&amp;sourceID=14","4.4")</f>
        <v>4.4</v>
      </c>
      <c r="G4438" s="4" t="str">
        <f>HYPERLINK("http://141.218.60.56/~jnz1568/getInfo.php?workbook=12_05.xlsx&amp;sheet=U0&amp;row=4438&amp;col=7&amp;number=0.000576&amp;sourceID=14","0.000576")</f>
        <v>0.000576</v>
      </c>
    </row>
    <row r="4439" spans="1:7">
      <c r="A4439" s="3"/>
      <c r="B4439" s="3"/>
      <c r="C4439" s="3"/>
      <c r="D4439" s="3"/>
      <c r="E4439" s="3">
        <v>16</v>
      </c>
      <c r="F4439" s="4" t="str">
        <f>HYPERLINK("http://141.218.60.56/~jnz1568/getInfo.php?workbook=12_05.xlsx&amp;sheet=U0&amp;row=4439&amp;col=6&amp;number=4.5&amp;sourceID=14","4.5")</f>
        <v>4.5</v>
      </c>
      <c r="G4439" s="4" t="str">
        <f>HYPERLINK("http://141.218.60.56/~jnz1568/getInfo.php?workbook=12_05.xlsx&amp;sheet=U0&amp;row=4439&amp;col=7&amp;number=0.000572&amp;sourceID=14","0.000572")</f>
        <v>0.000572</v>
      </c>
    </row>
    <row r="4440" spans="1:7">
      <c r="A4440" s="3"/>
      <c r="B4440" s="3"/>
      <c r="C4440" s="3"/>
      <c r="D4440" s="3"/>
      <c r="E4440" s="3">
        <v>17</v>
      </c>
      <c r="F4440" s="4" t="str">
        <f>HYPERLINK("http://141.218.60.56/~jnz1568/getInfo.php?workbook=12_05.xlsx&amp;sheet=U0&amp;row=4440&amp;col=6&amp;number=4.6&amp;sourceID=14","4.6")</f>
        <v>4.6</v>
      </c>
      <c r="G4440" s="4" t="str">
        <f>HYPERLINK("http://141.218.60.56/~jnz1568/getInfo.php?workbook=12_05.xlsx&amp;sheet=U0&amp;row=4440&amp;col=7&amp;number=0.000568&amp;sourceID=14","0.000568")</f>
        <v>0.000568</v>
      </c>
    </row>
    <row r="4441" spans="1:7">
      <c r="A4441" s="3"/>
      <c r="B4441" s="3"/>
      <c r="C4441" s="3"/>
      <c r="D4441" s="3"/>
      <c r="E4441" s="3">
        <v>18</v>
      </c>
      <c r="F4441" s="4" t="str">
        <f>HYPERLINK("http://141.218.60.56/~jnz1568/getInfo.php?workbook=12_05.xlsx&amp;sheet=U0&amp;row=4441&amp;col=6&amp;number=4.7&amp;sourceID=14","4.7")</f>
        <v>4.7</v>
      </c>
      <c r="G4441" s="4" t="str">
        <f>HYPERLINK("http://141.218.60.56/~jnz1568/getInfo.php?workbook=12_05.xlsx&amp;sheet=U0&amp;row=4441&amp;col=7&amp;number=0.000563&amp;sourceID=14","0.000563")</f>
        <v>0.000563</v>
      </c>
    </row>
    <row r="4442" spans="1:7">
      <c r="A4442" s="3"/>
      <c r="B4442" s="3"/>
      <c r="C4442" s="3"/>
      <c r="D4442" s="3"/>
      <c r="E4442" s="3">
        <v>19</v>
      </c>
      <c r="F4442" s="4" t="str">
        <f>HYPERLINK("http://141.218.60.56/~jnz1568/getInfo.php?workbook=12_05.xlsx&amp;sheet=U0&amp;row=4442&amp;col=6&amp;number=4.8&amp;sourceID=14","4.8")</f>
        <v>4.8</v>
      </c>
      <c r="G4442" s="4" t="str">
        <f>HYPERLINK("http://141.218.60.56/~jnz1568/getInfo.php?workbook=12_05.xlsx&amp;sheet=U0&amp;row=4442&amp;col=7&amp;number=0.000557&amp;sourceID=14","0.000557")</f>
        <v>0.000557</v>
      </c>
    </row>
    <row r="4443" spans="1:7">
      <c r="A4443" s="3"/>
      <c r="B4443" s="3"/>
      <c r="C4443" s="3"/>
      <c r="D4443" s="3"/>
      <c r="E4443" s="3">
        <v>20</v>
      </c>
      <c r="F4443" s="4" t="str">
        <f>HYPERLINK("http://141.218.60.56/~jnz1568/getInfo.php?workbook=12_05.xlsx&amp;sheet=U0&amp;row=4443&amp;col=6&amp;number=4.9&amp;sourceID=14","4.9")</f>
        <v>4.9</v>
      </c>
      <c r="G4443" s="4" t="str">
        <f>HYPERLINK("http://141.218.60.56/~jnz1568/getInfo.php?workbook=12_05.xlsx&amp;sheet=U0&amp;row=4443&amp;col=7&amp;number=0.000549&amp;sourceID=14","0.000549")</f>
        <v>0.000549</v>
      </c>
    </row>
    <row r="4444" spans="1:7">
      <c r="A4444" s="3">
        <v>12</v>
      </c>
      <c r="B4444" s="3">
        <v>5</v>
      </c>
      <c r="C4444" s="3">
        <v>2</v>
      </c>
      <c r="D4444" s="3">
        <v>75</v>
      </c>
      <c r="E4444" s="3">
        <v>1</v>
      </c>
      <c r="F4444" s="4" t="str">
        <f>HYPERLINK("http://141.218.60.56/~jnz1568/getInfo.php?workbook=12_05.xlsx&amp;sheet=U0&amp;row=4444&amp;col=6&amp;number=3&amp;sourceID=14","3")</f>
        <v>3</v>
      </c>
      <c r="G4444" s="4" t="str">
        <f>HYPERLINK("http://141.218.60.56/~jnz1568/getInfo.php?workbook=12_05.xlsx&amp;sheet=U0&amp;row=4444&amp;col=7&amp;number=0.00109&amp;sourceID=14","0.00109")</f>
        <v>0.00109</v>
      </c>
    </row>
    <row r="4445" spans="1:7">
      <c r="A4445" s="3"/>
      <c r="B4445" s="3"/>
      <c r="C4445" s="3"/>
      <c r="D4445" s="3"/>
      <c r="E4445" s="3">
        <v>2</v>
      </c>
      <c r="F4445" s="4" t="str">
        <f>HYPERLINK("http://141.218.60.56/~jnz1568/getInfo.php?workbook=12_05.xlsx&amp;sheet=U0&amp;row=4445&amp;col=6&amp;number=3.1&amp;sourceID=14","3.1")</f>
        <v>3.1</v>
      </c>
      <c r="G4445" s="4" t="str">
        <f>HYPERLINK("http://141.218.60.56/~jnz1568/getInfo.php?workbook=12_05.xlsx&amp;sheet=U0&amp;row=4445&amp;col=7&amp;number=0.00109&amp;sourceID=14","0.00109")</f>
        <v>0.00109</v>
      </c>
    </row>
    <row r="4446" spans="1:7">
      <c r="A4446" s="3"/>
      <c r="B4446" s="3"/>
      <c r="C4446" s="3"/>
      <c r="D4446" s="3"/>
      <c r="E4446" s="3">
        <v>3</v>
      </c>
      <c r="F4446" s="4" t="str">
        <f>HYPERLINK("http://141.218.60.56/~jnz1568/getInfo.php?workbook=12_05.xlsx&amp;sheet=U0&amp;row=4446&amp;col=6&amp;number=3.2&amp;sourceID=14","3.2")</f>
        <v>3.2</v>
      </c>
      <c r="G4446" s="4" t="str">
        <f>HYPERLINK("http://141.218.60.56/~jnz1568/getInfo.php?workbook=12_05.xlsx&amp;sheet=U0&amp;row=4446&amp;col=7&amp;number=0.00109&amp;sourceID=14","0.00109")</f>
        <v>0.00109</v>
      </c>
    </row>
    <row r="4447" spans="1:7">
      <c r="A4447" s="3"/>
      <c r="B4447" s="3"/>
      <c r="C4447" s="3"/>
      <c r="D4447" s="3"/>
      <c r="E4447" s="3">
        <v>4</v>
      </c>
      <c r="F4447" s="4" t="str">
        <f>HYPERLINK("http://141.218.60.56/~jnz1568/getInfo.php?workbook=12_05.xlsx&amp;sheet=U0&amp;row=4447&amp;col=6&amp;number=3.3&amp;sourceID=14","3.3")</f>
        <v>3.3</v>
      </c>
      <c r="G4447" s="4" t="str">
        <f>HYPERLINK("http://141.218.60.56/~jnz1568/getInfo.php?workbook=12_05.xlsx&amp;sheet=U0&amp;row=4447&amp;col=7&amp;number=0.00109&amp;sourceID=14","0.00109")</f>
        <v>0.00109</v>
      </c>
    </row>
    <row r="4448" spans="1:7">
      <c r="A4448" s="3"/>
      <c r="B4448" s="3"/>
      <c r="C4448" s="3"/>
      <c r="D4448" s="3"/>
      <c r="E4448" s="3">
        <v>5</v>
      </c>
      <c r="F4448" s="4" t="str">
        <f>HYPERLINK("http://141.218.60.56/~jnz1568/getInfo.php?workbook=12_05.xlsx&amp;sheet=U0&amp;row=4448&amp;col=6&amp;number=3.4&amp;sourceID=14","3.4")</f>
        <v>3.4</v>
      </c>
      <c r="G4448" s="4" t="str">
        <f>HYPERLINK("http://141.218.60.56/~jnz1568/getInfo.php?workbook=12_05.xlsx&amp;sheet=U0&amp;row=4448&amp;col=7&amp;number=0.00108&amp;sourceID=14","0.00108")</f>
        <v>0.00108</v>
      </c>
    </row>
    <row r="4449" spans="1:7">
      <c r="A4449" s="3"/>
      <c r="B4449" s="3"/>
      <c r="C4449" s="3"/>
      <c r="D4449" s="3"/>
      <c r="E4449" s="3">
        <v>6</v>
      </c>
      <c r="F4449" s="4" t="str">
        <f>HYPERLINK("http://141.218.60.56/~jnz1568/getInfo.php?workbook=12_05.xlsx&amp;sheet=U0&amp;row=4449&amp;col=6&amp;number=3.5&amp;sourceID=14","3.5")</f>
        <v>3.5</v>
      </c>
      <c r="G4449" s="4" t="str">
        <f>HYPERLINK("http://141.218.60.56/~jnz1568/getInfo.php?workbook=12_05.xlsx&amp;sheet=U0&amp;row=4449&amp;col=7&amp;number=0.00108&amp;sourceID=14","0.00108")</f>
        <v>0.00108</v>
      </c>
    </row>
    <row r="4450" spans="1:7">
      <c r="A4450" s="3"/>
      <c r="B4450" s="3"/>
      <c r="C4450" s="3"/>
      <c r="D4450" s="3"/>
      <c r="E4450" s="3">
        <v>7</v>
      </c>
      <c r="F4450" s="4" t="str">
        <f>HYPERLINK("http://141.218.60.56/~jnz1568/getInfo.php?workbook=12_05.xlsx&amp;sheet=U0&amp;row=4450&amp;col=6&amp;number=3.6&amp;sourceID=14","3.6")</f>
        <v>3.6</v>
      </c>
      <c r="G4450" s="4" t="str">
        <f>HYPERLINK("http://141.218.60.56/~jnz1568/getInfo.php?workbook=12_05.xlsx&amp;sheet=U0&amp;row=4450&amp;col=7&amp;number=0.00108&amp;sourceID=14","0.00108")</f>
        <v>0.00108</v>
      </c>
    </row>
    <row r="4451" spans="1:7">
      <c r="A4451" s="3"/>
      <c r="B4451" s="3"/>
      <c r="C4451" s="3"/>
      <c r="D4451" s="3"/>
      <c r="E4451" s="3">
        <v>8</v>
      </c>
      <c r="F4451" s="4" t="str">
        <f>HYPERLINK("http://141.218.60.56/~jnz1568/getInfo.php?workbook=12_05.xlsx&amp;sheet=U0&amp;row=4451&amp;col=6&amp;number=3.7&amp;sourceID=14","3.7")</f>
        <v>3.7</v>
      </c>
      <c r="G4451" s="4" t="str">
        <f>HYPERLINK("http://141.218.60.56/~jnz1568/getInfo.php?workbook=12_05.xlsx&amp;sheet=U0&amp;row=4451&amp;col=7&amp;number=0.00108&amp;sourceID=14","0.00108")</f>
        <v>0.00108</v>
      </c>
    </row>
    <row r="4452" spans="1:7">
      <c r="A4452" s="3"/>
      <c r="B4452" s="3"/>
      <c r="C4452" s="3"/>
      <c r="D4452" s="3"/>
      <c r="E4452" s="3">
        <v>9</v>
      </c>
      <c r="F4452" s="4" t="str">
        <f>HYPERLINK("http://141.218.60.56/~jnz1568/getInfo.php?workbook=12_05.xlsx&amp;sheet=U0&amp;row=4452&amp;col=6&amp;number=3.8&amp;sourceID=14","3.8")</f>
        <v>3.8</v>
      </c>
      <c r="G4452" s="4" t="str">
        <f>HYPERLINK("http://141.218.60.56/~jnz1568/getInfo.php?workbook=12_05.xlsx&amp;sheet=U0&amp;row=4452&amp;col=7&amp;number=0.00108&amp;sourceID=14","0.00108")</f>
        <v>0.00108</v>
      </c>
    </row>
    <row r="4453" spans="1:7">
      <c r="A4453" s="3"/>
      <c r="B4453" s="3"/>
      <c r="C4453" s="3"/>
      <c r="D4453" s="3"/>
      <c r="E4453" s="3">
        <v>10</v>
      </c>
      <c r="F4453" s="4" t="str">
        <f>HYPERLINK("http://141.218.60.56/~jnz1568/getInfo.php?workbook=12_05.xlsx&amp;sheet=U0&amp;row=4453&amp;col=6&amp;number=3.9&amp;sourceID=14","3.9")</f>
        <v>3.9</v>
      </c>
      <c r="G4453" s="4" t="str">
        <f>HYPERLINK("http://141.218.60.56/~jnz1568/getInfo.php?workbook=12_05.xlsx&amp;sheet=U0&amp;row=4453&amp;col=7&amp;number=0.00108&amp;sourceID=14","0.00108")</f>
        <v>0.00108</v>
      </c>
    </row>
    <row r="4454" spans="1:7">
      <c r="A4454" s="3"/>
      <c r="B4454" s="3"/>
      <c r="C4454" s="3"/>
      <c r="D4454" s="3"/>
      <c r="E4454" s="3">
        <v>11</v>
      </c>
      <c r="F4454" s="4" t="str">
        <f>HYPERLINK("http://141.218.60.56/~jnz1568/getInfo.php?workbook=12_05.xlsx&amp;sheet=U0&amp;row=4454&amp;col=6&amp;number=4&amp;sourceID=14","4")</f>
        <v>4</v>
      </c>
      <c r="G4454" s="4" t="str">
        <f>HYPERLINK("http://141.218.60.56/~jnz1568/getInfo.php?workbook=12_05.xlsx&amp;sheet=U0&amp;row=4454&amp;col=7&amp;number=0.00108&amp;sourceID=14","0.00108")</f>
        <v>0.00108</v>
      </c>
    </row>
    <row r="4455" spans="1:7">
      <c r="A4455" s="3"/>
      <c r="B4455" s="3"/>
      <c r="C4455" s="3"/>
      <c r="D4455" s="3"/>
      <c r="E4455" s="3">
        <v>12</v>
      </c>
      <c r="F4455" s="4" t="str">
        <f>HYPERLINK("http://141.218.60.56/~jnz1568/getInfo.php?workbook=12_05.xlsx&amp;sheet=U0&amp;row=4455&amp;col=6&amp;number=4.1&amp;sourceID=14","4.1")</f>
        <v>4.1</v>
      </c>
      <c r="G4455" s="4" t="str">
        <f>HYPERLINK("http://141.218.60.56/~jnz1568/getInfo.php?workbook=12_05.xlsx&amp;sheet=U0&amp;row=4455&amp;col=7&amp;number=0.00107&amp;sourceID=14","0.00107")</f>
        <v>0.00107</v>
      </c>
    </row>
    <row r="4456" spans="1:7">
      <c r="A4456" s="3"/>
      <c r="B4456" s="3"/>
      <c r="C4456" s="3"/>
      <c r="D4456" s="3"/>
      <c r="E4456" s="3">
        <v>13</v>
      </c>
      <c r="F4456" s="4" t="str">
        <f>HYPERLINK("http://141.218.60.56/~jnz1568/getInfo.php?workbook=12_05.xlsx&amp;sheet=U0&amp;row=4456&amp;col=6&amp;number=4.2&amp;sourceID=14","4.2")</f>
        <v>4.2</v>
      </c>
      <c r="G4456" s="4" t="str">
        <f>HYPERLINK("http://141.218.60.56/~jnz1568/getInfo.php?workbook=12_05.xlsx&amp;sheet=U0&amp;row=4456&amp;col=7&amp;number=0.00107&amp;sourceID=14","0.00107")</f>
        <v>0.00107</v>
      </c>
    </row>
    <row r="4457" spans="1:7">
      <c r="A4457" s="3"/>
      <c r="B4457" s="3"/>
      <c r="C4457" s="3"/>
      <c r="D4457" s="3"/>
      <c r="E4457" s="3">
        <v>14</v>
      </c>
      <c r="F4457" s="4" t="str">
        <f>HYPERLINK("http://141.218.60.56/~jnz1568/getInfo.php?workbook=12_05.xlsx&amp;sheet=U0&amp;row=4457&amp;col=6&amp;number=4.3&amp;sourceID=14","4.3")</f>
        <v>4.3</v>
      </c>
      <c r="G4457" s="4" t="str">
        <f>HYPERLINK("http://141.218.60.56/~jnz1568/getInfo.php?workbook=12_05.xlsx&amp;sheet=U0&amp;row=4457&amp;col=7&amp;number=0.00106&amp;sourceID=14","0.00106")</f>
        <v>0.00106</v>
      </c>
    </row>
    <row r="4458" spans="1:7">
      <c r="A4458" s="3"/>
      <c r="B4458" s="3"/>
      <c r="C4458" s="3"/>
      <c r="D4458" s="3"/>
      <c r="E4458" s="3">
        <v>15</v>
      </c>
      <c r="F4458" s="4" t="str">
        <f>HYPERLINK("http://141.218.60.56/~jnz1568/getInfo.php?workbook=12_05.xlsx&amp;sheet=U0&amp;row=4458&amp;col=6&amp;number=4.4&amp;sourceID=14","4.4")</f>
        <v>4.4</v>
      </c>
      <c r="G4458" s="4" t="str">
        <f>HYPERLINK("http://141.218.60.56/~jnz1568/getInfo.php?workbook=12_05.xlsx&amp;sheet=U0&amp;row=4458&amp;col=7&amp;number=0.00106&amp;sourceID=14","0.00106")</f>
        <v>0.00106</v>
      </c>
    </row>
    <row r="4459" spans="1:7">
      <c r="A4459" s="3"/>
      <c r="B4459" s="3"/>
      <c r="C4459" s="3"/>
      <c r="D4459" s="3"/>
      <c r="E4459" s="3">
        <v>16</v>
      </c>
      <c r="F4459" s="4" t="str">
        <f>HYPERLINK("http://141.218.60.56/~jnz1568/getInfo.php?workbook=12_05.xlsx&amp;sheet=U0&amp;row=4459&amp;col=6&amp;number=4.5&amp;sourceID=14","4.5")</f>
        <v>4.5</v>
      </c>
      <c r="G4459" s="4" t="str">
        <f>HYPERLINK("http://141.218.60.56/~jnz1568/getInfo.php?workbook=12_05.xlsx&amp;sheet=U0&amp;row=4459&amp;col=7&amp;number=0.00105&amp;sourceID=14","0.00105")</f>
        <v>0.00105</v>
      </c>
    </row>
    <row r="4460" spans="1:7">
      <c r="A4460" s="3"/>
      <c r="B4460" s="3"/>
      <c r="C4460" s="3"/>
      <c r="D4460" s="3"/>
      <c r="E4460" s="3">
        <v>17</v>
      </c>
      <c r="F4460" s="4" t="str">
        <f>HYPERLINK("http://141.218.60.56/~jnz1568/getInfo.php?workbook=12_05.xlsx&amp;sheet=U0&amp;row=4460&amp;col=6&amp;number=4.6&amp;sourceID=14","4.6")</f>
        <v>4.6</v>
      </c>
      <c r="G4460" s="4" t="str">
        <f>HYPERLINK("http://141.218.60.56/~jnz1568/getInfo.php?workbook=12_05.xlsx&amp;sheet=U0&amp;row=4460&amp;col=7&amp;number=0.00104&amp;sourceID=14","0.00104")</f>
        <v>0.00104</v>
      </c>
    </row>
    <row r="4461" spans="1:7">
      <c r="A4461" s="3"/>
      <c r="B4461" s="3"/>
      <c r="C4461" s="3"/>
      <c r="D4461" s="3"/>
      <c r="E4461" s="3">
        <v>18</v>
      </c>
      <c r="F4461" s="4" t="str">
        <f>HYPERLINK("http://141.218.60.56/~jnz1568/getInfo.php?workbook=12_05.xlsx&amp;sheet=U0&amp;row=4461&amp;col=6&amp;number=4.7&amp;sourceID=14","4.7")</f>
        <v>4.7</v>
      </c>
      <c r="G4461" s="4" t="str">
        <f>HYPERLINK("http://141.218.60.56/~jnz1568/getInfo.php?workbook=12_05.xlsx&amp;sheet=U0&amp;row=4461&amp;col=7&amp;number=0.00103&amp;sourceID=14","0.00103")</f>
        <v>0.00103</v>
      </c>
    </row>
    <row r="4462" spans="1:7">
      <c r="A4462" s="3"/>
      <c r="B4462" s="3"/>
      <c r="C4462" s="3"/>
      <c r="D4462" s="3"/>
      <c r="E4462" s="3">
        <v>19</v>
      </c>
      <c r="F4462" s="4" t="str">
        <f>HYPERLINK("http://141.218.60.56/~jnz1568/getInfo.php?workbook=12_05.xlsx&amp;sheet=U0&amp;row=4462&amp;col=6&amp;number=4.8&amp;sourceID=14","4.8")</f>
        <v>4.8</v>
      </c>
      <c r="G4462" s="4" t="str">
        <f>HYPERLINK("http://141.218.60.56/~jnz1568/getInfo.php?workbook=12_05.xlsx&amp;sheet=U0&amp;row=4462&amp;col=7&amp;number=0.00102&amp;sourceID=14","0.00102")</f>
        <v>0.00102</v>
      </c>
    </row>
    <row r="4463" spans="1:7">
      <c r="A4463" s="3"/>
      <c r="B4463" s="3"/>
      <c r="C4463" s="3"/>
      <c r="D4463" s="3"/>
      <c r="E4463" s="3">
        <v>20</v>
      </c>
      <c r="F4463" s="4" t="str">
        <f>HYPERLINK("http://141.218.60.56/~jnz1568/getInfo.php?workbook=12_05.xlsx&amp;sheet=U0&amp;row=4463&amp;col=6&amp;number=4.9&amp;sourceID=14","4.9")</f>
        <v>4.9</v>
      </c>
      <c r="G4463" s="4" t="str">
        <f>HYPERLINK("http://141.218.60.56/~jnz1568/getInfo.php?workbook=12_05.xlsx&amp;sheet=U0&amp;row=4463&amp;col=7&amp;number=0.000998&amp;sourceID=14","0.000998")</f>
        <v>0.000998</v>
      </c>
    </row>
    <row r="4464" spans="1:7">
      <c r="A4464" s="3">
        <v>12</v>
      </c>
      <c r="B4464" s="3">
        <v>5</v>
      </c>
      <c r="C4464" s="3">
        <v>2</v>
      </c>
      <c r="D4464" s="3">
        <v>76</v>
      </c>
      <c r="E4464" s="3">
        <v>1</v>
      </c>
      <c r="F4464" s="4" t="str">
        <f>HYPERLINK("http://141.218.60.56/~jnz1568/getInfo.php?workbook=12_05.xlsx&amp;sheet=U0&amp;row=4464&amp;col=6&amp;number=3&amp;sourceID=14","3")</f>
        <v>3</v>
      </c>
      <c r="G4464" s="4" t="str">
        <f>HYPERLINK("http://141.218.60.56/~jnz1568/getInfo.php?workbook=12_05.xlsx&amp;sheet=U0&amp;row=4464&amp;col=7&amp;number=0.00316&amp;sourceID=14","0.00316")</f>
        <v>0.00316</v>
      </c>
    </row>
    <row r="4465" spans="1:7">
      <c r="A4465" s="3"/>
      <c r="B4465" s="3"/>
      <c r="C4465" s="3"/>
      <c r="D4465" s="3"/>
      <c r="E4465" s="3">
        <v>2</v>
      </c>
      <c r="F4465" s="4" t="str">
        <f>HYPERLINK("http://141.218.60.56/~jnz1568/getInfo.php?workbook=12_05.xlsx&amp;sheet=U0&amp;row=4465&amp;col=6&amp;number=3.1&amp;sourceID=14","3.1")</f>
        <v>3.1</v>
      </c>
      <c r="G4465" s="4" t="str">
        <f>HYPERLINK("http://141.218.60.56/~jnz1568/getInfo.php?workbook=12_05.xlsx&amp;sheet=U0&amp;row=4465&amp;col=7&amp;number=0.00316&amp;sourceID=14","0.00316")</f>
        <v>0.00316</v>
      </c>
    </row>
    <row r="4466" spans="1:7">
      <c r="A4466" s="3"/>
      <c r="B4466" s="3"/>
      <c r="C4466" s="3"/>
      <c r="D4466" s="3"/>
      <c r="E4466" s="3">
        <v>3</v>
      </c>
      <c r="F4466" s="4" t="str">
        <f>HYPERLINK("http://141.218.60.56/~jnz1568/getInfo.php?workbook=12_05.xlsx&amp;sheet=U0&amp;row=4466&amp;col=6&amp;number=3.2&amp;sourceID=14","3.2")</f>
        <v>3.2</v>
      </c>
      <c r="G4466" s="4" t="str">
        <f>HYPERLINK("http://141.218.60.56/~jnz1568/getInfo.php?workbook=12_05.xlsx&amp;sheet=U0&amp;row=4466&amp;col=7&amp;number=0.00316&amp;sourceID=14","0.00316")</f>
        <v>0.00316</v>
      </c>
    </row>
    <row r="4467" spans="1:7">
      <c r="A4467" s="3"/>
      <c r="B4467" s="3"/>
      <c r="C4467" s="3"/>
      <c r="D4467" s="3"/>
      <c r="E4467" s="3">
        <v>4</v>
      </c>
      <c r="F4467" s="4" t="str">
        <f>HYPERLINK("http://141.218.60.56/~jnz1568/getInfo.php?workbook=12_05.xlsx&amp;sheet=U0&amp;row=4467&amp;col=6&amp;number=3.3&amp;sourceID=14","3.3")</f>
        <v>3.3</v>
      </c>
      <c r="G4467" s="4" t="str">
        <f>HYPERLINK("http://141.218.60.56/~jnz1568/getInfo.php?workbook=12_05.xlsx&amp;sheet=U0&amp;row=4467&amp;col=7&amp;number=0.00316&amp;sourceID=14","0.00316")</f>
        <v>0.00316</v>
      </c>
    </row>
    <row r="4468" spans="1:7">
      <c r="A4468" s="3"/>
      <c r="B4468" s="3"/>
      <c r="C4468" s="3"/>
      <c r="D4468" s="3"/>
      <c r="E4468" s="3">
        <v>5</v>
      </c>
      <c r="F4468" s="4" t="str">
        <f>HYPERLINK("http://141.218.60.56/~jnz1568/getInfo.php?workbook=12_05.xlsx&amp;sheet=U0&amp;row=4468&amp;col=6&amp;number=3.4&amp;sourceID=14","3.4")</f>
        <v>3.4</v>
      </c>
      <c r="G4468" s="4" t="str">
        <f>HYPERLINK("http://141.218.60.56/~jnz1568/getInfo.php?workbook=12_05.xlsx&amp;sheet=U0&amp;row=4468&amp;col=7&amp;number=0.00316&amp;sourceID=14","0.00316")</f>
        <v>0.00316</v>
      </c>
    </row>
    <row r="4469" spans="1:7">
      <c r="A4469" s="3"/>
      <c r="B4469" s="3"/>
      <c r="C4469" s="3"/>
      <c r="D4469" s="3"/>
      <c r="E4469" s="3">
        <v>6</v>
      </c>
      <c r="F4469" s="4" t="str">
        <f>HYPERLINK("http://141.218.60.56/~jnz1568/getInfo.php?workbook=12_05.xlsx&amp;sheet=U0&amp;row=4469&amp;col=6&amp;number=3.5&amp;sourceID=14","3.5")</f>
        <v>3.5</v>
      </c>
      <c r="G4469" s="4" t="str">
        <f>HYPERLINK("http://141.218.60.56/~jnz1568/getInfo.php?workbook=12_05.xlsx&amp;sheet=U0&amp;row=4469&amp;col=7&amp;number=0.00316&amp;sourceID=14","0.00316")</f>
        <v>0.00316</v>
      </c>
    </row>
    <row r="4470" spans="1:7">
      <c r="A4470" s="3"/>
      <c r="B4470" s="3"/>
      <c r="C4470" s="3"/>
      <c r="D4470" s="3"/>
      <c r="E4470" s="3">
        <v>7</v>
      </c>
      <c r="F4470" s="4" t="str">
        <f>HYPERLINK("http://141.218.60.56/~jnz1568/getInfo.php?workbook=12_05.xlsx&amp;sheet=U0&amp;row=4470&amp;col=6&amp;number=3.6&amp;sourceID=14","3.6")</f>
        <v>3.6</v>
      </c>
      <c r="G4470" s="4" t="str">
        <f>HYPERLINK("http://141.218.60.56/~jnz1568/getInfo.php?workbook=12_05.xlsx&amp;sheet=U0&amp;row=4470&amp;col=7&amp;number=0.00315&amp;sourceID=14","0.00315")</f>
        <v>0.00315</v>
      </c>
    </row>
    <row r="4471" spans="1:7">
      <c r="A4471" s="3"/>
      <c r="B4471" s="3"/>
      <c r="C4471" s="3"/>
      <c r="D4471" s="3"/>
      <c r="E4471" s="3">
        <v>8</v>
      </c>
      <c r="F4471" s="4" t="str">
        <f>HYPERLINK("http://141.218.60.56/~jnz1568/getInfo.php?workbook=12_05.xlsx&amp;sheet=U0&amp;row=4471&amp;col=6&amp;number=3.7&amp;sourceID=14","3.7")</f>
        <v>3.7</v>
      </c>
      <c r="G4471" s="4" t="str">
        <f>HYPERLINK("http://141.218.60.56/~jnz1568/getInfo.php?workbook=12_05.xlsx&amp;sheet=U0&amp;row=4471&amp;col=7&amp;number=0.00315&amp;sourceID=14","0.00315")</f>
        <v>0.00315</v>
      </c>
    </row>
    <row r="4472" spans="1:7">
      <c r="A4472" s="3"/>
      <c r="B4472" s="3"/>
      <c r="C4472" s="3"/>
      <c r="D4472" s="3"/>
      <c r="E4472" s="3">
        <v>9</v>
      </c>
      <c r="F4472" s="4" t="str">
        <f>HYPERLINK("http://141.218.60.56/~jnz1568/getInfo.php?workbook=12_05.xlsx&amp;sheet=U0&amp;row=4472&amp;col=6&amp;number=3.8&amp;sourceID=14","3.8")</f>
        <v>3.8</v>
      </c>
      <c r="G4472" s="4" t="str">
        <f>HYPERLINK("http://141.218.60.56/~jnz1568/getInfo.php?workbook=12_05.xlsx&amp;sheet=U0&amp;row=4472&amp;col=7&amp;number=0.00315&amp;sourceID=14","0.00315")</f>
        <v>0.00315</v>
      </c>
    </row>
    <row r="4473" spans="1:7">
      <c r="A4473" s="3"/>
      <c r="B4473" s="3"/>
      <c r="C4473" s="3"/>
      <c r="D4473" s="3"/>
      <c r="E4473" s="3">
        <v>10</v>
      </c>
      <c r="F4473" s="4" t="str">
        <f>HYPERLINK("http://141.218.60.56/~jnz1568/getInfo.php?workbook=12_05.xlsx&amp;sheet=U0&amp;row=4473&amp;col=6&amp;number=3.9&amp;sourceID=14","3.9")</f>
        <v>3.9</v>
      </c>
      <c r="G4473" s="4" t="str">
        <f>HYPERLINK("http://141.218.60.56/~jnz1568/getInfo.php?workbook=12_05.xlsx&amp;sheet=U0&amp;row=4473&amp;col=7&amp;number=0.00314&amp;sourceID=14","0.00314")</f>
        <v>0.00314</v>
      </c>
    </row>
    <row r="4474" spans="1:7">
      <c r="A4474" s="3"/>
      <c r="B4474" s="3"/>
      <c r="C4474" s="3"/>
      <c r="D4474" s="3"/>
      <c r="E4474" s="3">
        <v>11</v>
      </c>
      <c r="F4474" s="4" t="str">
        <f>HYPERLINK("http://141.218.60.56/~jnz1568/getInfo.php?workbook=12_05.xlsx&amp;sheet=U0&amp;row=4474&amp;col=6&amp;number=4&amp;sourceID=14","4")</f>
        <v>4</v>
      </c>
      <c r="G4474" s="4" t="str">
        <f>HYPERLINK("http://141.218.60.56/~jnz1568/getInfo.php?workbook=12_05.xlsx&amp;sheet=U0&amp;row=4474&amp;col=7&amp;number=0.00314&amp;sourceID=14","0.00314")</f>
        <v>0.00314</v>
      </c>
    </row>
    <row r="4475" spans="1:7">
      <c r="A4475" s="3"/>
      <c r="B4475" s="3"/>
      <c r="C4475" s="3"/>
      <c r="D4475" s="3"/>
      <c r="E4475" s="3">
        <v>12</v>
      </c>
      <c r="F4475" s="4" t="str">
        <f>HYPERLINK("http://141.218.60.56/~jnz1568/getInfo.php?workbook=12_05.xlsx&amp;sheet=U0&amp;row=4475&amp;col=6&amp;number=4.1&amp;sourceID=14","4.1")</f>
        <v>4.1</v>
      </c>
      <c r="G4475" s="4" t="str">
        <f>HYPERLINK("http://141.218.60.56/~jnz1568/getInfo.php?workbook=12_05.xlsx&amp;sheet=U0&amp;row=4475&amp;col=7&amp;number=0.00313&amp;sourceID=14","0.00313")</f>
        <v>0.00313</v>
      </c>
    </row>
    <row r="4476" spans="1:7">
      <c r="A4476" s="3"/>
      <c r="B4476" s="3"/>
      <c r="C4476" s="3"/>
      <c r="D4476" s="3"/>
      <c r="E4476" s="3">
        <v>13</v>
      </c>
      <c r="F4476" s="4" t="str">
        <f>HYPERLINK("http://141.218.60.56/~jnz1568/getInfo.php?workbook=12_05.xlsx&amp;sheet=U0&amp;row=4476&amp;col=6&amp;number=4.2&amp;sourceID=14","4.2")</f>
        <v>4.2</v>
      </c>
      <c r="G4476" s="4" t="str">
        <f>HYPERLINK("http://141.218.60.56/~jnz1568/getInfo.php?workbook=12_05.xlsx&amp;sheet=U0&amp;row=4476&amp;col=7&amp;number=0.00312&amp;sourceID=14","0.00312")</f>
        <v>0.00312</v>
      </c>
    </row>
    <row r="4477" spans="1:7">
      <c r="A4477" s="3"/>
      <c r="B4477" s="3"/>
      <c r="C4477" s="3"/>
      <c r="D4477" s="3"/>
      <c r="E4477" s="3">
        <v>14</v>
      </c>
      <c r="F4477" s="4" t="str">
        <f>HYPERLINK("http://141.218.60.56/~jnz1568/getInfo.php?workbook=12_05.xlsx&amp;sheet=U0&amp;row=4477&amp;col=6&amp;number=4.3&amp;sourceID=14","4.3")</f>
        <v>4.3</v>
      </c>
      <c r="G4477" s="4" t="str">
        <f>HYPERLINK("http://141.218.60.56/~jnz1568/getInfo.php?workbook=12_05.xlsx&amp;sheet=U0&amp;row=4477&amp;col=7&amp;number=0.00311&amp;sourceID=14","0.00311")</f>
        <v>0.00311</v>
      </c>
    </row>
    <row r="4478" spans="1:7">
      <c r="A4478" s="3"/>
      <c r="B4478" s="3"/>
      <c r="C4478" s="3"/>
      <c r="D4478" s="3"/>
      <c r="E4478" s="3">
        <v>15</v>
      </c>
      <c r="F4478" s="4" t="str">
        <f>HYPERLINK("http://141.218.60.56/~jnz1568/getInfo.php?workbook=12_05.xlsx&amp;sheet=U0&amp;row=4478&amp;col=6&amp;number=4.4&amp;sourceID=14","4.4")</f>
        <v>4.4</v>
      </c>
      <c r="G4478" s="4" t="str">
        <f>HYPERLINK("http://141.218.60.56/~jnz1568/getInfo.php?workbook=12_05.xlsx&amp;sheet=U0&amp;row=4478&amp;col=7&amp;number=0.00309&amp;sourceID=14","0.00309")</f>
        <v>0.00309</v>
      </c>
    </row>
    <row r="4479" spans="1:7">
      <c r="A4479" s="3"/>
      <c r="B4479" s="3"/>
      <c r="C4479" s="3"/>
      <c r="D4479" s="3"/>
      <c r="E4479" s="3">
        <v>16</v>
      </c>
      <c r="F4479" s="4" t="str">
        <f>HYPERLINK("http://141.218.60.56/~jnz1568/getInfo.php?workbook=12_05.xlsx&amp;sheet=U0&amp;row=4479&amp;col=6&amp;number=4.5&amp;sourceID=14","4.5")</f>
        <v>4.5</v>
      </c>
      <c r="G4479" s="4" t="str">
        <f>HYPERLINK("http://141.218.60.56/~jnz1568/getInfo.php?workbook=12_05.xlsx&amp;sheet=U0&amp;row=4479&amp;col=7&amp;number=0.00307&amp;sourceID=14","0.00307")</f>
        <v>0.00307</v>
      </c>
    </row>
    <row r="4480" spans="1:7">
      <c r="A4480" s="3"/>
      <c r="B4480" s="3"/>
      <c r="C4480" s="3"/>
      <c r="D4480" s="3"/>
      <c r="E4480" s="3">
        <v>17</v>
      </c>
      <c r="F4480" s="4" t="str">
        <f>HYPERLINK("http://141.218.60.56/~jnz1568/getInfo.php?workbook=12_05.xlsx&amp;sheet=U0&amp;row=4480&amp;col=6&amp;number=4.6&amp;sourceID=14","4.6")</f>
        <v>4.6</v>
      </c>
      <c r="G4480" s="4" t="str">
        <f>HYPERLINK("http://141.218.60.56/~jnz1568/getInfo.php?workbook=12_05.xlsx&amp;sheet=U0&amp;row=4480&amp;col=7&amp;number=0.00305&amp;sourceID=14","0.00305")</f>
        <v>0.00305</v>
      </c>
    </row>
    <row r="4481" spans="1:7">
      <c r="A4481" s="3"/>
      <c r="B4481" s="3"/>
      <c r="C4481" s="3"/>
      <c r="D4481" s="3"/>
      <c r="E4481" s="3">
        <v>18</v>
      </c>
      <c r="F4481" s="4" t="str">
        <f>HYPERLINK("http://141.218.60.56/~jnz1568/getInfo.php?workbook=12_05.xlsx&amp;sheet=U0&amp;row=4481&amp;col=6&amp;number=4.7&amp;sourceID=14","4.7")</f>
        <v>4.7</v>
      </c>
      <c r="G4481" s="4" t="str">
        <f>HYPERLINK("http://141.218.60.56/~jnz1568/getInfo.php?workbook=12_05.xlsx&amp;sheet=U0&amp;row=4481&amp;col=7&amp;number=0.00302&amp;sourceID=14","0.00302")</f>
        <v>0.00302</v>
      </c>
    </row>
    <row r="4482" spans="1:7">
      <c r="A4482" s="3"/>
      <c r="B4482" s="3"/>
      <c r="C4482" s="3"/>
      <c r="D4482" s="3"/>
      <c r="E4482" s="3">
        <v>19</v>
      </c>
      <c r="F4482" s="4" t="str">
        <f>HYPERLINK("http://141.218.60.56/~jnz1568/getInfo.php?workbook=12_05.xlsx&amp;sheet=U0&amp;row=4482&amp;col=6&amp;number=4.8&amp;sourceID=14","4.8")</f>
        <v>4.8</v>
      </c>
      <c r="G4482" s="4" t="str">
        <f>HYPERLINK("http://141.218.60.56/~jnz1568/getInfo.php?workbook=12_05.xlsx&amp;sheet=U0&amp;row=4482&amp;col=7&amp;number=0.00298&amp;sourceID=14","0.00298")</f>
        <v>0.00298</v>
      </c>
    </row>
    <row r="4483" spans="1:7">
      <c r="A4483" s="3"/>
      <c r="B4483" s="3"/>
      <c r="C4483" s="3"/>
      <c r="D4483" s="3"/>
      <c r="E4483" s="3">
        <v>20</v>
      </c>
      <c r="F4483" s="4" t="str">
        <f>HYPERLINK("http://141.218.60.56/~jnz1568/getInfo.php?workbook=12_05.xlsx&amp;sheet=U0&amp;row=4483&amp;col=6&amp;number=4.9&amp;sourceID=14","4.9")</f>
        <v>4.9</v>
      </c>
      <c r="G4483" s="4" t="str">
        <f>HYPERLINK("http://141.218.60.56/~jnz1568/getInfo.php?workbook=12_05.xlsx&amp;sheet=U0&amp;row=4483&amp;col=7&amp;number=0.00293&amp;sourceID=14","0.00293")</f>
        <v>0.00293</v>
      </c>
    </row>
    <row r="4484" spans="1:7">
      <c r="A4484" s="3">
        <v>12</v>
      </c>
      <c r="B4484" s="3">
        <v>5</v>
      </c>
      <c r="C4484" s="3">
        <v>2</v>
      </c>
      <c r="D4484" s="3">
        <v>77</v>
      </c>
      <c r="E4484" s="3">
        <v>1</v>
      </c>
      <c r="F4484" s="4" t="str">
        <f>HYPERLINK("http://141.218.60.56/~jnz1568/getInfo.php?workbook=12_05.xlsx&amp;sheet=U0&amp;row=4484&amp;col=6&amp;number=3&amp;sourceID=14","3")</f>
        <v>3</v>
      </c>
      <c r="G4484" s="4" t="str">
        <f>HYPERLINK("http://141.218.60.56/~jnz1568/getInfo.php?workbook=12_05.xlsx&amp;sheet=U0&amp;row=4484&amp;col=7&amp;number=0.00661&amp;sourceID=14","0.00661")</f>
        <v>0.00661</v>
      </c>
    </row>
    <row r="4485" spans="1:7">
      <c r="A4485" s="3"/>
      <c r="B4485" s="3"/>
      <c r="C4485" s="3"/>
      <c r="D4485" s="3"/>
      <c r="E4485" s="3">
        <v>2</v>
      </c>
      <c r="F4485" s="4" t="str">
        <f>HYPERLINK("http://141.218.60.56/~jnz1568/getInfo.php?workbook=12_05.xlsx&amp;sheet=U0&amp;row=4485&amp;col=6&amp;number=3.1&amp;sourceID=14","3.1")</f>
        <v>3.1</v>
      </c>
      <c r="G4485" s="4" t="str">
        <f>HYPERLINK("http://141.218.60.56/~jnz1568/getInfo.php?workbook=12_05.xlsx&amp;sheet=U0&amp;row=4485&amp;col=7&amp;number=0.00661&amp;sourceID=14","0.00661")</f>
        <v>0.00661</v>
      </c>
    </row>
    <row r="4486" spans="1:7">
      <c r="A4486" s="3"/>
      <c r="B4486" s="3"/>
      <c r="C4486" s="3"/>
      <c r="D4486" s="3"/>
      <c r="E4486" s="3">
        <v>3</v>
      </c>
      <c r="F4486" s="4" t="str">
        <f>HYPERLINK("http://141.218.60.56/~jnz1568/getInfo.php?workbook=12_05.xlsx&amp;sheet=U0&amp;row=4486&amp;col=6&amp;number=3.2&amp;sourceID=14","3.2")</f>
        <v>3.2</v>
      </c>
      <c r="G4486" s="4" t="str">
        <f>HYPERLINK("http://141.218.60.56/~jnz1568/getInfo.php?workbook=12_05.xlsx&amp;sheet=U0&amp;row=4486&amp;col=7&amp;number=0.00661&amp;sourceID=14","0.00661")</f>
        <v>0.00661</v>
      </c>
    </row>
    <row r="4487" spans="1:7">
      <c r="A4487" s="3"/>
      <c r="B4487" s="3"/>
      <c r="C4487" s="3"/>
      <c r="D4487" s="3"/>
      <c r="E4487" s="3">
        <v>4</v>
      </c>
      <c r="F4487" s="4" t="str">
        <f>HYPERLINK("http://141.218.60.56/~jnz1568/getInfo.php?workbook=12_05.xlsx&amp;sheet=U0&amp;row=4487&amp;col=6&amp;number=3.3&amp;sourceID=14","3.3")</f>
        <v>3.3</v>
      </c>
      <c r="G4487" s="4" t="str">
        <f>HYPERLINK("http://141.218.60.56/~jnz1568/getInfo.php?workbook=12_05.xlsx&amp;sheet=U0&amp;row=4487&amp;col=7&amp;number=0.0066&amp;sourceID=14","0.0066")</f>
        <v>0.0066</v>
      </c>
    </row>
    <row r="4488" spans="1:7">
      <c r="A4488" s="3"/>
      <c r="B4488" s="3"/>
      <c r="C4488" s="3"/>
      <c r="D4488" s="3"/>
      <c r="E4488" s="3">
        <v>5</v>
      </c>
      <c r="F4488" s="4" t="str">
        <f>HYPERLINK("http://141.218.60.56/~jnz1568/getInfo.php?workbook=12_05.xlsx&amp;sheet=U0&amp;row=4488&amp;col=6&amp;number=3.4&amp;sourceID=14","3.4")</f>
        <v>3.4</v>
      </c>
      <c r="G4488" s="4" t="str">
        <f>HYPERLINK("http://141.218.60.56/~jnz1568/getInfo.php?workbook=12_05.xlsx&amp;sheet=U0&amp;row=4488&amp;col=7&amp;number=0.0066&amp;sourceID=14","0.0066")</f>
        <v>0.0066</v>
      </c>
    </row>
    <row r="4489" spans="1:7">
      <c r="A4489" s="3"/>
      <c r="B4489" s="3"/>
      <c r="C4489" s="3"/>
      <c r="D4489" s="3"/>
      <c r="E4489" s="3">
        <v>6</v>
      </c>
      <c r="F4489" s="4" t="str">
        <f>HYPERLINK("http://141.218.60.56/~jnz1568/getInfo.php?workbook=12_05.xlsx&amp;sheet=U0&amp;row=4489&amp;col=6&amp;number=3.5&amp;sourceID=14","3.5")</f>
        <v>3.5</v>
      </c>
      <c r="G4489" s="4" t="str">
        <f>HYPERLINK("http://141.218.60.56/~jnz1568/getInfo.php?workbook=12_05.xlsx&amp;sheet=U0&amp;row=4489&amp;col=7&amp;number=0.0066&amp;sourceID=14","0.0066")</f>
        <v>0.0066</v>
      </c>
    </row>
    <row r="4490" spans="1:7">
      <c r="A4490" s="3"/>
      <c r="B4490" s="3"/>
      <c r="C4490" s="3"/>
      <c r="D4490" s="3"/>
      <c r="E4490" s="3">
        <v>7</v>
      </c>
      <c r="F4490" s="4" t="str">
        <f>HYPERLINK("http://141.218.60.56/~jnz1568/getInfo.php?workbook=12_05.xlsx&amp;sheet=U0&amp;row=4490&amp;col=6&amp;number=3.6&amp;sourceID=14","3.6")</f>
        <v>3.6</v>
      </c>
      <c r="G4490" s="4" t="str">
        <f>HYPERLINK("http://141.218.60.56/~jnz1568/getInfo.php?workbook=12_05.xlsx&amp;sheet=U0&amp;row=4490&amp;col=7&amp;number=0.00659&amp;sourceID=14","0.00659")</f>
        <v>0.00659</v>
      </c>
    </row>
    <row r="4491" spans="1:7">
      <c r="A4491" s="3"/>
      <c r="B4491" s="3"/>
      <c r="C4491" s="3"/>
      <c r="D4491" s="3"/>
      <c r="E4491" s="3">
        <v>8</v>
      </c>
      <c r="F4491" s="4" t="str">
        <f>HYPERLINK("http://141.218.60.56/~jnz1568/getInfo.php?workbook=12_05.xlsx&amp;sheet=U0&amp;row=4491&amp;col=6&amp;number=3.7&amp;sourceID=14","3.7")</f>
        <v>3.7</v>
      </c>
      <c r="G4491" s="4" t="str">
        <f>HYPERLINK("http://141.218.60.56/~jnz1568/getInfo.php?workbook=12_05.xlsx&amp;sheet=U0&amp;row=4491&amp;col=7&amp;number=0.00659&amp;sourceID=14","0.00659")</f>
        <v>0.00659</v>
      </c>
    </row>
    <row r="4492" spans="1:7">
      <c r="A4492" s="3"/>
      <c r="B4492" s="3"/>
      <c r="C4492" s="3"/>
      <c r="D4492" s="3"/>
      <c r="E4492" s="3">
        <v>9</v>
      </c>
      <c r="F4492" s="4" t="str">
        <f>HYPERLINK("http://141.218.60.56/~jnz1568/getInfo.php?workbook=12_05.xlsx&amp;sheet=U0&amp;row=4492&amp;col=6&amp;number=3.8&amp;sourceID=14","3.8")</f>
        <v>3.8</v>
      </c>
      <c r="G4492" s="4" t="str">
        <f>HYPERLINK("http://141.218.60.56/~jnz1568/getInfo.php?workbook=12_05.xlsx&amp;sheet=U0&amp;row=4492&amp;col=7&amp;number=0.00658&amp;sourceID=14","0.00658")</f>
        <v>0.00658</v>
      </c>
    </row>
    <row r="4493" spans="1:7">
      <c r="A4493" s="3"/>
      <c r="B4493" s="3"/>
      <c r="C4493" s="3"/>
      <c r="D4493" s="3"/>
      <c r="E4493" s="3">
        <v>10</v>
      </c>
      <c r="F4493" s="4" t="str">
        <f>HYPERLINK("http://141.218.60.56/~jnz1568/getInfo.php?workbook=12_05.xlsx&amp;sheet=U0&amp;row=4493&amp;col=6&amp;number=3.9&amp;sourceID=14","3.9")</f>
        <v>3.9</v>
      </c>
      <c r="G4493" s="4" t="str">
        <f>HYPERLINK("http://141.218.60.56/~jnz1568/getInfo.php?workbook=12_05.xlsx&amp;sheet=U0&amp;row=4493&amp;col=7&amp;number=0.00657&amp;sourceID=14","0.00657")</f>
        <v>0.00657</v>
      </c>
    </row>
    <row r="4494" spans="1:7">
      <c r="A4494" s="3"/>
      <c r="B4494" s="3"/>
      <c r="C4494" s="3"/>
      <c r="D4494" s="3"/>
      <c r="E4494" s="3">
        <v>11</v>
      </c>
      <c r="F4494" s="4" t="str">
        <f>HYPERLINK("http://141.218.60.56/~jnz1568/getInfo.php?workbook=12_05.xlsx&amp;sheet=U0&amp;row=4494&amp;col=6&amp;number=4&amp;sourceID=14","4")</f>
        <v>4</v>
      </c>
      <c r="G4494" s="4" t="str">
        <f>HYPERLINK("http://141.218.60.56/~jnz1568/getInfo.php?workbook=12_05.xlsx&amp;sheet=U0&amp;row=4494&amp;col=7&amp;number=0.00655&amp;sourceID=14","0.00655")</f>
        <v>0.00655</v>
      </c>
    </row>
    <row r="4495" spans="1:7">
      <c r="A4495" s="3"/>
      <c r="B4495" s="3"/>
      <c r="C4495" s="3"/>
      <c r="D4495" s="3"/>
      <c r="E4495" s="3">
        <v>12</v>
      </c>
      <c r="F4495" s="4" t="str">
        <f>HYPERLINK("http://141.218.60.56/~jnz1568/getInfo.php?workbook=12_05.xlsx&amp;sheet=U0&amp;row=4495&amp;col=6&amp;number=4.1&amp;sourceID=14","4.1")</f>
        <v>4.1</v>
      </c>
      <c r="G4495" s="4" t="str">
        <f>HYPERLINK("http://141.218.60.56/~jnz1568/getInfo.php?workbook=12_05.xlsx&amp;sheet=U0&amp;row=4495&amp;col=7&amp;number=0.00654&amp;sourceID=14","0.00654")</f>
        <v>0.00654</v>
      </c>
    </row>
    <row r="4496" spans="1:7">
      <c r="A4496" s="3"/>
      <c r="B4496" s="3"/>
      <c r="C4496" s="3"/>
      <c r="D4496" s="3"/>
      <c r="E4496" s="3">
        <v>13</v>
      </c>
      <c r="F4496" s="4" t="str">
        <f>HYPERLINK("http://141.218.60.56/~jnz1568/getInfo.php?workbook=12_05.xlsx&amp;sheet=U0&amp;row=4496&amp;col=6&amp;number=4.2&amp;sourceID=14","4.2")</f>
        <v>4.2</v>
      </c>
      <c r="G4496" s="4" t="str">
        <f>HYPERLINK("http://141.218.60.56/~jnz1568/getInfo.php?workbook=12_05.xlsx&amp;sheet=U0&amp;row=4496&amp;col=7&amp;number=0.00652&amp;sourceID=14","0.00652")</f>
        <v>0.00652</v>
      </c>
    </row>
    <row r="4497" spans="1:7">
      <c r="A4497" s="3"/>
      <c r="B4497" s="3"/>
      <c r="C4497" s="3"/>
      <c r="D4497" s="3"/>
      <c r="E4497" s="3">
        <v>14</v>
      </c>
      <c r="F4497" s="4" t="str">
        <f>HYPERLINK("http://141.218.60.56/~jnz1568/getInfo.php?workbook=12_05.xlsx&amp;sheet=U0&amp;row=4497&amp;col=6&amp;number=4.3&amp;sourceID=14","4.3")</f>
        <v>4.3</v>
      </c>
      <c r="G4497" s="4" t="str">
        <f>HYPERLINK("http://141.218.60.56/~jnz1568/getInfo.php?workbook=12_05.xlsx&amp;sheet=U0&amp;row=4497&amp;col=7&amp;number=0.00649&amp;sourceID=14","0.00649")</f>
        <v>0.00649</v>
      </c>
    </row>
    <row r="4498" spans="1:7">
      <c r="A4498" s="3"/>
      <c r="B4498" s="3"/>
      <c r="C4498" s="3"/>
      <c r="D4498" s="3"/>
      <c r="E4498" s="3">
        <v>15</v>
      </c>
      <c r="F4498" s="4" t="str">
        <f>HYPERLINK("http://141.218.60.56/~jnz1568/getInfo.php?workbook=12_05.xlsx&amp;sheet=U0&amp;row=4498&amp;col=6&amp;number=4.4&amp;sourceID=14","4.4")</f>
        <v>4.4</v>
      </c>
      <c r="G4498" s="4" t="str">
        <f>HYPERLINK("http://141.218.60.56/~jnz1568/getInfo.php?workbook=12_05.xlsx&amp;sheet=U0&amp;row=4498&amp;col=7&amp;number=0.00646&amp;sourceID=14","0.00646")</f>
        <v>0.00646</v>
      </c>
    </row>
    <row r="4499" spans="1:7">
      <c r="A4499" s="3"/>
      <c r="B4499" s="3"/>
      <c r="C4499" s="3"/>
      <c r="D4499" s="3"/>
      <c r="E4499" s="3">
        <v>16</v>
      </c>
      <c r="F4499" s="4" t="str">
        <f>HYPERLINK("http://141.218.60.56/~jnz1568/getInfo.php?workbook=12_05.xlsx&amp;sheet=U0&amp;row=4499&amp;col=6&amp;number=4.5&amp;sourceID=14","4.5")</f>
        <v>4.5</v>
      </c>
      <c r="G4499" s="4" t="str">
        <f>HYPERLINK("http://141.218.60.56/~jnz1568/getInfo.php?workbook=12_05.xlsx&amp;sheet=U0&amp;row=4499&amp;col=7&amp;number=0.00642&amp;sourceID=14","0.00642")</f>
        <v>0.00642</v>
      </c>
    </row>
    <row r="4500" spans="1:7">
      <c r="A4500" s="3"/>
      <c r="B4500" s="3"/>
      <c r="C4500" s="3"/>
      <c r="D4500" s="3"/>
      <c r="E4500" s="3">
        <v>17</v>
      </c>
      <c r="F4500" s="4" t="str">
        <f>HYPERLINK("http://141.218.60.56/~jnz1568/getInfo.php?workbook=12_05.xlsx&amp;sheet=U0&amp;row=4500&amp;col=6&amp;number=4.6&amp;sourceID=14","4.6")</f>
        <v>4.6</v>
      </c>
      <c r="G4500" s="4" t="str">
        <f>HYPERLINK("http://141.218.60.56/~jnz1568/getInfo.php?workbook=12_05.xlsx&amp;sheet=U0&amp;row=4500&amp;col=7&amp;number=0.00638&amp;sourceID=14","0.00638")</f>
        <v>0.00638</v>
      </c>
    </row>
    <row r="4501" spans="1:7">
      <c r="A4501" s="3"/>
      <c r="B4501" s="3"/>
      <c r="C4501" s="3"/>
      <c r="D4501" s="3"/>
      <c r="E4501" s="3">
        <v>18</v>
      </c>
      <c r="F4501" s="4" t="str">
        <f>HYPERLINK("http://141.218.60.56/~jnz1568/getInfo.php?workbook=12_05.xlsx&amp;sheet=U0&amp;row=4501&amp;col=6&amp;number=4.7&amp;sourceID=14","4.7")</f>
        <v>4.7</v>
      </c>
      <c r="G4501" s="4" t="str">
        <f>HYPERLINK("http://141.218.60.56/~jnz1568/getInfo.php?workbook=12_05.xlsx&amp;sheet=U0&amp;row=4501&amp;col=7&amp;number=0.00632&amp;sourceID=14","0.00632")</f>
        <v>0.00632</v>
      </c>
    </row>
    <row r="4502" spans="1:7">
      <c r="A4502" s="3"/>
      <c r="B4502" s="3"/>
      <c r="C4502" s="3"/>
      <c r="D4502" s="3"/>
      <c r="E4502" s="3">
        <v>19</v>
      </c>
      <c r="F4502" s="4" t="str">
        <f>HYPERLINK("http://141.218.60.56/~jnz1568/getInfo.php?workbook=12_05.xlsx&amp;sheet=U0&amp;row=4502&amp;col=6&amp;number=4.8&amp;sourceID=14","4.8")</f>
        <v>4.8</v>
      </c>
      <c r="G4502" s="4" t="str">
        <f>HYPERLINK("http://141.218.60.56/~jnz1568/getInfo.php?workbook=12_05.xlsx&amp;sheet=U0&amp;row=4502&amp;col=7&amp;number=0.00624&amp;sourceID=14","0.00624")</f>
        <v>0.00624</v>
      </c>
    </row>
    <row r="4503" spans="1:7">
      <c r="A4503" s="3"/>
      <c r="B4503" s="3"/>
      <c r="C4503" s="3"/>
      <c r="D4503" s="3"/>
      <c r="E4503" s="3">
        <v>20</v>
      </c>
      <c r="F4503" s="4" t="str">
        <f>HYPERLINK("http://141.218.60.56/~jnz1568/getInfo.php?workbook=12_05.xlsx&amp;sheet=U0&amp;row=4503&amp;col=6&amp;number=4.9&amp;sourceID=14","4.9")</f>
        <v>4.9</v>
      </c>
      <c r="G4503" s="4" t="str">
        <f>HYPERLINK("http://141.218.60.56/~jnz1568/getInfo.php?workbook=12_05.xlsx&amp;sheet=U0&amp;row=4503&amp;col=7&amp;number=0.00615&amp;sourceID=14","0.00615")</f>
        <v>0.00615</v>
      </c>
    </row>
    <row r="4504" spans="1:7">
      <c r="A4504" s="3">
        <v>12</v>
      </c>
      <c r="B4504" s="3">
        <v>5</v>
      </c>
      <c r="C4504" s="3">
        <v>2</v>
      </c>
      <c r="D4504" s="3">
        <v>78</v>
      </c>
      <c r="E4504" s="3">
        <v>1</v>
      </c>
      <c r="F4504" s="4" t="str">
        <f>HYPERLINK("http://141.218.60.56/~jnz1568/getInfo.php?workbook=12_05.xlsx&amp;sheet=U0&amp;row=4504&amp;col=6&amp;number=3&amp;sourceID=14","3")</f>
        <v>3</v>
      </c>
      <c r="G4504" s="4" t="str">
        <f>HYPERLINK("http://141.218.60.56/~jnz1568/getInfo.php?workbook=12_05.xlsx&amp;sheet=U0&amp;row=4504&amp;col=7&amp;number=0.00472&amp;sourceID=14","0.00472")</f>
        <v>0.00472</v>
      </c>
    </row>
    <row r="4505" spans="1:7">
      <c r="A4505" s="3"/>
      <c r="B4505" s="3"/>
      <c r="C4505" s="3"/>
      <c r="D4505" s="3"/>
      <c r="E4505" s="3">
        <v>2</v>
      </c>
      <c r="F4505" s="4" t="str">
        <f>HYPERLINK("http://141.218.60.56/~jnz1568/getInfo.php?workbook=12_05.xlsx&amp;sheet=U0&amp;row=4505&amp;col=6&amp;number=3.1&amp;sourceID=14","3.1")</f>
        <v>3.1</v>
      </c>
      <c r="G4505" s="4" t="str">
        <f>HYPERLINK("http://141.218.60.56/~jnz1568/getInfo.php?workbook=12_05.xlsx&amp;sheet=U0&amp;row=4505&amp;col=7&amp;number=0.00472&amp;sourceID=14","0.00472")</f>
        <v>0.00472</v>
      </c>
    </row>
    <row r="4506" spans="1:7">
      <c r="A4506" s="3"/>
      <c r="B4506" s="3"/>
      <c r="C4506" s="3"/>
      <c r="D4506" s="3"/>
      <c r="E4506" s="3">
        <v>3</v>
      </c>
      <c r="F4506" s="4" t="str">
        <f>HYPERLINK("http://141.218.60.56/~jnz1568/getInfo.php?workbook=12_05.xlsx&amp;sheet=U0&amp;row=4506&amp;col=6&amp;number=3.2&amp;sourceID=14","3.2")</f>
        <v>3.2</v>
      </c>
      <c r="G4506" s="4" t="str">
        <f>HYPERLINK("http://141.218.60.56/~jnz1568/getInfo.php?workbook=12_05.xlsx&amp;sheet=U0&amp;row=4506&amp;col=7&amp;number=0.00472&amp;sourceID=14","0.00472")</f>
        <v>0.00472</v>
      </c>
    </row>
    <row r="4507" spans="1:7">
      <c r="A4507" s="3"/>
      <c r="B4507" s="3"/>
      <c r="C4507" s="3"/>
      <c r="D4507" s="3"/>
      <c r="E4507" s="3">
        <v>4</v>
      </c>
      <c r="F4507" s="4" t="str">
        <f>HYPERLINK("http://141.218.60.56/~jnz1568/getInfo.php?workbook=12_05.xlsx&amp;sheet=U0&amp;row=4507&amp;col=6&amp;number=3.3&amp;sourceID=14","3.3")</f>
        <v>3.3</v>
      </c>
      <c r="G4507" s="4" t="str">
        <f>HYPERLINK("http://141.218.60.56/~jnz1568/getInfo.php?workbook=12_05.xlsx&amp;sheet=U0&amp;row=4507&amp;col=7&amp;number=0.00472&amp;sourceID=14","0.00472")</f>
        <v>0.00472</v>
      </c>
    </row>
    <row r="4508" spans="1:7">
      <c r="A4508" s="3"/>
      <c r="B4508" s="3"/>
      <c r="C4508" s="3"/>
      <c r="D4508" s="3"/>
      <c r="E4508" s="3">
        <v>5</v>
      </c>
      <c r="F4508" s="4" t="str">
        <f>HYPERLINK("http://141.218.60.56/~jnz1568/getInfo.php?workbook=12_05.xlsx&amp;sheet=U0&amp;row=4508&amp;col=6&amp;number=3.4&amp;sourceID=14","3.4")</f>
        <v>3.4</v>
      </c>
      <c r="G4508" s="4" t="str">
        <f>HYPERLINK("http://141.218.60.56/~jnz1568/getInfo.php?workbook=12_05.xlsx&amp;sheet=U0&amp;row=4508&amp;col=7&amp;number=0.00472&amp;sourceID=14","0.00472")</f>
        <v>0.00472</v>
      </c>
    </row>
    <row r="4509" spans="1:7">
      <c r="A4509" s="3"/>
      <c r="B4509" s="3"/>
      <c r="C4509" s="3"/>
      <c r="D4509" s="3"/>
      <c r="E4509" s="3">
        <v>6</v>
      </c>
      <c r="F4509" s="4" t="str">
        <f>HYPERLINK("http://141.218.60.56/~jnz1568/getInfo.php?workbook=12_05.xlsx&amp;sheet=U0&amp;row=4509&amp;col=6&amp;number=3.5&amp;sourceID=14","3.5")</f>
        <v>3.5</v>
      </c>
      <c r="G4509" s="4" t="str">
        <f>HYPERLINK("http://141.218.60.56/~jnz1568/getInfo.php?workbook=12_05.xlsx&amp;sheet=U0&amp;row=4509&amp;col=7&amp;number=0.00472&amp;sourceID=14","0.00472")</f>
        <v>0.00472</v>
      </c>
    </row>
    <row r="4510" spans="1:7">
      <c r="A4510" s="3"/>
      <c r="B4510" s="3"/>
      <c r="C4510" s="3"/>
      <c r="D4510" s="3"/>
      <c r="E4510" s="3">
        <v>7</v>
      </c>
      <c r="F4510" s="4" t="str">
        <f>HYPERLINK("http://141.218.60.56/~jnz1568/getInfo.php?workbook=12_05.xlsx&amp;sheet=U0&amp;row=4510&amp;col=6&amp;number=3.6&amp;sourceID=14","3.6")</f>
        <v>3.6</v>
      </c>
      <c r="G4510" s="4" t="str">
        <f>HYPERLINK("http://141.218.60.56/~jnz1568/getInfo.php?workbook=12_05.xlsx&amp;sheet=U0&amp;row=4510&amp;col=7&amp;number=0.00472&amp;sourceID=14","0.00472")</f>
        <v>0.00472</v>
      </c>
    </row>
    <row r="4511" spans="1:7">
      <c r="A4511" s="3"/>
      <c r="B4511" s="3"/>
      <c r="C4511" s="3"/>
      <c r="D4511" s="3"/>
      <c r="E4511" s="3">
        <v>8</v>
      </c>
      <c r="F4511" s="4" t="str">
        <f>HYPERLINK("http://141.218.60.56/~jnz1568/getInfo.php?workbook=12_05.xlsx&amp;sheet=U0&amp;row=4511&amp;col=6&amp;number=3.7&amp;sourceID=14","3.7")</f>
        <v>3.7</v>
      </c>
      <c r="G4511" s="4" t="str">
        <f>HYPERLINK("http://141.218.60.56/~jnz1568/getInfo.php?workbook=12_05.xlsx&amp;sheet=U0&amp;row=4511&amp;col=7&amp;number=0.00472&amp;sourceID=14","0.00472")</f>
        <v>0.00472</v>
      </c>
    </row>
    <row r="4512" spans="1:7">
      <c r="A4512" s="3"/>
      <c r="B4512" s="3"/>
      <c r="C4512" s="3"/>
      <c r="D4512" s="3"/>
      <c r="E4512" s="3">
        <v>9</v>
      </c>
      <c r="F4512" s="4" t="str">
        <f>HYPERLINK("http://141.218.60.56/~jnz1568/getInfo.php?workbook=12_05.xlsx&amp;sheet=U0&amp;row=4512&amp;col=6&amp;number=3.8&amp;sourceID=14","3.8")</f>
        <v>3.8</v>
      </c>
      <c r="G4512" s="4" t="str">
        <f>HYPERLINK("http://141.218.60.56/~jnz1568/getInfo.php?workbook=12_05.xlsx&amp;sheet=U0&amp;row=4512&amp;col=7&amp;number=0.00472&amp;sourceID=14","0.00472")</f>
        <v>0.00472</v>
      </c>
    </row>
    <row r="4513" spans="1:7">
      <c r="A4513" s="3"/>
      <c r="B4513" s="3"/>
      <c r="C4513" s="3"/>
      <c r="D4513" s="3"/>
      <c r="E4513" s="3">
        <v>10</v>
      </c>
      <c r="F4513" s="4" t="str">
        <f>HYPERLINK("http://141.218.60.56/~jnz1568/getInfo.php?workbook=12_05.xlsx&amp;sheet=U0&amp;row=4513&amp;col=6&amp;number=3.9&amp;sourceID=14","3.9")</f>
        <v>3.9</v>
      </c>
      <c r="G4513" s="4" t="str">
        <f>HYPERLINK("http://141.218.60.56/~jnz1568/getInfo.php?workbook=12_05.xlsx&amp;sheet=U0&amp;row=4513&amp;col=7&amp;number=0.00472&amp;sourceID=14","0.00472")</f>
        <v>0.00472</v>
      </c>
    </row>
    <row r="4514" spans="1:7">
      <c r="A4514" s="3"/>
      <c r="B4514" s="3"/>
      <c r="C4514" s="3"/>
      <c r="D4514" s="3"/>
      <c r="E4514" s="3">
        <v>11</v>
      </c>
      <c r="F4514" s="4" t="str">
        <f>HYPERLINK("http://141.218.60.56/~jnz1568/getInfo.php?workbook=12_05.xlsx&amp;sheet=U0&amp;row=4514&amp;col=6&amp;number=4&amp;sourceID=14","4")</f>
        <v>4</v>
      </c>
      <c r="G4514" s="4" t="str">
        <f>HYPERLINK("http://141.218.60.56/~jnz1568/getInfo.php?workbook=12_05.xlsx&amp;sheet=U0&amp;row=4514&amp;col=7&amp;number=0.00472&amp;sourceID=14","0.00472")</f>
        <v>0.00472</v>
      </c>
    </row>
    <row r="4515" spans="1:7">
      <c r="A4515" s="3"/>
      <c r="B4515" s="3"/>
      <c r="C4515" s="3"/>
      <c r="D4515" s="3"/>
      <c r="E4515" s="3">
        <v>12</v>
      </c>
      <c r="F4515" s="4" t="str">
        <f>HYPERLINK("http://141.218.60.56/~jnz1568/getInfo.php?workbook=12_05.xlsx&amp;sheet=U0&amp;row=4515&amp;col=6&amp;number=4.1&amp;sourceID=14","4.1")</f>
        <v>4.1</v>
      </c>
      <c r="G4515" s="4" t="str">
        <f>HYPERLINK("http://141.218.60.56/~jnz1568/getInfo.php?workbook=12_05.xlsx&amp;sheet=U0&amp;row=4515&amp;col=7&amp;number=0.00472&amp;sourceID=14","0.00472")</f>
        <v>0.00472</v>
      </c>
    </row>
    <row r="4516" spans="1:7">
      <c r="A4516" s="3"/>
      <c r="B4516" s="3"/>
      <c r="C4516" s="3"/>
      <c r="D4516" s="3"/>
      <c r="E4516" s="3">
        <v>13</v>
      </c>
      <c r="F4516" s="4" t="str">
        <f>HYPERLINK("http://141.218.60.56/~jnz1568/getInfo.php?workbook=12_05.xlsx&amp;sheet=U0&amp;row=4516&amp;col=6&amp;number=4.2&amp;sourceID=14","4.2")</f>
        <v>4.2</v>
      </c>
      <c r="G4516" s="4" t="str">
        <f>HYPERLINK("http://141.218.60.56/~jnz1568/getInfo.php?workbook=12_05.xlsx&amp;sheet=U0&amp;row=4516&amp;col=7&amp;number=0.00471&amp;sourceID=14","0.00471")</f>
        <v>0.00471</v>
      </c>
    </row>
    <row r="4517" spans="1:7">
      <c r="A4517" s="3"/>
      <c r="B4517" s="3"/>
      <c r="C4517" s="3"/>
      <c r="D4517" s="3"/>
      <c r="E4517" s="3">
        <v>14</v>
      </c>
      <c r="F4517" s="4" t="str">
        <f>HYPERLINK("http://141.218.60.56/~jnz1568/getInfo.php?workbook=12_05.xlsx&amp;sheet=U0&amp;row=4517&amp;col=6&amp;number=4.3&amp;sourceID=14","4.3")</f>
        <v>4.3</v>
      </c>
      <c r="G4517" s="4" t="str">
        <f>HYPERLINK("http://141.218.60.56/~jnz1568/getInfo.php?workbook=12_05.xlsx&amp;sheet=U0&amp;row=4517&amp;col=7&amp;number=0.00471&amp;sourceID=14","0.00471")</f>
        <v>0.00471</v>
      </c>
    </row>
    <row r="4518" spans="1:7">
      <c r="A4518" s="3"/>
      <c r="B4518" s="3"/>
      <c r="C4518" s="3"/>
      <c r="D4518" s="3"/>
      <c r="E4518" s="3">
        <v>15</v>
      </c>
      <c r="F4518" s="4" t="str">
        <f>HYPERLINK("http://141.218.60.56/~jnz1568/getInfo.php?workbook=12_05.xlsx&amp;sheet=U0&amp;row=4518&amp;col=6&amp;number=4.4&amp;sourceID=14","4.4")</f>
        <v>4.4</v>
      </c>
      <c r="G4518" s="4" t="str">
        <f>HYPERLINK("http://141.218.60.56/~jnz1568/getInfo.php?workbook=12_05.xlsx&amp;sheet=U0&amp;row=4518&amp;col=7&amp;number=0.00471&amp;sourceID=14","0.00471")</f>
        <v>0.00471</v>
      </c>
    </row>
    <row r="4519" spans="1:7">
      <c r="A4519" s="3"/>
      <c r="B4519" s="3"/>
      <c r="C4519" s="3"/>
      <c r="D4519" s="3"/>
      <c r="E4519" s="3">
        <v>16</v>
      </c>
      <c r="F4519" s="4" t="str">
        <f>HYPERLINK("http://141.218.60.56/~jnz1568/getInfo.php?workbook=12_05.xlsx&amp;sheet=U0&amp;row=4519&amp;col=6&amp;number=4.5&amp;sourceID=14","4.5")</f>
        <v>4.5</v>
      </c>
      <c r="G4519" s="4" t="str">
        <f>HYPERLINK("http://141.218.60.56/~jnz1568/getInfo.php?workbook=12_05.xlsx&amp;sheet=U0&amp;row=4519&amp;col=7&amp;number=0.00471&amp;sourceID=14","0.00471")</f>
        <v>0.00471</v>
      </c>
    </row>
    <row r="4520" spans="1:7">
      <c r="A4520" s="3"/>
      <c r="B4520" s="3"/>
      <c r="C4520" s="3"/>
      <c r="D4520" s="3"/>
      <c r="E4520" s="3">
        <v>17</v>
      </c>
      <c r="F4520" s="4" t="str">
        <f>HYPERLINK("http://141.218.60.56/~jnz1568/getInfo.php?workbook=12_05.xlsx&amp;sheet=U0&amp;row=4520&amp;col=6&amp;number=4.6&amp;sourceID=14","4.6")</f>
        <v>4.6</v>
      </c>
      <c r="G4520" s="4" t="str">
        <f>HYPERLINK("http://141.218.60.56/~jnz1568/getInfo.php?workbook=12_05.xlsx&amp;sheet=U0&amp;row=4520&amp;col=7&amp;number=0.0047&amp;sourceID=14","0.0047")</f>
        <v>0.0047</v>
      </c>
    </row>
    <row r="4521" spans="1:7">
      <c r="A4521" s="3"/>
      <c r="B4521" s="3"/>
      <c r="C4521" s="3"/>
      <c r="D4521" s="3"/>
      <c r="E4521" s="3">
        <v>18</v>
      </c>
      <c r="F4521" s="4" t="str">
        <f>HYPERLINK("http://141.218.60.56/~jnz1568/getInfo.php?workbook=12_05.xlsx&amp;sheet=U0&amp;row=4521&amp;col=6&amp;number=4.7&amp;sourceID=14","4.7")</f>
        <v>4.7</v>
      </c>
      <c r="G4521" s="4" t="str">
        <f>HYPERLINK("http://141.218.60.56/~jnz1568/getInfo.php?workbook=12_05.xlsx&amp;sheet=U0&amp;row=4521&amp;col=7&amp;number=0.0047&amp;sourceID=14","0.0047")</f>
        <v>0.0047</v>
      </c>
    </row>
    <row r="4522" spans="1:7">
      <c r="A4522" s="3"/>
      <c r="B4522" s="3"/>
      <c r="C4522" s="3"/>
      <c r="D4522" s="3"/>
      <c r="E4522" s="3">
        <v>19</v>
      </c>
      <c r="F4522" s="4" t="str">
        <f>HYPERLINK("http://141.218.60.56/~jnz1568/getInfo.php?workbook=12_05.xlsx&amp;sheet=U0&amp;row=4522&amp;col=6&amp;number=4.8&amp;sourceID=14","4.8")</f>
        <v>4.8</v>
      </c>
      <c r="G4522" s="4" t="str">
        <f>HYPERLINK("http://141.218.60.56/~jnz1568/getInfo.php?workbook=12_05.xlsx&amp;sheet=U0&amp;row=4522&amp;col=7&amp;number=0.00469&amp;sourceID=14","0.00469")</f>
        <v>0.00469</v>
      </c>
    </row>
    <row r="4523" spans="1:7">
      <c r="A4523" s="3"/>
      <c r="B4523" s="3"/>
      <c r="C4523" s="3"/>
      <c r="D4523" s="3"/>
      <c r="E4523" s="3">
        <v>20</v>
      </c>
      <c r="F4523" s="4" t="str">
        <f>HYPERLINK("http://141.218.60.56/~jnz1568/getInfo.php?workbook=12_05.xlsx&amp;sheet=U0&amp;row=4523&amp;col=6&amp;number=4.9&amp;sourceID=14","4.9")</f>
        <v>4.9</v>
      </c>
      <c r="G4523" s="4" t="str">
        <f>HYPERLINK("http://141.218.60.56/~jnz1568/getInfo.php?workbook=12_05.xlsx&amp;sheet=U0&amp;row=4523&amp;col=7&amp;number=0.00469&amp;sourceID=14","0.00469")</f>
        <v>0.00469</v>
      </c>
    </row>
    <row r="4524" spans="1:7">
      <c r="A4524" s="3">
        <v>12</v>
      </c>
      <c r="B4524" s="3">
        <v>5</v>
      </c>
      <c r="C4524" s="3">
        <v>2</v>
      </c>
      <c r="D4524" s="3">
        <v>79</v>
      </c>
      <c r="E4524" s="3">
        <v>1</v>
      </c>
      <c r="F4524" s="4" t="str">
        <f>HYPERLINK("http://141.218.60.56/~jnz1568/getInfo.php?workbook=12_05.xlsx&amp;sheet=U0&amp;row=4524&amp;col=6&amp;number=3&amp;sourceID=14","3")</f>
        <v>3</v>
      </c>
      <c r="G4524" s="4" t="str">
        <f>HYPERLINK("http://141.218.60.56/~jnz1568/getInfo.php?workbook=12_05.xlsx&amp;sheet=U0&amp;row=4524&amp;col=7&amp;number=0.0186&amp;sourceID=14","0.0186")</f>
        <v>0.0186</v>
      </c>
    </row>
    <row r="4525" spans="1:7">
      <c r="A4525" s="3"/>
      <c r="B4525" s="3"/>
      <c r="C4525" s="3"/>
      <c r="D4525" s="3"/>
      <c r="E4525" s="3">
        <v>2</v>
      </c>
      <c r="F4525" s="4" t="str">
        <f>HYPERLINK("http://141.218.60.56/~jnz1568/getInfo.php?workbook=12_05.xlsx&amp;sheet=U0&amp;row=4525&amp;col=6&amp;number=3.1&amp;sourceID=14","3.1")</f>
        <v>3.1</v>
      </c>
      <c r="G4525" s="4" t="str">
        <f>HYPERLINK("http://141.218.60.56/~jnz1568/getInfo.php?workbook=12_05.xlsx&amp;sheet=U0&amp;row=4525&amp;col=7&amp;number=0.0186&amp;sourceID=14","0.0186")</f>
        <v>0.0186</v>
      </c>
    </row>
    <row r="4526" spans="1:7">
      <c r="A4526" s="3"/>
      <c r="B4526" s="3"/>
      <c r="C4526" s="3"/>
      <c r="D4526" s="3"/>
      <c r="E4526" s="3">
        <v>3</v>
      </c>
      <c r="F4526" s="4" t="str">
        <f>HYPERLINK("http://141.218.60.56/~jnz1568/getInfo.php?workbook=12_05.xlsx&amp;sheet=U0&amp;row=4526&amp;col=6&amp;number=3.2&amp;sourceID=14","3.2")</f>
        <v>3.2</v>
      </c>
      <c r="G4526" s="4" t="str">
        <f>HYPERLINK("http://141.218.60.56/~jnz1568/getInfo.php?workbook=12_05.xlsx&amp;sheet=U0&amp;row=4526&amp;col=7&amp;number=0.0187&amp;sourceID=14","0.0187")</f>
        <v>0.0187</v>
      </c>
    </row>
    <row r="4527" spans="1:7">
      <c r="A4527" s="3"/>
      <c r="B4527" s="3"/>
      <c r="C4527" s="3"/>
      <c r="D4527" s="3"/>
      <c r="E4527" s="3">
        <v>4</v>
      </c>
      <c r="F4527" s="4" t="str">
        <f>HYPERLINK("http://141.218.60.56/~jnz1568/getInfo.php?workbook=12_05.xlsx&amp;sheet=U0&amp;row=4527&amp;col=6&amp;number=3.3&amp;sourceID=14","3.3")</f>
        <v>3.3</v>
      </c>
      <c r="G4527" s="4" t="str">
        <f>HYPERLINK("http://141.218.60.56/~jnz1568/getInfo.php?workbook=12_05.xlsx&amp;sheet=U0&amp;row=4527&amp;col=7&amp;number=0.0187&amp;sourceID=14","0.0187")</f>
        <v>0.0187</v>
      </c>
    </row>
    <row r="4528" spans="1:7">
      <c r="A4528" s="3"/>
      <c r="B4528" s="3"/>
      <c r="C4528" s="3"/>
      <c r="D4528" s="3"/>
      <c r="E4528" s="3">
        <v>5</v>
      </c>
      <c r="F4528" s="4" t="str">
        <f>HYPERLINK("http://141.218.60.56/~jnz1568/getInfo.php?workbook=12_05.xlsx&amp;sheet=U0&amp;row=4528&amp;col=6&amp;number=3.4&amp;sourceID=14","3.4")</f>
        <v>3.4</v>
      </c>
      <c r="G4528" s="4" t="str">
        <f>HYPERLINK("http://141.218.60.56/~jnz1568/getInfo.php?workbook=12_05.xlsx&amp;sheet=U0&amp;row=4528&amp;col=7&amp;number=0.0187&amp;sourceID=14","0.0187")</f>
        <v>0.0187</v>
      </c>
    </row>
    <row r="4529" spans="1:7">
      <c r="A4529" s="3"/>
      <c r="B4529" s="3"/>
      <c r="C4529" s="3"/>
      <c r="D4529" s="3"/>
      <c r="E4529" s="3">
        <v>6</v>
      </c>
      <c r="F4529" s="4" t="str">
        <f>HYPERLINK("http://141.218.60.56/~jnz1568/getInfo.php?workbook=12_05.xlsx&amp;sheet=U0&amp;row=4529&amp;col=6&amp;number=3.5&amp;sourceID=14","3.5")</f>
        <v>3.5</v>
      </c>
      <c r="G4529" s="4" t="str">
        <f>HYPERLINK("http://141.218.60.56/~jnz1568/getInfo.php?workbook=12_05.xlsx&amp;sheet=U0&amp;row=4529&amp;col=7&amp;number=0.0187&amp;sourceID=14","0.0187")</f>
        <v>0.0187</v>
      </c>
    </row>
    <row r="4530" spans="1:7">
      <c r="A4530" s="3"/>
      <c r="B4530" s="3"/>
      <c r="C4530" s="3"/>
      <c r="D4530" s="3"/>
      <c r="E4530" s="3">
        <v>7</v>
      </c>
      <c r="F4530" s="4" t="str">
        <f>HYPERLINK("http://141.218.60.56/~jnz1568/getInfo.php?workbook=12_05.xlsx&amp;sheet=U0&amp;row=4530&amp;col=6&amp;number=3.6&amp;sourceID=14","3.6")</f>
        <v>3.6</v>
      </c>
      <c r="G4530" s="4" t="str">
        <f>HYPERLINK("http://141.218.60.56/~jnz1568/getInfo.php?workbook=12_05.xlsx&amp;sheet=U0&amp;row=4530&amp;col=7&amp;number=0.0187&amp;sourceID=14","0.0187")</f>
        <v>0.0187</v>
      </c>
    </row>
    <row r="4531" spans="1:7">
      <c r="A4531" s="3"/>
      <c r="B4531" s="3"/>
      <c r="C4531" s="3"/>
      <c r="D4531" s="3"/>
      <c r="E4531" s="3">
        <v>8</v>
      </c>
      <c r="F4531" s="4" t="str">
        <f>HYPERLINK("http://141.218.60.56/~jnz1568/getInfo.php?workbook=12_05.xlsx&amp;sheet=U0&amp;row=4531&amp;col=6&amp;number=3.7&amp;sourceID=14","3.7")</f>
        <v>3.7</v>
      </c>
      <c r="G4531" s="4" t="str">
        <f>HYPERLINK("http://141.218.60.56/~jnz1568/getInfo.php?workbook=12_05.xlsx&amp;sheet=U0&amp;row=4531&amp;col=7&amp;number=0.0187&amp;sourceID=14","0.0187")</f>
        <v>0.0187</v>
      </c>
    </row>
    <row r="4532" spans="1:7">
      <c r="A4532" s="3"/>
      <c r="B4532" s="3"/>
      <c r="C4532" s="3"/>
      <c r="D4532" s="3"/>
      <c r="E4532" s="3">
        <v>9</v>
      </c>
      <c r="F4532" s="4" t="str">
        <f>HYPERLINK("http://141.218.60.56/~jnz1568/getInfo.php?workbook=12_05.xlsx&amp;sheet=U0&amp;row=4532&amp;col=6&amp;number=3.8&amp;sourceID=14","3.8")</f>
        <v>3.8</v>
      </c>
      <c r="G4532" s="4" t="str">
        <f>HYPERLINK("http://141.218.60.56/~jnz1568/getInfo.php?workbook=12_05.xlsx&amp;sheet=U0&amp;row=4532&amp;col=7&amp;number=0.0187&amp;sourceID=14","0.0187")</f>
        <v>0.0187</v>
      </c>
    </row>
    <row r="4533" spans="1:7">
      <c r="A4533" s="3"/>
      <c r="B4533" s="3"/>
      <c r="C4533" s="3"/>
      <c r="D4533" s="3"/>
      <c r="E4533" s="3">
        <v>10</v>
      </c>
      <c r="F4533" s="4" t="str">
        <f>HYPERLINK("http://141.218.60.56/~jnz1568/getInfo.php?workbook=12_05.xlsx&amp;sheet=U0&amp;row=4533&amp;col=6&amp;number=3.9&amp;sourceID=14","3.9")</f>
        <v>3.9</v>
      </c>
      <c r="G4533" s="4" t="str">
        <f>HYPERLINK("http://141.218.60.56/~jnz1568/getInfo.php?workbook=12_05.xlsx&amp;sheet=U0&amp;row=4533&amp;col=7&amp;number=0.0188&amp;sourceID=14","0.0188")</f>
        <v>0.0188</v>
      </c>
    </row>
    <row r="4534" spans="1:7">
      <c r="A4534" s="3"/>
      <c r="B4534" s="3"/>
      <c r="C4534" s="3"/>
      <c r="D4534" s="3"/>
      <c r="E4534" s="3">
        <v>11</v>
      </c>
      <c r="F4534" s="4" t="str">
        <f>HYPERLINK("http://141.218.60.56/~jnz1568/getInfo.php?workbook=12_05.xlsx&amp;sheet=U0&amp;row=4534&amp;col=6&amp;number=4&amp;sourceID=14","4")</f>
        <v>4</v>
      </c>
      <c r="G4534" s="4" t="str">
        <f>HYPERLINK("http://141.218.60.56/~jnz1568/getInfo.php?workbook=12_05.xlsx&amp;sheet=U0&amp;row=4534&amp;col=7&amp;number=0.0188&amp;sourceID=14","0.0188")</f>
        <v>0.0188</v>
      </c>
    </row>
    <row r="4535" spans="1:7">
      <c r="A4535" s="3"/>
      <c r="B4535" s="3"/>
      <c r="C4535" s="3"/>
      <c r="D4535" s="3"/>
      <c r="E4535" s="3">
        <v>12</v>
      </c>
      <c r="F4535" s="4" t="str">
        <f>HYPERLINK("http://141.218.60.56/~jnz1568/getInfo.php?workbook=12_05.xlsx&amp;sheet=U0&amp;row=4535&amp;col=6&amp;number=4.1&amp;sourceID=14","4.1")</f>
        <v>4.1</v>
      </c>
      <c r="G4535" s="4" t="str">
        <f>HYPERLINK("http://141.218.60.56/~jnz1568/getInfo.php?workbook=12_05.xlsx&amp;sheet=U0&amp;row=4535&amp;col=7&amp;number=0.0188&amp;sourceID=14","0.0188")</f>
        <v>0.0188</v>
      </c>
    </row>
    <row r="4536" spans="1:7">
      <c r="A4536" s="3"/>
      <c r="B4536" s="3"/>
      <c r="C4536" s="3"/>
      <c r="D4536" s="3"/>
      <c r="E4536" s="3">
        <v>13</v>
      </c>
      <c r="F4536" s="4" t="str">
        <f>HYPERLINK("http://141.218.60.56/~jnz1568/getInfo.php?workbook=12_05.xlsx&amp;sheet=U0&amp;row=4536&amp;col=6&amp;number=4.2&amp;sourceID=14","4.2")</f>
        <v>4.2</v>
      </c>
      <c r="G4536" s="4" t="str">
        <f>HYPERLINK("http://141.218.60.56/~jnz1568/getInfo.php?workbook=12_05.xlsx&amp;sheet=U0&amp;row=4536&amp;col=7&amp;number=0.0189&amp;sourceID=14","0.0189")</f>
        <v>0.0189</v>
      </c>
    </row>
    <row r="4537" spans="1:7">
      <c r="A4537" s="3"/>
      <c r="B4537" s="3"/>
      <c r="C4537" s="3"/>
      <c r="D4537" s="3"/>
      <c r="E4537" s="3">
        <v>14</v>
      </c>
      <c r="F4537" s="4" t="str">
        <f>HYPERLINK("http://141.218.60.56/~jnz1568/getInfo.php?workbook=12_05.xlsx&amp;sheet=U0&amp;row=4537&amp;col=6&amp;number=4.3&amp;sourceID=14","4.3")</f>
        <v>4.3</v>
      </c>
      <c r="G4537" s="4" t="str">
        <f>HYPERLINK("http://141.218.60.56/~jnz1568/getInfo.php?workbook=12_05.xlsx&amp;sheet=U0&amp;row=4537&amp;col=7&amp;number=0.0189&amp;sourceID=14","0.0189")</f>
        <v>0.0189</v>
      </c>
    </row>
    <row r="4538" spans="1:7">
      <c r="A4538" s="3"/>
      <c r="B4538" s="3"/>
      <c r="C4538" s="3"/>
      <c r="D4538" s="3"/>
      <c r="E4538" s="3">
        <v>15</v>
      </c>
      <c r="F4538" s="4" t="str">
        <f>HYPERLINK("http://141.218.60.56/~jnz1568/getInfo.php?workbook=12_05.xlsx&amp;sheet=U0&amp;row=4538&amp;col=6&amp;number=4.4&amp;sourceID=14","4.4")</f>
        <v>4.4</v>
      </c>
      <c r="G4538" s="4" t="str">
        <f>HYPERLINK("http://141.218.60.56/~jnz1568/getInfo.php?workbook=12_05.xlsx&amp;sheet=U0&amp;row=4538&amp;col=7&amp;number=0.019&amp;sourceID=14","0.019")</f>
        <v>0.019</v>
      </c>
    </row>
    <row r="4539" spans="1:7">
      <c r="A4539" s="3"/>
      <c r="B4539" s="3"/>
      <c r="C4539" s="3"/>
      <c r="D4539" s="3"/>
      <c r="E4539" s="3">
        <v>16</v>
      </c>
      <c r="F4539" s="4" t="str">
        <f>HYPERLINK("http://141.218.60.56/~jnz1568/getInfo.php?workbook=12_05.xlsx&amp;sheet=U0&amp;row=4539&amp;col=6&amp;number=4.5&amp;sourceID=14","4.5")</f>
        <v>4.5</v>
      </c>
      <c r="G4539" s="4" t="str">
        <f>HYPERLINK("http://141.218.60.56/~jnz1568/getInfo.php?workbook=12_05.xlsx&amp;sheet=U0&amp;row=4539&amp;col=7&amp;number=0.0191&amp;sourceID=14","0.0191")</f>
        <v>0.0191</v>
      </c>
    </row>
    <row r="4540" spans="1:7">
      <c r="A4540" s="3"/>
      <c r="B4540" s="3"/>
      <c r="C4540" s="3"/>
      <c r="D4540" s="3"/>
      <c r="E4540" s="3">
        <v>17</v>
      </c>
      <c r="F4540" s="4" t="str">
        <f>HYPERLINK("http://141.218.60.56/~jnz1568/getInfo.php?workbook=12_05.xlsx&amp;sheet=U0&amp;row=4540&amp;col=6&amp;number=4.6&amp;sourceID=14","4.6")</f>
        <v>4.6</v>
      </c>
      <c r="G4540" s="4" t="str">
        <f>HYPERLINK("http://141.218.60.56/~jnz1568/getInfo.php?workbook=12_05.xlsx&amp;sheet=U0&amp;row=4540&amp;col=7&amp;number=0.0192&amp;sourceID=14","0.0192")</f>
        <v>0.0192</v>
      </c>
    </row>
    <row r="4541" spans="1:7">
      <c r="A4541" s="3"/>
      <c r="B4541" s="3"/>
      <c r="C4541" s="3"/>
      <c r="D4541" s="3"/>
      <c r="E4541" s="3">
        <v>18</v>
      </c>
      <c r="F4541" s="4" t="str">
        <f>HYPERLINK("http://141.218.60.56/~jnz1568/getInfo.php?workbook=12_05.xlsx&amp;sheet=U0&amp;row=4541&amp;col=6&amp;number=4.7&amp;sourceID=14","4.7")</f>
        <v>4.7</v>
      </c>
      <c r="G4541" s="4" t="str">
        <f>HYPERLINK("http://141.218.60.56/~jnz1568/getInfo.php?workbook=12_05.xlsx&amp;sheet=U0&amp;row=4541&amp;col=7&amp;number=0.0194&amp;sourceID=14","0.0194")</f>
        <v>0.0194</v>
      </c>
    </row>
    <row r="4542" spans="1:7">
      <c r="A4542" s="3"/>
      <c r="B4542" s="3"/>
      <c r="C4542" s="3"/>
      <c r="D4542" s="3"/>
      <c r="E4542" s="3">
        <v>19</v>
      </c>
      <c r="F4542" s="4" t="str">
        <f>HYPERLINK("http://141.218.60.56/~jnz1568/getInfo.php?workbook=12_05.xlsx&amp;sheet=U0&amp;row=4542&amp;col=6&amp;number=4.8&amp;sourceID=14","4.8")</f>
        <v>4.8</v>
      </c>
      <c r="G4542" s="4" t="str">
        <f>HYPERLINK("http://141.218.60.56/~jnz1568/getInfo.php?workbook=12_05.xlsx&amp;sheet=U0&amp;row=4542&amp;col=7&amp;number=0.0196&amp;sourceID=14","0.0196")</f>
        <v>0.0196</v>
      </c>
    </row>
    <row r="4543" spans="1:7">
      <c r="A4543" s="3"/>
      <c r="B4543" s="3"/>
      <c r="C4543" s="3"/>
      <c r="D4543" s="3"/>
      <c r="E4543" s="3">
        <v>20</v>
      </c>
      <c r="F4543" s="4" t="str">
        <f>HYPERLINK("http://141.218.60.56/~jnz1568/getInfo.php?workbook=12_05.xlsx&amp;sheet=U0&amp;row=4543&amp;col=6&amp;number=4.9&amp;sourceID=14","4.9")</f>
        <v>4.9</v>
      </c>
      <c r="G4543" s="4" t="str">
        <f>HYPERLINK("http://141.218.60.56/~jnz1568/getInfo.php?workbook=12_05.xlsx&amp;sheet=U0&amp;row=4543&amp;col=7&amp;number=0.0198&amp;sourceID=14","0.0198")</f>
        <v>0.0198</v>
      </c>
    </row>
    <row r="4544" spans="1:7">
      <c r="A4544" s="3">
        <v>12</v>
      </c>
      <c r="B4544" s="3">
        <v>5</v>
      </c>
      <c r="C4544" s="3">
        <v>2</v>
      </c>
      <c r="D4544" s="3">
        <v>80</v>
      </c>
      <c r="E4544" s="3">
        <v>1</v>
      </c>
      <c r="F4544" s="4" t="str">
        <f>HYPERLINK("http://141.218.60.56/~jnz1568/getInfo.php?workbook=12_05.xlsx&amp;sheet=U0&amp;row=4544&amp;col=6&amp;number=3&amp;sourceID=14","3")</f>
        <v>3</v>
      </c>
      <c r="G4544" s="4" t="str">
        <f>HYPERLINK("http://141.218.60.56/~jnz1568/getInfo.php?workbook=12_05.xlsx&amp;sheet=U0&amp;row=4544&amp;col=7&amp;number=0.00787&amp;sourceID=14","0.00787")</f>
        <v>0.00787</v>
      </c>
    </row>
    <row r="4545" spans="1:7">
      <c r="A4545" s="3"/>
      <c r="B4545" s="3"/>
      <c r="C4545" s="3"/>
      <c r="D4545" s="3"/>
      <c r="E4545" s="3">
        <v>2</v>
      </c>
      <c r="F4545" s="4" t="str">
        <f>HYPERLINK("http://141.218.60.56/~jnz1568/getInfo.php?workbook=12_05.xlsx&amp;sheet=U0&amp;row=4545&amp;col=6&amp;number=3.1&amp;sourceID=14","3.1")</f>
        <v>3.1</v>
      </c>
      <c r="G4545" s="4" t="str">
        <f>HYPERLINK("http://141.218.60.56/~jnz1568/getInfo.php?workbook=12_05.xlsx&amp;sheet=U0&amp;row=4545&amp;col=7&amp;number=0.00787&amp;sourceID=14","0.00787")</f>
        <v>0.00787</v>
      </c>
    </row>
    <row r="4546" spans="1:7">
      <c r="A4546" s="3"/>
      <c r="B4546" s="3"/>
      <c r="C4546" s="3"/>
      <c r="D4546" s="3"/>
      <c r="E4546" s="3">
        <v>3</v>
      </c>
      <c r="F4546" s="4" t="str">
        <f>HYPERLINK("http://141.218.60.56/~jnz1568/getInfo.php?workbook=12_05.xlsx&amp;sheet=U0&amp;row=4546&amp;col=6&amp;number=3.2&amp;sourceID=14","3.2")</f>
        <v>3.2</v>
      </c>
      <c r="G4546" s="4" t="str">
        <f>HYPERLINK("http://141.218.60.56/~jnz1568/getInfo.php?workbook=12_05.xlsx&amp;sheet=U0&amp;row=4546&amp;col=7&amp;number=0.00787&amp;sourceID=14","0.00787")</f>
        <v>0.00787</v>
      </c>
    </row>
    <row r="4547" spans="1:7">
      <c r="A4547" s="3"/>
      <c r="B4547" s="3"/>
      <c r="C4547" s="3"/>
      <c r="D4547" s="3"/>
      <c r="E4547" s="3">
        <v>4</v>
      </c>
      <c r="F4547" s="4" t="str">
        <f>HYPERLINK("http://141.218.60.56/~jnz1568/getInfo.php?workbook=12_05.xlsx&amp;sheet=U0&amp;row=4547&amp;col=6&amp;number=3.3&amp;sourceID=14","3.3")</f>
        <v>3.3</v>
      </c>
      <c r="G4547" s="4" t="str">
        <f>HYPERLINK("http://141.218.60.56/~jnz1568/getInfo.php?workbook=12_05.xlsx&amp;sheet=U0&amp;row=4547&amp;col=7&amp;number=0.00787&amp;sourceID=14","0.00787")</f>
        <v>0.00787</v>
      </c>
    </row>
    <row r="4548" spans="1:7">
      <c r="A4548" s="3"/>
      <c r="B4548" s="3"/>
      <c r="C4548" s="3"/>
      <c r="D4548" s="3"/>
      <c r="E4548" s="3">
        <v>5</v>
      </c>
      <c r="F4548" s="4" t="str">
        <f>HYPERLINK("http://141.218.60.56/~jnz1568/getInfo.php?workbook=12_05.xlsx&amp;sheet=U0&amp;row=4548&amp;col=6&amp;number=3.4&amp;sourceID=14","3.4")</f>
        <v>3.4</v>
      </c>
      <c r="G4548" s="4" t="str">
        <f>HYPERLINK("http://141.218.60.56/~jnz1568/getInfo.php?workbook=12_05.xlsx&amp;sheet=U0&amp;row=4548&amp;col=7&amp;number=0.00787&amp;sourceID=14","0.00787")</f>
        <v>0.00787</v>
      </c>
    </row>
    <row r="4549" spans="1:7">
      <c r="A4549" s="3"/>
      <c r="B4549" s="3"/>
      <c r="C4549" s="3"/>
      <c r="D4549" s="3"/>
      <c r="E4549" s="3">
        <v>6</v>
      </c>
      <c r="F4549" s="4" t="str">
        <f>HYPERLINK("http://141.218.60.56/~jnz1568/getInfo.php?workbook=12_05.xlsx&amp;sheet=U0&amp;row=4549&amp;col=6&amp;number=3.5&amp;sourceID=14","3.5")</f>
        <v>3.5</v>
      </c>
      <c r="G4549" s="4" t="str">
        <f>HYPERLINK("http://141.218.60.56/~jnz1568/getInfo.php?workbook=12_05.xlsx&amp;sheet=U0&amp;row=4549&amp;col=7&amp;number=0.00787&amp;sourceID=14","0.00787")</f>
        <v>0.00787</v>
      </c>
    </row>
    <row r="4550" spans="1:7">
      <c r="A4550" s="3"/>
      <c r="B4550" s="3"/>
      <c r="C4550" s="3"/>
      <c r="D4550" s="3"/>
      <c r="E4550" s="3">
        <v>7</v>
      </c>
      <c r="F4550" s="4" t="str">
        <f>HYPERLINK("http://141.218.60.56/~jnz1568/getInfo.php?workbook=12_05.xlsx&amp;sheet=U0&amp;row=4550&amp;col=6&amp;number=3.6&amp;sourceID=14","3.6")</f>
        <v>3.6</v>
      </c>
      <c r="G4550" s="4" t="str">
        <f>HYPERLINK("http://141.218.60.56/~jnz1568/getInfo.php?workbook=12_05.xlsx&amp;sheet=U0&amp;row=4550&amp;col=7&amp;number=0.00788&amp;sourceID=14","0.00788")</f>
        <v>0.00788</v>
      </c>
    </row>
    <row r="4551" spans="1:7">
      <c r="A4551" s="3"/>
      <c r="B4551" s="3"/>
      <c r="C4551" s="3"/>
      <c r="D4551" s="3"/>
      <c r="E4551" s="3">
        <v>8</v>
      </c>
      <c r="F4551" s="4" t="str">
        <f>HYPERLINK("http://141.218.60.56/~jnz1568/getInfo.php?workbook=12_05.xlsx&amp;sheet=U0&amp;row=4551&amp;col=6&amp;number=3.7&amp;sourceID=14","3.7")</f>
        <v>3.7</v>
      </c>
      <c r="G4551" s="4" t="str">
        <f>HYPERLINK("http://141.218.60.56/~jnz1568/getInfo.php?workbook=12_05.xlsx&amp;sheet=U0&amp;row=4551&amp;col=7&amp;number=0.00788&amp;sourceID=14","0.00788")</f>
        <v>0.00788</v>
      </c>
    </row>
    <row r="4552" spans="1:7">
      <c r="A4552" s="3"/>
      <c r="B4552" s="3"/>
      <c r="C4552" s="3"/>
      <c r="D4552" s="3"/>
      <c r="E4552" s="3">
        <v>9</v>
      </c>
      <c r="F4552" s="4" t="str">
        <f>HYPERLINK("http://141.218.60.56/~jnz1568/getInfo.php?workbook=12_05.xlsx&amp;sheet=U0&amp;row=4552&amp;col=6&amp;number=3.8&amp;sourceID=14","3.8")</f>
        <v>3.8</v>
      </c>
      <c r="G4552" s="4" t="str">
        <f>HYPERLINK("http://141.218.60.56/~jnz1568/getInfo.php?workbook=12_05.xlsx&amp;sheet=U0&amp;row=4552&amp;col=7&amp;number=0.00788&amp;sourceID=14","0.00788")</f>
        <v>0.00788</v>
      </c>
    </row>
    <row r="4553" spans="1:7">
      <c r="A4553" s="3"/>
      <c r="B4553" s="3"/>
      <c r="C4553" s="3"/>
      <c r="D4553" s="3"/>
      <c r="E4553" s="3">
        <v>10</v>
      </c>
      <c r="F4553" s="4" t="str">
        <f>HYPERLINK("http://141.218.60.56/~jnz1568/getInfo.php?workbook=12_05.xlsx&amp;sheet=U0&amp;row=4553&amp;col=6&amp;number=3.9&amp;sourceID=14","3.9")</f>
        <v>3.9</v>
      </c>
      <c r="G4553" s="4" t="str">
        <f>HYPERLINK("http://141.218.60.56/~jnz1568/getInfo.php?workbook=12_05.xlsx&amp;sheet=U0&amp;row=4553&amp;col=7&amp;number=0.00789&amp;sourceID=14","0.00789")</f>
        <v>0.00789</v>
      </c>
    </row>
    <row r="4554" spans="1:7">
      <c r="A4554" s="3"/>
      <c r="B4554" s="3"/>
      <c r="C4554" s="3"/>
      <c r="D4554" s="3"/>
      <c r="E4554" s="3">
        <v>11</v>
      </c>
      <c r="F4554" s="4" t="str">
        <f>HYPERLINK("http://141.218.60.56/~jnz1568/getInfo.php?workbook=12_05.xlsx&amp;sheet=U0&amp;row=4554&amp;col=6&amp;number=4&amp;sourceID=14","4")</f>
        <v>4</v>
      </c>
      <c r="G4554" s="4" t="str">
        <f>HYPERLINK("http://141.218.60.56/~jnz1568/getInfo.php?workbook=12_05.xlsx&amp;sheet=U0&amp;row=4554&amp;col=7&amp;number=0.00789&amp;sourceID=14","0.00789")</f>
        <v>0.00789</v>
      </c>
    </row>
    <row r="4555" spans="1:7">
      <c r="A4555" s="3"/>
      <c r="B4555" s="3"/>
      <c r="C4555" s="3"/>
      <c r="D4555" s="3"/>
      <c r="E4555" s="3">
        <v>12</v>
      </c>
      <c r="F4555" s="4" t="str">
        <f>HYPERLINK("http://141.218.60.56/~jnz1568/getInfo.php?workbook=12_05.xlsx&amp;sheet=U0&amp;row=4555&amp;col=6&amp;number=4.1&amp;sourceID=14","4.1")</f>
        <v>4.1</v>
      </c>
      <c r="G4555" s="4" t="str">
        <f>HYPERLINK("http://141.218.60.56/~jnz1568/getInfo.php?workbook=12_05.xlsx&amp;sheet=U0&amp;row=4555&amp;col=7&amp;number=0.0079&amp;sourceID=14","0.0079")</f>
        <v>0.0079</v>
      </c>
    </row>
    <row r="4556" spans="1:7">
      <c r="A4556" s="3"/>
      <c r="B4556" s="3"/>
      <c r="C4556" s="3"/>
      <c r="D4556" s="3"/>
      <c r="E4556" s="3">
        <v>13</v>
      </c>
      <c r="F4556" s="4" t="str">
        <f>HYPERLINK("http://141.218.60.56/~jnz1568/getInfo.php?workbook=12_05.xlsx&amp;sheet=U0&amp;row=4556&amp;col=6&amp;number=4.2&amp;sourceID=14","4.2")</f>
        <v>4.2</v>
      </c>
      <c r="G4556" s="4" t="str">
        <f>HYPERLINK("http://141.218.60.56/~jnz1568/getInfo.php?workbook=12_05.xlsx&amp;sheet=U0&amp;row=4556&amp;col=7&amp;number=0.00791&amp;sourceID=14","0.00791")</f>
        <v>0.00791</v>
      </c>
    </row>
    <row r="4557" spans="1:7">
      <c r="A4557" s="3"/>
      <c r="B4557" s="3"/>
      <c r="C4557" s="3"/>
      <c r="D4557" s="3"/>
      <c r="E4557" s="3">
        <v>14</v>
      </c>
      <c r="F4557" s="4" t="str">
        <f>HYPERLINK("http://141.218.60.56/~jnz1568/getInfo.php?workbook=12_05.xlsx&amp;sheet=U0&amp;row=4557&amp;col=6&amp;number=4.3&amp;sourceID=14","4.3")</f>
        <v>4.3</v>
      </c>
      <c r="G4557" s="4" t="str">
        <f>HYPERLINK("http://141.218.60.56/~jnz1568/getInfo.php?workbook=12_05.xlsx&amp;sheet=U0&amp;row=4557&amp;col=7&amp;number=0.00792&amp;sourceID=14","0.00792")</f>
        <v>0.00792</v>
      </c>
    </row>
    <row r="4558" spans="1:7">
      <c r="A4558" s="3"/>
      <c r="B4558" s="3"/>
      <c r="C4558" s="3"/>
      <c r="D4558" s="3"/>
      <c r="E4558" s="3">
        <v>15</v>
      </c>
      <c r="F4558" s="4" t="str">
        <f>HYPERLINK("http://141.218.60.56/~jnz1568/getInfo.php?workbook=12_05.xlsx&amp;sheet=U0&amp;row=4558&amp;col=6&amp;number=4.4&amp;sourceID=14","4.4")</f>
        <v>4.4</v>
      </c>
      <c r="G4558" s="4" t="str">
        <f>HYPERLINK("http://141.218.60.56/~jnz1568/getInfo.php?workbook=12_05.xlsx&amp;sheet=U0&amp;row=4558&amp;col=7&amp;number=0.00794&amp;sourceID=14","0.00794")</f>
        <v>0.00794</v>
      </c>
    </row>
    <row r="4559" spans="1:7">
      <c r="A4559" s="3"/>
      <c r="B4559" s="3"/>
      <c r="C4559" s="3"/>
      <c r="D4559" s="3"/>
      <c r="E4559" s="3">
        <v>16</v>
      </c>
      <c r="F4559" s="4" t="str">
        <f>HYPERLINK("http://141.218.60.56/~jnz1568/getInfo.php?workbook=12_05.xlsx&amp;sheet=U0&amp;row=4559&amp;col=6&amp;number=4.5&amp;sourceID=14","4.5")</f>
        <v>4.5</v>
      </c>
      <c r="G4559" s="4" t="str">
        <f>HYPERLINK("http://141.218.60.56/~jnz1568/getInfo.php?workbook=12_05.xlsx&amp;sheet=U0&amp;row=4559&amp;col=7&amp;number=0.00796&amp;sourceID=14","0.00796")</f>
        <v>0.00796</v>
      </c>
    </row>
    <row r="4560" spans="1:7">
      <c r="A4560" s="3"/>
      <c r="B4560" s="3"/>
      <c r="C4560" s="3"/>
      <c r="D4560" s="3"/>
      <c r="E4560" s="3">
        <v>17</v>
      </c>
      <c r="F4560" s="4" t="str">
        <f>HYPERLINK("http://141.218.60.56/~jnz1568/getInfo.php?workbook=12_05.xlsx&amp;sheet=U0&amp;row=4560&amp;col=6&amp;number=4.6&amp;sourceID=14","4.6")</f>
        <v>4.6</v>
      </c>
      <c r="G4560" s="4" t="str">
        <f>HYPERLINK("http://141.218.60.56/~jnz1568/getInfo.php?workbook=12_05.xlsx&amp;sheet=U0&amp;row=4560&amp;col=7&amp;number=0.00798&amp;sourceID=14","0.00798")</f>
        <v>0.00798</v>
      </c>
    </row>
    <row r="4561" spans="1:7">
      <c r="A4561" s="3"/>
      <c r="B4561" s="3"/>
      <c r="C4561" s="3"/>
      <c r="D4561" s="3"/>
      <c r="E4561" s="3">
        <v>18</v>
      </c>
      <c r="F4561" s="4" t="str">
        <f>HYPERLINK("http://141.218.60.56/~jnz1568/getInfo.php?workbook=12_05.xlsx&amp;sheet=U0&amp;row=4561&amp;col=6&amp;number=4.7&amp;sourceID=14","4.7")</f>
        <v>4.7</v>
      </c>
      <c r="G4561" s="4" t="str">
        <f>HYPERLINK("http://141.218.60.56/~jnz1568/getInfo.php?workbook=12_05.xlsx&amp;sheet=U0&amp;row=4561&amp;col=7&amp;number=0.00801&amp;sourceID=14","0.00801")</f>
        <v>0.00801</v>
      </c>
    </row>
    <row r="4562" spans="1:7">
      <c r="A4562" s="3"/>
      <c r="B4562" s="3"/>
      <c r="C4562" s="3"/>
      <c r="D4562" s="3"/>
      <c r="E4562" s="3">
        <v>19</v>
      </c>
      <c r="F4562" s="4" t="str">
        <f>HYPERLINK("http://141.218.60.56/~jnz1568/getInfo.php?workbook=12_05.xlsx&amp;sheet=U0&amp;row=4562&amp;col=6&amp;number=4.8&amp;sourceID=14","4.8")</f>
        <v>4.8</v>
      </c>
      <c r="G4562" s="4" t="str">
        <f>HYPERLINK("http://141.218.60.56/~jnz1568/getInfo.php?workbook=12_05.xlsx&amp;sheet=U0&amp;row=4562&amp;col=7&amp;number=0.00805&amp;sourceID=14","0.00805")</f>
        <v>0.00805</v>
      </c>
    </row>
    <row r="4563" spans="1:7">
      <c r="A4563" s="3"/>
      <c r="B4563" s="3"/>
      <c r="C4563" s="3"/>
      <c r="D4563" s="3"/>
      <c r="E4563" s="3">
        <v>20</v>
      </c>
      <c r="F4563" s="4" t="str">
        <f>HYPERLINK("http://141.218.60.56/~jnz1568/getInfo.php?workbook=12_05.xlsx&amp;sheet=U0&amp;row=4563&amp;col=6&amp;number=4.9&amp;sourceID=14","4.9")</f>
        <v>4.9</v>
      </c>
      <c r="G4563" s="4" t="str">
        <f>HYPERLINK("http://141.218.60.56/~jnz1568/getInfo.php?workbook=12_05.xlsx&amp;sheet=U0&amp;row=4563&amp;col=7&amp;number=0.00809&amp;sourceID=14","0.00809")</f>
        <v>0.00809</v>
      </c>
    </row>
    <row r="4564" spans="1:7">
      <c r="A4564" s="3">
        <v>12</v>
      </c>
      <c r="B4564" s="3">
        <v>5</v>
      </c>
      <c r="C4564" s="3">
        <v>2</v>
      </c>
      <c r="D4564" s="3">
        <v>81</v>
      </c>
      <c r="E4564" s="3">
        <v>1</v>
      </c>
      <c r="F4564" s="4" t="str">
        <f>HYPERLINK("http://141.218.60.56/~jnz1568/getInfo.php?workbook=12_05.xlsx&amp;sheet=U0&amp;row=4564&amp;col=6&amp;number=3&amp;sourceID=14","3")</f>
        <v>3</v>
      </c>
      <c r="G4564" s="4" t="str">
        <f>HYPERLINK("http://141.218.60.56/~jnz1568/getInfo.php?workbook=12_05.xlsx&amp;sheet=U0&amp;row=4564&amp;col=7&amp;number=0.00013&amp;sourceID=14","0.00013")</f>
        <v>0.00013</v>
      </c>
    </row>
    <row r="4565" spans="1:7">
      <c r="A4565" s="3"/>
      <c r="B4565" s="3"/>
      <c r="C4565" s="3"/>
      <c r="D4565" s="3"/>
      <c r="E4565" s="3">
        <v>2</v>
      </c>
      <c r="F4565" s="4" t="str">
        <f>HYPERLINK("http://141.218.60.56/~jnz1568/getInfo.php?workbook=12_05.xlsx&amp;sheet=U0&amp;row=4565&amp;col=6&amp;number=3.1&amp;sourceID=14","3.1")</f>
        <v>3.1</v>
      </c>
      <c r="G4565" s="4" t="str">
        <f>HYPERLINK("http://141.218.60.56/~jnz1568/getInfo.php?workbook=12_05.xlsx&amp;sheet=U0&amp;row=4565&amp;col=7&amp;number=0.00013&amp;sourceID=14","0.00013")</f>
        <v>0.00013</v>
      </c>
    </row>
    <row r="4566" spans="1:7">
      <c r="A4566" s="3"/>
      <c r="B4566" s="3"/>
      <c r="C4566" s="3"/>
      <c r="D4566" s="3"/>
      <c r="E4566" s="3">
        <v>3</v>
      </c>
      <c r="F4566" s="4" t="str">
        <f>HYPERLINK("http://141.218.60.56/~jnz1568/getInfo.php?workbook=12_05.xlsx&amp;sheet=U0&amp;row=4566&amp;col=6&amp;number=3.2&amp;sourceID=14","3.2")</f>
        <v>3.2</v>
      </c>
      <c r="G4566" s="4" t="str">
        <f>HYPERLINK("http://141.218.60.56/~jnz1568/getInfo.php?workbook=12_05.xlsx&amp;sheet=U0&amp;row=4566&amp;col=7&amp;number=0.00013&amp;sourceID=14","0.00013")</f>
        <v>0.00013</v>
      </c>
    </row>
    <row r="4567" spans="1:7">
      <c r="A4567" s="3"/>
      <c r="B4567" s="3"/>
      <c r="C4567" s="3"/>
      <c r="D4567" s="3"/>
      <c r="E4567" s="3">
        <v>4</v>
      </c>
      <c r="F4567" s="4" t="str">
        <f>HYPERLINK("http://141.218.60.56/~jnz1568/getInfo.php?workbook=12_05.xlsx&amp;sheet=U0&amp;row=4567&amp;col=6&amp;number=3.3&amp;sourceID=14","3.3")</f>
        <v>3.3</v>
      </c>
      <c r="G4567" s="4" t="str">
        <f>HYPERLINK("http://141.218.60.56/~jnz1568/getInfo.php?workbook=12_05.xlsx&amp;sheet=U0&amp;row=4567&amp;col=7&amp;number=0.00013&amp;sourceID=14","0.00013")</f>
        <v>0.00013</v>
      </c>
    </row>
    <row r="4568" spans="1:7">
      <c r="A4568" s="3"/>
      <c r="B4568" s="3"/>
      <c r="C4568" s="3"/>
      <c r="D4568" s="3"/>
      <c r="E4568" s="3">
        <v>5</v>
      </c>
      <c r="F4568" s="4" t="str">
        <f>HYPERLINK("http://141.218.60.56/~jnz1568/getInfo.php?workbook=12_05.xlsx&amp;sheet=U0&amp;row=4568&amp;col=6&amp;number=3.4&amp;sourceID=14","3.4")</f>
        <v>3.4</v>
      </c>
      <c r="G4568" s="4" t="str">
        <f>HYPERLINK("http://141.218.60.56/~jnz1568/getInfo.php?workbook=12_05.xlsx&amp;sheet=U0&amp;row=4568&amp;col=7&amp;number=0.00013&amp;sourceID=14","0.00013")</f>
        <v>0.00013</v>
      </c>
    </row>
    <row r="4569" spans="1:7">
      <c r="A4569" s="3"/>
      <c r="B4569" s="3"/>
      <c r="C4569" s="3"/>
      <c r="D4569" s="3"/>
      <c r="E4569" s="3">
        <v>6</v>
      </c>
      <c r="F4569" s="4" t="str">
        <f>HYPERLINK("http://141.218.60.56/~jnz1568/getInfo.php?workbook=12_05.xlsx&amp;sheet=U0&amp;row=4569&amp;col=6&amp;number=3.5&amp;sourceID=14","3.5")</f>
        <v>3.5</v>
      </c>
      <c r="G4569" s="4" t="str">
        <f>HYPERLINK("http://141.218.60.56/~jnz1568/getInfo.php?workbook=12_05.xlsx&amp;sheet=U0&amp;row=4569&amp;col=7&amp;number=0.00013&amp;sourceID=14","0.00013")</f>
        <v>0.00013</v>
      </c>
    </row>
    <row r="4570" spans="1:7">
      <c r="A4570" s="3"/>
      <c r="B4570" s="3"/>
      <c r="C4570" s="3"/>
      <c r="D4570" s="3"/>
      <c r="E4570" s="3">
        <v>7</v>
      </c>
      <c r="F4570" s="4" t="str">
        <f>HYPERLINK("http://141.218.60.56/~jnz1568/getInfo.php?workbook=12_05.xlsx&amp;sheet=U0&amp;row=4570&amp;col=6&amp;number=3.6&amp;sourceID=14","3.6")</f>
        <v>3.6</v>
      </c>
      <c r="G4570" s="4" t="str">
        <f>HYPERLINK("http://141.218.60.56/~jnz1568/getInfo.php?workbook=12_05.xlsx&amp;sheet=U0&amp;row=4570&amp;col=7&amp;number=0.00013&amp;sourceID=14","0.00013")</f>
        <v>0.00013</v>
      </c>
    </row>
    <row r="4571" spans="1:7">
      <c r="A4571" s="3"/>
      <c r="B4571" s="3"/>
      <c r="C4571" s="3"/>
      <c r="D4571" s="3"/>
      <c r="E4571" s="3">
        <v>8</v>
      </c>
      <c r="F4571" s="4" t="str">
        <f>HYPERLINK("http://141.218.60.56/~jnz1568/getInfo.php?workbook=12_05.xlsx&amp;sheet=U0&amp;row=4571&amp;col=6&amp;number=3.7&amp;sourceID=14","3.7")</f>
        <v>3.7</v>
      </c>
      <c r="G4571" s="4" t="str">
        <f>HYPERLINK("http://141.218.60.56/~jnz1568/getInfo.php?workbook=12_05.xlsx&amp;sheet=U0&amp;row=4571&amp;col=7&amp;number=0.00013&amp;sourceID=14","0.00013")</f>
        <v>0.00013</v>
      </c>
    </row>
    <row r="4572" spans="1:7">
      <c r="A4572" s="3"/>
      <c r="B4572" s="3"/>
      <c r="C4572" s="3"/>
      <c r="D4572" s="3"/>
      <c r="E4572" s="3">
        <v>9</v>
      </c>
      <c r="F4572" s="4" t="str">
        <f>HYPERLINK("http://141.218.60.56/~jnz1568/getInfo.php?workbook=12_05.xlsx&amp;sheet=U0&amp;row=4572&amp;col=6&amp;number=3.8&amp;sourceID=14","3.8")</f>
        <v>3.8</v>
      </c>
      <c r="G4572" s="4" t="str">
        <f>HYPERLINK("http://141.218.60.56/~jnz1568/getInfo.php?workbook=12_05.xlsx&amp;sheet=U0&amp;row=4572&amp;col=7&amp;number=0.00013&amp;sourceID=14","0.00013")</f>
        <v>0.00013</v>
      </c>
    </row>
    <row r="4573" spans="1:7">
      <c r="A4573" s="3"/>
      <c r="B4573" s="3"/>
      <c r="C4573" s="3"/>
      <c r="D4573" s="3"/>
      <c r="E4573" s="3">
        <v>10</v>
      </c>
      <c r="F4573" s="4" t="str">
        <f>HYPERLINK("http://141.218.60.56/~jnz1568/getInfo.php?workbook=12_05.xlsx&amp;sheet=U0&amp;row=4573&amp;col=6&amp;number=3.9&amp;sourceID=14","3.9")</f>
        <v>3.9</v>
      </c>
      <c r="G4573" s="4" t="str">
        <f>HYPERLINK("http://141.218.60.56/~jnz1568/getInfo.php?workbook=12_05.xlsx&amp;sheet=U0&amp;row=4573&amp;col=7&amp;number=0.00013&amp;sourceID=14","0.00013")</f>
        <v>0.00013</v>
      </c>
    </row>
    <row r="4574" spans="1:7">
      <c r="A4574" s="3"/>
      <c r="B4574" s="3"/>
      <c r="C4574" s="3"/>
      <c r="D4574" s="3"/>
      <c r="E4574" s="3">
        <v>11</v>
      </c>
      <c r="F4574" s="4" t="str">
        <f>HYPERLINK("http://141.218.60.56/~jnz1568/getInfo.php?workbook=12_05.xlsx&amp;sheet=U0&amp;row=4574&amp;col=6&amp;number=4&amp;sourceID=14","4")</f>
        <v>4</v>
      </c>
      <c r="G4574" s="4" t="str">
        <f>HYPERLINK("http://141.218.60.56/~jnz1568/getInfo.php?workbook=12_05.xlsx&amp;sheet=U0&amp;row=4574&amp;col=7&amp;number=0.00013&amp;sourceID=14","0.00013")</f>
        <v>0.00013</v>
      </c>
    </row>
    <row r="4575" spans="1:7">
      <c r="A4575" s="3"/>
      <c r="B4575" s="3"/>
      <c r="C4575" s="3"/>
      <c r="D4575" s="3"/>
      <c r="E4575" s="3">
        <v>12</v>
      </c>
      <c r="F4575" s="4" t="str">
        <f>HYPERLINK("http://141.218.60.56/~jnz1568/getInfo.php?workbook=12_05.xlsx&amp;sheet=U0&amp;row=4575&amp;col=6&amp;number=4.1&amp;sourceID=14","4.1")</f>
        <v>4.1</v>
      </c>
      <c r="G4575" s="4" t="str">
        <f>HYPERLINK("http://141.218.60.56/~jnz1568/getInfo.php?workbook=12_05.xlsx&amp;sheet=U0&amp;row=4575&amp;col=7&amp;number=0.000129&amp;sourceID=14","0.000129")</f>
        <v>0.000129</v>
      </c>
    </row>
    <row r="4576" spans="1:7">
      <c r="A4576" s="3"/>
      <c r="B4576" s="3"/>
      <c r="C4576" s="3"/>
      <c r="D4576" s="3"/>
      <c r="E4576" s="3">
        <v>13</v>
      </c>
      <c r="F4576" s="4" t="str">
        <f>HYPERLINK("http://141.218.60.56/~jnz1568/getInfo.php?workbook=12_05.xlsx&amp;sheet=U0&amp;row=4576&amp;col=6&amp;number=4.2&amp;sourceID=14","4.2")</f>
        <v>4.2</v>
      </c>
      <c r="G4576" s="4" t="str">
        <f>HYPERLINK("http://141.218.60.56/~jnz1568/getInfo.php?workbook=12_05.xlsx&amp;sheet=U0&amp;row=4576&amp;col=7&amp;number=0.000129&amp;sourceID=14","0.000129")</f>
        <v>0.000129</v>
      </c>
    </row>
    <row r="4577" spans="1:7">
      <c r="A4577" s="3"/>
      <c r="B4577" s="3"/>
      <c r="C4577" s="3"/>
      <c r="D4577" s="3"/>
      <c r="E4577" s="3">
        <v>14</v>
      </c>
      <c r="F4577" s="4" t="str">
        <f>HYPERLINK("http://141.218.60.56/~jnz1568/getInfo.php?workbook=12_05.xlsx&amp;sheet=U0&amp;row=4577&amp;col=6&amp;number=4.3&amp;sourceID=14","4.3")</f>
        <v>4.3</v>
      </c>
      <c r="G4577" s="4" t="str">
        <f>HYPERLINK("http://141.218.60.56/~jnz1568/getInfo.php?workbook=12_05.xlsx&amp;sheet=U0&amp;row=4577&amp;col=7&amp;number=0.000129&amp;sourceID=14","0.000129")</f>
        <v>0.000129</v>
      </c>
    </row>
    <row r="4578" spans="1:7">
      <c r="A4578" s="3"/>
      <c r="B4578" s="3"/>
      <c r="C4578" s="3"/>
      <c r="D4578" s="3"/>
      <c r="E4578" s="3">
        <v>15</v>
      </c>
      <c r="F4578" s="4" t="str">
        <f>HYPERLINK("http://141.218.60.56/~jnz1568/getInfo.php?workbook=12_05.xlsx&amp;sheet=U0&amp;row=4578&amp;col=6&amp;number=4.4&amp;sourceID=14","4.4")</f>
        <v>4.4</v>
      </c>
      <c r="G4578" s="4" t="str">
        <f>HYPERLINK("http://141.218.60.56/~jnz1568/getInfo.php?workbook=12_05.xlsx&amp;sheet=U0&amp;row=4578&amp;col=7&amp;number=0.000129&amp;sourceID=14","0.000129")</f>
        <v>0.000129</v>
      </c>
    </row>
    <row r="4579" spans="1:7">
      <c r="A4579" s="3"/>
      <c r="B4579" s="3"/>
      <c r="C4579" s="3"/>
      <c r="D4579" s="3"/>
      <c r="E4579" s="3">
        <v>16</v>
      </c>
      <c r="F4579" s="4" t="str">
        <f>HYPERLINK("http://141.218.60.56/~jnz1568/getInfo.php?workbook=12_05.xlsx&amp;sheet=U0&amp;row=4579&amp;col=6&amp;number=4.5&amp;sourceID=14","4.5")</f>
        <v>4.5</v>
      </c>
      <c r="G4579" s="4" t="str">
        <f>HYPERLINK("http://141.218.60.56/~jnz1568/getInfo.php?workbook=12_05.xlsx&amp;sheet=U0&amp;row=4579&amp;col=7&amp;number=0.000128&amp;sourceID=14","0.000128")</f>
        <v>0.000128</v>
      </c>
    </row>
    <row r="4580" spans="1:7">
      <c r="A4580" s="3"/>
      <c r="B4580" s="3"/>
      <c r="C4580" s="3"/>
      <c r="D4580" s="3"/>
      <c r="E4580" s="3">
        <v>17</v>
      </c>
      <c r="F4580" s="4" t="str">
        <f>HYPERLINK("http://141.218.60.56/~jnz1568/getInfo.php?workbook=12_05.xlsx&amp;sheet=U0&amp;row=4580&amp;col=6&amp;number=4.6&amp;sourceID=14","4.6")</f>
        <v>4.6</v>
      </c>
      <c r="G4580" s="4" t="str">
        <f>HYPERLINK("http://141.218.60.56/~jnz1568/getInfo.php?workbook=12_05.xlsx&amp;sheet=U0&amp;row=4580&amp;col=7&amp;number=0.000128&amp;sourceID=14","0.000128")</f>
        <v>0.000128</v>
      </c>
    </row>
    <row r="4581" spans="1:7">
      <c r="A4581" s="3"/>
      <c r="B4581" s="3"/>
      <c r="C4581" s="3"/>
      <c r="D4581" s="3"/>
      <c r="E4581" s="3">
        <v>18</v>
      </c>
      <c r="F4581" s="4" t="str">
        <f>HYPERLINK("http://141.218.60.56/~jnz1568/getInfo.php?workbook=12_05.xlsx&amp;sheet=U0&amp;row=4581&amp;col=6&amp;number=4.7&amp;sourceID=14","4.7")</f>
        <v>4.7</v>
      </c>
      <c r="G4581" s="4" t="str">
        <f>HYPERLINK("http://141.218.60.56/~jnz1568/getInfo.php?workbook=12_05.xlsx&amp;sheet=U0&amp;row=4581&amp;col=7&amp;number=0.000127&amp;sourceID=14","0.000127")</f>
        <v>0.000127</v>
      </c>
    </row>
    <row r="4582" spans="1:7">
      <c r="A4582" s="3"/>
      <c r="B4582" s="3"/>
      <c r="C4582" s="3"/>
      <c r="D4582" s="3"/>
      <c r="E4582" s="3">
        <v>19</v>
      </c>
      <c r="F4582" s="4" t="str">
        <f>HYPERLINK("http://141.218.60.56/~jnz1568/getInfo.php?workbook=12_05.xlsx&amp;sheet=U0&amp;row=4582&amp;col=6&amp;number=4.8&amp;sourceID=14","4.8")</f>
        <v>4.8</v>
      </c>
      <c r="G4582" s="4" t="str">
        <f>HYPERLINK("http://141.218.60.56/~jnz1568/getInfo.php?workbook=12_05.xlsx&amp;sheet=U0&amp;row=4582&amp;col=7&amp;number=0.000126&amp;sourceID=14","0.000126")</f>
        <v>0.000126</v>
      </c>
    </row>
    <row r="4583" spans="1:7">
      <c r="A4583" s="3"/>
      <c r="B4583" s="3"/>
      <c r="C4583" s="3"/>
      <c r="D4583" s="3"/>
      <c r="E4583" s="3">
        <v>20</v>
      </c>
      <c r="F4583" s="4" t="str">
        <f>HYPERLINK("http://141.218.60.56/~jnz1568/getInfo.php?workbook=12_05.xlsx&amp;sheet=U0&amp;row=4583&amp;col=6&amp;number=4.9&amp;sourceID=14","4.9")</f>
        <v>4.9</v>
      </c>
      <c r="G4583" s="4" t="str">
        <f>HYPERLINK("http://141.218.60.56/~jnz1568/getInfo.php?workbook=12_05.xlsx&amp;sheet=U0&amp;row=4583&amp;col=7&amp;number=0.000126&amp;sourceID=14","0.000126")</f>
        <v>0.000126</v>
      </c>
    </row>
    <row r="4584" spans="1:7">
      <c r="A4584" s="3">
        <v>12</v>
      </c>
      <c r="B4584" s="3">
        <v>5</v>
      </c>
      <c r="C4584" s="3">
        <v>2</v>
      </c>
      <c r="D4584" s="3">
        <v>82</v>
      </c>
      <c r="E4584" s="3">
        <v>1</v>
      </c>
      <c r="F4584" s="4" t="str">
        <f>HYPERLINK("http://141.218.60.56/~jnz1568/getInfo.php?workbook=12_05.xlsx&amp;sheet=U0&amp;row=4584&amp;col=6&amp;number=3&amp;sourceID=14","3")</f>
        <v>3</v>
      </c>
      <c r="G4584" s="4" t="str">
        <f>HYPERLINK("http://141.218.60.56/~jnz1568/getInfo.php?workbook=12_05.xlsx&amp;sheet=U0&amp;row=4584&amp;col=7&amp;number=0.000111&amp;sourceID=14","0.000111")</f>
        <v>0.000111</v>
      </c>
    </row>
    <row r="4585" spans="1:7">
      <c r="A4585" s="3"/>
      <c r="B4585" s="3"/>
      <c r="C4585" s="3"/>
      <c r="D4585" s="3"/>
      <c r="E4585" s="3">
        <v>2</v>
      </c>
      <c r="F4585" s="4" t="str">
        <f>HYPERLINK("http://141.218.60.56/~jnz1568/getInfo.php?workbook=12_05.xlsx&amp;sheet=U0&amp;row=4585&amp;col=6&amp;number=3.1&amp;sourceID=14","3.1")</f>
        <v>3.1</v>
      </c>
      <c r="G4585" s="4" t="str">
        <f>HYPERLINK("http://141.218.60.56/~jnz1568/getInfo.php?workbook=12_05.xlsx&amp;sheet=U0&amp;row=4585&amp;col=7&amp;number=0.00011&amp;sourceID=14","0.00011")</f>
        <v>0.00011</v>
      </c>
    </row>
    <row r="4586" spans="1:7">
      <c r="A4586" s="3"/>
      <c r="B4586" s="3"/>
      <c r="C4586" s="3"/>
      <c r="D4586" s="3"/>
      <c r="E4586" s="3">
        <v>3</v>
      </c>
      <c r="F4586" s="4" t="str">
        <f>HYPERLINK("http://141.218.60.56/~jnz1568/getInfo.php?workbook=12_05.xlsx&amp;sheet=U0&amp;row=4586&amp;col=6&amp;number=3.2&amp;sourceID=14","3.2")</f>
        <v>3.2</v>
      </c>
      <c r="G4586" s="4" t="str">
        <f>HYPERLINK("http://141.218.60.56/~jnz1568/getInfo.php?workbook=12_05.xlsx&amp;sheet=U0&amp;row=4586&amp;col=7&amp;number=0.00011&amp;sourceID=14","0.00011")</f>
        <v>0.00011</v>
      </c>
    </row>
    <row r="4587" spans="1:7">
      <c r="A4587" s="3"/>
      <c r="B4587" s="3"/>
      <c r="C4587" s="3"/>
      <c r="D4587" s="3"/>
      <c r="E4587" s="3">
        <v>4</v>
      </c>
      <c r="F4587" s="4" t="str">
        <f>HYPERLINK("http://141.218.60.56/~jnz1568/getInfo.php?workbook=12_05.xlsx&amp;sheet=U0&amp;row=4587&amp;col=6&amp;number=3.3&amp;sourceID=14","3.3")</f>
        <v>3.3</v>
      </c>
      <c r="G4587" s="4" t="str">
        <f>HYPERLINK("http://141.218.60.56/~jnz1568/getInfo.php?workbook=12_05.xlsx&amp;sheet=U0&amp;row=4587&amp;col=7&amp;number=0.00011&amp;sourceID=14","0.00011")</f>
        <v>0.00011</v>
      </c>
    </row>
    <row r="4588" spans="1:7">
      <c r="A4588" s="3"/>
      <c r="B4588" s="3"/>
      <c r="C4588" s="3"/>
      <c r="D4588" s="3"/>
      <c r="E4588" s="3">
        <v>5</v>
      </c>
      <c r="F4588" s="4" t="str">
        <f>HYPERLINK("http://141.218.60.56/~jnz1568/getInfo.php?workbook=12_05.xlsx&amp;sheet=U0&amp;row=4588&amp;col=6&amp;number=3.4&amp;sourceID=14","3.4")</f>
        <v>3.4</v>
      </c>
      <c r="G4588" s="4" t="str">
        <f>HYPERLINK("http://141.218.60.56/~jnz1568/getInfo.php?workbook=12_05.xlsx&amp;sheet=U0&amp;row=4588&amp;col=7&amp;number=0.00011&amp;sourceID=14","0.00011")</f>
        <v>0.00011</v>
      </c>
    </row>
    <row r="4589" spans="1:7">
      <c r="A4589" s="3"/>
      <c r="B4589" s="3"/>
      <c r="C4589" s="3"/>
      <c r="D4589" s="3"/>
      <c r="E4589" s="3">
        <v>6</v>
      </c>
      <c r="F4589" s="4" t="str">
        <f>HYPERLINK("http://141.218.60.56/~jnz1568/getInfo.php?workbook=12_05.xlsx&amp;sheet=U0&amp;row=4589&amp;col=6&amp;number=3.5&amp;sourceID=14","3.5")</f>
        <v>3.5</v>
      </c>
      <c r="G4589" s="4" t="str">
        <f>HYPERLINK("http://141.218.60.56/~jnz1568/getInfo.php?workbook=12_05.xlsx&amp;sheet=U0&amp;row=4589&amp;col=7&amp;number=0.00011&amp;sourceID=14","0.00011")</f>
        <v>0.00011</v>
      </c>
    </row>
    <row r="4590" spans="1:7">
      <c r="A4590" s="3"/>
      <c r="B4590" s="3"/>
      <c r="C4590" s="3"/>
      <c r="D4590" s="3"/>
      <c r="E4590" s="3">
        <v>7</v>
      </c>
      <c r="F4590" s="4" t="str">
        <f>HYPERLINK("http://141.218.60.56/~jnz1568/getInfo.php?workbook=12_05.xlsx&amp;sheet=U0&amp;row=4590&amp;col=6&amp;number=3.6&amp;sourceID=14","3.6")</f>
        <v>3.6</v>
      </c>
      <c r="G4590" s="4" t="str">
        <f>HYPERLINK("http://141.218.60.56/~jnz1568/getInfo.php?workbook=12_05.xlsx&amp;sheet=U0&amp;row=4590&amp;col=7&amp;number=0.00011&amp;sourceID=14","0.00011")</f>
        <v>0.00011</v>
      </c>
    </row>
    <row r="4591" spans="1:7">
      <c r="A4591" s="3"/>
      <c r="B4591" s="3"/>
      <c r="C4591" s="3"/>
      <c r="D4591" s="3"/>
      <c r="E4591" s="3">
        <v>8</v>
      </c>
      <c r="F4591" s="4" t="str">
        <f>HYPERLINK("http://141.218.60.56/~jnz1568/getInfo.php?workbook=12_05.xlsx&amp;sheet=U0&amp;row=4591&amp;col=6&amp;number=3.7&amp;sourceID=14","3.7")</f>
        <v>3.7</v>
      </c>
      <c r="G4591" s="4" t="str">
        <f>HYPERLINK("http://141.218.60.56/~jnz1568/getInfo.php?workbook=12_05.xlsx&amp;sheet=U0&amp;row=4591&amp;col=7&amp;number=0.00011&amp;sourceID=14","0.00011")</f>
        <v>0.00011</v>
      </c>
    </row>
    <row r="4592" spans="1:7">
      <c r="A4592" s="3"/>
      <c r="B4592" s="3"/>
      <c r="C4592" s="3"/>
      <c r="D4592" s="3"/>
      <c r="E4592" s="3">
        <v>9</v>
      </c>
      <c r="F4592" s="4" t="str">
        <f>HYPERLINK("http://141.218.60.56/~jnz1568/getInfo.php?workbook=12_05.xlsx&amp;sheet=U0&amp;row=4592&amp;col=6&amp;number=3.8&amp;sourceID=14","3.8")</f>
        <v>3.8</v>
      </c>
      <c r="G4592" s="4" t="str">
        <f>HYPERLINK("http://141.218.60.56/~jnz1568/getInfo.php?workbook=12_05.xlsx&amp;sheet=U0&amp;row=4592&amp;col=7&amp;number=0.00011&amp;sourceID=14","0.00011")</f>
        <v>0.00011</v>
      </c>
    </row>
    <row r="4593" spans="1:7">
      <c r="A4593" s="3"/>
      <c r="B4593" s="3"/>
      <c r="C4593" s="3"/>
      <c r="D4593" s="3"/>
      <c r="E4593" s="3">
        <v>10</v>
      </c>
      <c r="F4593" s="4" t="str">
        <f>HYPERLINK("http://141.218.60.56/~jnz1568/getInfo.php?workbook=12_05.xlsx&amp;sheet=U0&amp;row=4593&amp;col=6&amp;number=3.9&amp;sourceID=14","3.9")</f>
        <v>3.9</v>
      </c>
      <c r="G4593" s="4" t="str">
        <f>HYPERLINK("http://141.218.60.56/~jnz1568/getInfo.php?workbook=12_05.xlsx&amp;sheet=U0&amp;row=4593&amp;col=7&amp;number=0.00011&amp;sourceID=14","0.00011")</f>
        <v>0.00011</v>
      </c>
    </row>
    <row r="4594" spans="1:7">
      <c r="A4594" s="3"/>
      <c r="B4594" s="3"/>
      <c r="C4594" s="3"/>
      <c r="D4594" s="3"/>
      <c r="E4594" s="3">
        <v>11</v>
      </c>
      <c r="F4594" s="4" t="str">
        <f>HYPERLINK("http://141.218.60.56/~jnz1568/getInfo.php?workbook=12_05.xlsx&amp;sheet=U0&amp;row=4594&amp;col=6&amp;number=4&amp;sourceID=14","4")</f>
        <v>4</v>
      </c>
      <c r="G4594" s="4" t="str">
        <f>HYPERLINK("http://141.218.60.56/~jnz1568/getInfo.php?workbook=12_05.xlsx&amp;sheet=U0&amp;row=4594&amp;col=7&amp;number=0.00011&amp;sourceID=14","0.00011")</f>
        <v>0.00011</v>
      </c>
    </row>
    <row r="4595" spans="1:7">
      <c r="A4595" s="3"/>
      <c r="B4595" s="3"/>
      <c r="C4595" s="3"/>
      <c r="D4595" s="3"/>
      <c r="E4595" s="3">
        <v>12</v>
      </c>
      <c r="F4595" s="4" t="str">
        <f>HYPERLINK("http://141.218.60.56/~jnz1568/getInfo.php?workbook=12_05.xlsx&amp;sheet=U0&amp;row=4595&amp;col=6&amp;number=4.1&amp;sourceID=14","4.1")</f>
        <v>4.1</v>
      </c>
      <c r="G4595" s="4" t="str">
        <f>HYPERLINK("http://141.218.60.56/~jnz1568/getInfo.php?workbook=12_05.xlsx&amp;sheet=U0&amp;row=4595&amp;col=7&amp;number=0.00011&amp;sourceID=14","0.00011")</f>
        <v>0.00011</v>
      </c>
    </row>
    <row r="4596" spans="1:7">
      <c r="A4596" s="3"/>
      <c r="B4596" s="3"/>
      <c r="C4596" s="3"/>
      <c r="D4596" s="3"/>
      <c r="E4596" s="3">
        <v>13</v>
      </c>
      <c r="F4596" s="4" t="str">
        <f>HYPERLINK("http://141.218.60.56/~jnz1568/getInfo.php?workbook=12_05.xlsx&amp;sheet=U0&amp;row=4596&amp;col=6&amp;number=4.2&amp;sourceID=14","4.2")</f>
        <v>4.2</v>
      </c>
      <c r="G4596" s="4" t="str">
        <f>HYPERLINK("http://141.218.60.56/~jnz1568/getInfo.php?workbook=12_05.xlsx&amp;sheet=U0&amp;row=4596&amp;col=7&amp;number=0.000109&amp;sourceID=14","0.000109")</f>
        <v>0.000109</v>
      </c>
    </row>
    <row r="4597" spans="1:7">
      <c r="A4597" s="3"/>
      <c r="B4597" s="3"/>
      <c r="C4597" s="3"/>
      <c r="D4597" s="3"/>
      <c r="E4597" s="3">
        <v>14</v>
      </c>
      <c r="F4597" s="4" t="str">
        <f>HYPERLINK("http://141.218.60.56/~jnz1568/getInfo.php?workbook=12_05.xlsx&amp;sheet=U0&amp;row=4597&amp;col=6&amp;number=4.3&amp;sourceID=14","4.3")</f>
        <v>4.3</v>
      </c>
      <c r="G4597" s="4" t="str">
        <f>HYPERLINK("http://141.218.60.56/~jnz1568/getInfo.php?workbook=12_05.xlsx&amp;sheet=U0&amp;row=4597&amp;col=7&amp;number=0.000109&amp;sourceID=14","0.000109")</f>
        <v>0.000109</v>
      </c>
    </row>
    <row r="4598" spans="1:7">
      <c r="A4598" s="3"/>
      <c r="B4598" s="3"/>
      <c r="C4598" s="3"/>
      <c r="D4598" s="3"/>
      <c r="E4598" s="3">
        <v>15</v>
      </c>
      <c r="F4598" s="4" t="str">
        <f>HYPERLINK("http://141.218.60.56/~jnz1568/getInfo.php?workbook=12_05.xlsx&amp;sheet=U0&amp;row=4598&amp;col=6&amp;number=4.4&amp;sourceID=14","4.4")</f>
        <v>4.4</v>
      </c>
      <c r="G4598" s="4" t="str">
        <f>HYPERLINK("http://141.218.60.56/~jnz1568/getInfo.php?workbook=12_05.xlsx&amp;sheet=U0&amp;row=4598&amp;col=7&amp;number=0.000108&amp;sourceID=14","0.000108")</f>
        <v>0.000108</v>
      </c>
    </row>
    <row r="4599" spans="1:7">
      <c r="A4599" s="3"/>
      <c r="B4599" s="3"/>
      <c r="C4599" s="3"/>
      <c r="D4599" s="3"/>
      <c r="E4599" s="3">
        <v>16</v>
      </c>
      <c r="F4599" s="4" t="str">
        <f>HYPERLINK("http://141.218.60.56/~jnz1568/getInfo.php?workbook=12_05.xlsx&amp;sheet=U0&amp;row=4599&amp;col=6&amp;number=4.5&amp;sourceID=14","4.5")</f>
        <v>4.5</v>
      </c>
      <c r="G4599" s="4" t="str">
        <f>HYPERLINK("http://141.218.60.56/~jnz1568/getInfo.php?workbook=12_05.xlsx&amp;sheet=U0&amp;row=4599&amp;col=7&amp;number=0.000108&amp;sourceID=14","0.000108")</f>
        <v>0.000108</v>
      </c>
    </row>
    <row r="4600" spans="1:7">
      <c r="A4600" s="3"/>
      <c r="B4600" s="3"/>
      <c r="C4600" s="3"/>
      <c r="D4600" s="3"/>
      <c r="E4600" s="3">
        <v>17</v>
      </c>
      <c r="F4600" s="4" t="str">
        <f>HYPERLINK("http://141.218.60.56/~jnz1568/getInfo.php?workbook=12_05.xlsx&amp;sheet=U0&amp;row=4600&amp;col=6&amp;number=4.6&amp;sourceID=14","4.6")</f>
        <v>4.6</v>
      </c>
      <c r="G4600" s="4" t="str">
        <f>HYPERLINK("http://141.218.60.56/~jnz1568/getInfo.php?workbook=12_05.xlsx&amp;sheet=U0&amp;row=4600&amp;col=7&amp;number=0.000107&amp;sourceID=14","0.000107")</f>
        <v>0.000107</v>
      </c>
    </row>
    <row r="4601" spans="1:7">
      <c r="A4601" s="3"/>
      <c r="B4601" s="3"/>
      <c r="C4601" s="3"/>
      <c r="D4601" s="3"/>
      <c r="E4601" s="3">
        <v>18</v>
      </c>
      <c r="F4601" s="4" t="str">
        <f>HYPERLINK("http://141.218.60.56/~jnz1568/getInfo.php?workbook=12_05.xlsx&amp;sheet=U0&amp;row=4601&amp;col=6&amp;number=4.7&amp;sourceID=14","4.7")</f>
        <v>4.7</v>
      </c>
      <c r="G4601" s="4" t="str">
        <f>HYPERLINK("http://141.218.60.56/~jnz1568/getInfo.php?workbook=12_05.xlsx&amp;sheet=U0&amp;row=4601&amp;col=7&amp;number=0.000106&amp;sourceID=14","0.000106")</f>
        <v>0.000106</v>
      </c>
    </row>
    <row r="4602" spans="1:7">
      <c r="A4602" s="3"/>
      <c r="B4602" s="3"/>
      <c r="C4602" s="3"/>
      <c r="D4602" s="3"/>
      <c r="E4602" s="3">
        <v>19</v>
      </c>
      <c r="F4602" s="4" t="str">
        <f>HYPERLINK("http://141.218.60.56/~jnz1568/getInfo.php?workbook=12_05.xlsx&amp;sheet=U0&amp;row=4602&amp;col=6&amp;number=4.8&amp;sourceID=14","4.8")</f>
        <v>4.8</v>
      </c>
      <c r="G4602" s="4" t="str">
        <f>HYPERLINK("http://141.218.60.56/~jnz1568/getInfo.php?workbook=12_05.xlsx&amp;sheet=U0&amp;row=4602&amp;col=7&amp;number=0.000105&amp;sourceID=14","0.000105")</f>
        <v>0.000105</v>
      </c>
    </row>
    <row r="4603" spans="1:7">
      <c r="A4603" s="3"/>
      <c r="B4603" s="3"/>
      <c r="C4603" s="3"/>
      <c r="D4603" s="3"/>
      <c r="E4603" s="3">
        <v>20</v>
      </c>
      <c r="F4603" s="4" t="str">
        <f>HYPERLINK("http://141.218.60.56/~jnz1568/getInfo.php?workbook=12_05.xlsx&amp;sheet=U0&amp;row=4603&amp;col=6&amp;number=4.9&amp;sourceID=14","4.9")</f>
        <v>4.9</v>
      </c>
      <c r="G4603" s="4" t="str">
        <f>HYPERLINK("http://141.218.60.56/~jnz1568/getInfo.php?workbook=12_05.xlsx&amp;sheet=U0&amp;row=4603&amp;col=7&amp;number=0.000104&amp;sourceID=14","0.000104")</f>
        <v>0.000104</v>
      </c>
    </row>
    <row r="4604" spans="1:7">
      <c r="A4604" s="3">
        <v>12</v>
      </c>
      <c r="B4604" s="3">
        <v>5</v>
      </c>
      <c r="C4604" s="3">
        <v>2</v>
      </c>
      <c r="D4604" s="3">
        <v>83</v>
      </c>
      <c r="E4604" s="3">
        <v>1</v>
      </c>
      <c r="F4604" s="4" t="str">
        <f>HYPERLINK("http://141.218.60.56/~jnz1568/getInfo.php?workbook=12_05.xlsx&amp;sheet=U0&amp;row=4604&amp;col=6&amp;number=3&amp;sourceID=14","3")</f>
        <v>3</v>
      </c>
      <c r="G4604" s="4" t="str">
        <f>HYPERLINK("http://141.218.60.56/~jnz1568/getInfo.php?workbook=12_05.xlsx&amp;sheet=U0&amp;row=4604&amp;col=7&amp;number=0.000148&amp;sourceID=14","0.000148")</f>
        <v>0.000148</v>
      </c>
    </row>
    <row r="4605" spans="1:7">
      <c r="A4605" s="3"/>
      <c r="B4605" s="3"/>
      <c r="C4605" s="3"/>
      <c r="D4605" s="3"/>
      <c r="E4605" s="3">
        <v>2</v>
      </c>
      <c r="F4605" s="4" t="str">
        <f>HYPERLINK("http://141.218.60.56/~jnz1568/getInfo.php?workbook=12_05.xlsx&amp;sheet=U0&amp;row=4605&amp;col=6&amp;number=3.1&amp;sourceID=14","3.1")</f>
        <v>3.1</v>
      </c>
      <c r="G4605" s="4" t="str">
        <f>HYPERLINK("http://141.218.60.56/~jnz1568/getInfo.php?workbook=12_05.xlsx&amp;sheet=U0&amp;row=4605&amp;col=7&amp;number=0.000148&amp;sourceID=14","0.000148")</f>
        <v>0.000148</v>
      </c>
    </row>
    <row r="4606" spans="1:7">
      <c r="A4606" s="3"/>
      <c r="B4606" s="3"/>
      <c r="C4606" s="3"/>
      <c r="D4606" s="3"/>
      <c r="E4606" s="3">
        <v>3</v>
      </c>
      <c r="F4606" s="4" t="str">
        <f>HYPERLINK("http://141.218.60.56/~jnz1568/getInfo.php?workbook=12_05.xlsx&amp;sheet=U0&amp;row=4606&amp;col=6&amp;number=3.2&amp;sourceID=14","3.2")</f>
        <v>3.2</v>
      </c>
      <c r="G4606" s="4" t="str">
        <f>HYPERLINK("http://141.218.60.56/~jnz1568/getInfo.php?workbook=12_05.xlsx&amp;sheet=U0&amp;row=4606&amp;col=7&amp;number=0.000148&amp;sourceID=14","0.000148")</f>
        <v>0.000148</v>
      </c>
    </row>
    <row r="4607" spans="1:7">
      <c r="A4607" s="3"/>
      <c r="B4607" s="3"/>
      <c r="C4607" s="3"/>
      <c r="D4607" s="3"/>
      <c r="E4607" s="3">
        <v>4</v>
      </c>
      <c r="F4607" s="4" t="str">
        <f>HYPERLINK("http://141.218.60.56/~jnz1568/getInfo.php?workbook=12_05.xlsx&amp;sheet=U0&amp;row=4607&amp;col=6&amp;number=3.3&amp;sourceID=14","3.3")</f>
        <v>3.3</v>
      </c>
      <c r="G4607" s="4" t="str">
        <f>HYPERLINK("http://141.218.60.56/~jnz1568/getInfo.php?workbook=12_05.xlsx&amp;sheet=U0&amp;row=4607&amp;col=7&amp;number=0.000148&amp;sourceID=14","0.000148")</f>
        <v>0.000148</v>
      </c>
    </row>
    <row r="4608" spans="1:7">
      <c r="A4608" s="3"/>
      <c r="B4608" s="3"/>
      <c r="C4608" s="3"/>
      <c r="D4608" s="3"/>
      <c r="E4608" s="3">
        <v>5</v>
      </c>
      <c r="F4608" s="4" t="str">
        <f>HYPERLINK("http://141.218.60.56/~jnz1568/getInfo.php?workbook=12_05.xlsx&amp;sheet=U0&amp;row=4608&amp;col=6&amp;number=3.4&amp;sourceID=14","3.4")</f>
        <v>3.4</v>
      </c>
      <c r="G4608" s="4" t="str">
        <f>HYPERLINK("http://141.218.60.56/~jnz1568/getInfo.php?workbook=12_05.xlsx&amp;sheet=U0&amp;row=4608&amp;col=7&amp;number=0.000148&amp;sourceID=14","0.000148")</f>
        <v>0.000148</v>
      </c>
    </row>
    <row r="4609" spans="1:7">
      <c r="A4609" s="3"/>
      <c r="B4609" s="3"/>
      <c r="C4609" s="3"/>
      <c r="D4609" s="3"/>
      <c r="E4609" s="3">
        <v>6</v>
      </c>
      <c r="F4609" s="4" t="str">
        <f>HYPERLINK("http://141.218.60.56/~jnz1568/getInfo.php?workbook=12_05.xlsx&amp;sheet=U0&amp;row=4609&amp;col=6&amp;number=3.5&amp;sourceID=14","3.5")</f>
        <v>3.5</v>
      </c>
      <c r="G4609" s="4" t="str">
        <f>HYPERLINK("http://141.218.60.56/~jnz1568/getInfo.php?workbook=12_05.xlsx&amp;sheet=U0&amp;row=4609&amp;col=7&amp;number=0.000148&amp;sourceID=14","0.000148")</f>
        <v>0.000148</v>
      </c>
    </row>
    <row r="4610" spans="1:7">
      <c r="A4610" s="3"/>
      <c r="B4610" s="3"/>
      <c r="C4610" s="3"/>
      <c r="D4610" s="3"/>
      <c r="E4610" s="3">
        <v>7</v>
      </c>
      <c r="F4610" s="4" t="str">
        <f>HYPERLINK("http://141.218.60.56/~jnz1568/getInfo.php?workbook=12_05.xlsx&amp;sheet=U0&amp;row=4610&amp;col=6&amp;number=3.6&amp;sourceID=14","3.6")</f>
        <v>3.6</v>
      </c>
      <c r="G4610" s="4" t="str">
        <f>HYPERLINK("http://141.218.60.56/~jnz1568/getInfo.php?workbook=12_05.xlsx&amp;sheet=U0&amp;row=4610&amp;col=7&amp;number=0.000148&amp;sourceID=14","0.000148")</f>
        <v>0.000148</v>
      </c>
    </row>
    <row r="4611" spans="1:7">
      <c r="A4611" s="3"/>
      <c r="B4611" s="3"/>
      <c r="C4611" s="3"/>
      <c r="D4611" s="3"/>
      <c r="E4611" s="3">
        <v>8</v>
      </c>
      <c r="F4611" s="4" t="str">
        <f>HYPERLINK("http://141.218.60.56/~jnz1568/getInfo.php?workbook=12_05.xlsx&amp;sheet=U0&amp;row=4611&amp;col=6&amp;number=3.7&amp;sourceID=14","3.7")</f>
        <v>3.7</v>
      </c>
      <c r="G4611" s="4" t="str">
        <f>HYPERLINK("http://141.218.60.56/~jnz1568/getInfo.php?workbook=12_05.xlsx&amp;sheet=U0&amp;row=4611&amp;col=7&amp;number=0.000148&amp;sourceID=14","0.000148")</f>
        <v>0.000148</v>
      </c>
    </row>
    <row r="4612" spans="1:7">
      <c r="A4612" s="3"/>
      <c r="B4612" s="3"/>
      <c r="C4612" s="3"/>
      <c r="D4612" s="3"/>
      <c r="E4612" s="3">
        <v>9</v>
      </c>
      <c r="F4612" s="4" t="str">
        <f>HYPERLINK("http://141.218.60.56/~jnz1568/getInfo.php?workbook=12_05.xlsx&amp;sheet=U0&amp;row=4612&amp;col=6&amp;number=3.8&amp;sourceID=14","3.8")</f>
        <v>3.8</v>
      </c>
      <c r="G4612" s="4" t="str">
        <f>HYPERLINK("http://141.218.60.56/~jnz1568/getInfo.php?workbook=12_05.xlsx&amp;sheet=U0&amp;row=4612&amp;col=7&amp;number=0.000147&amp;sourceID=14","0.000147")</f>
        <v>0.000147</v>
      </c>
    </row>
    <row r="4613" spans="1:7">
      <c r="A4613" s="3"/>
      <c r="B4613" s="3"/>
      <c r="C4613" s="3"/>
      <c r="D4613" s="3"/>
      <c r="E4613" s="3">
        <v>10</v>
      </c>
      <c r="F4613" s="4" t="str">
        <f>HYPERLINK("http://141.218.60.56/~jnz1568/getInfo.php?workbook=12_05.xlsx&amp;sheet=U0&amp;row=4613&amp;col=6&amp;number=3.9&amp;sourceID=14","3.9")</f>
        <v>3.9</v>
      </c>
      <c r="G4613" s="4" t="str">
        <f>HYPERLINK("http://141.218.60.56/~jnz1568/getInfo.php?workbook=12_05.xlsx&amp;sheet=U0&amp;row=4613&amp;col=7&amp;number=0.000147&amp;sourceID=14","0.000147")</f>
        <v>0.000147</v>
      </c>
    </row>
    <row r="4614" spans="1:7">
      <c r="A4614" s="3"/>
      <c r="B4614" s="3"/>
      <c r="C4614" s="3"/>
      <c r="D4614" s="3"/>
      <c r="E4614" s="3">
        <v>11</v>
      </c>
      <c r="F4614" s="4" t="str">
        <f>HYPERLINK("http://141.218.60.56/~jnz1568/getInfo.php?workbook=12_05.xlsx&amp;sheet=U0&amp;row=4614&amp;col=6&amp;number=4&amp;sourceID=14","4")</f>
        <v>4</v>
      </c>
      <c r="G4614" s="4" t="str">
        <f>HYPERLINK("http://141.218.60.56/~jnz1568/getInfo.php?workbook=12_05.xlsx&amp;sheet=U0&amp;row=4614&amp;col=7&amp;number=0.000147&amp;sourceID=14","0.000147")</f>
        <v>0.000147</v>
      </c>
    </row>
    <row r="4615" spans="1:7">
      <c r="A4615" s="3"/>
      <c r="B4615" s="3"/>
      <c r="C4615" s="3"/>
      <c r="D4615" s="3"/>
      <c r="E4615" s="3">
        <v>12</v>
      </c>
      <c r="F4615" s="4" t="str">
        <f>HYPERLINK("http://141.218.60.56/~jnz1568/getInfo.php?workbook=12_05.xlsx&amp;sheet=U0&amp;row=4615&amp;col=6&amp;number=4.1&amp;sourceID=14","4.1")</f>
        <v>4.1</v>
      </c>
      <c r="G4615" s="4" t="str">
        <f>HYPERLINK("http://141.218.60.56/~jnz1568/getInfo.php?workbook=12_05.xlsx&amp;sheet=U0&amp;row=4615&amp;col=7&amp;number=0.000147&amp;sourceID=14","0.000147")</f>
        <v>0.000147</v>
      </c>
    </row>
    <row r="4616" spans="1:7">
      <c r="A4616" s="3"/>
      <c r="B4616" s="3"/>
      <c r="C4616" s="3"/>
      <c r="D4616" s="3"/>
      <c r="E4616" s="3">
        <v>13</v>
      </c>
      <c r="F4616" s="4" t="str">
        <f>HYPERLINK("http://141.218.60.56/~jnz1568/getInfo.php?workbook=12_05.xlsx&amp;sheet=U0&amp;row=4616&amp;col=6&amp;number=4.2&amp;sourceID=14","4.2")</f>
        <v>4.2</v>
      </c>
      <c r="G4616" s="4" t="str">
        <f>HYPERLINK("http://141.218.60.56/~jnz1568/getInfo.php?workbook=12_05.xlsx&amp;sheet=U0&amp;row=4616&amp;col=7&amp;number=0.000146&amp;sourceID=14","0.000146")</f>
        <v>0.000146</v>
      </c>
    </row>
    <row r="4617" spans="1:7">
      <c r="A4617" s="3"/>
      <c r="B4617" s="3"/>
      <c r="C4617" s="3"/>
      <c r="D4617" s="3"/>
      <c r="E4617" s="3">
        <v>14</v>
      </c>
      <c r="F4617" s="4" t="str">
        <f>HYPERLINK("http://141.218.60.56/~jnz1568/getInfo.php?workbook=12_05.xlsx&amp;sheet=U0&amp;row=4617&amp;col=6&amp;number=4.3&amp;sourceID=14","4.3")</f>
        <v>4.3</v>
      </c>
      <c r="G4617" s="4" t="str">
        <f>HYPERLINK("http://141.218.60.56/~jnz1568/getInfo.php?workbook=12_05.xlsx&amp;sheet=U0&amp;row=4617&amp;col=7&amp;number=0.000146&amp;sourceID=14","0.000146")</f>
        <v>0.000146</v>
      </c>
    </row>
    <row r="4618" spans="1:7">
      <c r="A4618" s="3"/>
      <c r="B4618" s="3"/>
      <c r="C4618" s="3"/>
      <c r="D4618" s="3"/>
      <c r="E4618" s="3">
        <v>15</v>
      </c>
      <c r="F4618" s="4" t="str">
        <f>HYPERLINK("http://141.218.60.56/~jnz1568/getInfo.php?workbook=12_05.xlsx&amp;sheet=U0&amp;row=4618&amp;col=6&amp;number=4.4&amp;sourceID=14","4.4")</f>
        <v>4.4</v>
      </c>
      <c r="G4618" s="4" t="str">
        <f>HYPERLINK("http://141.218.60.56/~jnz1568/getInfo.php?workbook=12_05.xlsx&amp;sheet=U0&amp;row=4618&amp;col=7&amp;number=0.000145&amp;sourceID=14","0.000145")</f>
        <v>0.000145</v>
      </c>
    </row>
    <row r="4619" spans="1:7">
      <c r="A4619" s="3"/>
      <c r="B4619" s="3"/>
      <c r="C4619" s="3"/>
      <c r="D4619" s="3"/>
      <c r="E4619" s="3">
        <v>16</v>
      </c>
      <c r="F4619" s="4" t="str">
        <f>HYPERLINK("http://141.218.60.56/~jnz1568/getInfo.php?workbook=12_05.xlsx&amp;sheet=U0&amp;row=4619&amp;col=6&amp;number=4.5&amp;sourceID=14","4.5")</f>
        <v>4.5</v>
      </c>
      <c r="G4619" s="4" t="str">
        <f>HYPERLINK("http://141.218.60.56/~jnz1568/getInfo.php?workbook=12_05.xlsx&amp;sheet=U0&amp;row=4619&amp;col=7&amp;number=0.000145&amp;sourceID=14","0.000145")</f>
        <v>0.000145</v>
      </c>
    </row>
    <row r="4620" spans="1:7">
      <c r="A4620" s="3"/>
      <c r="B4620" s="3"/>
      <c r="C4620" s="3"/>
      <c r="D4620" s="3"/>
      <c r="E4620" s="3">
        <v>17</v>
      </c>
      <c r="F4620" s="4" t="str">
        <f>HYPERLINK("http://141.218.60.56/~jnz1568/getInfo.php?workbook=12_05.xlsx&amp;sheet=U0&amp;row=4620&amp;col=6&amp;number=4.6&amp;sourceID=14","4.6")</f>
        <v>4.6</v>
      </c>
      <c r="G4620" s="4" t="str">
        <f>HYPERLINK("http://141.218.60.56/~jnz1568/getInfo.php?workbook=12_05.xlsx&amp;sheet=U0&amp;row=4620&amp;col=7&amp;number=0.000144&amp;sourceID=14","0.000144")</f>
        <v>0.000144</v>
      </c>
    </row>
    <row r="4621" spans="1:7">
      <c r="A4621" s="3"/>
      <c r="B4621" s="3"/>
      <c r="C4621" s="3"/>
      <c r="D4621" s="3"/>
      <c r="E4621" s="3">
        <v>18</v>
      </c>
      <c r="F4621" s="4" t="str">
        <f>HYPERLINK("http://141.218.60.56/~jnz1568/getInfo.php?workbook=12_05.xlsx&amp;sheet=U0&amp;row=4621&amp;col=6&amp;number=4.7&amp;sourceID=14","4.7")</f>
        <v>4.7</v>
      </c>
      <c r="G4621" s="4" t="str">
        <f>HYPERLINK("http://141.218.60.56/~jnz1568/getInfo.php?workbook=12_05.xlsx&amp;sheet=U0&amp;row=4621&amp;col=7&amp;number=0.000142&amp;sourceID=14","0.000142")</f>
        <v>0.000142</v>
      </c>
    </row>
    <row r="4622" spans="1:7">
      <c r="A4622" s="3"/>
      <c r="B4622" s="3"/>
      <c r="C4622" s="3"/>
      <c r="D4622" s="3"/>
      <c r="E4622" s="3">
        <v>19</v>
      </c>
      <c r="F4622" s="4" t="str">
        <f>HYPERLINK("http://141.218.60.56/~jnz1568/getInfo.php?workbook=12_05.xlsx&amp;sheet=U0&amp;row=4622&amp;col=6&amp;number=4.8&amp;sourceID=14","4.8")</f>
        <v>4.8</v>
      </c>
      <c r="G4622" s="4" t="str">
        <f>HYPERLINK("http://141.218.60.56/~jnz1568/getInfo.php?workbook=12_05.xlsx&amp;sheet=U0&amp;row=4622&amp;col=7&amp;number=0.000141&amp;sourceID=14","0.000141")</f>
        <v>0.000141</v>
      </c>
    </row>
    <row r="4623" spans="1:7">
      <c r="A4623" s="3"/>
      <c r="B4623" s="3"/>
      <c r="C4623" s="3"/>
      <c r="D4623" s="3"/>
      <c r="E4623" s="3">
        <v>20</v>
      </c>
      <c r="F4623" s="4" t="str">
        <f>HYPERLINK("http://141.218.60.56/~jnz1568/getInfo.php?workbook=12_05.xlsx&amp;sheet=U0&amp;row=4623&amp;col=6&amp;number=4.9&amp;sourceID=14","4.9")</f>
        <v>4.9</v>
      </c>
      <c r="G4623" s="4" t="str">
        <f>HYPERLINK("http://141.218.60.56/~jnz1568/getInfo.php?workbook=12_05.xlsx&amp;sheet=U0&amp;row=4623&amp;col=7&amp;number=0.000139&amp;sourceID=14","0.000139")</f>
        <v>0.000139</v>
      </c>
    </row>
    <row r="4624" spans="1:7">
      <c r="A4624" s="3">
        <v>12</v>
      </c>
      <c r="B4624" s="3">
        <v>5</v>
      </c>
      <c r="C4624" s="3">
        <v>2</v>
      </c>
      <c r="D4624" s="3">
        <v>84</v>
      </c>
      <c r="E4624" s="3">
        <v>1</v>
      </c>
      <c r="F4624" s="4" t="str">
        <f>HYPERLINK("http://141.218.60.56/~jnz1568/getInfo.php?workbook=12_05.xlsx&amp;sheet=U0&amp;row=4624&amp;col=6&amp;number=3&amp;sourceID=14","3")</f>
        <v>3</v>
      </c>
      <c r="G4624" s="4" t="str">
        <f>HYPERLINK("http://141.218.60.56/~jnz1568/getInfo.php?workbook=12_05.xlsx&amp;sheet=U0&amp;row=4624&amp;col=7&amp;number=0.000108&amp;sourceID=14","0.000108")</f>
        <v>0.000108</v>
      </c>
    </row>
    <row r="4625" spans="1:7">
      <c r="A4625" s="3"/>
      <c r="B4625" s="3"/>
      <c r="C4625" s="3"/>
      <c r="D4625" s="3"/>
      <c r="E4625" s="3">
        <v>2</v>
      </c>
      <c r="F4625" s="4" t="str">
        <f>HYPERLINK("http://141.218.60.56/~jnz1568/getInfo.php?workbook=12_05.xlsx&amp;sheet=U0&amp;row=4625&amp;col=6&amp;number=3.1&amp;sourceID=14","3.1")</f>
        <v>3.1</v>
      </c>
      <c r="G4625" s="4" t="str">
        <f>HYPERLINK("http://141.218.60.56/~jnz1568/getInfo.php?workbook=12_05.xlsx&amp;sheet=U0&amp;row=4625&amp;col=7&amp;number=0.000108&amp;sourceID=14","0.000108")</f>
        <v>0.000108</v>
      </c>
    </row>
    <row r="4626" spans="1:7">
      <c r="A4626" s="3"/>
      <c r="B4626" s="3"/>
      <c r="C4626" s="3"/>
      <c r="D4626" s="3"/>
      <c r="E4626" s="3">
        <v>3</v>
      </c>
      <c r="F4626" s="4" t="str">
        <f>HYPERLINK("http://141.218.60.56/~jnz1568/getInfo.php?workbook=12_05.xlsx&amp;sheet=U0&amp;row=4626&amp;col=6&amp;number=3.2&amp;sourceID=14","3.2")</f>
        <v>3.2</v>
      </c>
      <c r="G4626" s="4" t="str">
        <f>HYPERLINK("http://141.218.60.56/~jnz1568/getInfo.php?workbook=12_05.xlsx&amp;sheet=U0&amp;row=4626&amp;col=7&amp;number=0.000108&amp;sourceID=14","0.000108")</f>
        <v>0.000108</v>
      </c>
    </row>
    <row r="4627" spans="1:7">
      <c r="A4627" s="3"/>
      <c r="B4627" s="3"/>
      <c r="C4627" s="3"/>
      <c r="D4627" s="3"/>
      <c r="E4627" s="3">
        <v>4</v>
      </c>
      <c r="F4627" s="4" t="str">
        <f>HYPERLINK("http://141.218.60.56/~jnz1568/getInfo.php?workbook=12_05.xlsx&amp;sheet=U0&amp;row=4627&amp;col=6&amp;number=3.3&amp;sourceID=14","3.3")</f>
        <v>3.3</v>
      </c>
      <c r="G4627" s="4" t="str">
        <f>HYPERLINK("http://141.218.60.56/~jnz1568/getInfo.php?workbook=12_05.xlsx&amp;sheet=U0&amp;row=4627&amp;col=7&amp;number=0.000108&amp;sourceID=14","0.000108")</f>
        <v>0.000108</v>
      </c>
    </row>
    <row r="4628" spans="1:7">
      <c r="A4628" s="3"/>
      <c r="B4628" s="3"/>
      <c r="C4628" s="3"/>
      <c r="D4628" s="3"/>
      <c r="E4628" s="3">
        <v>5</v>
      </c>
      <c r="F4628" s="4" t="str">
        <f>HYPERLINK("http://141.218.60.56/~jnz1568/getInfo.php?workbook=12_05.xlsx&amp;sheet=U0&amp;row=4628&amp;col=6&amp;number=3.4&amp;sourceID=14","3.4")</f>
        <v>3.4</v>
      </c>
      <c r="G4628" s="4" t="str">
        <f>HYPERLINK("http://141.218.60.56/~jnz1568/getInfo.php?workbook=12_05.xlsx&amp;sheet=U0&amp;row=4628&amp;col=7&amp;number=0.000108&amp;sourceID=14","0.000108")</f>
        <v>0.000108</v>
      </c>
    </row>
    <row r="4629" spans="1:7">
      <c r="A4629" s="3"/>
      <c r="B4629" s="3"/>
      <c r="C4629" s="3"/>
      <c r="D4629" s="3"/>
      <c r="E4629" s="3">
        <v>6</v>
      </c>
      <c r="F4629" s="4" t="str">
        <f>HYPERLINK("http://141.218.60.56/~jnz1568/getInfo.php?workbook=12_05.xlsx&amp;sheet=U0&amp;row=4629&amp;col=6&amp;number=3.5&amp;sourceID=14","3.5")</f>
        <v>3.5</v>
      </c>
      <c r="G4629" s="4" t="str">
        <f>HYPERLINK("http://141.218.60.56/~jnz1568/getInfo.php?workbook=12_05.xlsx&amp;sheet=U0&amp;row=4629&amp;col=7&amp;number=0.000108&amp;sourceID=14","0.000108")</f>
        <v>0.000108</v>
      </c>
    </row>
    <row r="4630" spans="1:7">
      <c r="A4630" s="3"/>
      <c r="B4630" s="3"/>
      <c r="C4630" s="3"/>
      <c r="D4630" s="3"/>
      <c r="E4630" s="3">
        <v>7</v>
      </c>
      <c r="F4630" s="4" t="str">
        <f>HYPERLINK("http://141.218.60.56/~jnz1568/getInfo.php?workbook=12_05.xlsx&amp;sheet=U0&amp;row=4630&amp;col=6&amp;number=3.6&amp;sourceID=14","3.6")</f>
        <v>3.6</v>
      </c>
      <c r="G4630" s="4" t="str">
        <f>HYPERLINK("http://141.218.60.56/~jnz1568/getInfo.php?workbook=12_05.xlsx&amp;sheet=U0&amp;row=4630&amp;col=7&amp;number=0.000108&amp;sourceID=14","0.000108")</f>
        <v>0.000108</v>
      </c>
    </row>
    <row r="4631" spans="1:7">
      <c r="A4631" s="3"/>
      <c r="B4631" s="3"/>
      <c r="C4631" s="3"/>
      <c r="D4631" s="3"/>
      <c r="E4631" s="3">
        <v>8</v>
      </c>
      <c r="F4631" s="4" t="str">
        <f>HYPERLINK("http://141.218.60.56/~jnz1568/getInfo.php?workbook=12_05.xlsx&amp;sheet=U0&amp;row=4631&amp;col=6&amp;number=3.7&amp;sourceID=14","3.7")</f>
        <v>3.7</v>
      </c>
      <c r="G4631" s="4" t="str">
        <f>HYPERLINK("http://141.218.60.56/~jnz1568/getInfo.php?workbook=12_05.xlsx&amp;sheet=U0&amp;row=4631&amp;col=7&amp;number=0.000108&amp;sourceID=14","0.000108")</f>
        <v>0.000108</v>
      </c>
    </row>
    <row r="4632" spans="1:7">
      <c r="A4632" s="3"/>
      <c r="B4632" s="3"/>
      <c r="C4632" s="3"/>
      <c r="D4632" s="3"/>
      <c r="E4632" s="3">
        <v>9</v>
      </c>
      <c r="F4632" s="4" t="str">
        <f>HYPERLINK("http://141.218.60.56/~jnz1568/getInfo.php?workbook=12_05.xlsx&amp;sheet=U0&amp;row=4632&amp;col=6&amp;number=3.8&amp;sourceID=14","3.8")</f>
        <v>3.8</v>
      </c>
      <c r="G4632" s="4" t="str">
        <f>HYPERLINK("http://141.218.60.56/~jnz1568/getInfo.php?workbook=12_05.xlsx&amp;sheet=U0&amp;row=4632&amp;col=7&amp;number=0.000108&amp;sourceID=14","0.000108")</f>
        <v>0.000108</v>
      </c>
    </row>
    <row r="4633" spans="1:7">
      <c r="A4633" s="3"/>
      <c r="B4633" s="3"/>
      <c r="C4633" s="3"/>
      <c r="D4633" s="3"/>
      <c r="E4633" s="3">
        <v>10</v>
      </c>
      <c r="F4633" s="4" t="str">
        <f>HYPERLINK("http://141.218.60.56/~jnz1568/getInfo.php?workbook=12_05.xlsx&amp;sheet=U0&amp;row=4633&amp;col=6&amp;number=3.9&amp;sourceID=14","3.9")</f>
        <v>3.9</v>
      </c>
      <c r="G4633" s="4" t="str">
        <f>HYPERLINK("http://141.218.60.56/~jnz1568/getInfo.php?workbook=12_05.xlsx&amp;sheet=U0&amp;row=4633&amp;col=7&amp;number=0.000108&amp;sourceID=14","0.000108")</f>
        <v>0.000108</v>
      </c>
    </row>
    <row r="4634" spans="1:7">
      <c r="A4634" s="3"/>
      <c r="B4634" s="3"/>
      <c r="C4634" s="3"/>
      <c r="D4634" s="3"/>
      <c r="E4634" s="3">
        <v>11</v>
      </c>
      <c r="F4634" s="4" t="str">
        <f>HYPERLINK("http://141.218.60.56/~jnz1568/getInfo.php?workbook=12_05.xlsx&amp;sheet=U0&amp;row=4634&amp;col=6&amp;number=4&amp;sourceID=14","4")</f>
        <v>4</v>
      </c>
      <c r="G4634" s="4" t="str">
        <f>HYPERLINK("http://141.218.60.56/~jnz1568/getInfo.php?workbook=12_05.xlsx&amp;sheet=U0&amp;row=4634&amp;col=7&amp;number=0.000108&amp;sourceID=14","0.000108")</f>
        <v>0.000108</v>
      </c>
    </row>
    <row r="4635" spans="1:7">
      <c r="A4635" s="3"/>
      <c r="B4635" s="3"/>
      <c r="C4635" s="3"/>
      <c r="D4635" s="3"/>
      <c r="E4635" s="3">
        <v>12</v>
      </c>
      <c r="F4635" s="4" t="str">
        <f>HYPERLINK("http://141.218.60.56/~jnz1568/getInfo.php?workbook=12_05.xlsx&amp;sheet=U0&amp;row=4635&amp;col=6&amp;number=4.1&amp;sourceID=14","4.1")</f>
        <v>4.1</v>
      </c>
      <c r="G4635" s="4" t="str">
        <f>HYPERLINK("http://141.218.60.56/~jnz1568/getInfo.php?workbook=12_05.xlsx&amp;sheet=U0&amp;row=4635&amp;col=7&amp;number=0.000108&amp;sourceID=14","0.000108")</f>
        <v>0.000108</v>
      </c>
    </row>
    <row r="4636" spans="1:7">
      <c r="A4636" s="3"/>
      <c r="B4636" s="3"/>
      <c r="C4636" s="3"/>
      <c r="D4636" s="3"/>
      <c r="E4636" s="3">
        <v>13</v>
      </c>
      <c r="F4636" s="4" t="str">
        <f>HYPERLINK("http://141.218.60.56/~jnz1568/getInfo.php?workbook=12_05.xlsx&amp;sheet=U0&amp;row=4636&amp;col=6&amp;number=4.2&amp;sourceID=14","4.2")</f>
        <v>4.2</v>
      </c>
      <c r="G4636" s="4" t="str">
        <f>HYPERLINK("http://141.218.60.56/~jnz1568/getInfo.php?workbook=12_05.xlsx&amp;sheet=U0&amp;row=4636&amp;col=7&amp;number=0.000108&amp;sourceID=14","0.000108")</f>
        <v>0.000108</v>
      </c>
    </row>
    <row r="4637" spans="1:7">
      <c r="A4637" s="3"/>
      <c r="B4637" s="3"/>
      <c r="C4637" s="3"/>
      <c r="D4637" s="3"/>
      <c r="E4637" s="3">
        <v>14</v>
      </c>
      <c r="F4637" s="4" t="str">
        <f>HYPERLINK("http://141.218.60.56/~jnz1568/getInfo.php?workbook=12_05.xlsx&amp;sheet=U0&amp;row=4637&amp;col=6&amp;number=4.3&amp;sourceID=14","4.3")</f>
        <v>4.3</v>
      </c>
      <c r="G4637" s="4" t="str">
        <f>HYPERLINK("http://141.218.60.56/~jnz1568/getInfo.php?workbook=12_05.xlsx&amp;sheet=U0&amp;row=4637&amp;col=7&amp;number=0.000107&amp;sourceID=14","0.000107")</f>
        <v>0.000107</v>
      </c>
    </row>
    <row r="4638" spans="1:7">
      <c r="A4638" s="3"/>
      <c r="B4638" s="3"/>
      <c r="C4638" s="3"/>
      <c r="D4638" s="3"/>
      <c r="E4638" s="3">
        <v>15</v>
      </c>
      <c r="F4638" s="4" t="str">
        <f>HYPERLINK("http://141.218.60.56/~jnz1568/getInfo.php?workbook=12_05.xlsx&amp;sheet=U0&amp;row=4638&amp;col=6&amp;number=4.4&amp;sourceID=14","4.4")</f>
        <v>4.4</v>
      </c>
      <c r="G4638" s="4" t="str">
        <f>HYPERLINK("http://141.218.60.56/~jnz1568/getInfo.php?workbook=12_05.xlsx&amp;sheet=U0&amp;row=4638&amp;col=7&amp;number=0.000107&amp;sourceID=14","0.000107")</f>
        <v>0.000107</v>
      </c>
    </row>
    <row r="4639" spans="1:7">
      <c r="A4639" s="3"/>
      <c r="B4639" s="3"/>
      <c r="C4639" s="3"/>
      <c r="D4639" s="3"/>
      <c r="E4639" s="3">
        <v>16</v>
      </c>
      <c r="F4639" s="4" t="str">
        <f>HYPERLINK("http://141.218.60.56/~jnz1568/getInfo.php?workbook=12_05.xlsx&amp;sheet=U0&amp;row=4639&amp;col=6&amp;number=4.5&amp;sourceID=14","4.5")</f>
        <v>4.5</v>
      </c>
      <c r="G4639" s="4" t="str">
        <f>HYPERLINK("http://141.218.60.56/~jnz1568/getInfo.php?workbook=12_05.xlsx&amp;sheet=U0&amp;row=4639&amp;col=7&amp;number=0.000107&amp;sourceID=14","0.000107")</f>
        <v>0.000107</v>
      </c>
    </row>
    <row r="4640" spans="1:7">
      <c r="A4640" s="3"/>
      <c r="B4640" s="3"/>
      <c r="C4640" s="3"/>
      <c r="D4640" s="3"/>
      <c r="E4640" s="3">
        <v>17</v>
      </c>
      <c r="F4640" s="4" t="str">
        <f>HYPERLINK("http://141.218.60.56/~jnz1568/getInfo.php?workbook=12_05.xlsx&amp;sheet=U0&amp;row=4640&amp;col=6&amp;number=4.6&amp;sourceID=14","4.6")</f>
        <v>4.6</v>
      </c>
      <c r="G4640" s="4" t="str">
        <f>HYPERLINK("http://141.218.60.56/~jnz1568/getInfo.php?workbook=12_05.xlsx&amp;sheet=U0&amp;row=4640&amp;col=7&amp;number=0.000107&amp;sourceID=14","0.000107")</f>
        <v>0.000107</v>
      </c>
    </row>
    <row r="4641" spans="1:7">
      <c r="A4641" s="3"/>
      <c r="B4641" s="3"/>
      <c r="C4641" s="3"/>
      <c r="D4641" s="3"/>
      <c r="E4641" s="3">
        <v>18</v>
      </c>
      <c r="F4641" s="4" t="str">
        <f>HYPERLINK("http://141.218.60.56/~jnz1568/getInfo.php?workbook=12_05.xlsx&amp;sheet=U0&amp;row=4641&amp;col=6&amp;number=4.7&amp;sourceID=14","4.7")</f>
        <v>4.7</v>
      </c>
      <c r="G4641" s="4" t="str">
        <f>HYPERLINK("http://141.218.60.56/~jnz1568/getInfo.php?workbook=12_05.xlsx&amp;sheet=U0&amp;row=4641&amp;col=7&amp;number=0.000106&amp;sourceID=14","0.000106")</f>
        <v>0.000106</v>
      </c>
    </row>
    <row r="4642" spans="1:7">
      <c r="A4642" s="3"/>
      <c r="B4642" s="3"/>
      <c r="C4642" s="3"/>
      <c r="D4642" s="3"/>
      <c r="E4642" s="3">
        <v>19</v>
      </c>
      <c r="F4642" s="4" t="str">
        <f>HYPERLINK("http://141.218.60.56/~jnz1568/getInfo.php?workbook=12_05.xlsx&amp;sheet=U0&amp;row=4642&amp;col=6&amp;number=4.8&amp;sourceID=14","4.8")</f>
        <v>4.8</v>
      </c>
      <c r="G4642" s="4" t="str">
        <f>HYPERLINK("http://141.218.60.56/~jnz1568/getInfo.php?workbook=12_05.xlsx&amp;sheet=U0&amp;row=4642&amp;col=7&amp;number=0.000106&amp;sourceID=14","0.000106")</f>
        <v>0.000106</v>
      </c>
    </row>
    <row r="4643" spans="1:7">
      <c r="A4643" s="3"/>
      <c r="B4643" s="3"/>
      <c r="C4643" s="3"/>
      <c r="D4643" s="3"/>
      <c r="E4643" s="3">
        <v>20</v>
      </c>
      <c r="F4643" s="4" t="str">
        <f>HYPERLINK("http://141.218.60.56/~jnz1568/getInfo.php?workbook=12_05.xlsx&amp;sheet=U0&amp;row=4643&amp;col=6&amp;number=4.9&amp;sourceID=14","4.9")</f>
        <v>4.9</v>
      </c>
      <c r="G4643" s="4" t="str">
        <f>HYPERLINK("http://141.218.60.56/~jnz1568/getInfo.php?workbook=12_05.xlsx&amp;sheet=U0&amp;row=4643&amp;col=7&amp;number=0.000105&amp;sourceID=14","0.000105")</f>
        <v>0.000105</v>
      </c>
    </row>
    <row r="4644" spans="1:7">
      <c r="A4644" s="3">
        <v>12</v>
      </c>
      <c r="B4644" s="3">
        <v>5</v>
      </c>
      <c r="C4644" s="3">
        <v>2</v>
      </c>
      <c r="D4644" s="3">
        <v>85</v>
      </c>
      <c r="E4644" s="3">
        <v>1</v>
      </c>
      <c r="F4644" s="4" t="str">
        <f>HYPERLINK("http://141.218.60.56/~jnz1568/getInfo.php?workbook=12_05.xlsx&amp;sheet=U0&amp;row=4644&amp;col=6&amp;number=3&amp;sourceID=14","3")</f>
        <v>3</v>
      </c>
      <c r="G4644" s="4" t="str">
        <f>HYPERLINK("http://141.218.60.56/~jnz1568/getInfo.php?workbook=12_05.xlsx&amp;sheet=U0&amp;row=4644&amp;col=7&amp;number=8.04e-05&amp;sourceID=14","8.04e-05")</f>
        <v>8.04e-05</v>
      </c>
    </row>
    <row r="4645" spans="1:7">
      <c r="A4645" s="3"/>
      <c r="B4645" s="3"/>
      <c r="C4645" s="3"/>
      <c r="D4645" s="3"/>
      <c r="E4645" s="3">
        <v>2</v>
      </c>
      <c r="F4645" s="4" t="str">
        <f>HYPERLINK("http://141.218.60.56/~jnz1568/getInfo.php?workbook=12_05.xlsx&amp;sheet=U0&amp;row=4645&amp;col=6&amp;number=3.1&amp;sourceID=14","3.1")</f>
        <v>3.1</v>
      </c>
      <c r="G4645" s="4" t="str">
        <f>HYPERLINK("http://141.218.60.56/~jnz1568/getInfo.php?workbook=12_05.xlsx&amp;sheet=U0&amp;row=4645&amp;col=7&amp;number=8.04e-05&amp;sourceID=14","8.04e-05")</f>
        <v>8.04e-05</v>
      </c>
    </row>
    <row r="4646" spans="1:7">
      <c r="A4646" s="3"/>
      <c r="B4646" s="3"/>
      <c r="C4646" s="3"/>
      <c r="D4646" s="3"/>
      <c r="E4646" s="3">
        <v>3</v>
      </c>
      <c r="F4646" s="4" t="str">
        <f>HYPERLINK("http://141.218.60.56/~jnz1568/getInfo.php?workbook=12_05.xlsx&amp;sheet=U0&amp;row=4646&amp;col=6&amp;number=3.2&amp;sourceID=14","3.2")</f>
        <v>3.2</v>
      </c>
      <c r="G4646" s="4" t="str">
        <f>HYPERLINK("http://141.218.60.56/~jnz1568/getInfo.php?workbook=12_05.xlsx&amp;sheet=U0&amp;row=4646&amp;col=7&amp;number=8.04e-05&amp;sourceID=14","8.04e-05")</f>
        <v>8.04e-05</v>
      </c>
    </row>
    <row r="4647" spans="1:7">
      <c r="A4647" s="3"/>
      <c r="B4647" s="3"/>
      <c r="C4647" s="3"/>
      <c r="D4647" s="3"/>
      <c r="E4647" s="3">
        <v>4</v>
      </c>
      <c r="F4647" s="4" t="str">
        <f>HYPERLINK("http://141.218.60.56/~jnz1568/getInfo.php?workbook=12_05.xlsx&amp;sheet=U0&amp;row=4647&amp;col=6&amp;number=3.3&amp;sourceID=14","3.3")</f>
        <v>3.3</v>
      </c>
      <c r="G4647" s="4" t="str">
        <f>HYPERLINK("http://141.218.60.56/~jnz1568/getInfo.php?workbook=12_05.xlsx&amp;sheet=U0&amp;row=4647&amp;col=7&amp;number=8.04e-05&amp;sourceID=14","8.04e-05")</f>
        <v>8.04e-05</v>
      </c>
    </row>
    <row r="4648" spans="1:7">
      <c r="A4648" s="3"/>
      <c r="B4648" s="3"/>
      <c r="C4648" s="3"/>
      <c r="D4648" s="3"/>
      <c r="E4648" s="3">
        <v>5</v>
      </c>
      <c r="F4648" s="4" t="str">
        <f>HYPERLINK("http://141.218.60.56/~jnz1568/getInfo.php?workbook=12_05.xlsx&amp;sheet=U0&amp;row=4648&amp;col=6&amp;number=3.4&amp;sourceID=14","3.4")</f>
        <v>3.4</v>
      </c>
      <c r="G4648" s="4" t="str">
        <f>HYPERLINK("http://141.218.60.56/~jnz1568/getInfo.php?workbook=12_05.xlsx&amp;sheet=U0&amp;row=4648&amp;col=7&amp;number=8.03e-05&amp;sourceID=14","8.03e-05")</f>
        <v>8.03e-05</v>
      </c>
    </row>
    <row r="4649" spans="1:7">
      <c r="A4649" s="3"/>
      <c r="B4649" s="3"/>
      <c r="C4649" s="3"/>
      <c r="D4649" s="3"/>
      <c r="E4649" s="3">
        <v>6</v>
      </c>
      <c r="F4649" s="4" t="str">
        <f>HYPERLINK("http://141.218.60.56/~jnz1568/getInfo.php?workbook=12_05.xlsx&amp;sheet=U0&amp;row=4649&amp;col=6&amp;number=3.5&amp;sourceID=14","3.5")</f>
        <v>3.5</v>
      </c>
      <c r="G4649" s="4" t="str">
        <f>HYPERLINK("http://141.218.60.56/~jnz1568/getInfo.php?workbook=12_05.xlsx&amp;sheet=U0&amp;row=4649&amp;col=7&amp;number=8.03e-05&amp;sourceID=14","8.03e-05")</f>
        <v>8.03e-05</v>
      </c>
    </row>
    <row r="4650" spans="1:7">
      <c r="A4650" s="3"/>
      <c r="B4650" s="3"/>
      <c r="C4650" s="3"/>
      <c r="D4650" s="3"/>
      <c r="E4650" s="3">
        <v>7</v>
      </c>
      <c r="F4650" s="4" t="str">
        <f>HYPERLINK("http://141.218.60.56/~jnz1568/getInfo.php?workbook=12_05.xlsx&amp;sheet=U0&amp;row=4650&amp;col=6&amp;number=3.6&amp;sourceID=14","3.6")</f>
        <v>3.6</v>
      </c>
      <c r="G4650" s="4" t="str">
        <f>HYPERLINK("http://141.218.60.56/~jnz1568/getInfo.php?workbook=12_05.xlsx&amp;sheet=U0&amp;row=4650&amp;col=7&amp;number=8.02e-05&amp;sourceID=14","8.02e-05")</f>
        <v>8.02e-05</v>
      </c>
    </row>
    <row r="4651" spans="1:7">
      <c r="A4651" s="3"/>
      <c r="B4651" s="3"/>
      <c r="C4651" s="3"/>
      <c r="D4651" s="3"/>
      <c r="E4651" s="3">
        <v>8</v>
      </c>
      <c r="F4651" s="4" t="str">
        <f>HYPERLINK("http://141.218.60.56/~jnz1568/getInfo.php?workbook=12_05.xlsx&amp;sheet=U0&amp;row=4651&amp;col=6&amp;number=3.7&amp;sourceID=14","3.7")</f>
        <v>3.7</v>
      </c>
      <c r="G4651" s="4" t="str">
        <f>HYPERLINK("http://141.218.60.56/~jnz1568/getInfo.php?workbook=12_05.xlsx&amp;sheet=U0&amp;row=4651&amp;col=7&amp;number=8.02e-05&amp;sourceID=14","8.02e-05")</f>
        <v>8.02e-05</v>
      </c>
    </row>
    <row r="4652" spans="1:7">
      <c r="A4652" s="3"/>
      <c r="B4652" s="3"/>
      <c r="C4652" s="3"/>
      <c r="D4652" s="3"/>
      <c r="E4652" s="3">
        <v>9</v>
      </c>
      <c r="F4652" s="4" t="str">
        <f>HYPERLINK("http://141.218.60.56/~jnz1568/getInfo.php?workbook=12_05.xlsx&amp;sheet=U0&amp;row=4652&amp;col=6&amp;number=3.8&amp;sourceID=14","3.8")</f>
        <v>3.8</v>
      </c>
      <c r="G4652" s="4" t="str">
        <f>HYPERLINK("http://141.218.60.56/~jnz1568/getInfo.php?workbook=12_05.xlsx&amp;sheet=U0&amp;row=4652&amp;col=7&amp;number=8.01e-05&amp;sourceID=14","8.01e-05")</f>
        <v>8.01e-05</v>
      </c>
    </row>
    <row r="4653" spans="1:7">
      <c r="A4653" s="3"/>
      <c r="B4653" s="3"/>
      <c r="C4653" s="3"/>
      <c r="D4653" s="3"/>
      <c r="E4653" s="3">
        <v>10</v>
      </c>
      <c r="F4653" s="4" t="str">
        <f>HYPERLINK("http://141.218.60.56/~jnz1568/getInfo.php?workbook=12_05.xlsx&amp;sheet=U0&amp;row=4653&amp;col=6&amp;number=3.9&amp;sourceID=14","3.9")</f>
        <v>3.9</v>
      </c>
      <c r="G4653" s="4" t="str">
        <f>HYPERLINK("http://141.218.60.56/~jnz1568/getInfo.php?workbook=12_05.xlsx&amp;sheet=U0&amp;row=4653&amp;col=7&amp;number=8e-05&amp;sourceID=14","8e-05")</f>
        <v>8e-05</v>
      </c>
    </row>
    <row r="4654" spans="1:7">
      <c r="A4654" s="3"/>
      <c r="B4654" s="3"/>
      <c r="C4654" s="3"/>
      <c r="D4654" s="3"/>
      <c r="E4654" s="3">
        <v>11</v>
      </c>
      <c r="F4654" s="4" t="str">
        <f>HYPERLINK("http://141.218.60.56/~jnz1568/getInfo.php?workbook=12_05.xlsx&amp;sheet=U0&amp;row=4654&amp;col=6&amp;number=4&amp;sourceID=14","4")</f>
        <v>4</v>
      </c>
      <c r="G4654" s="4" t="str">
        <f>HYPERLINK("http://141.218.60.56/~jnz1568/getInfo.php?workbook=12_05.xlsx&amp;sheet=U0&amp;row=4654&amp;col=7&amp;number=7.99e-05&amp;sourceID=14","7.99e-05")</f>
        <v>7.99e-05</v>
      </c>
    </row>
    <row r="4655" spans="1:7">
      <c r="A4655" s="3"/>
      <c r="B4655" s="3"/>
      <c r="C4655" s="3"/>
      <c r="D4655" s="3"/>
      <c r="E4655" s="3">
        <v>12</v>
      </c>
      <c r="F4655" s="4" t="str">
        <f>HYPERLINK("http://141.218.60.56/~jnz1568/getInfo.php?workbook=12_05.xlsx&amp;sheet=U0&amp;row=4655&amp;col=6&amp;number=4.1&amp;sourceID=14","4.1")</f>
        <v>4.1</v>
      </c>
      <c r="G4655" s="4" t="str">
        <f>HYPERLINK("http://141.218.60.56/~jnz1568/getInfo.php?workbook=12_05.xlsx&amp;sheet=U0&amp;row=4655&amp;col=7&amp;number=7.97e-05&amp;sourceID=14","7.97e-05")</f>
        <v>7.97e-05</v>
      </c>
    </row>
    <row r="4656" spans="1:7">
      <c r="A4656" s="3"/>
      <c r="B4656" s="3"/>
      <c r="C4656" s="3"/>
      <c r="D4656" s="3"/>
      <c r="E4656" s="3">
        <v>13</v>
      </c>
      <c r="F4656" s="4" t="str">
        <f>HYPERLINK("http://141.218.60.56/~jnz1568/getInfo.php?workbook=12_05.xlsx&amp;sheet=U0&amp;row=4656&amp;col=6&amp;number=4.2&amp;sourceID=14","4.2")</f>
        <v>4.2</v>
      </c>
      <c r="G4656" s="4" t="str">
        <f>HYPERLINK("http://141.218.60.56/~jnz1568/getInfo.php?workbook=12_05.xlsx&amp;sheet=U0&amp;row=4656&amp;col=7&amp;number=7.95e-05&amp;sourceID=14","7.95e-05")</f>
        <v>7.95e-05</v>
      </c>
    </row>
    <row r="4657" spans="1:7">
      <c r="A4657" s="3"/>
      <c r="B4657" s="3"/>
      <c r="C4657" s="3"/>
      <c r="D4657" s="3"/>
      <c r="E4657" s="3">
        <v>14</v>
      </c>
      <c r="F4657" s="4" t="str">
        <f>HYPERLINK("http://141.218.60.56/~jnz1568/getInfo.php?workbook=12_05.xlsx&amp;sheet=U0&amp;row=4657&amp;col=6&amp;number=4.3&amp;sourceID=14","4.3")</f>
        <v>4.3</v>
      </c>
      <c r="G4657" s="4" t="str">
        <f>HYPERLINK("http://141.218.60.56/~jnz1568/getInfo.php?workbook=12_05.xlsx&amp;sheet=U0&amp;row=4657&amp;col=7&amp;number=7.92e-05&amp;sourceID=14","7.92e-05")</f>
        <v>7.92e-05</v>
      </c>
    </row>
    <row r="4658" spans="1:7">
      <c r="A4658" s="3"/>
      <c r="B4658" s="3"/>
      <c r="C4658" s="3"/>
      <c r="D4658" s="3"/>
      <c r="E4658" s="3">
        <v>15</v>
      </c>
      <c r="F4658" s="4" t="str">
        <f>HYPERLINK("http://141.218.60.56/~jnz1568/getInfo.php?workbook=12_05.xlsx&amp;sheet=U0&amp;row=4658&amp;col=6&amp;number=4.4&amp;sourceID=14","4.4")</f>
        <v>4.4</v>
      </c>
      <c r="G4658" s="4" t="str">
        <f>HYPERLINK("http://141.218.60.56/~jnz1568/getInfo.php?workbook=12_05.xlsx&amp;sheet=U0&amp;row=4658&amp;col=7&amp;number=7.89e-05&amp;sourceID=14","7.89e-05")</f>
        <v>7.89e-05</v>
      </c>
    </row>
    <row r="4659" spans="1:7">
      <c r="A4659" s="3"/>
      <c r="B4659" s="3"/>
      <c r="C4659" s="3"/>
      <c r="D4659" s="3"/>
      <c r="E4659" s="3">
        <v>16</v>
      </c>
      <c r="F4659" s="4" t="str">
        <f>HYPERLINK("http://141.218.60.56/~jnz1568/getInfo.php?workbook=12_05.xlsx&amp;sheet=U0&amp;row=4659&amp;col=6&amp;number=4.5&amp;sourceID=14","4.5")</f>
        <v>4.5</v>
      </c>
      <c r="G4659" s="4" t="str">
        <f>HYPERLINK("http://141.218.60.56/~jnz1568/getInfo.php?workbook=12_05.xlsx&amp;sheet=U0&amp;row=4659&amp;col=7&amp;number=7.85e-05&amp;sourceID=14","7.85e-05")</f>
        <v>7.85e-05</v>
      </c>
    </row>
    <row r="4660" spans="1:7">
      <c r="A4660" s="3"/>
      <c r="B4660" s="3"/>
      <c r="C4660" s="3"/>
      <c r="D4660" s="3"/>
      <c r="E4660" s="3">
        <v>17</v>
      </c>
      <c r="F4660" s="4" t="str">
        <f>HYPERLINK("http://141.218.60.56/~jnz1568/getInfo.php?workbook=12_05.xlsx&amp;sheet=U0&amp;row=4660&amp;col=6&amp;number=4.6&amp;sourceID=14","4.6")</f>
        <v>4.6</v>
      </c>
      <c r="G4660" s="4" t="str">
        <f>HYPERLINK("http://141.218.60.56/~jnz1568/getInfo.php?workbook=12_05.xlsx&amp;sheet=U0&amp;row=4660&amp;col=7&amp;number=7.8e-05&amp;sourceID=14","7.8e-05")</f>
        <v>7.8e-05</v>
      </c>
    </row>
    <row r="4661" spans="1:7">
      <c r="A4661" s="3"/>
      <c r="B4661" s="3"/>
      <c r="C4661" s="3"/>
      <c r="D4661" s="3"/>
      <c r="E4661" s="3">
        <v>18</v>
      </c>
      <c r="F4661" s="4" t="str">
        <f>HYPERLINK("http://141.218.60.56/~jnz1568/getInfo.php?workbook=12_05.xlsx&amp;sheet=U0&amp;row=4661&amp;col=6&amp;number=4.7&amp;sourceID=14","4.7")</f>
        <v>4.7</v>
      </c>
      <c r="G4661" s="4" t="str">
        <f>HYPERLINK("http://141.218.60.56/~jnz1568/getInfo.php?workbook=12_05.xlsx&amp;sheet=U0&amp;row=4661&amp;col=7&amp;number=7.74e-05&amp;sourceID=14","7.74e-05")</f>
        <v>7.74e-05</v>
      </c>
    </row>
    <row r="4662" spans="1:7">
      <c r="A4662" s="3"/>
      <c r="B4662" s="3"/>
      <c r="C4662" s="3"/>
      <c r="D4662" s="3"/>
      <c r="E4662" s="3">
        <v>19</v>
      </c>
      <c r="F4662" s="4" t="str">
        <f>HYPERLINK("http://141.218.60.56/~jnz1568/getInfo.php?workbook=12_05.xlsx&amp;sheet=U0&amp;row=4662&amp;col=6&amp;number=4.8&amp;sourceID=14","4.8")</f>
        <v>4.8</v>
      </c>
      <c r="G4662" s="4" t="str">
        <f>HYPERLINK("http://141.218.60.56/~jnz1568/getInfo.php?workbook=12_05.xlsx&amp;sheet=U0&amp;row=4662&amp;col=7&amp;number=7.66e-05&amp;sourceID=14","7.66e-05")</f>
        <v>7.66e-05</v>
      </c>
    </row>
    <row r="4663" spans="1:7">
      <c r="A4663" s="3"/>
      <c r="B4663" s="3"/>
      <c r="C4663" s="3"/>
      <c r="D4663" s="3"/>
      <c r="E4663" s="3">
        <v>20</v>
      </c>
      <c r="F4663" s="4" t="str">
        <f>HYPERLINK("http://141.218.60.56/~jnz1568/getInfo.php?workbook=12_05.xlsx&amp;sheet=U0&amp;row=4663&amp;col=6&amp;number=4.9&amp;sourceID=14","4.9")</f>
        <v>4.9</v>
      </c>
      <c r="G4663" s="4" t="str">
        <f>HYPERLINK("http://141.218.60.56/~jnz1568/getInfo.php?workbook=12_05.xlsx&amp;sheet=U0&amp;row=4663&amp;col=7&amp;number=7.57e-05&amp;sourceID=14","7.57e-05")</f>
        <v>7.57e-05</v>
      </c>
    </row>
    <row r="4664" spans="1:7">
      <c r="A4664" s="3">
        <v>12</v>
      </c>
      <c r="B4664" s="3">
        <v>5</v>
      </c>
      <c r="C4664" s="3">
        <v>2</v>
      </c>
      <c r="D4664" s="3">
        <v>86</v>
      </c>
      <c r="E4664" s="3">
        <v>1</v>
      </c>
      <c r="F4664" s="4" t="str">
        <f>HYPERLINK("http://141.218.60.56/~jnz1568/getInfo.php?workbook=12_05.xlsx&amp;sheet=U0&amp;row=4664&amp;col=6&amp;number=3&amp;sourceID=14","3")</f>
        <v>3</v>
      </c>
      <c r="G4664" s="4" t="str">
        <f>HYPERLINK("http://141.218.60.56/~jnz1568/getInfo.php?workbook=12_05.xlsx&amp;sheet=U0&amp;row=4664&amp;col=7&amp;number=0.000254&amp;sourceID=14","0.000254")</f>
        <v>0.000254</v>
      </c>
    </row>
    <row r="4665" spans="1:7">
      <c r="A4665" s="3"/>
      <c r="B4665" s="3"/>
      <c r="C4665" s="3"/>
      <c r="D4665" s="3"/>
      <c r="E4665" s="3">
        <v>2</v>
      </c>
      <c r="F4665" s="4" t="str">
        <f>HYPERLINK("http://141.218.60.56/~jnz1568/getInfo.php?workbook=12_05.xlsx&amp;sheet=U0&amp;row=4665&amp;col=6&amp;number=3.1&amp;sourceID=14","3.1")</f>
        <v>3.1</v>
      </c>
      <c r="G4665" s="4" t="str">
        <f>HYPERLINK("http://141.218.60.56/~jnz1568/getInfo.php?workbook=12_05.xlsx&amp;sheet=U0&amp;row=4665&amp;col=7&amp;number=0.000254&amp;sourceID=14","0.000254")</f>
        <v>0.000254</v>
      </c>
    </row>
    <row r="4666" spans="1:7">
      <c r="A4666" s="3"/>
      <c r="B4666" s="3"/>
      <c r="C4666" s="3"/>
      <c r="D4666" s="3"/>
      <c r="E4666" s="3">
        <v>3</v>
      </c>
      <c r="F4666" s="4" t="str">
        <f>HYPERLINK("http://141.218.60.56/~jnz1568/getInfo.php?workbook=12_05.xlsx&amp;sheet=U0&amp;row=4666&amp;col=6&amp;number=3.2&amp;sourceID=14","3.2")</f>
        <v>3.2</v>
      </c>
      <c r="G4666" s="4" t="str">
        <f>HYPERLINK("http://141.218.60.56/~jnz1568/getInfo.php?workbook=12_05.xlsx&amp;sheet=U0&amp;row=4666&amp;col=7&amp;number=0.000254&amp;sourceID=14","0.000254")</f>
        <v>0.000254</v>
      </c>
    </row>
    <row r="4667" spans="1:7">
      <c r="A4667" s="3"/>
      <c r="B4667" s="3"/>
      <c r="C4667" s="3"/>
      <c r="D4667" s="3"/>
      <c r="E4667" s="3">
        <v>4</v>
      </c>
      <c r="F4667" s="4" t="str">
        <f>HYPERLINK("http://141.218.60.56/~jnz1568/getInfo.php?workbook=12_05.xlsx&amp;sheet=U0&amp;row=4667&amp;col=6&amp;number=3.3&amp;sourceID=14","3.3")</f>
        <v>3.3</v>
      </c>
      <c r="G4667" s="4" t="str">
        <f>HYPERLINK("http://141.218.60.56/~jnz1568/getInfo.php?workbook=12_05.xlsx&amp;sheet=U0&amp;row=4667&amp;col=7&amp;number=0.000254&amp;sourceID=14","0.000254")</f>
        <v>0.000254</v>
      </c>
    </row>
    <row r="4668" spans="1:7">
      <c r="A4668" s="3"/>
      <c r="B4668" s="3"/>
      <c r="C4668" s="3"/>
      <c r="D4668" s="3"/>
      <c r="E4668" s="3">
        <v>5</v>
      </c>
      <c r="F4668" s="4" t="str">
        <f>HYPERLINK("http://141.218.60.56/~jnz1568/getInfo.php?workbook=12_05.xlsx&amp;sheet=U0&amp;row=4668&amp;col=6&amp;number=3.4&amp;sourceID=14","3.4")</f>
        <v>3.4</v>
      </c>
      <c r="G4668" s="4" t="str">
        <f>HYPERLINK("http://141.218.60.56/~jnz1568/getInfo.php?workbook=12_05.xlsx&amp;sheet=U0&amp;row=4668&amp;col=7&amp;number=0.000254&amp;sourceID=14","0.000254")</f>
        <v>0.000254</v>
      </c>
    </row>
    <row r="4669" spans="1:7">
      <c r="A4669" s="3"/>
      <c r="B4669" s="3"/>
      <c r="C4669" s="3"/>
      <c r="D4669" s="3"/>
      <c r="E4669" s="3">
        <v>6</v>
      </c>
      <c r="F4669" s="4" t="str">
        <f>HYPERLINK("http://141.218.60.56/~jnz1568/getInfo.php?workbook=12_05.xlsx&amp;sheet=U0&amp;row=4669&amp;col=6&amp;number=3.5&amp;sourceID=14","3.5")</f>
        <v>3.5</v>
      </c>
      <c r="G4669" s="4" t="str">
        <f>HYPERLINK("http://141.218.60.56/~jnz1568/getInfo.php?workbook=12_05.xlsx&amp;sheet=U0&amp;row=4669&amp;col=7&amp;number=0.000253&amp;sourceID=14","0.000253")</f>
        <v>0.000253</v>
      </c>
    </row>
    <row r="4670" spans="1:7">
      <c r="A4670" s="3"/>
      <c r="B4670" s="3"/>
      <c r="C4670" s="3"/>
      <c r="D4670" s="3"/>
      <c r="E4670" s="3">
        <v>7</v>
      </c>
      <c r="F4670" s="4" t="str">
        <f>HYPERLINK("http://141.218.60.56/~jnz1568/getInfo.php?workbook=12_05.xlsx&amp;sheet=U0&amp;row=4670&amp;col=6&amp;number=3.6&amp;sourceID=14","3.6")</f>
        <v>3.6</v>
      </c>
      <c r="G4670" s="4" t="str">
        <f>HYPERLINK("http://141.218.60.56/~jnz1568/getInfo.php?workbook=12_05.xlsx&amp;sheet=U0&amp;row=4670&amp;col=7&amp;number=0.000253&amp;sourceID=14","0.000253")</f>
        <v>0.000253</v>
      </c>
    </row>
    <row r="4671" spans="1:7">
      <c r="A4671" s="3"/>
      <c r="B4671" s="3"/>
      <c r="C4671" s="3"/>
      <c r="D4671" s="3"/>
      <c r="E4671" s="3">
        <v>8</v>
      </c>
      <c r="F4671" s="4" t="str">
        <f>HYPERLINK("http://141.218.60.56/~jnz1568/getInfo.php?workbook=12_05.xlsx&amp;sheet=U0&amp;row=4671&amp;col=6&amp;number=3.7&amp;sourceID=14","3.7")</f>
        <v>3.7</v>
      </c>
      <c r="G4671" s="4" t="str">
        <f>HYPERLINK("http://141.218.60.56/~jnz1568/getInfo.php?workbook=12_05.xlsx&amp;sheet=U0&amp;row=4671&amp;col=7&amp;number=0.000253&amp;sourceID=14","0.000253")</f>
        <v>0.000253</v>
      </c>
    </row>
    <row r="4672" spans="1:7">
      <c r="A4672" s="3"/>
      <c r="B4672" s="3"/>
      <c r="C4672" s="3"/>
      <c r="D4672" s="3"/>
      <c r="E4672" s="3">
        <v>9</v>
      </c>
      <c r="F4672" s="4" t="str">
        <f>HYPERLINK("http://141.218.60.56/~jnz1568/getInfo.php?workbook=12_05.xlsx&amp;sheet=U0&amp;row=4672&amp;col=6&amp;number=3.8&amp;sourceID=14","3.8")</f>
        <v>3.8</v>
      </c>
      <c r="G4672" s="4" t="str">
        <f>HYPERLINK("http://141.218.60.56/~jnz1568/getInfo.php?workbook=12_05.xlsx&amp;sheet=U0&amp;row=4672&amp;col=7&amp;number=0.000253&amp;sourceID=14","0.000253")</f>
        <v>0.000253</v>
      </c>
    </row>
    <row r="4673" spans="1:7">
      <c r="A4673" s="3"/>
      <c r="B4673" s="3"/>
      <c r="C4673" s="3"/>
      <c r="D4673" s="3"/>
      <c r="E4673" s="3">
        <v>10</v>
      </c>
      <c r="F4673" s="4" t="str">
        <f>HYPERLINK("http://141.218.60.56/~jnz1568/getInfo.php?workbook=12_05.xlsx&amp;sheet=U0&amp;row=4673&amp;col=6&amp;number=3.9&amp;sourceID=14","3.9")</f>
        <v>3.9</v>
      </c>
      <c r="G4673" s="4" t="str">
        <f>HYPERLINK("http://141.218.60.56/~jnz1568/getInfo.php?workbook=12_05.xlsx&amp;sheet=U0&amp;row=4673&amp;col=7&amp;number=0.000253&amp;sourceID=14","0.000253")</f>
        <v>0.000253</v>
      </c>
    </row>
    <row r="4674" spans="1:7">
      <c r="A4674" s="3"/>
      <c r="B4674" s="3"/>
      <c r="C4674" s="3"/>
      <c r="D4674" s="3"/>
      <c r="E4674" s="3">
        <v>11</v>
      </c>
      <c r="F4674" s="4" t="str">
        <f>HYPERLINK("http://141.218.60.56/~jnz1568/getInfo.php?workbook=12_05.xlsx&amp;sheet=U0&amp;row=4674&amp;col=6&amp;number=4&amp;sourceID=14","4")</f>
        <v>4</v>
      </c>
      <c r="G4674" s="4" t="str">
        <f>HYPERLINK("http://141.218.60.56/~jnz1568/getInfo.php?workbook=12_05.xlsx&amp;sheet=U0&amp;row=4674&amp;col=7&amp;number=0.000253&amp;sourceID=14","0.000253")</f>
        <v>0.000253</v>
      </c>
    </row>
    <row r="4675" spans="1:7">
      <c r="A4675" s="3"/>
      <c r="B4675" s="3"/>
      <c r="C4675" s="3"/>
      <c r="D4675" s="3"/>
      <c r="E4675" s="3">
        <v>12</v>
      </c>
      <c r="F4675" s="4" t="str">
        <f>HYPERLINK("http://141.218.60.56/~jnz1568/getInfo.php?workbook=12_05.xlsx&amp;sheet=U0&amp;row=4675&amp;col=6&amp;number=4.1&amp;sourceID=14","4.1")</f>
        <v>4.1</v>
      </c>
      <c r="G4675" s="4" t="str">
        <f>HYPERLINK("http://141.218.60.56/~jnz1568/getInfo.php?workbook=12_05.xlsx&amp;sheet=U0&amp;row=4675&amp;col=7&amp;number=0.000252&amp;sourceID=14","0.000252")</f>
        <v>0.000252</v>
      </c>
    </row>
    <row r="4676" spans="1:7">
      <c r="A4676" s="3"/>
      <c r="B4676" s="3"/>
      <c r="C4676" s="3"/>
      <c r="D4676" s="3"/>
      <c r="E4676" s="3">
        <v>13</v>
      </c>
      <c r="F4676" s="4" t="str">
        <f>HYPERLINK("http://141.218.60.56/~jnz1568/getInfo.php?workbook=12_05.xlsx&amp;sheet=U0&amp;row=4676&amp;col=6&amp;number=4.2&amp;sourceID=14","4.2")</f>
        <v>4.2</v>
      </c>
      <c r="G4676" s="4" t="str">
        <f>HYPERLINK("http://141.218.60.56/~jnz1568/getInfo.php?workbook=12_05.xlsx&amp;sheet=U0&amp;row=4676&amp;col=7&amp;number=0.000252&amp;sourceID=14","0.000252")</f>
        <v>0.000252</v>
      </c>
    </row>
    <row r="4677" spans="1:7">
      <c r="A4677" s="3"/>
      <c r="B4677" s="3"/>
      <c r="C4677" s="3"/>
      <c r="D4677" s="3"/>
      <c r="E4677" s="3">
        <v>14</v>
      </c>
      <c r="F4677" s="4" t="str">
        <f>HYPERLINK("http://141.218.60.56/~jnz1568/getInfo.php?workbook=12_05.xlsx&amp;sheet=U0&amp;row=4677&amp;col=6&amp;number=4.3&amp;sourceID=14","4.3")</f>
        <v>4.3</v>
      </c>
      <c r="G4677" s="4" t="str">
        <f>HYPERLINK("http://141.218.60.56/~jnz1568/getInfo.php?workbook=12_05.xlsx&amp;sheet=U0&amp;row=4677&amp;col=7&amp;number=0.000251&amp;sourceID=14","0.000251")</f>
        <v>0.000251</v>
      </c>
    </row>
    <row r="4678" spans="1:7">
      <c r="A4678" s="3"/>
      <c r="B4678" s="3"/>
      <c r="C4678" s="3"/>
      <c r="D4678" s="3"/>
      <c r="E4678" s="3">
        <v>15</v>
      </c>
      <c r="F4678" s="4" t="str">
        <f>HYPERLINK("http://141.218.60.56/~jnz1568/getInfo.php?workbook=12_05.xlsx&amp;sheet=U0&amp;row=4678&amp;col=6&amp;number=4.4&amp;sourceID=14","4.4")</f>
        <v>4.4</v>
      </c>
      <c r="G4678" s="4" t="str">
        <f>HYPERLINK("http://141.218.60.56/~jnz1568/getInfo.php?workbook=12_05.xlsx&amp;sheet=U0&amp;row=4678&amp;col=7&amp;number=0.000251&amp;sourceID=14","0.000251")</f>
        <v>0.000251</v>
      </c>
    </row>
    <row r="4679" spans="1:7">
      <c r="A4679" s="3"/>
      <c r="B4679" s="3"/>
      <c r="C4679" s="3"/>
      <c r="D4679" s="3"/>
      <c r="E4679" s="3">
        <v>16</v>
      </c>
      <c r="F4679" s="4" t="str">
        <f>HYPERLINK("http://141.218.60.56/~jnz1568/getInfo.php?workbook=12_05.xlsx&amp;sheet=U0&amp;row=4679&amp;col=6&amp;number=4.5&amp;sourceID=14","4.5")</f>
        <v>4.5</v>
      </c>
      <c r="G4679" s="4" t="str">
        <f>HYPERLINK("http://141.218.60.56/~jnz1568/getInfo.php?workbook=12_05.xlsx&amp;sheet=U0&amp;row=4679&amp;col=7&amp;number=0.00025&amp;sourceID=14","0.00025")</f>
        <v>0.00025</v>
      </c>
    </row>
    <row r="4680" spans="1:7">
      <c r="A4680" s="3"/>
      <c r="B4680" s="3"/>
      <c r="C4680" s="3"/>
      <c r="D4680" s="3"/>
      <c r="E4680" s="3">
        <v>17</v>
      </c>
      <c r="F4680" s="4" t="str">
        <f>HYPERLINK("http://141.218.60.56/~jnz1568/getInfo.php?workbook=12_05.xlsx&amp;sheet=U0&amp;row=4680&amp;col=6&amp;number=4.6&amp;sourceID=14","4.6")</f>
        <v>4.6</v>
      </c>
      <c r="G4680" s="4" t="str">
        <f>HYPERLINK("http://141.218.60.56/~jnz1568/getInfo.php?workbook=12_05.xlsx&amp;sheet=U0&amp;row=4680&amp;col=7&amp;number=0.000249&amp;sourceID=14","0.000249")</f>
        <v>0.000249</v>
      </c>
    </row>
    <row r="4681" spans="1:7">
      <c r="A4681" s="3"/>
      <c r="B4681" s="3"/>
      <c r="C4681" s="3"/>
      <c r="D4681" s="3"/>
      <c r="E4681" s="3">
        <v>18</v>
      </c>
      <c r="F4681" s="4" t="str">
        <f>HYPERLINK("http://141.218.60.56/~jnz1568/getInfo.php?workbook=12_05.xlsx&amp;sheet=U0&amp;row=4681&amp;col=6&amp;number=4.7&amp;sourceID=14","4.7")</f>
        <v>4.7</v>
      </c>
      <c r="G4681" s="4" t="str">
        <f>HYPERLINK("http://141.218.60.56/~jnz1568/getInfo.php?workbook=12_05.xlsx&amp;sheet=U0&amp;row=4681&amp;col=7&amp;number=0.000248&amp;sourceID=14","0.000248")</f>
        <v>0.000248</v>
      </c>
    </row>
    <row r="4682" spans="1:7">
      <c r="A4682" s="3"/>
      <c r="B4682" s="3"/>
      <c r="C4682" s="3"/>
      <c r="D4682" s="3"/>
      <c r="E4682" s="3">
        <v>19</v>
      </c>
      <c r="F4682" s="4" t="str">
        <f>HYPERLINK("http://141.218.60.56/~jnz1568/getInfo.php?workbook=12_05.xlsx&amp;sheet=U0&amp;row=4682&amp;col=6&amp;number=4.8&amp;sourceID=14","4.8")</f>
        <v>4.8</v>
      </c>
      <c r="G4682" s="4" t="str">
        <f>HYPERLINK("http://141.218.60.56/~jnz1568/getInfo.php?workbook=12_05.xlsx&amp;sheet=U0&amp;row=4682&amp;col=7&amp;number=0.000247&amp;sourceID=14","0.000247")</f>
        <v>0.000247</v>
      </c>
    </row>
    <row r="4683" spans="1:7">
      <c r="A4683" s="3"/>
      <c r="B4683" s="3"/>
      <c r="C4683" s="3"/>
      <c r="D4683" s="3"/>
      <c r="E4683" s="3">
        <v>20</v>
      </c>
      <c r="F4683" s="4" t="str">
        <f>HYPERLINK("http://141.218.60.56/~jnz1568/getInfo.php?workbook=12_05.xlsx&amp;sheet=U0&amp;row=4683&amp;col=6&amp;number=4.9&amp;sourceID=14","4.9")</f>
        <v>4.9</v>
      </c>
      <c r="G4683" s="4" t="str">
        <f>HYPERLINK("http://141.218.60.56/~jnz1568/getInfo.php?workbook=12_05.xlsx&amp;sheet=U0&amp;row=4683&amp;col=7&amp;number=0.000245&amp;sourceID=14","0.000245")</f>
        <v>0.000245</v>
      </c>
    </row>
    <row r="4684" spans="1:7">
      <c r="A4684" s="3">
        <v>12</v>
      </c>
      <c r="B4684" s="3">
        <v>5</v>
      </c>
      <c r="C4684" s="3">
        <v>2</v>
      </c>
      <c r="D4684" s="3">
        <v>87</v>
      </c>
      <c r="E4684" s="3">
        <v>1</v>
      </c>
      <c r="F4684" s="4" t="str">
        <f>HYPERLINK("http://141.218.60.56/~jnz1568/getInfo.php?workbook=12_05.xlsx&amp;sheet=U0&amp;row=4684&amp;col=6&amp;number=3&amp;sourceID=14","3")</f>
        <v>3</v>
      </c>
      <c r="G4684" s="4" t="str">
        <f>HYPERLINK("http://141.218.60.56/~jnz1568/getInfo.php?workbook=12_05.xlsx&amp;sheet=U0&amp;row=4684&amp;col=7&amp;number=0.156&amp;sourceID=14","0.156")</f>
        <v>0.156</v>
      </c>
    </row>
    <row r="4685" spans="1:7">
      <c r="A4685" s="3"/>
      <c r="B4685" s="3"/>
      <c r="C4685" s="3"/>
      <c r="D4685" s="3"/>
      <c r="E4685" s="3">
        <v>2</v>
      </c>
      <c r="F4685" s="4" t="str">
        <f>HYPERLINK("http://141.218.60.56/~jnz1568/getInfo.php?workbook=12_05.xlsx&amp;sheet=U0&amp;row=4685&amp;col=6&amp;number=3.1&amp;sourceID=14","3.1")</f>
        <v>3.1</v>
      </c>
      <c r="G4685" s="4" t="str">
        <f>HYPERLINK("http://141.218.60.56/~jnz1568/getInfo.php?workbook=12_05.xlsx&amp;sheet=U0&amp;row=4685&amp;col=7&amp;number=0.156&amp;sourceID=14","0.156")</f>
        <v>0.156</v>
      </c>
    </row>
    <row r="4686" spans="1:7">
      <c r="A4686" s="3"/>
      <c r="B4686" s="3"/>
      <c r="C4686" s="3"/>
      <c r="D4686" s="3"/>
      <c r="E4686" s="3">
        <v>3</v>
      </c>
      <c r="F4686" s="4" t="str">
        <f>HYPERLINK("http://141.218.60.56/~jnz1568/getInfo.php?workbook=12_05.xlsx&amp;sheet=U0&amp;row=4686&amp;col=6&amp;number=3.2&amp;sourceID=14","3.2")</f>
        <v>3.2</v>
      </c>
      <c r="G4686" s="4" t="str">
        <f>HYPERLINK("http://141.218.60.56/~jnz1568/getInfo.php?workbook=12_05.xlsx&amp;sheet=U0&amp;row=4686&amp;col=7&amp;number=0.156&amp;sourceID=14","0.156")</f>
        <v>0.156</v>
      </c>
    </row>
    <row r="4687" spans="1:7">
      <c r="A4687" s="3"/>
      <c r="B4687" s="3"/>
      <c r="C4687" s="3"/>
      <c r="D4687" s="3"/>
      <c r="E4687" s="3">
        <v>4</v>
      </c>
      <c r="F4687" s="4" t="str">
        <f>HYPERLINK("http://141.218.60.56/~jnz1568/getInfo.php?workbook=12_05.xlsx&amp;sheet=U0&amp;row=4687&amp;col=6&amp;number=3.3&amp;sourceID=14","3.3")</f>
        <v>3.3</v>
      </c>
      <c r="G4687" s="4" t="str">
        <f>HYPERLINK("http://141.218.60.56/~jnz1568/getInfo.php?workbook=12_05.xlsx&amp;sheet=U0&amp;row=4687&amp;col=7&amp;number=0.156&amp;sourceID=14","0.156")</f>
        <v>0.156</v>
      </c>
    </row>
    <row r="4688" spans="1:7">
      <c r="A4688" s="3"/>
      <c r="B4688" s="3"/>
      <c r="C4688" s="3"/>
      <c r="D4688" s="3"/>
      <c r="E4688" s="3">
        <v>5</v>
      </c>
      <c r="F4688" s="4" t="str">
        <f>HYPERLINK("http://141.218.60.56/~jnz1568/getInfo.php?workbook=12_05.xlsx&amp;sheet=U0&amp;row=4688&amp;col=6&amp;number=3.4&amp;sourceID=14","3.4")</f>
        <v>3.4</v>
      </c>
      <c r="G4688" s="4" t="str">
        <f>HYPERLINK("http://141.218.60.56/~jnz1568/getInfo.php?workbook=12_05.xlsx&amp;sheet=U0&amp;row=4688&amp;col=7&amp;number=0.156&amp;sourceID=14","0.156")</f>
        <v>0.156</v>
      </c>
    </row>
    <row r="4689" spans="1:7">
      <c r="A4689" s="3"/>
      <c r="B4689" s="3"/>
      <c r="C4689" s="3"/>
      <c r="D4689" s="3"/>
      <c r="E4689" s="3">
        <v>6</v>
      </c>
      <c r="F4689" s="4" t="str">
        <f>HYPERLINK("http://141.218.60.56/~jnz1568/getInfo.php?workbook=12_05.xlsx&amp;sheet=U0&amp;row=4689&amp;col=6&amp;number=3.5&amp;sourceID=14","3.5")</f>
        <v>3.5</v>
      </c>
      <c r="G4689" s="4" t="str">
        <f>HYPERLINK("http://141.218.60.56/~jnz1568/getInfo.php?workbook=12_05.xlsx&amp;sheet=U0&amp;row=4689&amp;col=7&amp;number=0.156&amp;sourceID=14","0.156")</f>
        <v>0.156</v>
      </c>
    </row>
    <row r="4690" spans="1:7">
      <c r="A4690" s="3"/>
      <c r="B4690" s="3"/>
      <c r="C4690" s="3"/>
      <c r="D4690" s="3"/>
      <c r="E4690" s="3">
        <v>7</v>
      </c>
      <c r="F4690" s="4" t="str">
        <f>HYPERLINK("http://141.218.60.56/~jnz1568/getInfo.php?workbook=12_05.xlsx&amp;sheet=U0&amp;row=4690&amp;col=6&amp;number=3.6&amp;sourceID=14","3.6")</f>
        <v>3.6</v>
      </c>
      <c r="G4690" s="4" t="str">
        <f>HYPERLINK("http://141.218.60.56/~jnz1568/getInfo.php?workbook=12_05.xlsx&amp;sheet=U0&amp;row=4690&amp;col=7&amp;number=0.156&amp;sourceID=14","0.156")</f>
        <v>0.156</v>
      </c>
    </row>
    <row r="4691" spans="1:7">
      <c r="A4691" s="3"/>
      <c r="B4691" s="3"/>
      <c r="C4691" s="3"/>
      <c r="D4691" s="3"/>
      <c r="E4691" s="3">
        <v>8</v>
      </c>
      <c r="F4691" s="4" t="str">
        <f>HYPERLINK("http://141.218.60.56/~jnz1568/getInfo.php?workbook=12_05.xlsx&amp;sheet=U0&amp;row=4691&amp;col=6&amp;number=3.7&amp;sourceID=14","3.7")</f>
        <v>3.7</v>
      </c>
      <c r="G4691" s="4" t="str">
        <f>HYPERLINK("http://141.218.60.56/~jnz1568/getInfo.php?workbook=12_05.xlsx&amp;sheet=U0&amp;row=4691&amp;col=7&amp;number=0.156&amp;sourceID=14","0.156")</f>
        <v>0.156</v>
      </c>
    </row>
    <row r="4692" spans="1:7">
      <c r="A4692" s="3"/>
      <c r="B4692" s="3"/>
      <c r="C4692" s="3"/>
      <c r="D4692" s="3"/>
      <c r="E4692" s="3">
        <v>9</v>
      </c>
      <c r="F4692" s="4" t="str">
        <f>HYPERLINK("http://141.218.60.56/~jnz1568/getInfo.php?workbook=12_05.xlsx&amp;sheet=U0&amp;row=4692&amp;col=6&amp;number=3.8&amp;sourceID=14","3.8")</f>
        <v>3.8</v>
      </c>
      <c r="G4692" s="4" t="str">
        <f>HYPERLINK("http://141.218.60.56/~jnz1568/getInfo.php?workbook=12_05.xlsx&amp;sheet=U0&amp;row=4692&amp;col=7&amp;number=0.156&amp;sourceID=14","0.156")</f>
        <v>0.156</v>
      </c>
    </row>
    <row r="4693" spans="1:7">
      <c r="A4693" s="3"/>
      <c r="B4693" s="3"/>
      <c r="C4693" s="3"/>
      <c r="D4693" s="3"/>
      <c r="E4693" s="3">
        <v>10</v>
      </c>
      <c r="F4693" s="4" t="str">
        <f>HYPERLINK("http://141.218.60.56/~jnz1568/getInfo.php?workbook=12_05.xlsx&amp;sheet=U0&amp;row=4693&amp;col=6&amp;number=3.9&amp;sourceID=14","3.9")</f>
        <v>3.9</v>
      </c>
      <c r="G4693" s="4" t="str">
        <f>HYPERLINK("http://141.218.60.56/~jnz1568/getInfo.php?workbook=12_05.xlsx&amp;sheet=U0&amp;row=4693&amp;col=7&amp;number=0.156&amp;sourceID=14","0.156")</f>
        <v>0.156</v>
      </c>
    </row>
    <row r="4694" spans="1:7">
      <c r="A4694" s="3"/>
      <c r="B4694" s="3"/>
      <c r="C4694" s="3"/>
      <c r="D4694" s="3"/>
      <c r="E4694" s="3">
        <v>11</v>
      </c>
      <c r="F4694" s="4" t="str">
        <f>HYPERLINK("http://141.218.60.56/~jnz1568/getInfo.php?workbook=12_05.xlsx&amp;sheet=U0&amp;row=4694&amp;col=6&amp;number=4&amp;sourceID=14","4")</f>
        <v>4</v>
      </c>
      <c r="G4694" s="4" t="str">
        <f>HYPERLINK("http://141.218.60.56/~jnz1568/getInfo.php?workbook=12_05.xlsx&amp;sheet=U0&amp;row=4694&amp;col=7&amp;number=0.156&amp;sourceID=14","0.156")</f>
        <v>0.156</v>
      </c>
    </row>
    <row r="4695" spans="1:7">
      <c r="A4695" s="3"/>
      <c r="B4695" s="3"/>
      <c r="C4695" s="3"/>
      <c r="D4695" s="3"/>
      <c r="E4695" s="3">
        <v>12</v>
      </c>
      <c r="F4695" s="4" t="str">
        <f>HYPERLINK("http://141.218.60.56/~jnz1568/getInfo.php?workbook=12_05.xlsx&amp;sheet=U0&amp;row=4695&amp;col=6&amp;number=4.1&amp;sourceID=14","4.1")</f>
        <v>4.1</v>
      </c>
      <c r="G4695" s="4" t="str">
        <f>HYPERLINK("http://141.218.60.56/~jnz1568/getInfo.php?workbook=12_05.xlsx&amp;sheet=U0&amp;row=4695&amp;col=7&amp;number=0.156&amp;sourceID=14","0.156")</f>
        <v>0.156</v>
      </c>
    </row>
    <row r="4696" spans="1:7">
      <c r="A4696" s="3"/>
      <c r="B4696" s="3"/>
      <c r="C4696" s="3"/>
      <c r="D4696" s="3"/>
      <c r="E4696" s="3">
        <v>13</v>
      </c>
      <c r="F4696" s="4" t="str">
        <f>HYPERLINK("http://141.218.60.56/~jnz1568/getInfo.php?workbook=12_05.xlsx&amp;sheet=U0&amp;row=4696&amp;col=6&amp;number=4.2&amp;sourceID=14","4.2")</f>
        <v>4.2</v>
      </c>
      <c r="G4696" s="4" t="str">
        <f>HYPERLINK("http://141.218.60.56/~jnz1568/getInfo.php?workbook=12_05.xlsx&amp;sheet=U0&amp;row=4696&amp;col=7&amp;number=0.156&amp;sourceID=14","0.156")</f>
        <v>0.156</v>
      </c>
    </row>
    <row r="4697" spans="1:7">
      <c r="A4697" s="3"/>
      <c r="B4697" s="3"/>
      <c r="C4697" s="3"/>
      <c r="D4697" s="3"/>
      <c r="E4697" s="3">
        <v>14</v>
      </c>
      <c r="F4697" s="4" t="str">
        <f>HYPERLINK("http://141.218.60.56/~jnz1568/getInfo.php?workbook=12_05.xlsx&amp;sheet=U0&amp;row=4697&amp;col=6&amp;number=4.3&amp;sourceID=14","4.3")</f>
        <v>4.3</v>
      </c>
      <c r="G4697" s="4" t="str">
        <f>HYPERLINK("http://141.218.60.56/~jnz1568/getInfo.php?workbook=12_05.xlsx&amp;sheet=U0&amp;row=4697&amp;col=7&amp;number=0.156&amp;sourceID=14","0.156")</f>
        <v>0.156</v>
      </c>
    </row>
    <row r="4698" spans="1:7">
      <c r="A4698" s="3"/>
      <c r="B4698" s="3"/>
      <c r="C4698" s="3"/>
      <c r="D4698" s="3"/>
      <c r="E4698" s="3">
        <v>15</v>
      </c>
      <c r="F4698" s="4" t="str">
        <f>HYPERLINK("http://141.218.60.56/~jnz1568/getInfo.php?workbook=12_05.xlsx&amp;sheet=U0&amp;row=4698&amp;col=6&amp;number=4.4&amp;sourceID=14","4.4")</f>
        <v>4.4</v>
      </c>
      <c r="G4698" s="4" t="str">
        <f>HYPERLINK("http://141.218.60.56/~jnz1568/getInfo.php?workbook=12_05.xlsx&amp;sheet=U0&amp;row=4698&amp;col=7&amp;number=0.155&amp;sourceID=14","0.155")</f>
        <v>0.155</v>
      </c>
    </row>
    <row r="4699" spans="1:7">
      <c r="A4699" s="3"/>
      <c r="B4699" s="3"/>
      <c r="C4699" s="3"/>
      <c r="D4699" s="3"/>
      <c r="E4699" s="3">
        <v>16</v>
      </c>
      <c r="F4699" s="4" t="str">
        <f>HYPERLINK("http://141.218.60.56/~jnz1568/getInfo.php?workbook=12_05.xlsx&amp;sheet=U0&amp;row=4699&amp;col=6&amp;number=4.5&amp;sourceID=14","4.5")</f>
        <v>4.5</v>
      </c>
      <c r="G4699" s="4" t="str">
        <f>HYPERLINK("http://141.218.60.56/~jnz1568/getInfo.php?workbook=12_05.xlsx&amp;sheet=U0&amp;row=4699&amp;col=7&amp;number=0.155&amp;sourceID=14","0.155")</f>
        <v>0.155</v>
      </c>
    </row>
    <row r="4700" spans="1:7">
      <c r="A4700" s="3"/>
      <c r="B4700" s="3"/>
      <c r="C4700" s="3"/>
      <c r="D4700" s="3"/>
      <c r="E4700" s="3">
        <v>17</v>
      </c>
      <c r="F4700" s="4" t="str">
        <f>HYPERLINK("http://141.218.60.56/~jnz1568/getInfo.php?workbook=12_05.xlsx&amp;sheet=U0&amp;row=4700&amp;col=6&amp;number=4.6&amp;sourceID=14","4.6")</f>
        <v>4.6</v>
      </c>
      <c r="G4700" s="4" t="str">
        <f>HYPERLINK("http://141.218.60.56/~jnz1568/getInfo.php?workbook=12_05.xlsx&amp;sheet=U0&amp;row=4700&amp;col=7&amp;number=0.155&amp;sourceID=14","0.155")</f>
        <v>0.155</v>
      </c>
    </row>
    <row r="4701" spans="1:7">
      <c r="A4701" s="3"/>
      <c r="B4701" s="3"/>
      <c r="C4701" s="3"/>
      <c r="D4701" s="3"/>
      <c r="E4701" s="3">
        <v>18</v>
      </c>
      <c r="F4701" s="4" t="str">
        <f>HYPERLINK("http://141.218.60.56/~jnz1568/getInfo.php?workbook=12_05.xlsx&amp;sheet=U0&amp;row=4701&amp;col=6&amp;number=4.7&amp;sourceID=14","4.7")</f>
        <v>4.7</v>
      </c>
      <c r="G4701" s="4" t="str">
        <f>HYPERLINK("http://141.218.60.56/~jnz1568/getInfo.php?workbook=12_05.xlsx&amp;sheet=U0&amp;row=4701&amp;col=7&amp;number=0.155&amp;sourceID=14","0.155")</f>
        <v>0.155</v>
      </c>
    </row>
    <row r="4702" spans="1:7">
      <c r="A4702" s="3"/>
      <c r="B4702" s="3"/>
      <c r="C4702" s="3"/>
      <c r="D4702" s="3"/>
      <c r="E4702" s="3">
        <v>19</v>
      </c>
      <c r="F4702" s="4" t="str">
        <f>HYPERLINK("http://141.218.60.56/~jnz1568/getInfo.php?workbook=12_05.xlsx&amp;sheet=U0&amp;row=4702&amp;col=6&amp;number=4.8&amp;sourceID=14","4.8")</f>
        <v>4.8</v>
      </c>
      <c r="G4702" s="4" t="str">
        <f>HYPERLINK("http://141.218.60.56/~jnz1568/getInfo.php?workbook=12_05.xlsx&amp;sheet=U0&amp;row=4702&amp;col=7&amp;number=0.155&amp;sourceID=14","0.155")</f>
        <v>0.155</v>
      </c>
    </row>
    <row r="4703" spans="1:7">
      <c r="A4703" s="3"/>
      <c r="B4703" s="3"/>
      <c r="C4703" s="3"/>
      <c r="D4703" s="3"/>
      <c r="E4703" s="3">
        <v>20</v>
      </c>
      <c r="F4703" s="4" t="str">
        <f>HYPERLINK("http://141.218.60.56/~jnz1568/getInfo.php?workbook=12_05.xlsx&amp;sheet=U0&amp;row=4703&amp;col=6&amp;number=4.9&amp;sourceID=14","4.9")</f>
        <v>4.9</v>
      </c>
      <c r="G4703" s="4" t="str">
        <f>HYPERLINK("http://141.218.60.56/~jnz1568/getInfo.php?workbook=12_05.xlsx&amp;sheet=U0&amp;row=4703&amp;col=7&amp;number=0.154&amp;sourceID=14","0.154")</f>
        <v>0.154</v>
      </c>
    </row>
    <row r="4704" spans="1:7">
      <c r="A4704" s="3">
        <v>12</v>
      </c>
      <c r="B4704" s="3">
        <v>5</v>
      </c>
      <c r="C4704" s="3">
        <v>2</v>
      </c>
      <c r="D4704" s="3">
        <v>88</v>
      </c>
      <c r="E4704" s="3">
        <v>1</v>
      </c>
      <c r="F4704" s="4" t="str">
        <f>HYPERLINK("http://141.218.60.56/~jnz1568/getInfo.php?workbook=12_05.xlsx&amp;sheet=U0&amp;row=4704&amp;col=6&amp;number=3&amp;sourceID=14","3")</f>
        <v>3</v>
      </c>
      <c r="G4704" s="4" t="str">
        <f>HYPERLINK("http://141.218.60.56/~jnz1568/getInfo.php?workbook=12_05.xlsx&amp;sheet=U0&amp;row=4704&amp;col=7&amp;number=0.00466&amp;sourceID=14","0.00466")</f>
        <v>0.00466</v>
      </c>
    </row>
    <row r="4705" spans="1:7">
      <c r="A4705" s="3"/>
      <c r="B4705" s="3"/>
      <c r="C4705" s="3"/>
      <c r="D4705" s="3"/>
      <c r="E4705" s="3">
        <v>2</v>
      </c>
      <c r="F4705" s="4" t="str">
        <f>HYPERLINK("http://141.218.60.56/~jnz1568/getInfo.php?workbook=12_05.xlsx&amp;sheet=U0&amp;row=4705&amp;col=6&amp;number=3.1&amp;sourceID=14","3.1")</f>
        <v>3.1</v>
      </c>
      <c r="G4705" s="4" t="str">
        <f>HYPERLINK("http://141.218.60.56/~jnz1568/getInfo.php?workbook=12_05.xlsx&amp;sheet=U0&amp;row=4705&amp;col=7&amp;number=0.00466&amp;sourceID=14","0.00466")</f>
        <v>0.00466</v>
      </c>
    </row>
    <row r="4706" spans="1:7">
      <c r="A4706" s="3"/>
      <c r="B4706" s="3"/>
      <c r="C4706" s="3"/>
      <c r="D4706" s="3"/>
      <c r="E4706" s="3">
        <v>3</v>
      </c>
      <c r="F4706" s="4" t="str">
        <f>HYPERLINK("http://141.218.60.56/~jnz1568/getInfo.php?workbook=12_05.xlsx&amp;sheet=U0&amp;row=4706&amp;col=6&amp;number=3.2&amp;sourceID=14","3.2")</f>
        <v>3.2</v>
      </c>
      <c r="G4706" s="4" t="str">
        <f>HYPERLINK("http://141.218.60.56/~jnz1568/getInfo.php?workbook=12_05.xlsx&amp;sheet=U0&amp;row=4706&amp;col=7&amp;number=0.00466&amp;sourceID=14","0.00466")</f>
        <v>0.00466</v>
      </c>
    </row>
    <row r="4707" spans="1:7">
      <c r="A4707" s="3"/>
      <c r="B4707" s="3"/>
      <c r="C4707" s="3"/>
      <c r="D4707" s="3"/>
      <c r="E4707" s="3">
        <v>4</v>
      </c>
      <c r="F4707" s="4" t="str">
        <f>HYPERLINK("http://141.218.60.56/~jnz1568/getInfo.php?workbook=12_05.xlsx&amp;sheet=U0&amp;row=4707&amp;col=6&amp;number=3.3&amp;sourceID=14","3.3")</f>
        <v>3.3</v>
      </c>
      <c r="G4707" s="4" t="str">
        <f>HYPERLINK("http://141.218.60.56/~jnz1568/getInfo.php?workbook=12_05.xlsx&amp;sheet=U0&amp;row=4707&amp;col=7&amp;number=0.00466&amp;sourceID=14","0.00466")</f>
        <v>0.00466</v>
      </c>
    </row>
    <row r="4708" spans="1:7">
      <c r="A4708" s="3"/>
      <c r="B4708" s="3"/>
      <c r="C4708" s="3"/>
      <c r="D4708" s="3"/>
      <c r="E4708" s="3">
        <v>5</v>
      </c>
      <c r="F4708" s="4" t="str">
        <f>HYPERLINK("http://141.218.60.56/~jnz1568/getInfo.php?workbook=12_05.xlsx&amp;sheet=U0&amp;row=4708&amp;col=6&amp;number=3.4&amp;sourceID=14","3.4")</f>
        <v>3.4</v>
      </c>
      <c r="G4708" s="4" t="str">
        <f>HYPERLINK("http://141.218.60.56/~jnz1568/getInfo.php?workbook=12_05.xlsx&amp;sheet=U0&amp;row=4708&amp;col=7&amp;number=0.00465&amp;sourceID=14","0.00465")</f>
        <v>0.00465</v>
      </c>
    </row>
    <row r="4709" spans="1:7">
      <c r="A4709" s="3"/>
      <c r="B4709" s="3"/>
      <c r="C4709" s="3"/>
      <c r="D4709" s="3"/>
      <c r="E4709" s="3">
        <v>6</v>
      </c>
      <c r="F4709" s="4" t="str">
        <f>HYPERLINK("http://141.218.60.56/~jnz1568/getInfo.php?workbook=12_05.xlsx&amp;sheet=U0&amp;row=4709&amp;col=6&amp;number=3.5&amp;sourceID=14","3.5")</f>
        <v>3.5</v>
      </c>
      <c r="G4709" s="4" t="str">
        <f>HYPERLINK("http://141.218.60.56/~jnz1568/getInfo.php?workbook=12_05.xlsx&amp;sheet=U0&amp;row=4709&amp;col=7&amp;number=0.00465&amp;sourceID=14","0.00465")</f>
        <v>0.00465</v>
      </c>
    </row>
    <row r="4710" spans="1:7">
      <c r="A4710" s="3"/>
      <c r="B4710" s="3"/>
      <c r="C4710" s="3"/>
      <c r="D4710" s="3"/>
      <c r="E4710" s="3">
        <v>7</v>
      </c>
      <c r="F4710" s="4" t="str">
        <f>HYPERLINK("http://141.218.60.56/~jnz1568/getInfo.php?workbook=12_05.xlsx&amp;sheet=U0&amp;row=4710&amp;col=6&amp;number=3.6&amp;sourceID=14","3.6")</f>
        <v>3.6</v>
      </c>
      <c r="G4710" s="4" t="str">
        <f>HYPERLINK("http://141.218.60.56/~jnz1568/getInfo.php?workbook=12_05.xlsx&amp;sheet=U0&amp;row=4710&amp;col=7&amp;number=0.00465&amp;sourceID=14","0.00465")</f>
        <v>0.00465</v>
      </c>
    </row>
    <row r="4711" spans="1:7">
      <c r="A4711" s="3"/>
      <c r="B4711" s="3"/>
      <c r="C4711" s="3"/>
      <c r="D4711" s="3"/>
      <c r="E4711" s="3">
        <v>8</v>
      </c>
      <c r="F4711" s="4" t="str">
        <f>HYPERLINK("http://141.218.60.56/~jnz1568/getInfo.php?workbook=12_05.xlsx&amp;sheet=U0&amp;row=4711&amp;col=6&amp;number=3.7&amp;sourceID=14","3.7")</f>
        <v>3.7</v>
      </c>
      <c r="G4711" s="4" t="str">
        <f>HYPERLINK("http://141.218.60.56/~jnz1568/getInfo.php?workbook=12_05.xlsx&amp;sheet=U0&amp;row=4711&amp;col=7&amp;number=0.00464&amp;sourceID=14","0.00464")</f>
        <v>0.00464</v>
      </c>
    </row>
    <row r="4712" spans="1:7">
      <c r="A4712" s="3"/>
      <c r="B4712" s="3"/>
      <c r="C4712" s="3"/>
      <c r="D4712" s="3"/>
      <c r="E4712" s="3">
        <v>9</v>
      </c>
      <c r="F4712" s="4" t="str">
        <f>HYPERLINK("http://141.218.60.56/~jnz1568/getInfo.php?workbook=12_05.xlsx&amp;sheet=U0&amp;row=4712&amp;col=6&amp;number=3.8&amp;sourceID=14","3.8")</f>
        <v>3.8</v>
      </c>
      <c r="G4712" s="4" t="str">
        <f>HYPERLINK("http://141.218.60.56/~jnz1568/getInfo.php?workbook=12_05.xlsx&amp;sheet=U0&amp;row=4712&amp;col=7&amp;number=0.00464&amp;sourceID=14","0.00464")</f>
        <v>0.00464</v>
      </c>
    </row>
    <row r="4713" spans="1:7">
      <c r="A4713" s="3"/>
      <c r="B4713" s="3"/>
      <c r="C4713" s="3"/>
      <c r="D4713" s="3"/>
      <c r="E4713" s="3">
        <v>10</v>
      </c>
      <c r="F4713" s="4" t="str">
        <f>HYPERLINK("http://141.218.60.56/~jnz1568/getInfo.php?workbook=12_05.xlsx&amp;sheet=U0&amp;row=4713&amp;col=6&amp;number=3.9&amp;sourceID=14","3.9")</f>
        <v>3.9</v>
      </c>
      <c r="G4713" s="4" t="str">
        <f>HYPERLINK("http://141.218.60.56/~jnz1568/getInfo.php?workbook=12_05.xlsx&amp;sheet=U0&amp;row=4713&amp;col=7&amp;number=0.00463&amp;sourceID=14","0.00463")</f>
        <v>0.00463</v>
      </c>
    </row>
    <row r="4714" spans="1:7">
      <c r="A4714" s="3"/>
      <c r="B4714" s="3"/>
      <c r="C4714" s="3"/>
      <c r="D4714" s="3"/>
      <c r="E4714" s="3">
        <v>11</v>
      </c>
      <c r="F4714" s="4" t="str">
        <f>HYPERLINK("http://141.218.60.56/~jnz1568/getInfo.php?workbook=12_05.xlsx&amp;sheet=U0&amp;row=4714&amp;col=6&amp;number=4&amp;sourceID=14","4")</f>
        <v>4</v>
      </c>
      <c r="G4714" s="4" t="str">
        <f>HYPERLINK("http://141.218.60.56/~jnz1568/getInfo.php?workbook=12_05.xlsx&amp;sheet=U0&amp;row=4714&amp;col=7&amp;number=0.00463&amp;sourceID=14","0.00463")</f>
        <v>0.00463</v>
      </c>
    </row>
    <row r="4715" spans="1:7">
      <c r="A4715" s="3"/>
      <c r="B4715" s="3"/>
      <c r="C4715" s="3"/>
      <c r="D4715" s="3"/>
      <c r="E4715" s="3">
        <v>12</v>
      </c>
      <c r="F4715" s="4" t="str">
        <f>HYPERLINK("http://141.218.60.56/~jnz1568/getInfo.php?workbook=12_05.xlsx&amp;sheet=U0&amp;row=4715&amp;col=6&amp;number=4.1&amp;sourceID=14","4.1")</f>
        <v>4.1</v>
      </c>
      <c r="G4715" s="4" t="str">
        <f>HYPERLINK("http://141.218.60.56/~jnz1568/getInfo.php?workbook=12_05.xlsx&amp;sheet=U0&amp;row=4715&amp;col=7&amp;number=0.00462&amp;sourceID=14","0.00462")</f>
        <v>0.00462</v>
      </c>
    </row>
    <row r="4716" spans="1:7">
      <c r="A4716" s="3"/>
      <c r="B4716" s="3"/>
      <c r="C4716" s="3"/>
      <c r="D4716" s="3"/>
      <c r="E4716" s="3">
        <v>13</v>
      </c>
      <c r="F4716" s="4" t="str">
        <f>HYPERLINK("http://141.218.60.56/~jnz1568/getInfo.php?workbook=12_05.xlsx&amp;sheet=U0&amp;row=4716&amp;col=6&amp;number=4.2&amp;sourceID=14","4.2")</f>
        <v>4.2</v>
      </c>
      <c r="G4716" s="4" t="str">
        <f>HYPERLINK("http://141.218.60.56/~jnz1568/getInfo.php?workbook=12_05.xlsx&amp;sheet=U0&amp;row=4716&amp;col=7&amp;number=0.0046&amp;sourceID=14","0.0046")</f>
        <v>0.0046</v>
      </c>
    </row>
    <row r="4717" spans="1:7">
      <c r="A4717" s="3"/>
      <c r="B4717" s="3"/>
      <c r="C4717" s="3"/>
      <c r="D4717" s="3"/>
      <c r="E4717" s="3">
        <v>14</v>
      </c>
      <c r="F4717" s="4" t="str">
        <f>HYPERLINK("http://141.218.60.56/~jnz1568/getInfo.php?workbook=12_05.xlsx&amp;sheet=U0&amp;row=4717&amp;col=6&amp;number=4.3&amp;sourceID=14","4.3")</f>
        <v>4.3</v>
      </c>
      <c r="G4717" s="4" t="str">
        <f>HYPERLINK("http://141.218.60.56/~jnz1568/getInfo.php?workbook=12_05.xlsx&amp;sheet=U0&amp;row=4717&amp;col=7&amp;number=0.00459&amp;sourceID=14","0.00459")</f>
        <v>0.00459</v>
      </c>
    </row>
    <row r="4718" spans="1:7">
      <c r="A4718" s="3"/>
      <c r="B4718" s="3"/>
      <c r="C4718" s="3"/>
      <c r="D4718" s="3"/>
      <c r="E4718" s="3">
        <v>15</v>
      </c>
      <c r="F4718" s="4" t="str">
        <f>HYPERLINK("http://141.218.60.56/~jnz1568/getInfo.php?workbook=12_05.xlsx&amp;sheet=U0&amp;row=4718&amp;col=6&amp;number=4.4&amp;sourceID=14","4.4")</f>
        <v>4.4</v>
      </c>
      <c r="G4718" s="4" t="str">
        <f>HYPERLINK("http://141.218.60.56/~jnz1568/getInfo.php?workbook=12_05.xlsx&amp;sheet=U0&amp;row=4718&amp;col=7&amp;number=0.00457&amp;sourceID=14","0.00457")</f>
        <v>0.00457</v>
      </c>
    </row>
    <row r="4719" spans="1:7">
      <c r="A4719" s="3"/>
      <c r="B4719" s="3"/>
      <c r="C4719" s="3"/>
      <c r="D4719" s="3"/>
      <c r="E4719" s="3">
        <v>16</v>
      </c>
      <c r="F4719" s="4" t="str">
        <f>HYPERLINK("http://141.218.60.56/~jnz1568/getInfo.php?workbook=12_05.xlsx&amp;sheet=U0&amp;row=4719&amp;col=6&amp;number=4.5&amp;sourceID=14","4.5")</f>
        <v>4.5</v>
      </c>
      <c r="G4719" s="4" t="str">
        <f>HYPERLINK("http://141.218.60.56/~jnz1568/getInfo.php?workbook=12_05.xlsx&amp;sheet=U0&amp;row=4719&amp;col=7&amp;number=0.00454&amp;sourceID=14","0.00454")</f>
        <v>0.00454</v>
      </c>
    </row>
    <row r="4720" spans="1:7">
      <c r="A4720" s="3"/>
      <c r="B4720" s="3"/>
      <c r="C4720" s="3"/>
      <c r="D4720" s="3"/>
      <c r="E4720" s="3">
        <v>17</v>
      </c>
      <c r="F4720" s="4" t="str">
        <f>HYPERLINK("http://141.218.60.56/~jnz1568/getInfo.php?workbook=12_05.xlsx&amp;sheet=U0&amp;row=4720&amp;col=6&amp;number=4.6&amp;sourceID=14","4.6")</f>
        <v>4.6</v>
      </c>
      <c r="G4720" s="4" t="str">
        <f>HYPERLINK("http://141.218.60.56/~jnz1568/getInfo.php?workbook=12_05.xlsx&amp;sheet=U0&amp;row=4720&amp;col=7&amp;number=0.00451&amp;sourceID=14","0.00451")</f>
        <v>0.00451</v>
      </c>
    </row>
    <row r="4721" spans="1:7">
      <c r="A4721" s="3"/>
      <c r="B4721" s="3"/>
      <c r="C4721" s="3"/>
      <c r="D4721" s="3"/>
      <c r="E4721" s="3">
        <v>18</v>
      </c>
      <c r="F4721" s="4" t="str">
        <f>HYPERLINK("http://141.218.60.56/~jnz1568/getInfo.php?workbook=12_05.xlsx&amp;sheet=U0&amp;row=4721&amp;col=6&amp;number=4.7&amp;sourceID=14","4.7")</f>
        <v>4.7</v>
      </c>
      <c r="G4721" s="4" t="str">
        <f>HYPERLINK("http://141.218.60.56/~jnz1568/getInfo.php?workbook=12_05.xlsx&amp;sheet=U0&amp;row=4721&amp;col=7&amp;number=0.00447&amp;sourceID=14","0.00447")</f>
        <v>0.00447</v>
      </c>
    </row>
    <row r="4722" spans="1:7">
      <c r="A4722" s="3"/>
      <c r="B4722" s="3"/>
      <c r="C4722" s="3"/>
      <c r="D4722" s="3"/>
      <c r="E4722" s="3">
        <v>19</v>
      </c>
      <c r="F4722" s="4" t="str">
        <f>HYPERLINK("http://141.218.60.56/~jnz1568/getInfo.php?workbook=12_05.xlsx&amp;sheet=U0&amp;row=4722&amp;col=6&amp;number=4.8&amp;sourceID=14","4.8")</f>
        <v>4.8</v>
      </c>
      <c r="G4722" s="4" t="str">
        <f>HYPERLINK("http://141.218.60.56/~jnz1568/getInfo.php?workbook=12_05.xlsx&amp;sheet=U0&amp;row=4722&amp;col=7&amp;number=0.00443&amp;sourceID=14","0.00443")</f>
        <v>0.00443</v>
      </c>
    </row>
    <row r="4723" spans="1:7">
      <c r="A4723" s="3"/>
      <c r="B4723" s="3"/>
      <c r="C4723" s="3"/>
      <c r="D4723" s="3"/>
      <c r="E4723" s="3">
        <v>20</v>
      </c>
      <c r="F4723" s="4" t="str">
        <f>HYPERLINK("http://141.218.60.56/~jnz1568/getInfo.php?workbook=12_05.xlsx&amp;sheet=U0&amp;row=4723&amp;col=6&amp;number=4.9&amp;sourceID=14","4.9")</f>
        <v>4.9</v>
      </c>
      <c r="G4723" s="4" t="str">
        <f>HYPERLINK("http://141.218.60.56/~jnz1568/getInfo.php?workbook=12_05.xlsx&amp;sheet=U0&amp;row=4723&amp;col=7&amp;number=0.00437&amp;sourceID=14","0.00437")</f>
        <v>0.00437</v>
      </c>
    </row>
    <row r="4724" spans="1:7">
      <c r="A4724" s="3">
        <v>12</v>
      </c>
      <c r="B4724" s="3">
        <v>5</v>
      </c>
      <c r="C4724" s="3">
        <v>2</v>
      </c>
      <c r="D4724" s="3">
        <v>89</v>
      </c>
      <c r="E4724" s="3">
        <v>1</v>
      </c>
      <c r="F4724" s="4" t="str">
        <f>HYPERLINK("http://141.218.60.56/~jnz1568/getInfo.php?workbook=12_05.xlsx&amp;sheet=U0&amp;row=4724&amp;col=6&amp;number=3&amp;sourceID=14","3")</f>
        <v>3</v>
      </c>
      <c r="G4724" s="4" t="str">
        <f>HYPERLINK("http://141.218.60.56/~jnz1568/getInfo.php?workbook=12_05.xlsx&amp;sheet=U0&amp;row=4724&amp;col=7&amp;number=0.265&amp;sourceID=14","0.265")</f>
        <v>0.265</v>
      </c>
    </row>
    <row r="4725" spans="1:7">
      <c r="A4725" s="3"/>
      <c r="B4725" s="3"/>
      <c r="C4725" s="3"/>
      <c r="D4725" s="3"/>
      <c r="E4725" s="3">
        <v>2</v>
      </c>
      <c r="F4725" s="4" t="str">
        <f>HYPERLINK("http://141.218.60.56/~jnz1568/getInfo.php?workbook=12_05.xlsx&amp;sheet=U0&amp;row=4725&amp;col=6&amp;number=3.1&amp;sourceID=14","3.1")</f>
        <v>3.1</v>
      </c>
      <c r="G4725" s="4" t="str">
        <f>HYPERLINK("http://141.218.60.56/~jnz1568/getInfo.php?workbook=12_05.xlsx&amp;sheet=U0&amp;row=4725&amp;col=7&amp;number=0.265&amp;sourceID=14","0.265")</f>
        <v>0.265</v>
      </c>
    </row>
    <row r="4726" spans="1:7">
      <c r="A4726" s="3"/>
      <c r="B4726" s="3"/>
      <c r="C4726" s="3"/>
      <c r="D4726" s="3"/>
      <c r="E4726" s="3">
        <v>3</v>
      </c>
      <c r="F4726" s="4" t="str">
        <f>HYPERLINK("http://141.218.60.56/~jnz1568/getInfo.php?workbook=12_05.xlsx&amp;sheet=U0&amp;row=4726&amp;col=6&amp;number=3.2&amp;sourceID=14","3.2")</f>
        <v>3.2</v>
      </c>
      <c r="G4726" s="4" t="str">
        <f>HYPERLINK("http://141.218.60.56/~jnz1568/getInfo.php?workbook=12_05.xlsx&amp;sheet=U0&amp;row=4726&amp;col=7&amp;number=0.265&amp;sourceID=14","0.265")</f>
        <v>0.265</v>
      </c>
    </row>
    <row r="4727" spans="1:7">
      <c r="A4727" s="3"/>
      <c r="B4727" s="3"/>
      <c r="C4727" s="3"/>
      <c r="D4727" s="3"/>
      <c r="E4727" s="3">
        <v>4</v>
      </c>
      <c r="F4727" s="4" t="str">
        <f>HYPERLINK("http://141.218.60.56/~jnz1568/getInfo.php?workbook=12_05.xlsx&amp;sheet=U0&amp;row=4727&amp;col=6&amp;number=3.3&amp;sourceID=14","3.3")</f>
        <v>3.3</v>
      </c>
      <c r="G4727" s="4" t="str">
        <f>HYPERLINK("http://141.218.60.56/~jnz1568/getInfo.php?workbook=12_05.xlsx&amp;sheet=U0&amp;row=4727&amp;col=7&amp;number=0.265&amp;sourceID=14","0.265")</f>
        <v>0.265</v>
      </c>
    </row>
    <row r="4728" spans="1:7">
      <c r="A4728" s="3"/>
      <c r="B4728" s="3"/>
      <c r="C4728" s="3"/>
      <c r="D4728" s="3"/>
      <c r="E4728" s="3">
        <v>5</v>
      </c>
      <c r="F4728" s="4" t="str">
        <f>HYPERLINK("http://141.218.60.56/~jnz1568/getInfo.php?workbook=12_05.xlsx&amp;sheet=U0&amp;row=4728&amp;col=6&amp;number=3.4&amp;sourceID=14","3.4")</f>
        <v>3.4</v>
      </c>
      <c r="G4728" s="4" t="str">
        <f>HYPERLINK("http://141.218.60.56/~jnz1568/getInfo.php?workbook=12_05.xlsx&amp;sheet=U0&amp;row=4728&amp;col=7&amp;number=0.265&amp;sourceID=14","0.265")</f>
        <v>0.265</v>
      </c>
    </row>
    <row r="4729" spans="1:7">
      <c r="A4729" s="3"/>
      <c r="B4729" s="3"/>
      <c r="C4729" s="3"/>
      <c r="D4729" s="3"/>
      <c r="E4729" s="3">
        <v>6</v>
      </c>
      <c r="F4729" s="4" t="str">
        <f>HYPERLINK("http://141.218.60.56/~jnz1568/getInfo.php?workbook=12_05.xlsx&amp;sheet=U0&amp;row=4729&amp;col=6&amp;number=3.5&amp;sourceID=14","3.5")</f>
        <v>3.5</v>
      </c>
      <c r="G4729" s="4" t="str">
        <f>HYPERLINK("http://141.218.60.56/~jnz1568/getInfo.php?workbook=12_05.xlsx&amp;sheet=U0&amp;row=4729&amp;col=7&amp;number=0.265&amp;sourceID=14","0.265")</f>
        <v>0.265</v>
      </c>
    </row>
    <row r="4730" spans="1:7">
      <c r="A4730" s="3"/>
      <c r="B4730" s="3"/>
      <c r="C4730" s="3"/>
      <c r="D4730" s="3"/>
      <c r="E4730" s="3">
        <v>7</v>
      </c>
      <c r="F4730" s="4" t="str">
        <f>HYPERLINK("http://141.218.60.56/~jnz1568/getInfo.php?workbook=12_05.xlsx&amp;sheet=U0&amp;row=4730&amp;col=6&amp;number=3.6&amp;sourceID=14","3.6")</f>
        <v>3.6</v>
      </c>
      <c r="G4730" s="4" t="str">
        <f>HYPERLINK("http://141.218.60.56/~jnz1568/getInfo.php?workbook=12_05.xlsx&amp;sheet=U0&amp;row=4730&amp;col=7&amp;number=0.265&amp;sourceID=14","0.265")</f>
        <v>0.265</v>
      </c>
    </row>
    <row r="4731" spans="1:7">
      <c r="A4731" s="3"/>
      <c r="B4731" s="3"/>
      <c r="C4731" s="3"/>
      <c r="D4731" s="3"/>
      <c r="E4731" s="3">
        <v>8</v>
      </c>
      <c r="F4731" s="4" t="str">
        <f>HYPERLINK("http://141.218.60.56/~jnz1568/getInfo.php?workbook=12_05.xlsx&amp;sheet=U0&amp;row=4731&amp;col=6&amp;number=3.7&amp;sourceID=14","3.7")</f>
        <v>3.7</v>
      </c>
      <c r="G4731" s="4" t="str">
        <f>HYPERLINK("http://141.218.60.56/~jnz1568/getInfo.php?workbook=12_05.xlsx&amp;sheet=U0&amp;row=4731&amp;col=7&amp;number=0.266&amp;sourceID=14","0.266")</f>
        <v>0.266</v>
      </c>
    </row>
    <row r="4732" spans="1:7">
      <c r="A4732" s="3"/>
      <c r="B4732" s="3"/>
      <c r="C4732" s="3"/>
      <c r="D4732" s="3"/>
      <c r="E4732" s="3">
        <v>9</v>
      </c>
      <c r="F4732" s="4" t="str">
        <f>HYPERLINK("http://141.218.60.56/~jnz1568/getInfo.php?workbook=12_05.xlsx&amp;sheet=U0&amp;row=4732&amp;col=6&amp;number=3.8&amp;sourceID=14","3.8")</f>
        <v>3.8</v>
      </c>
      <c r="G4732" s="4" t="str">
        <f>HYPERLINK("http://141.218.60.56/~jnz1568/getInfo.php?workbook=12_05.xlsx&amp;sheet=U0&amp;row=4732&amp;col=7&amp;number=0.266&amp;sourceID=14","0.266")</f>
        <v>0.266</v>
      </c>
    </row>
    <row r="4733" spans="1:7">
      <c r="A4733" s="3"/>
      <c r="B4733" s="3"/>
      <c r="C4733" s="3"/>
      <c r="D4733" s="3"/>
      <c r="E4733" s="3">
        <v>10</v>
      </c>
      <c r="F4733" s="4" t="str">
        <f>HYPERLINK("http://141.218.60.56/~jnz1568/getInfo.php?workbook=12_05.xlsx&amp;sheet=U0&amp;row=4733&amp;col=6&amp;number=3.9&amp;sourceID=14","3.9")</f>
        <v>3.9</v>
      </c>
      <c r="G4733" s="4" t="str">
        <f>HYPERLINK("http://141.218.60.56/~jnz1568/getInfo.php?workbook=12_05.xlsx&amp;sheet=U0&amp;row=4733&amp;col=7&amp;number=0.266&amp;sourceID=14","0.266")</f>
        <v>0.266</v>
      </c>
    </row>
    <row r="4734" spans="1:7">
      <c r="A4734" s="3"/>
      <c r="B4734" s="3"/>
      <c r="C4734" s="3"/>
      <c r="D4734" s="3"/>
      <c r="E4734" s="3">
        <v>11</v>
      </c>
      <c r="F4734" s="4" t="str">
        <f>HYPERLINK("http://141.218.60.56/~jnz1568/getInfo.php?workbook=12_05.xlsx&amp;sheet=U0&amp;row=4734&amp;col=6&amp;number=4&amp;sourceID=14","4")</f>
        <v>4</v>
      </c>
      <c r="G4734" s="4" t="str">
        <f>HYPERLINK("http://141.218.60.56/~jnz1568/getInfo.php?workbook=12_05.xlsx&amp;sheet=U0&amp;row=4734&amp;col=7&amp;number=0.266&amp;sourceID=14","0.266")</f>
        <v>0.266</v>
      </c>
    </row>
    <row r="4735" spans="1:7">
      <c r="A4735" s="3"/>
      <c r="B4735" s="3"/>
      <c r="C4735" s="3"/>
      <c r="D4735" s="3"/>
      <c r="E4735" s="3">
        <v>12</v>
      </c>
      <c r="F4735" s="4" t="str">
        <f>HYPERLINK("http://141.218.60.56/~jnz1568/getInfo.php?workbook=12_05.xlsx&amp;sheet=U0&amp;row=4735&amp;col=6&amp;number=4.1&amp;sourceID=14","4.1")</f>
        <v>4.1</v>
      </c>
      <c r="G4735" s="4" t="str">
        <f>HYPERLINK("http://141.218.60.56/~jnz1568/getInfo.php?workbook=12_05.xlsx&amp;sheet=U0&amp;row=4735&amp;col=7&amp;number=0.266&amp;sourceID=14","0.266")</f>
        <v>0.266</v>
      </c>
    </row>
    <row r="4736" spans="1:7">
      <c r="A4736" s="3"/>
      <c r="B4736" s="3"/>
      <c r="C4736" s="3"/>
      <c r="D4736" s="3"/>
      <c r="E4736" s="3">
        <v>13</v>
      </c>
      <c r="F4736" s="4" t="str">
        <f>HYPERLINK("http://141.218.60.56/~jnz1568/getInfo.php?workbook=12_05.xlsx&amp;sheet=U0&amp;row=4736&amp;col=6&amp;number=4.2&amp;sourceID=14","4.2")</f>
        <v>4.2</v>
      </c>
      <c r="G4736" s="4" t="str">
        <f>HYPERLINK("http://141.218.60.56/~jnz1568/getInfo.php?workbook=12_05.xlsx&amp;sheet=U0&amp;row=4736&amp;col=7&amp;number=0.266&amp;sourceID=14","0.266")</f>
        <v>0.266</v>
      </c>
    </row>
    <row r="4737" spans="1:7">
      <c r="A4737" s="3"/>
      <c r="B4737" s="3"/>
      <c r="C4737" s="3"/>
      <c r="D4737" s="3"/>
      <c r="E4737" s="3">
        <v>14</v>
      </c>
      <c r="F4737" s="4" t="str">
        <f>HYPERLINK("http://141.218.60.56/~jnz1568/getInfo.php?workbook=12_05.xlsx&amp;sheet=U0&amp;row=4737&amp;col=6&amp;number=4.3&amp;sourceID=14","4.3")</f>
        <v>4.3</v>
      </c>
      <c r="G4737" s="4" t="str">
        <f>HYPERLINK("http://141.218.60.56/~jnz1568/getInfo.php?workbook=12_05.xlsx&amp;sheet=U0&amp;row=4737&amp;col=7&amp;number=0.266&amp;sourceID=14","0.266")</f>
        <v>0.266</v>
      </c>
    </row>
    <row r="4738" spans="1:7">
      <c r="A4738" s="3"/>
      <c r="B4738" s="3"/>
      <c r="C4738" s="3"/>
      <c r="D4738" s="3"/>
      <c r="E4738" s="3">
        <v>15</v>
      </c>
      <c r="F4738" s="4" t="str">
        <f>HYPERLINK("http://141.218.60.56/~jnz1568/getInfo.php?workbook=12_05.xlsx&amp;sheet=U0&amp;row=4738&amp;col=6&amp;number=4.4&amp;sourceID=14","4.4")</f>
        <v>4.4</v>
      </c>
      <c r="G4738" s="4" t="str">
        <f>HYPERLINK("http://141.218.60.56/~jnz1568/getInfo.php?workbook=12_05.xlsx&amp;sheet=U0&amp;row=4738&amp;col=7&amp;number=0.266&amp;sourceID=14","0.266")</f>
        <v>0.266</v>
      </c>
    </row>
    <row r="4739" spans="1:7">
      <c r="A4739" s="3"/>
      <c r="B4739" s="3"/>
      <c r="C4739" s="3"/>
      <c r="D4739" s="3"/>
      <c r="E4739" s="3">
        <v>16</v>
      </c>
      <c r="F4739" s="4" t="str">
        <f>HYPERLINK("http://141.218.60.56/~jnz1568/getInfo.php?workbook=12_05.xlsx&amp;sheet=U0&amp;row=4739&amp;col=6&amp;number=4.5&amp;sourceID=14","4.5")</f>
        <v>4.5</v>
      </c>
      <c r="G4739" s="4" t="str">
        <f>HYPERLINK("http://141.218.60.56/~jnz1568/getInfo.php?workbook=12_05.xlsx&amp;sheet=U0&amp;row=4739&amp;col=7&amp;number=0.267&amp;sourceID=14","0.267")</f>
        <v>0.267</v>
      </c>
    </row>
    <row r="4740" spans="1:7">
      <c r="A4740" s="3"/>
      <c r="B4740" s="3"/>
      <c r="C4740" s="3"/>
      <c r="D4740" s="3"/>
      <c r="E4740" s="3">
        <v>17</v>
      </c>
      <c r="F4740" s="4" t="str">
        <f>HYPERLINK("http://141.218.60.56/~jnz1568/getInfo.php?workbook=12_05.xlsx&amp;sheet=U0&amp;row=4740&amp;col=6&amp;number=4.6&amp;sourceID=14","4.6")</f>
        <v>4.6</v>
      </c>
      <c r="G4740" s="4" t="str">
        <f>HYPERLINK("http://141.218.60.56/~jnz1568/getInfo.php?workbook=12_05.xlsx&amp;sheet=U0&amp;row=4740&amp;col=7&amp;number=0.267&amp;sourceID=14","0.267")</f>
        <v>0.267</v>
      </c>
    </row>
    <row r="4741" spans="1:7">
      <c r="A4741" s="3"/>
      <c r="B4741" s="3"/>
      <c r="C4741" s="3"/>
      <c r="D4741" s="3"/>
      <c r="E4741" s="3">
        <v>18</v>
      </c>
      <c r="F4741" s="4" t="str">
        <f>HYPERLINK("http://141.218.60.56/~jnz1568/getInfo.php?workbook=12_05.xlsx&amp;sheet=U0&amp;row=4741&amp;col=6&amp;number=4.7&amp;sourceID=14","4.7")</f>
        <v>4.7</v>
      </c>
      <c r="G4741" s="4" t="str">
        <f>HYPERLINK("http://141.218.60.56/~jnz1568/getInfo.php?workbook=12_05.xlsx&amp;sheet=U0&amp;row=4741&amp;col=7&amp;number=0.267&amp;sourceID=14","0.267")</f>
        <v>0.267</v>
      </c>
    </row>
    <row r="4742" spans="1:7">
      <c r="A4742" s="3"/>
      <c r="B4742" s="3"/>
      <c r="C4742" s="3"/>
      <c r="D4742" s="3"/>
      <c r="E4742" s="3">
        <v>19</v>
      </c>
      <c r="F4742" s="4" t="str">
        <f>HYPERLINK("http://141.218.60.56/~jnz1568/getInfo.php?workbook=12_05.xlsx&amp;sheet=U0&amp;row=4742&amp;col=6&amp;number=4.8&amp;sourceID=14","4.8")</f>
        <v>4.8</v>
      </c>
      <c r="G4742" s="4" t="str">
        <f>HYPERLINK("http://141.218.60.56/~jnz1568/getInfo.php?workbook=12_05.xlsx&amp;sheet=U0&amp;row=4742&amp;col=7&amp;number=0.268&amp;sourceID=14","0.268")</f>
        <v>0.268</v>
      </c>
    </row>
    <row r="4743" spans="1:7">
      <c r="A4743" s="3"/>
      <c r="B4743" s="3"/>
      <c r="C4743" s="3"/>
      <c r="D4743" s="3"/>
      <c r="E4743" s="3">
        <v>20</v>
      </c>
      <c r="F4743" s="4" t="str">
        <f>HYPERLINK("http://141.218.60.56/~jnz1568/getInfo.php?workbook=12_05.xlsx&amp;sheet=U0&amp;row=4743&amp;col=6&amp;number=4.9&amp;sourceID=14","4.9")</f>
        <v>4.9</v>
      </c>
      <c r="G4743" s="4" t="str">
        <f>HYPERLINK("http://141.218.60.56/~jnz1568/getInfo.php?workbook=12_05.xlsx&amp;sheet=U0&amp;row=4743&amp;col=7&amp;number=0.269&amp;sourceID=14","0.269")</f>
        <v>0.269</v>
      </c>
    </row>
    <row r="4744" spans="1:7">
      <c r="A4744" s="3">
        <v>12</v>
      </c>
      <c r="B4744" s="3">
        <v>5</v>
      </c>
      <c r="C4744" s="3">
        <v>2</v>
      </c>
      <c r="D4744" s="3">
        <v>90</v>
      </c>
      <c r="E4744" s="3">
        <v>1</v>
      </c>
      <c r="F4744" s="4" t="str">
        <f>HYPERLINK("http://141.218.60.56/~jnz1568/getInfo.php?workbook=12_05.xlsx&amp;sheet=U0&amp;row=4744&amp;col=6&amp;number=3&amp;sourceID=14","3")</f>
        <v>3</v>
      </c>
      <c r="G4744" s="4" t="str">
        <f>HYPERLINK("http://141.218.60.56/~jnz1568/getInfo.php?workbook=12_05.xlsx&amp;sheet=U0&amp;row=4744&amp;col=7&amp;number=0.00253&amp;sourceID=14","0.00253")</f>
        <v>0.00253</v>
      </c>
    </row>
    <row r="4745" spans="1:7">
      <c r="A4745" s="3"/>
      <c r="B4745" s="3"/>
      <c r="C4745" s="3"/>
      <c r="D4745" s="3"/>
      <c r="E4745" s="3">
        <v>2</v>
      </c>
      <c r="F4745" s="4" t="str">
        <f>HYPERLINK("http://141.218.60.56/~jnz1568/getInfo.php?workbook=12_05.xlsx&amp;sheet=U0&amp;row=4745&amp;col=6&amp;number=3.1&amp;sourceID=14","3.1")</f>
        <v>3.1</v>
      </c>
      <c r="G4745" s="4" t="str">
        <f>HYPERLINK("http://141.218.60.56/~jnz1568/getInfo.php?workbook=12_05.xlsx&amp;sheet=U0&amp;row=4745&amp;col=7&amp;number=0.00253&amp;sourceID=14","0.00253")</f>
        <v>0.00253</v>
      </c>
    </row>
    <row r="4746" spans="1:7">
      <c r="A4746" s="3"/>
      <c r="B4746" s="3"/>
      <c r="C4746" s="3"/>
      <c r="D4746" s="3"/>
      <c r="E4746" s="3">
        <v>3</v>
      </c>
      <c r="F4746" s="4" t="str">
        <f>HYPERLINK("http://141.218.60.56/~jnz1568/getInfo.php?workbook=12_05.xlsx&amp;sheet=U0&amp;row=4746&amp;col=6&amp;number=3.2&amp;sourceID=14","3.2")</f>
        <v>3.2</v>
      </c>
      <c r="G4746" s="4" t="str">
        <f>HYPERLINK("http://141.218.60.56/~jnz1568/getInfo.php?workbook=12_05.xlsx&amp;sheet=U0&amp;row=4746&amp;col=7&amp;number=0.00253&amp;sourceID=14","0.00253")</f>
        <v>0.00253</v>
      </c>
    </row>
    <row r="4747" spans="1:7">
      <c r="A4747" s="3"/>
      <c r="B4747" s="3"/>
      <c r="C4747" s="3"/>
      <c r="D4747" s="3"/>
      <c r="E4747" s="3">
        <v>4</v>
      </c>
      <c r="F4747" s="4" t="str">
        <f>HYPERLINK("http://141.218.60.56/~jnz1568/getInfo.php?workbook=12_05.xlsx&amp;sheet=U0&amp;row=4747&amp;col=6&amp;number=3.3&amp;sourceID=14","3.3")</f>
        <v>3.3</v>
      </c>
      <c r="G4747" s="4" t="str">
        <f>HYPERLINK("http://141.218.60.56/~jnz1568/getInfo.php?workbook=12_05.xlsx&amp;sheet=U0&amp;row=4747&amp;col=7&amp;number=0.00253&amp;sourceID=14","0.00253")</f>
        <v>0.00253</v>
      </c>
    </row>
    <row r="4748" spans="1:7">
      <c r="A4748" s="3"/>
      <c r="B4748" s="3"/>
      <c r="C4748" s="3"/>
      <c r="D4748" s="3"/>
      <c r="E4748" s="3">
        <v>5</v>
      </c>
      <c r="F4748" s="4" t="str">
        <f>HYPERLINK("http://141.218.60.56/~jnz1568/getInfo.php?workbook=12_05.xlsx&amp;sheet=U0&amp;row=4748&amp;col=6&amp;number=3.4&amp;sourceID=14","3.4")</f>
        <v>3.4</v>
      </c>
      <c r="G4748" s="4" t="str">
        <f>HYPERLINK("http://141.218.60.56/~jnz1568/getInfo.php?workbook=12_05.xlsx&amp;sheet=U0&amp;row=4748&amp;col=7&amp;number=0.00253&amp;sourceID=14","0.00253")</f>
        <v>0.00253</v>
      </c>
    </row>
    <row r="4749" spans="1:7">
      <c r="A4749" s="3"/>
      <c r="B4749" s="3"/>
      <c r="C4749" s="3"/>
      <c r="D4749" s="3"/>
      <c r="E4749" s="3">
        <v>6</v>
      </c>
      <c r="F4749" s="4" t="str">
        <f>HYPERLINK("http://141.218.60.56/~jnz1568/getInfo.php?workbook=12_05.xlsx&amp;sheet=U0&amp;row=4749&amp;col=6&amp;number=3.5&amp;sourceID=14","3.5")</f>
        <v>3.5</v>
      </c>
      <c r="G4749" s="4" t="str">
        <f>HYPERLINK("http://141.218.60.56/~jnz1568/getInfo.php?workbook=12_05.xlsx&amp;sheet=U0&amp;row=4749&amp;col=7&amp;number=0.00253&amp;sourceID=14","0.00253")</f>
        <v>0.00253</v>
      </c>
    </row>
    <row r="4750" spans="1:7">
      <c r="A4750" s="3"/>
      <c r="B4750" s="3"/>
      <c r="C4750" s="3"/>
      <c r="D4750" s="3"/>
      <c r="E4750" s="3">
        <v>7</v>
      </c>
      <c r="F4750" s="4" t="str">
        <f>HYPERLINK("http://141.218.60.56/~jnz1568/getInfo.php?workbook=12_05.xlsx&amp;sheet=U0&amp;row=4750&amp;col=6&amp;number=3.6&amp;sourceID=14","3.6")</f>
        <v>3.6</v>
      </c>
      <c r="G4750" s="4" t="str">
        <f>HYPERLINK("http://141.218.60.56/~jnz1568/getInfo.php?workbook=12_05.xlsx&amp;sheet=U0&amp;row=4750&amp;col=7&amp;number=0.00252&amp;sourceID=14","0.00252")</f>
        <v>0.00252</v>
      </c>
    </row>
    <row r="4751" spans="1:7">
      <c r="A4751" s="3"/>
      <c r="B4751" s="3"/>
      <c r="C4751" s="3"/>
      <c r="D4751" s="3"/>
      <c r="E4751" s="3">
        <v>8</v>
      </c>
      <c r="F4751" s="4" t="str">
        <f>HYPERLINK("http://141.218.60.56/~jnz1568/getInfo.php?workbook=12_05.xlsx&amp;sheet=U0&amp;row=4751&amp;col=6&amp;number=3.7&amp;sourceID=14","3.7")</f>
        <v>3.7</v>
      </c>
      <c r="G4751" s="4" t="str">
        <f>HYPERLINK("http://141.218.60.56/~jnz1568/getInfo.php?workbook=12_05.xlsx&amp;sheet=U0&amp;row=4751&amp;col=7&amp;number=0.00252&amp;sourceID=14","0.00252")</f>
        <v>0.00252</v>
      </c>
    </row>
    <row r="4752" spans="1:7">
      <c r="A4752" s="3"/>
      <c r="B4752" s="3"/>
      <c r="C4752" s="3"/>
      <c r="D4752" s="3"/>
      <c r="E4752" s="3">
        <v>9</v>
      </c>
      <c r="F4752" s="4" t="str">
        <f>HYPERLINK("http://141.218.60.56/~jnz1568/getInfo.php?workbook=12_05.xlsx&amp;sheet=U0&amp;row=4752&amp;col=6&amp;number=3.8&amp;sourceID=14","3.8")</f>
        <v>3.8</v>
      </c>
      <c r="G4752" s="4" t="str">
        <f>HYPERLINK("http://141.218.60.56/~jnz1568/getInfo.php?workbook=12_05.xlsx&amp;sheet=U0&amp;row=4752&amp;col=7&amp;number=0.00252&amp;sourceID=14","0.00252")</f>
        <v>0.00252</v>
      </c>
    </row>
    <row r="4753" spans="1:7">
      <c r="A4753" s="3"/>
      <c r="B4753" s="3"/>
      <c r="C4753" s="3"/>
      <c r="D4753" s="3"/>
      <c r="E4753" s="3">
        <v>10</v>
      </c>
      <c r="F4753" s="4" t="str">
        <f>HYPERLINK("http://141.218.60.56/~jnz1568/getInfo.php?workbook=12_05.xlsx&amp;sheet=U0&amp;row=4753&amp;col=6&amp;number=3.9&amp;sourceID=14","3.9")</f>
        <v>3.9</v>
      </c>
      <c r="G4753" s="4" t="str">
        <f>HYPERLINK("http://141.218.60.56/~jnz1568/getInfo.php?workbook=12_05.xlsx&amp;sheet=U0&amp;row=4753&amp;col=7&amp;number=0.00251&amp;sourceID=14","0.00251")</f>
        <v>0.00251</v>
      </c>
    </row>
    <row r="4754" spans="1:7">
      <c r="A4754" s="3"/>
      <c r="B4754" s="3"/>
      <c r="C4754" s="3"/>
      <c r="D4754" s="3"/>
      <c r="E4754" s="3">
        <v>11</v>
      </c>
      <c r="F4754" s="4" t="str">
        <f>HYPERLINK("http://141.218.60.56/~jnz1568/getInfo.php?workbook=12_05.xlsx&amp;sheet=U0&amp;row=4754&amp;col=6&amp;number=4&amp;sourceID=14","4")</f>
        <v>4</v>
      </c>
      <c r="G4754" s="4" t="str">
        <f>HYPERLINK("http://141.218.60.56/~jnz1568/getInfo.php?workbook=12_05.xlsx&amp;sheet=U0&amp;row=4754&amp;col=7&amp;number=0.00251&amp;sourceID=14","0.00251")</f>
        <v>0.00251</v>
      </c>
    </row>
    <row r="4755" spans="1:7">
      <c r="A4755" s="3"/>
      <c r="B4755" s="3"/>
      <c r="C4755" s="3"/>
      <c r="D4755" s="3"/>
      <c r="E4755" s="3">
        <v>12</v>
      </c>
      <c r="F4755" s="4" t="str">
        <f>HYPERLINK("http://141.218.60.56/~jnz1568/getInfo.php?workbook=12_05.xlsx&amp;sheet=U0&amp;row=4755&amp;col=6&amp;number=4.1&amp;sourceID=14","4.1")</f>
        <v>4.1</v>
      </c>
      <c r="G4755" s="4" t="str">
        <f>HYPERLINK("http://141.218.60.56/~jnz1568/getInfo.php?workbook=12_05.xlsx&amp;sheet=U0&amp;row=4755&amp;col=7&amp;number=0.0025&amp;sourceID=14","0.0025")</f>
        <v>0.0025</v>
      </c>
    </row>
    <row r="4756" spans="1:7">
      <c r="A4756" s="3"/>
      <c r="B4756" s="3"/>
      <c r="C4756" s="3"/>
      <c r="D4756" s="3"/>
      <c r="E4756" s="3">
        <v>13</v>
      </c>
      <c r="F4756" s="4" t="str">
        <f>HYPERLINK("http://141.218.60.56/~jnz1568/getInfo.php?workbook=12_05.xlsx&amp;sheet=U0&amp;row=4756&amp;col=6&amp;number=4.2&amp;sourceID=14","4.2")</f>
        <v>4.2</v>
      </c>
      <c r="G4756" s="4" t="str">
        <f>HYPERLINK("http://141.218.60.56/~jnz1568/getInfo.php?workbook=12_05.xlsx&amp;sheet=U0&amp;row=4756&amp;col=7&amp;number=0.0025&amp;sourceID=14","0.0025")</f>
        <v>0.0025</v>
      </c>
    </row>
    <row r="4757" spans="1:7">
      <c r="A4757" s="3"/>
      <c r="B4757" s="3"/>
      <c r="C4757" s="3"/>
      <c r="D4757" s="3"/>
      <c r="E4757" s="3">
        <v>14</v>
      </c>
      <c r="F4757" s="4" t="str">
        <f>HYPERLINK("http://141.218.60.56/~jnz1568/getInfo.php?workbook=12_05.xlsx&amp;sheet=U0&amp;row=4757&amp;col=6&amp;number=4.3&amp;sourceID=14","4.3")</f>
        <v>4.3</v>
      </c>
      <c r="G4757" s="4" t="str">
        <f>HYPERLINK("http://141.218.60.56/~jnz1568/getInfo.php?workbook=12_05.xlsx&amp;sheet=U0&amp;row=4757&amp;col=7&amp;number=0.00249&amp;sourceID=14","0.00249")</f>
        <v>0.00249</v>
      </c>
    </row>
    <row r="4758" spans="1:7">
      <c r="A4758" s="3"/>
      <c r="B4758" s="3"/>
      <c r="C4758" s="3"/>
      <c r="D4758" s="3"/>
      <c r="E4758" s="3">
        <v>15</v>
      </c>
      <c r="F4758" s="4" t="str">
        <f>HYPERLINK("http://141.218.60.56/~jnz1568/getInfo.php?workbook=12_05.xlsx&amp;sheet=U0&amp;row=4758&amp;col=6&amp;number=4.4&amp;sourceID=14","4.4")</f>
        <v>4.4</v>
      </c>
      <c r="G4758" s="4" t="str">
        <f>HYPERLINK("http://141.218.60.56/~jnz1568/getInfo.php?workbook=12_05.xlsx&amp;sheet=U0&amp;row=4758&amp;col=7&amp;number=0.00248&amp;sourceID=14","0.00248")</f>
        <v>0.00248</v>
      </c>
    </row>
    <row r="4759" spans="1:7">
      <c r="A4759" s="3"/>
      <c r="B4759" s="3"/>
      <c r="C4759" s="3"/>
      <c r="D4759" s="3"/>
      <c r="E4759" s="3">
        <v>16</v>
      </c>
      <c r="F4759" s="4" t="str">
        <f>HYPERLINK("http://141.218.60.56/~jnz1568/getInfo.php?workbook=12_05.xlsx&amp;sheet=U0&amp;row=4759&amp;col=6&amp;number=4.5&amp;sourceID=14","4.5")</f>
        <v>4.5</v>
      </c>
      <c r="G4759" s="4" t="str">
        <f>HYPERLINK("http://141.218.60.56/~jnz1568/getInfo.php?workbook=12_05.xlsx&amp;sheet=U0&amp;row=4759&amp;col=7&amp;number=0.00246&amp;sourceID=14","0.00246")</f>
        <v>0.00246</v>
      </c>
    </row>
    <row r="4760" spans="1:7">
      <c r="A4760" s="3"/>
      <c r="B4760" s="3"/>
      <c r="C4760" s="3"/>
      <c r="D4760" s="3"/>
      <c r="E4760" s="3">
        <v>17</v>
      </c>
      <c r="F4760" s="4" t="str">
        <f>HYPERLINK("http://141.218.60.56/~jnz1568/getInfo.php?workbook=12_05.xlsx&amp;sheet=U0&amp;row=4760&amp;col=6&amp;number=4.6&amp;sourceID=14","4.6")</f>
        <v>4.6</v>
      </c>
      <c r="G4760" s="4" t="str">
        <f>HYPERLINK("http://141.218.60.56/~jnz1568/getInfo.php?workbook=12_05.xlsx&amp;sheet=U0&amp;row=4760&amp;col=7&amp;number=0.00244&amp;sourceID=14","0.00244")</f>
        <v>0.00244</v>
      </c>
    </row>
    <row r="4761" spans="1:7">
      <c r="A4761" s="3"/>
      <c r="B4761" s="3"/>
      <c r="C4761" s="3"/>
      <c r="D4761" s="3"/>
      <c r="E4761" s="3">
        <v>18</v>
      </c>
      <c r="F4761" s="4" t="str">
        <f>HYPERLINK("http://141.218.60.56/~jnz1568/getInfo.php?workbook=12_05.xlsx&amp;sheet=U0&amp;row=4761&amp;col=6&amp;number=4.7&amp;sourceID=14","4.7")</f>
        <v>4.7</v>
      </c>
      <c r="G4761" s="4" t="str">
        <f>HYPERLINK("http://141.218.60.56/~jnz1568/getInfo.php?workbook=12_05.xlsx&amp;sheet=U0&amp;row=4761&amp;col=7&amp;number=0.00242&amp;sourceID=14","0.00242")</f>
        <v>0.00242</v>
      </c>
    </row>
    <row r="4762" spans="1:7">
      <c r="A4762" s="3"/>
      <c r="B4762" s="3"/>
      <c r="C4762" s="3"/>
      <c r="D4762" s="3"/>
      <c r="E4762" s="3">
        <v>19</v>
      </c>
      <c r="F4762" s="4" t="str">
        <f>HYPERLINK("http://141.218.60.56/~jnz1568/getInfo.php?workbook=12_05.xlsx&amp;sheet=U0&amp;row=4762&amp;col=6&amp;number=4.8&amp;sourceID=14","4.8")</f>
        <v>4.8</v>
      </c>
      <c r="G4762" s="4" t="str">
        <f>HYPERLINK("http://141.218.60.56/~jnz1568/getInfo.php?workbook=12_05.xlsx&amp;sheet=U0&amp;row=4762&amp;col=7&amp;number=0.00239&amp;sourceID=14","0.00239")</f>
        <v>0.00239</v>
      </c>
    </row>
    <row r="4763" spans="1:7">
      <c r="A4763" s="3"/>
      <c r="B4763" s="3"/>
      <c r="C4763" s="3"/>
      <c r="D4763" s="3"/>
      <c r="E4763" s="3">
        <v>20</v>
      </c>
      <c r="F4763" s="4" t="str">
        <f>HYPERLINK("http://141.218.60.56/~jnz1568/getInfo.php?workbook=12_05.xlsx&amp;sheet=U0&amp;row=4763&amp;col=6&amp;number=4.9&amp;sourceID=14","4.9")</f>
        <v>4.9</v>
      </c>
      <c r="G4763" s="4" t="str">
        <f>HYPERLINK("http://141.218.60.56/~jnz1568/getInfo.php?workbook=12_05.xlsx&amp;sheet=U0&amp;row=4763&amp;col=7&amp;number=0.00236&amp;sourceID=14","0.00236")</f>
        <v>0.00236</v>
      </c>
    </row>
    <row r="4764" spans="1:7">
      <c r="A4764" s="3">
        <v>12</v>
      </c>
      <c r="B4764" s="3">
        <v>5</v>
      </c>
      <c r="C4764" s="3">
        <v>2</v>
      </c>
      <c r="D4764" s="3">
        <v>91</v>
      </c>
      <c r="E4764" s="3">
        <v>1</v>
      </c>
      <c r="F4764" s="4" t="str">
        <f>HYPERLINK("http://141.218.60.56/~jnz1568/getInfo.php?workbook=12_05.xlsx&amp;sheet=U0&amp;row=4764&amp;col=6&amp;number=3&amp;sourceID=14","3")</f>
        <v>3</v>
      </c>
      <c r="G4764" s="4" t="str">
        <f>HYPERLINK("http://141.218.60.56/~jnz1568/getInfo.php?workbook=12_05.xlsx&amp;sheet=U0&amp;row=4764&amp;col=7&amp;number=0.00654&amp;sourceID=14","0.00654")</f>
        <v>0.00654</v>
      </c>
    </row>
    <row r="4765" spans="1:7">
      <c r="A4765" s="3"/>
      <c r="B4765" s="3"/>
      <c r="C4765" s="3"/>
      <c r="D4765" s="3"/>
      <c r="E4765" s="3">
        <v>2</v>
      </c>
      <c r="F4765" s="4" t="str">
        <f>HYPERLINK("http://141.218.60.56/~jnz1568/getInfo.php?workbook=12_05.xlsx&amp;sheet=U0&amp;row=4765&amp;col=6&amp;number=3.1&amp;sourceID=14","3.1")</f>
        <v>3.1</v>
      </c>
      <c r="G4765" s="4" t="str">
        <f>HYPERLINK("http://141.218.60.56/~jnz1568/getInfo.php?workbook=12_05.xlsx&amp;sheet=U0&amp;row=4765&amp;col=7&amp;number=0.00654&amp;sourceID=14","0.00654")</f>
        <v>0.00654</v>
      </c>
    </row>
    <row r="4766" spans="1:7">
      <c r="A4766" s="3"/>
      <c r="B4766" s="3"/>
      <c r="C4766" s="3"/>
      <c r="D4766" s="3"/>
      <c r="E4766" s="3">
        <v>3</v>
      </c>
      <c r="F4766" s="4" t="str">
        <f>HYPERLINK("http://141.218.60.56/~jnz1568/getInfo.php?workbook=12_05.xlsx&amp;sheet=U0&amp;row=4766&amp;col=6&amp;number=3.2&amp;sourceID=14","3.2")</f>
        <v>3.2</v>
      </c>
      <c r="G4766" s="4" t="str">
        <f>HYPERLINK("http://141.218.60.56/~jnz1568/getInfo.php?workbook=12_05.xlsx&amp;sheet=U0&amp;row=4766&amp;col=7&amp;number=0.00654&amp;sourceID=14","0.00654")</f>
        <v>0.00654</v>
      </c>
    </row>
    <row r="4767" spans="1:7">
      <c r="A4767" s="3"/>
      <c r="B4767" s="3"/>
      <c r="C4767" s="3"/>
      <c r="D4767" s="3"/>
      <c r="E4767" s="3">
        <v>4</v>
      </c>
      <c r="F4767" s="4" t="str">
        <f>HYPERLINK("http://141.218.60.56/~jnz1568/getInfo.php?workbook=12_05.xlsx&amp;sheet=U0&amp;row=4767&amp;col=6&amp;number=3.3&amp;sourceID=14","3.3")</f>
        <v>3.3</v>
      </c>
      <c r="G4767" s="4" t="str">
        <f>HYPERLINK("http://141.218.60.56/~jnz1568/getInfo.php?workbook=12_05.xlsx&amp;sheet=U0&amp;row=4767&amp;col=7&amp;number=0.00654&amp;sourceID=14","0.00654")</f>
        <v>0.00654</v>
      </c>
    </row>
    <row r="4768" spans="1:7">
      <c r="A4768" s="3"/>
      <c r="B4768" s="3"/>
      <c r="C4768" s="3"/>
      <c r="D4768" s="3"/>
      <c r="E4768" s="3">
        <v>5</v>
      </c>
      <c r="F4768" s="4" t="str">
        <f>HYPERLINK("http://141.218.60.56/~jnz1568/getInfo.php?workbook=12_05.xlsx&amp;sheet=U0&amp;row=4768&amp;col=6&amp;number=3.4&amp;sourceID=14","3.4")</f>
        <v>3.4</v>
      </c>
      <c r="G4768" s="4" t="str">
        <f>HYPERLINK("http://141.218.60.56/~jnz1568/getInfo.php?workbook=12_05.xlsx&amp;sheet=U0&amp;row=4768&amp;col=7&amp;number=0.00653&amp;sourceID=14","0.00653")</f>
        <v>0.00653</v>
      </c>
    </row>
    <row r="4769" spans="1:7">
      <c r="A4769" s="3"/>
      <c r="B4769" s="3"/>
      <c r="C4769" s="3"/>
      <c r="D4769" s="3"/>
      <c r="E4769" s="3">
        <v>6</v>
      </c>
      <c r="F4769" s="4" t="str">
        <f>HYPERLINK("http://141.218.60.56/~jnz1568/getInfo.php?workbook=12_05.xlsx&amp;sheet=U0&amp;row=4769&amp;col=6&amp;number=3.5&amp;sourceID=14","3.5")</f>
        <v>3.5</v>
      </c>
      <c r="G4769" s="4" t="str">
        <f>HYPERLINK("http://141.218.60.56/~jnz1568/getInfo.php?workbook=12_05.xlsx&amp;sheet=U0&amp;row=4769&amp;col=7&amp;number=0.00653&amp;sourceID=14","0.00653")</f>
        <v>0.00653</v>
      </c>
    </row>
    <row r="4770" spans="1:7">
      <c r="A4770" s="3"/>
      <c r="B4770" s="3"/>
      <c r="C4770" s="3"/>
      <c r="D4770" s="3"/>
      <c r="E4770" s="3">
        <v>7</v>
      </c>
      <c r="F4770" s="4" t="str">
        <f>HYPERLINK("http://141.218.60.56/~jnz1568/getInfo.php?workbook=12_05.xlsx&amp;sheet=U0&amp;row=4770&amp;col=6&amp;number=3.6&amp;sourceID=14","3.6")</f>
        <v>3.6</v>
      </c>
      <c r="G4770" s="4" t="str">
        <f>HYPERLINK("http://141.218.60.56/~jnz1568/getInfo.php?workbook=12_05.xlsx&amp;sheet=U0&amp;row=4770&amp;col=7&amp;number=0.00653&amp;sourceID=14","0.00653")</f>
        <v>0.00653</v>
      </c>
    </row>
    <row r="4771" spans="1:7">
      <c r="A4771" s="3"/>
      <c r="B4771" s="3"/>
      <c r="C4771" s="3"/>
      <c r="D4771" s="3"/>
      <c r="E4771" s="3">
        <v>8</v>
      </c>
      <c r="F4771" s="4" t="str">
        <f>HYPERLINK("http://141.218.60.56/~jnz1568/getInfo.php?workbook=12_05.xlsx&amp;sheet=U0&amp;row=4771&amp;col=6&amp;number=3.7&amp;sourceID=14","3.7")</f>
        <v>3.7</v>
      </c>
      <c r="G4771" s="4" t="str">
        <f>HYPERLINK("http://141.218.60.56/~jnz1568/getInfo.php?workbook=12_05.xlsx&amp;sheet=U0&amp;row=4771&amp;col=7&amp;number=0.00652&amp;sourceID=14","0.00652")</f>
        <v>0.00652</v>
      </c>
    </row>
    <row r="4772" spans="1:7">
      <c r="A4772" s="3"/>
      <c r="B4772" s="3"/>
      <c r="C4772" s="3"/>
      <c r="D4772" s="3"/>
      <c r="E4772" s="3">
        <v>9</v>
      </c>
      <c r="F4772" s="4" t="str">
        <f>HYPERLINK("http://141.218.60.56/~jnz1568/getInfo.php?workbook=12_05.xlsx&amp;sheet=U0&amp;row=4772&amp;col=6&amp;number=3.8&amp;sourceID=14","3.8")</f>
        <v>3.8</v>
      </c>
      <c r="G4772" s="4" t="str">
        <f>HYPERLINK("http://141.218.60.56/~jnz1568/getInfo.php?workbook=12_05.xlsx&amp;sheet=U0&amp;row=4772&amp;col=7&amp;number=0.00651&amp;sourceID=14","0.00651")</f>
        <v>0.00651</v>
      </c>
    </row>
    <row r="4773" spans="1:7">
      <c r="A4773" s="3"/>
      <c r="B4773" s="3"/>
      <c r="C4773" s="3"/>
      <c r="D4773" s="3"/>
      <c r="E4773" s="3">
        <v>10</v>
      </c>
      <c r="F4773" s="4" t="str">
        <f>HYPERLINK("http://141.218.60.56/~jnz1568/getInfo.php?workbook=12_05.xlsx&amp;sheet=U0&amp;row=4773&amp;col=6&amp;number=3.9&amp;sourceID=14","3.9")</f>
        <v>3.9</v>
      </c>
      <c r="G4773" s="4" t="str">
        <f>HYPERLINK("http://141.218.60.56/~jnz1568/getInfo.php?workbook=12_05.xlsx&amp;sheet=U0&amp;row=4773&amp;col=7&amp;number=0.00651&amp;sourceID=14","0.00651")</f>
        <v>0.00651</v>
      </c>
    </row>
    <row r="4774" spans="1:7">
      <c r="A4774" s="3"/>
      <c r="B4774" s="3"/>
      <c r="C4774" s="3"/>
      <c r="D4774" s="3"/>
      <c r="E4774" s="3">
        <v>11</v>
      </c>
      <c r="F4774" s="4" t="str">
        <f>HYPERLINK("http://141.218.60.56/~jnz1568/getInfo.php?workbook=12_05.xlsx&amp;sheet=U0&amp;row=4774&amp;col=6&amp;number=4&amp;sourceID=14","4")</f>
        <v>4</v>
      </c>
      <c r="G4774" s="4" t="str">
        <f>HYPERLINK("http://141.218.60.56/~jnz1568/getInfo.php?workbook=12_05.xlsx&amp;sheet=U0&amp;row=4774&amp;col=7&amp;number=0.0065&amp;sourceID=14","0.0065")</f>
        <v>0.0065</v>
      </c>
    </row>
    <row r="4775" spans="1:7">
      <c r="A4775" s="3"/>
      <c r="B4775" s="3"/>
      <c r="C4775" s="3"/>
      <c r="D4775" s="3"/>
      <c r="E4775" s="3">
        <v>12</v>
      </c>
      <c r="F4775" s="4" t="str">
        <f>HYPERLINK("http://141.218.60.56/~jnz1568/getInfo.php?workbook=12_05.xlsx&amp;sheet=U0&amp;row=4775&amp;col=6&amp;number=4.1&amp;sourceID=14","4.1")</f>
        <v>4.1</v>
      </c>
      <c r="G4775" s="4" t="str">
        <f>HYPERLINK("http://141.218.60.56/~jnz1568/getInfo.php?workbook=12_05.xlsx&amp;sheet=U0&amp;row=4775&amp;col=7&amp;number=0.00648&amp;sourceID=14","0.00648")</f>
        <v>0.00648</v>
      </c>
    </row>
    <row r="4776" spans="1:7">
      <c r="A4776" s="3"/>
      <c r="B4776" s="3"/>
      <c r="C4776" s="3"/>
      <c r="D4776" s="3"/>
      <c r="E4776" s="3">
        <v>13</v>
      </c>
      <c r="F4776" s="4" t="str">
        <f>HYPERLINK("http://141.218.60.56/~jnz1568/getInfo.php?workbook=12_05.xlsx&amp;sheet=U0&amp;row=4776&amp;col=6&amp;number=4.2&amp;sourceID=14","4.2")</f>
        <v>4.2</v>
      </c>
      <c r="G4776" s="4" t="str">
        <f>HYPERLINK("http://141.218.60.56/~jnz1568/getInfo.php?workbook=12_05.xlsx&amp;sheet=U0&amp;row=4776&amp;col=7&amp;number=0.00647&amp;sourceID=14","0.00647")</f>
        <v>0.00647</v>
      </c>
    </row>
    <row r="4777" spans="1:7">
      <c r="A4777" s="3"/>
      <c r="B4777" s="3"/>
      <c r="C4777" s="3"/>
      <c r="D4777" s="3"/>
      <c r="E4777" s="3">
        <v>14</v>
      </c>
      <c r="F4777" s="4" t="str">
        <f>HYPERLINK("http://141.218.60.56/~jnz1568/getInfo.php?workbook=12_05.xlsx&amp;sheet=U0&amp;row=4777&amp;col=6&amp;number=4.3&amp;sourceID=14","4.3")</f>
        <v>4.3</v>
      </c>
      <c r="G4777" s="4" t="str">
        <f>HYPERLINK("http://141.218.60.56/~jnz1568/getInfo.php?workbook=12_05.xlsx&amp;sheet=U0&amp;row=4777&amp;col=7&amp;number=0.00645&amp;sourceID=14","0.00645")</f>
        <v>0.00645</v>
      </c>
    </row>
    <row r="4778" spans="1:7">
      <c r="A4778" s="3"/>
      <c r="B4778" s="3"/>
      <c r="C4778" s="3"/>
      <c r="D4778" s="3"/>
      <c r="E4778" s="3">
        <v>15</v>
      </c>
      <c r="F4778" s="4" t="str">
        <f>HYPERLINK("http://141.218.60.56/~jnz1568/getInfo.php?workbook=12_05.xlsx&amp;sheet=U0&amp;row=4778&amp;col=6&amp;number=4.4&amp;sourceID=14","4.4")</f>
        <v>4.4</v>
      </c>
      <c r="G4778" s="4" t="str">
        <f>HYPERLINK("http://141.218.60.56/~jnz1568/getInfo.php?workbook=12_05.xlsx&amp;sheet=U0&amp;row=4778&amp;col=7&amp;number=0.00642&amp;sourceID=14","0.00642")</f>
        <v>0.00642</v>
      </c>
    </row>
    <row r="4779" spans="1:7">
      <c r="A4779" s="3"/>
      <c r="B4779" s="3"/>
      <c r="C4779" s="3"/>
      <c r="D4779" s="3"/>
      <c r="E4779" s="3">
        <v>16</v>
      </c>
      <c r="F4779" s="4" t="str">
        <f>HYPERLINK("http://141.218.60.56/~jnz1568/getInfo.php?workbook=12_05.xlsx&amp;sheet=U0&amp;row=4779&amp;col=6&amp;number=4.5&amp;sourceID=14","4.5")</f>
        <v>4.5</v>
      </c>
      <c r="G4779" s="4" t="str">
        <f>HYPERLINK("http://141.218.60.56/~jnz1568/getInfo.php?workbook=12_05.xlsx&amp;sheet=U0&amp;row=4779&amp;col=7&amp;number=0.00639&amp;sourceID=14","0.00639")</f>
        <v>0.00639</v>
      </c>
    </row>
    <row r="4780" spans="1:7">
      <c r="A4780" s="3"/>
      <c r="B4780" s="3"/>
      <c r="C4780" s="3"/>
      <c r="D4780" s="3"/>
      <c r="E4780" s="3">
        <v>17</v>
      </c>
      <c r="F4780" s="4" t="str">
        <f>HYPERLINK("http://141.218.60.56/~jnz1568/getInfo.php?workbook=12_05.xlsx&amp;sheet=U0&amp;row=4780&amp;col=6&amp;number=4.6&amp;sourceID=14","4.6")</f>
        <v>4.6</v>
      </c>
      <c r="G4780" s="4" t="str">
        <f>HYPERLINK("http://141.218.60.56/~jnz1568/getInfo.php?workbook=12_05.xlsx&amp;sheet=U0&amp;row=4780&amp;col=7&amp;number=0.00635&amp;sourceID=14","0.00635")</f>
        <v>0.00635</v>
      </c>
    </row>
    <row r="4781" spans="1:7">
      <c r="A4781" s="3"/>
      <c r="B4781" s="3"/>
      <c r="C4781" s="3"/>
      <c r="D4781" s="3"/>
      <c r="E4781" s="3">
        <v>18</v>
      </c>
      <c r="F4781" s="4" t="str">
        <f>HYPERLINK("http://141.218.60.56/~jnz1568/getInfo.php?workbook=12_05.xlsx&amp;sheet=U0&amp;row=4781&amp;col=6&amp;number=4.7&amp;sourceID=14","4.7")</f>
        <v>4.7</v>
      </c>
      <c r="G4781" s="4" t="str">
        <f>HYPERLINK("http://141.218.60.56/~jnz1568/getInfo.php?workbook=12_05.xlsx&amp;sheet=U0&amp;row=4781&amp;col=7&amp;number=0.0063&amp;sourceID=14","0.0063")</f>
        <v>0.0063</v>
      </c>
    </row>
    <row r="4782" spans="1:7">
      <c r="A4782" s="3"/>
      <c r="B4782" s="3"/>
      <c r="C4782" s="3"/>
      <c r="D4782" s="3"/>
      <c r="E4782" s="3">
        <v>19</v>
      </c>
      <c r="F4782" s="4" t="str">
        <f>HYPERLINK("http://141.218.60.56/~jnz1568/getInfo.php?workbook=12_05.xlsx&amp;sheet=U0&amp;row=4782&amp;col=6&amp;number=4.8&amp;sourceID=14","4.8")</f>
        <v>4.8</v>
      </c>
      <c r="G4782" s="4" t="str">
        <f>HYPERLINK("http://141.218.60.56/~jnz1568/getInfo.php?workbook=12_05.xlsx&amp;sheet=U0&amp;row=4782&amp;col=7&amp;number=0.00624&amp;sourceID=14","0.00624")</f>
        <v>0.00624</v>
      </c>
    </row>
    <row r="4783" spans="1:7">
      <c r="A4783" s="3"/>
      <c r="B4783" s="3"/>
      <c r="C4783" s="3"/>
      <c r="D4783" s="3"/>
      <c r="E4783" s="3">
        <v>20</v>
      </c>
      <c r="F4783" s="4" t="str">
        <f>HYPERLINK("http://141.218.60.56/~jnz1568/getInfo.php?workbook=12_05.xlsx&amp;sheet=U0&amp;row=4783&amp;col=6&amp;number=4.9&amp;sourceID=14","4.9")</f>
        <v>4.9</v>
      </c>
      <c r="G4783" s="4" t="str">
        <f>HYPERLINK("http://141.218.60.56/~jnz1568/getInfo.php?workbook=12_05.xlsx&amp;sheet=U0&amp;row=4783&amp;col=7&amp;number=0.00616&amp;sourceID=14","0.00616")</f>
        <v>0.00616</v>
      </c>
    </row>
    <row r="4784" spans="1:7">
      <c r="A4784" s="3">
        <v>12</v>
      </c>
      <c r="B4784" s="3">
        <v>5</v>
      </c>
      <c r="C4784" s="3">
        <v>2</v>
      </c>
      <c r="D4784" s="3">
        <v>92</v>
      </c>
      <c r="E4784" s="3">
        <v>1</v>
      </c>
      <c r="F4784" s="4" t="str">
        <f>HYPERLINK("http://141.218.60.56/~jnz1568/getInfo.php?workbook=12_05.xlsx&amp;sheet=U0&amp;row=4784&amp;col=6&amp;number=3&amp;sourceID=14","3")</f>
        <v>3</v>
      </c>
      <c r="G4784" s="4" t="str">
        <f>HYPERLINK("http://141.218.60.56/~jnz1568/getInfo.php?workbook=12_05.xlsx&amp;sheet=U0&amp;row=4784&amp;col=7&amp;number=0.0195&amp;sourceID=14","0.0195")</f>
        <v>0.0195</v>
      </c>
    </row>
    <row r="4785" spans="1:7">
      <c r="A4785" s="3"/>
      <c r="B4785" s="3"/>
      <c r="C4785" s="3"/>
      <c r="D4785" s="3"/>
      <c r="E4785" s="3">
        <v>2</v>
      </c>
      <c r="F4785" s="4" t="str">
        <f>HYPERLINK("http://141.218.60.56/~jnz1568/getInfo.php?workbook=12_05.xlsx&amp;sheet=U0&amp;row=4785&amp;col=6&amp;number=3.1&amp;sourceID=14","3.1")</f>
        <v>3.1</v>
      </c>
      <c r="G4785" s="4" t="str">
        <f>HYPERLINK("http://141.218.60.56/~jnz1568/getInfo.php?workbook=12_05.xlsx&amp;sheet=U0&amp;row=4785&amp;col=7&amp;number=0.0195&amp;sourceID=14","0.0195")</f>
        <v>0.0195</v>
      </c>
    </row>
    <row r="4786" spans="1:7">
      <c r="A4786" s="3"/>
      <c r="B4786" s="3"/>
      <c r="C4786" s="3"/>
      <c r="D4786" s="3"/>
      <c r="E4786" s="3">
        <v>3</v>
      </c>
      <c r="F4786" s="4" t="str">
        <f>HYPERLINK("http://141.218.60.56/~jnz1568/getInfo.php?workbook=12_05.xlsx&amp;sheet=U0&amp;row=4786&amp;col=6&amp;number=3.2&amp;sourceID=14","3.2")</f>
        <v>3.2</v>
      </c>
      <c r="G4786" s="4" t="str">
        <f>HYPERLINK("http://141.218.60.56/~jnz1568/getInfo.php?workbook=12_05.xlsx&amp;sheet=U0&amp;row=4786&amp;col=7&amp;number=0.0195&amp;sourceID=14","0.0195")</f>
        <v>0.0195</v>
      </c>
    </row>
    <row r="4787" spans="1:7">
      <c r="A4787" s="3"/>
      <c r="B4787" s="3"/>
      <c r="C4787" s="3"/>
      <c r="D4787" s="3"/>
      <c r="E4787" s="3">
        <v>4</v>
      </c>
      <c r="F4787" s="4" t="str">
        <f>HYPERLINK("http://141.218.60.56/~jnz1568/getInfo.php?workbook=12_05.xlsx&amp;sheet=U0&amp;row=4787&amp;col=6&amp;number=3.3&amp;sourceID=14","3.3")</f>
        <v>3.3</v>
      </c>
      <c r="G4787" s="4" t="str">
        <f>HYPERLINK("http://141.218.60.56/~jnz1568/getInfo.php?workbook=12_05.xlsx&amp;sheet=U0&amp;row=4787&amp;col=7&amp;number=0.0195&amp;sourceID=14","0.0195")</f>
        <v>0.0195</v>
      </c>
    </row>
    <row r="4788" spans="1:7">
      <c r="A4788" s="3"/>
      <c r="B4788" s="3"/>
      <c r="C4788" s="3"/>
      <c r="D4788" s="3"/>
      <c r="E4788" s="3">
        <v>5</v>
      </c>
      <c r="F4788" s="4" t="str">
        <f>HYPERLINK("http://141.218.60.56/~jnz1568/getInfo.php?workbook=12_05.xlsx&amp;sheet=U0&amp;row=4788&amp;col=6&amp;number=3.4&amp;sourceID=14","3.4")</f>
        <v>3.4</v>
      </c>
      <c r="G4788" s="4" t="str">
        <f>HYPERLINK("http://141.218.60.56/~jnz1568/getInfo.php?workbook=12_05.xlsx&amp;sheet=U0&amp;row=4788&amp;col=7&amp;number=0.0195&amp;sourceID=14","0.0195")</f>
        <v>0.0195</v>
      </c>
    </row>
    <row r="4789" spans="1:7">
      <c r="A4789" s="3"/>
      <c r="B4789" s="3"/>
      <c r="C4789" s="3"/>
      <c r="D4789" s="3"/>
      <c r="E4789" s="3">
        <v>6</v>
      </c>
      <c r="F4789" s="4" t="str">
        <f>HYPERLINK("http://141.218.60.56/~jnz1568/getInfo.php?workbook=12_05.xlsx&amp;sheet=U0&amp;row=4789&amp;col=6&amp;number=3.5&amp;sourceID=14","3.5")</f>
        <v>3.5</v>
      </c>
      <c r="G4789" s="4" t="str">
        <f>HYPERLINK("http://141.218.60.56/~jnz1568/getInfo.php?workbook=12_05.xlsx&amp;sheet=U0&amp;row=4789&amp;col=7&amp;number=0.0195&amp;sourceID=14","0.0195")</f>
        <v>0.0195</v>
      </c>
    </row>
    <row r="4790" spans="1:7">
      <c r="A4790" s="3"/>
      <c r="B4790" s="3"/>
      <c r="C4790" s="3"/>
      <c r="D4790" s="3"/>
      <c r="E4790" s="3">
        <v>7</v>
      </c>
      <c r="F4790" s="4" t="str">
        <f>HYPERLINK("http://141.218.60.56/~jnz1568/getInfo.php?workbook=12_05.xlsx&amp;sheet=U0&amp;row=4790&amp;col=6&amp;number=3.6&amp;sourceID=14","3.6")</f>
        <v>3.6</v>
      </c>
      <c r="G4790" s="4" t="str">
        <f>HYPERLINK("http://141.218.60.56/~jnz1568/getInfo.php?workbook=12_05.xlsx&amp;sheet=U0&amp;row=4790&amp;col=7&amp;number=0.0195&amp;sourceID=14","0.0195")</f>
        <v>0.0195</v>
      </c>
    </row>
    <row r="4791" spans="1:7">
      <c r="A4791" s="3"/>
      <c r="B4791" s="3"/>
      <c r="C4791" s="3"/>
      <c r="D4791" s="3"/>
      <c r="E4791" s="3">
        <v>8</v>
      </c>
      <c r="F4791" s="4" t="str">
        <f>HYPERLINK("http://141.218.60.56/~jnz1568/getInfo.php?workbook=12_05.xlsx&amp;sheet=U0&amp;row=4791&amp;col=6&amp;number=3.7&amp;sourceID=14","3.7")</f>
        <v>3.7</v>
      </c>
      <c r="G4791" s="4" t="str">
        <f>HYPERLINK("http://141.218.60.56/~jnz1568/getInfo.php?workbook=12_05.xlsx&amp;sheet=U0&amp;row=4791&amp;col=7&amp;number=0.0195&amp;sourceID=14","0.0195")</f>
        <v>0.0195</v>
      </c>
    </row>
    <row r="4792" spans="1:7">
      <c r="A4792" s="3"/>
      <c r="B4792" s="3"/>
      <c r="C4792" s="3"/>
      <c r="D4792" s="3"/>
      <c r="E4792" s="3">
        <v>9</v>
      </c>
      <c r="F4792" s="4" t="str">
        <f>HYPERLINK("http://141.218.60.56/~jnz1568/getInfo.php?workbook=12_05.xlsx&amp;sheet=U0&amp;row=4792&amp;col=6&amp;number=3.8&amp;sourceID=14","3.8")</f>
        <v>3.8</v>
      </c>
      <c r="G4792" s="4" t="str">
        <f>HYPERLINK("http://141.218.60.56/~jnz1568/getInfo.php?workbook=12_05.xlsx&amp;sheet=U0&amp;row=4792&amp;col=7&amp;number=0.0195&amp;sourceID=14","0.0195")</f>
        <v>0.0195</v>
      </c>
    </row>
    <row r="4793" spans="1:7">
      <c r="A4793" s="3"/>
      <c r="B4793" s="3"/>
      <c r="C4793" s="3"/>
      <c r="D4793" s="3"/>
      <c r="E4793" s="3">
        <v>10</v>
      </c>
      <c r="F4793" s="4" t="str">
        <f>HYPERLINK("http://141.218.60.56/~jnz1568/getInfo.php?workbook=12_05.xlsx&amp;sheet=U0&amp;row=4793&amp;col=6&amp;number=3.9&amp;sourceID=14","3.9")</f>
        <v>3.9</v>
      </c>
      <c r="G4793" s="4" t="str">
        <f>HYPERLINK("http://141.218.60.56/~jnz1568/getInfo.php?workbook=12_05.xlsx&amp;sheet=U0&amp;row=4793&amp;col=7&amp;number=0.0196&amp;sourceID=14","0.0196")</f>
        <v>0.0196</v>
      </c>
    </row>
    <row r="4794" spans="1:7">
      <c r="A4794" s="3"/>
      <c r="B4794" s="3"/>
      <c r="C4794" s="3"/>
      <c r="D4794" s="3"/>
      <c r="E4794" s="3">
        <v>11</v>
      </c>
      <c r="F4794" s="4" t="str">
        <f>HYPERLINK("http://141.218.60.56/~jnz1568/getInfo.php?workbook=12_05.xlsx&amp;sheet=U0&amp;row=4794&amp;col=6&amp;number=4&amp;sourceID=14","4")</f>
        <v>4</v>
      </c>
      <c r="G4794" s="4" t="str">
        <f>HYPERLINK("http://141.218.60.56/~jnz1568/getInfo.php?workbook=12_05.xlsx&amp;sheet=U0&amp;row=4794&amp;col=7&amp;number=0.0196&amp;sourceID=14","0.0196")</f>
        <v>0.0196</v>
      </c>
    </row>
    <row r="4795" spans="1:7">
      <c r="A4795" s="3"/>
      <c r="B4795" s="3"/>
      <c r="C4795" s="3"/>
      <c r="D4795" s="3"/>
      <c r="E4795" s="3">
        <v>12</v>
      </c>
      <c r="F4795" s="4" t="str">
        <f>HYPERLINK("http://141.218.60.56/~jnz1568/getInfo.php?workbook=12_05.xlsx&amp;sheet=U0&amp;row=4795&amp;col=6&amp;number=4.1&amp;sourceID=14","4.1")</f>
        <v>4.1</v>
      </c>
      <c r="G4795" s="4" t="str">
        <f>HYPERLINK("http://141.218.60.56/~jnz1568/getInfo.php?workbook=12_05.xlsx&amp;sheet=U0&amp;row=4795&amp;col=7&amp;number=0.0196&amp;sourceID=14","0.0196")</f>
        <v>0.0196</v>
      </c>
    </row>
    <row r="4796" spans="1:7">
      <c r="A4796" s="3"/>
      <c r="B4796" s="3"/>
      <c r="C4796" s="3"/>
      <c r="D4796" s="3"/>
      <c r="E4796" s="3">
        <v>13</v>
      </c>
      <c r="F4796" s="4" t="str">
        <f>HYPERLINK("http://141.218.60.56/~jnz1568/getInfo.php?workbook=12_05.xlsx&amp;sheet=U0&amp;row=4796&amp;col=6&amp;number=4.2&amp;sourceID=14","4.2")</f>
        <v>4.2</v>
      </c>
      <c r="G4796" s="4" t="str">
        <f>HYPERLINK("http://141.218.60.56/~jnz1568/getInfo.php?workbook=12_05.xlsx&amp;sheet=U0&amp;row=4796&amp;col=7&amp;number=0.0196&amp;sourceID=14","0.0196")</f>
        <v>0.0196</v>
      </c>
    </row>
    <row r="4797" spans="1:7">
      <c r="A4797" s="3"/>
      <c r="B4797" s="3"/>
      <c r="C4797" s="3"/>
      <c r="D4797" s="3"/>
      <c r="E4797" s="3">
        <v>14</v>
      </c>
      <c r="F4797" s="4" t="str">
        <f>HYPERLINK("http://141.218.60.56/~jnz1568/getInfo.php?workbook=12_05.xlsx&amp;sheet=U0&amp;row=4797&amp;col=6&amp;number=4.3&amp;sourceID=14","4.3")</f>
        <v>4.3</v>
      </c>
      <c r="G4797" s="4" t="str">
        <f>HYPERLINK("http://141.218.60.56/~jnz1568/getInfo.php?workbook=12_05.xlsx&amp;sheet=U0&amp;row=4797&amp;col=7&amp;number=0.0197&amp;sourceID=14","0.0197")</f>
        <v>0.0197</v>
      </c>
    </row>
    <row r="4798" spans="1:7">
      <c r="A4798" s="3"/>
      <c r="B4798" s="3"/>
      <c r="C4798" s="3"/>
      <c r="D4798" s="3"/>
      <c r="E4798" s="3">
        <v>15</v>
      </c>
      <c r="F4798" s="4" t="str">
        <f>HYPERLINK("http://141.218.60.56/~jnz1568/getInfo.php?workbook=12_05.xlsx&amp;sheet=U0&amp;row=4798&amp;col=6&amp;number=4.4&amp;sourceID=14","4.4")</f>
        <v>4.4</v>
      </c>
      <c r="G4798" s="4" t="str">
        <f>HYPERLINK("http://141.218.60.56/~jnz1568/getInfo.php?workbook=12_05.xlsx&amp;sheet=U0&amp;row=4798&amp;col=7&amp;number=0.0197&amp;sourceID=14","0.0197")</f>
        <v>0.0197</v>
      </c>
    </row>
    <row r="4799" spans="1:7">
      <c r="A4799" s="3"/>
      <c r="B4799" s="3"/>
      <c r="C4799" s="3"/>
      <c r="D4799" s="3"/>
      <c r="E4799" s="3">
        <v>16</v>
      </c>
      <c r="F4799" s="4" t="str">
        <f>HYPERLINK("http://141.218.60.56/~jnz1568/getInfo.php?workbook=12_05.xlsx&amp;sheet=U0&amp;row=4799&amp;col=6&amp;number=4.5&amp;sourceID=14","4.5")</f>
        <v>4.5</v>
      </c>
      <c r="G4799" s="4" t="str">
        <f>HYPERLINK("http://141.218.60.56/~jnz1568/getInfo.php?workbook=12_05.xlsx&amp;sheet=U0&amp;row=4799&amp;col=7&amp;number=0.0198&amp;sourceID=14","0.0198")</f>
        <v>0.0198</v>
      </c>
    </row>
    <row r="4800" spans="1:7">
      <c r="A4800" s="3"/>
      <c r="B4800" s="3"/>
      <c r="C4800" s="3"/>
      <c r="D4800" s="3"/>
      <c r="E4800" s="3">
        <v>17</v>
      </c>
      <c r="F4800" s="4" t="str">
        <f>HYPERLINK("http://141.218.60.56/~jnz1568/getInfo.php?workbook=12_05.xlsx&amp;sheet=U0&amp;row=4800&amp;col=6&amp;number=4.6&amp;sourceID=14","4.6")</f>
        <v>4.6</v>
      </c>
      <c r="G4800" s="4" t="str">
        <f>HYPERLINK("http://141.218.60.56/~jnz1568/getInfo.php?workbook=12_05.xlsx&amp;sheet=U0&amp;row=4800&amp;col=7&amp;number=0.0199&amp;sourceID=14","0.0199")</f>
        <v>0.0199</v>
      </c>
    </row>
    <row r="4801" spans="1:7">
      <c r="A4801" s="3"/>
      <c r="B4801" s="3"/>
      <c r="C4801" s="3"/>
      <c r="D4801" s="3"/>
      <c r="E4801" s="3">
        <v>18</v>
      </c>
      <c r="F4801" s="4" t="str">
        <f>HYPERLINK("http://141.218.60.56/~jnz1568/getInfo.php?workbook=12_05.xlsx&amp;sheet=U0&amp;row=4801&amp;col=6&amp;number=4.7&amp;sourceID=14","4.7")</f>
        <v>4.7</v>
      </c>
      <c r="G4801" s="4" t="str">
        <f>HYPERLINK("http://141.218.60.56/~jnz1568/getInfo.php?workbook=12_05.xlsx&amp;sheet=U0&amp;row=4801&amp;col=7&amp;number=0.02&amp;sourceID=14","0.02")</f>
        <v>0.02</v>
      </c>
    </row>
    <row r="4802" spans="1:7">
      <c r="A4802" s="3"/>
      <c r="B4802" s="3"/>
      <c r="C4802" s="3"/>
      <c r="D4802" s="3"/>
      <c r="E4802" s="3">
        <v>19</v>
      </c>
      <c r="F4802" s="4" t="str">
        <f>HYPERLINK("http://141.218.60.56/~jnz1568/getInfo.php?workbook=12_05.xlsx&amp;sheet=U0&amp;row=4802&amp;col=6&amp;number=4.8&amp;sourceID=14","4.8")</f>
        <v>4.8</v>
      </c>
      <c r="G4802" s="4" t="str">
        <f>HYPERLINK("http://141.218.60.56/~jnz1568/getInfo.php?workbook=12_05.xlsx&amp;sheet=U0&amp;row=4802&amp;col=7&amp;number=0.0201&amp;sourceID=14","0.0201")</f>
        <v>0.0201</v>
      </c>
    </row>
    <row r="4803" spans="1:7">
      <c r="A4803" s="3"/>
      <c r="B4803" s="3"/>
      <c r="C4803" s="3"/>
      <c r="D4803" s="3"/>
      <c r="E4803" s="3">
        <v>20</v>
      </c>
      <c r="F4803" s="4" t="str">
        <f>HYPERLINK("http://141.218.60.56/~jnz1568/getInfo.php?workbook=12_05.xlsx&amp;sheet=U0&amp;row=4803&amp;col=6&amp;number=4.9&amp;sourceID=14","4.9")</f>
        <v>4.9</v>
      </c>
      <c r="G4803" s="4" t="str">
        <f>HYPERLINK("http://141.218.60.56/~jnz1568/getInfo.php?workbook=12_05.xlsx&amp;sheet=U0&amp;row=4803&amp;col=7&amp;number=0.0203&amp;sourceID=14","0.0203")</f>
        <v>0.0203</v>
      </c>
    </row>
    <row r="4804" spans="1:7">
      <c r="A4804" s="3">
        <v>12</v>
      </c>
      <c r="B4804" s="3">
        <v>5</v>
      </c>
      <c r="C4804" s="3">
        <v>2</v>
      </c>
      <c r="D4804" s="3">
        <v>93</v>
      </c>
      <c r="E4804" s="3">
        <v>1</v>
      </c>
      <c r="F4804" s="4" t="str">
        <f>HYPERLINK("http://141.218.60.56/~jnz1568/getInfo.php?workbook=12_05.xlsx&amp;sheet=U0&amp;row=4804&amp;col=6&amp;number=3&amp;sourceID=14","3")</f>
        <v>3</v>
      </c>
      <c r="G4804" s="4" t="str">
        <f>HYPERLINK("http://141.218.60.56/~jnz1568/getInfo.php?workbook=12_05.xlsx&amp;sheet=U0&amp;row=4804&amp;col=7&amp;number=0.0118&amp;sourceID=14","0.0118")</f>
        <v>0.0118</v>
      </c>
    </row>
    <row r="4805" spans="1:7">
      <c r="A4805" s="3"/>
      <c r="B4805" s="3"/>
      <c r="C4805" s="3"/>
      <c r="D4805" s="3"/>
      <c r="E4805" s="3">
        <v>2</v>
      </c>
      <c r="F4805" s="4" t="str">
        <f>HYPERLINK("http://141.218.60.56/~jnz1568/getInfo.php?workbook=12_05.xlsx&amp;sheet=U0&amp;row=4805&amp;col=6&amp;number=3.1&amp;sourceID=14","3.1")</f>
        <v>3.1</v>
      </c>
      <c r="G4805" s="4" t="str">
        <f>HYPERLINK("http://141.218.60.56/~jnz1568/getInfo.php?workbook=12_05.xlsx&amp;sheet=U0&amp;row=4805&amp;col=7&amp;number=0.0118&amp;sourceID=14","0.0118")</f>
        <v>0.0118</v>
      </c>
    </row>
    <row r="4806" spans="1:7">
      <c r="A4806" s="3"/>
      <c r="B4806" s="3"/>
      <c r="C4806" s="3"/>
      <c r="D4806" s="3"/>
      <c r="E4806" s="3">
        <v>3</v>
      </c>
      <c r="F4806" s="4" t="str">
        <f>HYPERLINK("http://141.218.60.56/~jnz1568/getInfo.php?workbook=12_05.xlsx&amp;sheet=U0&amp;row=4806&amp;col=6&amp;number=3.2&amp;sourceID=14","3.2")</f>
        <v>3.2</v>
      </c>
      <c r="G4806" s="4" t="str">
        <f>HYPERLINK("http://141.218.60.56/~jnz1568/getInfo.php?workbook=12_05.xlsx&amp;sheet=U0&amp;row=4806&amp;col=7&amp;number=0.0118&amp;sourceID=14","0.0118")</f>
        <v>0.0118</v>
      </c>
    </row>
    <row r="4807" spans="1:7">
      <c r="A4807" s="3"/>
      <c r="B4807" s="3"/>
      <c r="C4807" s="3"/>
      <c r="D4807" s="3"/>
      <c r="E4807" s="3">
        <v>4</v>
      </c>
      <c r="F4807" s="4" t="str">
        <f>HYPERLINK("http://141.218.60.56/~jnz1568/getInfo.php?workbook=12_05.xlsx&amp;sheet=U0&amp;row=4807&amp;col=6&amp;number=3.3&amp;sourceID=14","3.3")</f>
        <v>3.3</v>
      </c>
      <c r="G4807" s="4" t="str">
        <f>HYPERLINK("http://141.218.60.56/~jnz1568/getInfo.php?workbook=12_05.xlsx&amp;sheet=U0&amp;row=4807&amp;col=7&amp;number=0.0118&amp;sourceID=14","0.0118")</f>
        <v>0.0118</v>
      </c>
    </row>
    <row r="4808" spans="1:7">
      <c r="A4808" s="3"/>
      <c r="B4808" s="3"/>
      <c r="C4808" s="3"/>
      <c r="D4808" s="3"/>
      <c r="E4808" s="3">
        <v>5</v>
      </c>
      <c r="F4808" s="4" t="str">
        <f>HYPERLINK("http://141.218.60.56/~jnz1568/getInfo.php?workbook=12_05.xlsx&amp;sheet=U0&amp;row=4808&amp;col=6&amp;number=3.4&amp;sourceID=14","3.4")</f>
        <v>3.4</v>
      </c>
      <c r="G4808" s="4" t="str">
        <f>HYPERLINK("http://141.218.60.56/~jnz1568/getInfo.php?workbook=12_05.xlsx&amp;sheet=U0&amp;row=4808&amp;col=7&amp;number=0.0118&amp;sourceID=14","0.0118")</f>
        <v>0.0118</v>
      </c>
    </row>
    <row r="4809" spans="1:7">
      <c r="A4809" s="3"/>
      <c r="B4809" s="3"/>
      <c r="C4809" s="3"/>
      <c r="D4809" s="3"/>
      <c r="E4809" s="3">
        <v>6</v>
      </c>
      <c r="F4809" s="4" t="str">
        <f>HYPERLINK("http://141.218.60.56/~jnz1568/getInfo.php?workbook=12_05.xlsx&amp;sheet=U0&amp;row=4809&amp;col=6&amp;number=3.5&amp;sourceID=14","3.5")</f>
        <v>3.5</v>
      </c>
      <c r="G4809" s="4" t="str">
        <f>HYPERLINK("http://141.218.60.56/~jnz1568/getInfo.php?workbook=12_05.xlsx&amp;sheet=U0&amp;row=4809&amp;col=7&amp;number=0.0118&amp;sourceID=14","0.0118")</f>
        <v>0.0118</v>
      </c>
    </row>
    <row r="4810" spans="1:7">
      <c r="A4810" s="3"/>
      <c r="B4810" s="3"/>
      <c r="C4810" s="3"/>
      <c r="D4810" s="3"/>
      <c r="E4810" s="3">
        <v>7</v>
      </c>
      <c r="F4810" s="4" t="str">
        <f>HYPERLINK("http://141.218.60.56/~jnz1568/getInfo.php?workbook=12_05.xlsx&amp;sheet=U0&amp;row=4810&amp;col=6&amp;number=3.6&amp;sourceID=14","3.6")</f>
        <v>3.6</v>
      </c>
      <c r="G4810" s="4" t="str">
        <f>HYPERLINK("http://141.218.60.56/~jnz1568/getInfo.php?workbook=12_05.xlsx&amp;sheet=U0&amp;row=4810&amp;col=7&amp;number=0.0117&amp;sourceID=14","0.0117")</f>
        <v>0.0117</v>
      </c>
    </row>
    <row r="4811" spans="1:7">
      <c r="A4811" s="3"/>
      <c r="B4811" s="3"/>
      <c r="C4811" s="3"/>
      <c r="D4811" s="3"/>
      <c r="E4811" s="3">
        <v>8</v>
      </c>
      <c r="F4811" s="4" t="str">
        <f>HYPERLINK("http://141.218.60.56/~jnz1568/getInfo.php?workbook=12_05.xlsx&amp;sheet=U0&amp;row=4811&amp;col=6&amp;number=3.7&amp;sourceID=14","3.7")</f>
        <v>3.7</v>
      </c>
      <c r="G4811" s="4" t="str">
        <f>HYPERLINK("http://141.218.60.56/~jnz1568/getInfo.php?workbook=12_05.xlsx&amp;sheet=U0&amp;row=4811&amp;col=7&amp;number=0.0117&amp;sourceID=14","0.0117")</f>
        <v>0.0117</v>
      </c>
    </row>
    <row r="4812" spans="1:7">
      <c r="A4812" s="3"/>
      <c r="B4812" s="3"/>
      <c r="C4812" s="3"/>
      <c r="D4812" s="3"/>
      <c r="E4812" s="3">
        <v>9</v>
      </c>
      <c r="F4812" s="4" t="str">
        <f>HYPERLINK("http://141.218.60.56/~jnz1568/getInfo.php?workbook=12_05.xlsx&amp;sheet=U0&amp;row=4812&amp;col=6&amp;number=3.8&amp;sourceID=14","3.8")</f>
        <v>3.8</v>
      </c>
      <c r="G4812" s="4" t="str">
        <f>HYPERLINK("http://141.218.60.56/~jnz1568/getInfo.php?workbook=12_05.xlsx&amp;sheet=U0&amp;row=4812&amp;col=7&amp;number=0.0117&amp;sourceID=14","0.0117")</f>
        <v>0.0117</v>
      </c>
    </row>
    <row r="4813" spans="1:7">
      <c r="A4813" s="3"/>
      <c r="B4813" s="3"/>
      <c r="C4813" s="3"/>
      <c r="D4813" s="3"/>
      <c r="E4813" s="3">
        <v>10</v>
      </c>
      <c r="F4813" s="4" t="str">
        <f>HYPERLINK("http://141.218.60.56/~jnz1568/getInfo.php?workbook=12_05.xlsx&amp;sheet=U0&amp;row=4813&amp;col=6&amp;number=3.9&amp;sourceID=14","3.9")</f>
        <v>3.9</v>
      </c>
      <c r="G4813" s="4" t="str">
        <f>HYPERLINK("http://141.218.60.56/~jnz1568/getInfo.php?workbook=12_05.xlsx&amp;sheet=U0&amp;row=4813&amp;col=7&amp;number=0.0117&amp;sourceID=14","0.0117")</f>
        <v>0.0117</v>
      </c>
    </row>
    <row r="4814" spans="1:7">
      <c r="A4814" s="3"/>
      <c r="B4814" s="3"/>
      <c r="C4814" s="3"/>
      <c r="D4814" s="3"/>
      <c r="E4814" s="3">
        <v>11</v>
      </c>
      <c r="F4814" s="4" t="str">
        <f>HYPERLINK("http://141.218.60.56/~jnz1568/getInfo.php?workbook=12_05.xlsx&amp;sheet=U0&amp;row=4814&amp;col=6&amp;number=4&amp;sourceID=14","4")</f>
        <v>4</v>
      </c>
      <c r="G4814" s="4" t="str">
        <f>HYPERLINK("http://141.218.60.56/~jnz1568/getInfo.php?workbook=12_05.xlsx&amp;sheet=U0&amp;row=4814&amp;col=7&amp;number=0.0117&amp;sourceID=14","0.0117")</f>
        <v>0.0117</v>
      </c>
    </row>
    <row r="4815" spans="1:7">
      <c r="A4815" s="3"/>
      <c r="B4815" s="3"/>
      <c r="C4815" s="3"/>
      <c r="D4815" s="3"/>
      <c r="E4815" s="3">
        <v>12</v>
      </c>
      <c r="F4815" s="4" t="str">
        <f>HYPERLINK("http://141.218.60.56/~jnz1568/getInfo.php?workbook=12_05.xlsx&amp;sheet=U0&amp;row=4815&amp;col=6&amp;number=4.1&amp;sourceID=14","4.1")</f>
        <v>4.1</v>
      </c>
      <c r="G4815" s="4" t="str">
        <f>HYPERLINK("http://141.218.60.56/~jnz1568/getInfo.php?workbook=12_05.xlsx&amp;sheet=U0&amp;row=4815&amp;col=7&amp;number=0.0116&amp;sourceID=14","0.0116")</f>
        <v>0.0116</v>
      </c>
    </row>
    <row r="4816" spans="1:7">
      <c r="A4816" s="3"/>
      <c r="B4816" s="3"/>
      <c r="C4816" s="3"/>
      <c r="D4816" s="3"/>
      <c r="E4816" s="3">
        <v>13</v>
      </c>
      <c r="F4816" s="4" t="str">
        <f>HYPERLINK("http://141.218.60.56/~jnz1568/getInfo.php?workbook=12_05.xlsx&amp;sheet=U0&amp;row=4816&amp;col=6&amp;number=4.2&amp;sourceID=14","4.2")</f>
        <v>4.2</v>
      </c>
      <c r="G4816" s="4" t="str">
        <f>HYPERLINK("http://141.218.60.56/~jnz1568/getInfo.php?workbook=12_05.xlsx&amp;sheet=U0&amp;row=4816&amp;col=7&amp;number=0.0116&amp;sourceID=14","0.0116")</f>
        <v>0.0116</v>
      </c>
    </row>
    <row r="4817" spans="1:7">
      <c r="A4817" s="3"/>
      <c r="B4817" s="3"/>
      <c r="C4817" s="3"/>
      <c r="D4817" s="3"/>
      <c r="E4817" s="3">
        <v>14</v>
      </c>
      <c r="F4817" s="4" t="str">
        <f>HYPERLINK("http://141.218.60.56/~jnz1568/getInfo.php?workbook=12_05.xlsx&amp;sheet=U0&amp;row=4817&amp;col=6&amp;number=4.3&amp;sourceID=14","4.3")</f>
        <v>4.3</v>
      </c>
      <c r="G4817" s="4" t="str">
        <f>HYPERLINK("http://141.218.60.56/~jnz1568/getInfo.php?workbook=12_05.xlsx&amp;sheet=U0&amp;row=4817&amp;col=7&amp;number=0.0116&amp;sourceID=14","0.0116")</f>
        <v>0.0116</v>
      </c>
    </row>
    <row r="4818" spans="1:7">
      <c r="A4818" s="3"/>
      <c r="B4818" s="3"/>
      <c r="C4818" s="3"/>
      <c r="D4818" s="3"/>
      <c r="E4818" s="3">
        <v>15</v>
      </c>
      <c r="F4818" s="4" t="str">
        <f>HYPERLINK("http://141.218.60.56/~jnz1568/getInfo.php?workbook=12_05.xlsx&amp;sheet=U0&amp;row=4818&amp;col=6&amp;number=4.4&amp;sourceID=14","4.4")</f>
        <v>4.4</v>
      </c>
      <c r="G4818" s="4" t="str">
        <f>HYPERLINK("http://141.218.60.56/~jnz1568/getInfo.php?workbook=12_05.xlsx&amp;sheet=U0&amp;row=4818&amp;col=7&amp;number=0.0115&amp;sourceID=14","0.0115")</f>
        <v>0.0115</v>
      </c>
    </row>
    <row r="4819" spans="1:7">
      <c r="A4819" s="3"/>
      <c r="B4819" s="3"/>
      <c r="C4819" s="3"/>
      <c r="D4819" s="3"/>
      <c r="E4819" s="3">
        <v>16</v>
      </c>
      <c r="F4819" s="4" t="str">
        <f>HYPERLINK("http://141.218.60.56/~jnz1568/getInfo.php?workbook=12_05.xlsx&amp;sheet=U0&amp;row=4819&amp;col=6&amp;number=4.5&amp;sourceID=14","4.5")</f>
        <v>4.5</v>
      </c>
      <c r="G4819" s="4" t="str">
        <f>HYPERLINK("http://141.218.60.56/~jnz1568/getInfo.php?workbook=12_05.xlsx&amp;sheet=U0&amp;row=4819&amp;col=7&amp;number=0.0114&amp;sourceID=14","0.0114")</f>
        <v>0.0114</v>
      </c>
    </row>
    <row r="4820" spans="1:7">
      <c r="A4820" s="3"/>
      <c r="B4820" s="3"/>
      <c r="C4820" s="3"/>
      <c r="D4820" s="3"/>
      <c r="E4820" s="3">
        <v>17</v>
      </c>
      <c r="F4820" s="4" t="str">
        <f>HYPERLINK("http://141.218.60.56/~jnz1568/getInfo.php?workbook=12_05.xlsx&amp;sheet=U0&amp;row=4820&amp;col=6&amp;number=4.6&amp;sourceID=14","4.6")</f>
        <v>4.6</v>
      </c>
      <c r="G4820" s="4" t="str">
        <f>HYPERLINK("http://141.218.60.56/~jnz1568/getInfo.php?workbook=12_05.xlsx&amp;sheet=U0&amp;row=4820&amp;col=7&amp;number=0.0114&amp;sourceID=14","0.0114")</f>
        <v>0.0114</v>
      </c>
    </row>
    <row r="4821" spans="1:7">
      <c r="A4821" s="3"/>
      <c r="B4821" s="3"/>
      <c r="C4821" s="3"/>
      <c r="D4821" s="3"/>
      <c r="E4821" s="3">
        <v>18</v>
      </c>
      <c r="F4821" s="4" t="str">
        <f>HYPERLINK("http://141.218.60.56/~jnz1568/getInfo.php?workbook=12_05.xlsx&amp;sheet=U0&amp;row=4821&amp;col=6&amp;number=4.7&amp;sourceID=14","4.7")</f>
        <v>4.7</v>
      </c>
      <c r="G4821" s="4" t="str">
        <f>HYPERLINK("http://141.218.60.56/~jnz1568/getInfo.php?workbook=12_05.xlsx&amp;sheet=U0&amp;row=4821&amp;col=7&amp;number=0.0112&amp;sourceID=14","0.0112")</f>
        <v>0.0112</v>
      </c>
    </row>
    <row r="4822" spans="1:7">
      <c r="A4822" s="3"/>
      <c r="B4822" s="3"/>
      <c r="C4822" s="3"/>
      <c r="D4822" s="3"/>
      <c r="E4822" s="3">
        <v>19</v>
      </c>
      <c r="F4822" s="4" t="str">
        <f>HYPERLINK("http://141.218.60.56/~jnz1568/getInfo.php?workbook=12_05.xlsx&amp;sheet=U0&amp;row=4822&amp;col=6&amp;number=4.8&amp;sourceID=14","4.8")</f>
        <v>4.8</v>
      </c>
      <c r="G4822" s="4" t="str">
        <f>HYPERLINK("http://141.218.60.56/~jnz1568/getInfo.php?workbook=12_05.xlsx&amp;sheet=U0&amp;row=4822&amp;col=7&amp;number=0.0111&amp;sourceID=14","0.0111")</f>
        <v>0.0111</v>
      </c>
    </row>
    <row r="4823" spans="1:7">
      <c r="A4823" s="3"/>
      <c r="B4823" s="3"/>
      <c r="C4823" s="3"/>
      <c r="D4823" s="3"/>
      <c r="E4823" s="3">
        <v>20</v>
      </c>
      <c r="F4823" s="4" t="str">
        <f>HYPERLINK("http://141.218.60.56/~jnz1568/getInfo.php?workbook=12_05.xlsx&amp;sheet=U0&amp;row=4823&amp;col=6&amp;number=4.9&amp;sourceID=14","4.9")</f>
        <v>4.9</v>
      </c>
      <c r="G4823" s="4" t="str">
        <f>HYPERLINK("http://141.218.60.56/~jnz1568/getInfo.php?workbook=12_05.xlsx&amp;sheet=U0&amp;row=4823&amp;col=7&amp;number=0.0109&amp;sourceID=14","0.0109")</f>
        <v>0.0109</v>
      </c>
    </row>
    <row r="4824" spans="1:7">
      <c r="A4824" s="3">
        <v>12</v>
      </c>
      <c r="B4824" s="3">
        <v>5</v>
      </c>
      <c r="C4824" s="3">
        <v>2</v>
      </c>
      <c r="D4824" s="3">
        <v>94</v>
      </c>
      <c r="E4824" s="3">
        <v>1</v>
      </c>
      <c r="F4824" s="4" t="str">
        <f>HYPERLINK("http://141.218.60.56/~jnz1568/getInfo.php?workbook=12_05.xlsx&amp;sheet=U0&amp;row=4824&amp;col=6&amp;number=3&amp;sourceID=14","3")</f>
        <v>3</v>
      </c>
      <c r="G4824" s="4" t="str">
        <f>HYPERLINK("http://141.218.60.56/~jnz1568/getInfo.php?workbook=12_05.xlsx&amp;sheet=U0&amp;row=4824&amp;col=7&amp;number=0.0612&amp;sourceID=14","0.0612")</f>
        <v>0.0612</v>
      </c>
    </row>
    <row r="4825" spans="1:7">
      <c r="A4825" s="3"/>
      <c r="B4825" s="3"/>
      <c r="C4825" s="3"/>
      <c r="D4825" s="3"/>
      <c r="E4825" s="3">
        <v>2</v>
      </c>
      <c r="F4825" s="4" t="str">
        <f>HYPERLINK("http://141.218.60.56/~jnz1568/getInfo.php?workbook=12_05.xlsx&amp;sheet=U0&amp;row=4825&amp;col=6&amp;number=3.1&amp;sourceID=14","3.1")</f>
        <v>3.1</v>
      </c>
      <c r="G4825" s="4" t="str">
        <f>HYPERLINK("http://141.218.60.56/~jnz1568/getInfo.php?workbook=12_05.xlsx&amp;sheet=U0&amp;row=4825&amp;col=7&amp;number=0.0612&amp;sourceID=14","0.0612")</f>
        <v>0.0612</v>
      </c>
    </row>
    <row r="4826" spans="1:7">
      <c r="A4826" s="3"/>
      <c r="B4826" s="3"/>
      <c r="C4826" s="3"/>
      <c r="D4826" s="3"/>
      <c r="E4826" s="3">
        <v>3</v>
      </c>
      <c r="F4826" s="4" t="str">
        <f>HYPERLINK("http://141.218.60.56/~jnz1568/getInfo.php?workbook=12_05.xlsx&amp;sheet=U0&amp;row=4826&amp;col=6&amp;number=3.2&amp;sourceID=14","3.2")</f>
        <v>3.2</v>
      </c>
      <c r="G4826" s="4" t="str">
        <f>HYPERLINK("http://141.218.60.56/~jnz1568/getInfo.php?workbook=12_05.xlsx&amp;sheet=U0&amp;row=4826&amp;col=7&amp;number=0.0612&amp;sourceID=14","0.0612")</f>
        <v>0.0612</v>
      </c>
    </row>
    <row r="4827" spans="1:7">
      <c r="A4827" s="3"/>
      <c r="B4827" s="3"/>
      <c r="C4827" s="3"/>
      <c r="D4827" s="3"/>
      <c r="E4827" s="3">
        <v>4</v>
      </c>
      <c r="F4827" s="4" t="str">
        <f>HYPERLINK("http://141.218.60.56/~jnz1568/getInfo.php?workbook=12_05.xlsx&amp;sheet=U0&amp;row=4827&amp;col=6&amp;number=3.3&amp;sourceID=14","3.3")</f>
        <v>3.3</v>
      </c>
      <c r="G4827" s="4" t="str">
        <f>HYPERLINK("http://141.218.60.56/~jnz1568/getInfo.php?workbook=12_05.xlsx&amp;sheet=U0&amp;row=4827&amp;col=7&amp;number=0.0612&amp;sourceID=14","0.0612")</f>
        <v>0.0612</v>
      </c>
    </row>
    <row r="4828" spans="1:7">
      <c r="A4828" s="3"/>
      <c r="B4828" s="3"/>
      <c r="C4828" s="3"/>
      <c r="D4828" s="3"/>
      <c r="E4828" s="3">
        <v>5</v>
      </c>
      <c r="F4828" s="4" t="str">
        <f>HYPERLINK("http://141.218.60.56/~jnz1568/getInfo.php?workbook=12_05.xlsx&amp;sheet=U0&amp;row=4828&amp;col=6&amp;number=3.4&amp;sourceID=14","3.4")</f>
        <v>3.4</v>
      </c>
      <c r="G4828" s="4" t="str">
        <f>HYPERLINK("http://141.218.60.56/~jnz1568/getInfo.php?workbook=12_05.xlsx&amp;sheet=U0&amp;row=4828&amp;col=7&amp;number=0.0612&amp;sourceID=14","0.0612")</f>
        <v>0.0612</v>
      </c>
    </row>
    <row r="4829" spans="1:7">
      <c r="A4829" s="3"/>
      <c r="B4829" s="3"/>
      <c r="C4829" s="3"/>
      <c r="D4829" s="3"/>
      <c r="E4829" s="3">
        <v>6</v>
      </c>
      <c r="F4829" s="4" t="str">
        <f>HYPERLINK("http://141.218.60.56/~jnz1568/getInfo.php?workbook=12_05.xlsx&amp;sheet=U0&amp;row=4829&amp;col=6&amp;number=3.5&amp;sourceID=14","3.5")</f>
        <v>3.5</v>
      </c>
      <c r="G4829" s="4" t="str">
        <f>HYPERLINK("http://141.218.60.56/~jnz1568/getInfo.php?workbook=12_05.xlsx&amp;sheet=U0&amp;row=4829&amp;col=7&amp;number=0.0612&amp;sourceID=14","0.0612")</f>
        <v>0.0612</v>
      </c>
    </row>
    <row r="4830" spans="1:7">
      <c r="A4830" s="3"/>
      <c r="B4830" s="3"/>
      <c r="C4830" s="3"/>
      <c r="D4830" s="3"/>
      <c r="E4830" s="3">
        <v>7</v>
      </c>
      <c r="F4830" s="4" t="str">
        <f>HYPERLINK("http://141.218.60.56/~jnz1568/getInfo.php?workbook=12_05.xlsx&amp;sheet=U0&amp;row=4830&amp;col=6&amp;number=3.6&amp;sourceID=14","3.6")</f>
        <v>3.6</v>
      </c>
      <c r="G4830" s="4" t="str">
        <f>HYPERLINK("http://141.218.60.56/~jnz1568/getInfo.php?workbook=12_05.xlsx&amp;sheet=U0&amp;row=4830&amp;col=7&amp;number=0.0612&amp;sourceID=14","0.0612")</f>
        <v>0.0612</v>
      </c>
    </row>
    <row r="4831" spans="1:7">
      <c r="A4831" s="3"/>
      <c r="B4831" s="3"/>
      <c r="C4831" s="3"/>
      <c r="D4831" s="3"/>
      <c r="E4831" s="3">
        <v>8</v>
      </c>
      <c r="F4831" s="4" t="str">
        <f>HYPERLINK("http://141.218.60.56/~jnz1568/getInfo.php?workbook=12_05.xlsx&amp;sheet=U0&amp;row=4831&amp;col=6&amp;number=3.7&amp;sourceID=14","3.7")</f>
        <v>3.7</v>
      </c>
      <c r="G4831" s="4" t="str">
        <f>HYPERLINK("http://141.218.60.56/~jnz1568/getInfo.php?workbook=12_05.xlsx&amp;sheet=U0&amp;row=4831&amp;col=7&amp;number=0.0612&amp;sourceID=14","0.0612")</f>
        <v>0.0612</v>
      </c>
    </row>
    <row r="4832" spans="1:7">
      <c r="A4832" s="3"/>
      <c r="B4832" s="3"/>
      <c r="C4832" s="3"/>
      <c r="D4832" s="3"/>
      <c r="E4832" s="3">
        <v>9</v>
      </c>
      <c r="F4832" s="4" t="str">
        <f>HYPERLINK("http://141.218.60.56/~jnz1568/getInfo.php?workbook=12_05.xlsx&amp;sheet=U0&amp;row=4832&amp;col=6&amp;number=3.8&amp;sourceID=14","3.8")</f>
        <v>3.8</v>
      </c>
      <c r="G4832" s="4" t="str">
        <f>HYPERLINK("http://141.218.60.56/~jnz1568/getInfo.php?workbook=12_05.xlsx&amp;sheet=U0&amp;row=4832&amp;col=7&amp;number=0.0612&amp;sourceID=14","0.0612")</f>
        <v>0.0612</v>
      </c>
    </row>
    <row r="4833" spans="1:7">
      <c r="A4833" s="3"/>
      <c r="B4833" s="3"/>
      <c r="C4833" s="3"/>
      <c r="D4833" s="3"/>
      <c r="E4833" s="3">
        <v>10</v>
      </c>
      <c r="F4833" s="4" t="str">
        <f>HYPERLINK("http://141.218.60.56/~jnz1568/getInfo.php?workbook=12_05.xlsx&amp;sheet=U0&amp;row=4833&amp;col=6&amp;number=3.9&amp;sourceID=14","3.9")</f>
        <v>3.9</v>
      </c>
      <c r="G4833" s="4" t="str">
        <f>HYPERLINK("http://141.218.60.56/~jnz1568/getInfo.php?workbook=12_05.xlsx&amp;sheet=U0&amp;row=4833&amp;col=7&amp;number=0.0612&amp;sourceID=14","0.0612")</f>
        <v>0.0612</v>
      </c>
    </row>
    <row r="4834" spans="1:7">
      <c r="A4834" s="3"/>
      <c r="B4834" s="3"/>
      <c r="C4834" s="3"/>
      <c r="D4834" s="3"/>
      <c r="E4834" s="3">
        <v>11</v>
      </c>
      <c r="F4834" s="4" t="str">
        <f>HYPERLINK("http://141.218.60.56/~jnz1568/getInfo.php?workbook=12_05.xlsx&amp;sheet=U0&amp;row=4834&amp;col=6&amp;number=4&amp;sourceID=14","4")</f>
        <v>4</v>
      </c>
      <c r="G4834" s="4" t="str">
        <f>HYPERLINK("http://141.218.60.56/~jnz1568/getInfo.php?workbook=12_05.xlsx&amp;sheet=U0&amp;row=4834&amp;col=7&amp;number=0.0612&amp;sourceID=14","0.0612")</f>
        <v>0.0612</v>
      </c>
    </row>
    <row r="4835" spans="1:7">
      <c r="A4835" s="3"/>
      <c r="B4835" s="3"/>
      <c r="C4835" s="3"/>
      <c r="D4835" s="3"/>
      <c r="E4835" s="3">
        <v>12</v>
      </c>
      <c r="F4835" s="4" t="str">
        <f>HYPERLINK("http://141.218.60.56/~jnz1568/getInfo.php?workbook=12_05.xlsx&amp;sheet=U0&amp;row=4835&amp;col=6&amp;number=4.1&amp;sourceID=14","4.1")</f>
        <v>4.1</v>
      </c>
      <c r="G4835" s="4" t="str">
        <f>HYPERLINK("http://141.218.60.56/~jnz1568/getInfo.php?workbook=12_05.xlsx&amp;sheet=U0&amp;row=4835&amp;col=7&amp;number=0.0613&amp;sourceID=14","0.0613")</f>
        <v>0.0613</v>
      </c>
    </row>
    <row r="4836" spans="1:7">
      <c r="A4836" s="3"/>
      <c r="B4836" s="3"/>
      <c r="C4836" s="3"/>
      <c r="D4836" s="3"/>
      <c r="E4836" s="3">
        <v>13</v>
      </c>
      <c r="F4836" s="4" t="str">
        <f>HYPERLINK("http://141.218.60.56/~jnz1568/getInfo.php?workbook=12_05.xlsx&amp;sheet=U0&amp;row=4836&amp;col=6&amp;number=4.2&amp;sourceID=14","4.2")</f>
        <v>4.2</v>
      </c>
      <c r="G4836" s="4" t="str">
        <f>HYPERLINK("http://141.218.60.56/~jnz1568/getInfo.php?workbook=12_05.xlsx&amp;sheet=U0&amp;row=4836&amp;col=7&amp;number=0.0613&amp;sourceID=14","0.0613")</f>
        <v>0.0613</v>
      </c>
    </row>
    <row r="4837" spans="1:7">
      <c r="A4837" s="3"/>
      <c r="B4837" s="3"/>
      <c r="C4837" s="3"/>
      <c r="D4837" s="3"/>
      <c r="E4837" s="3">
        <v>14</v>
      </c>
      <c r="F4837" s="4" t="str">
        <f>HYPERLINK("http://141.218.60.56/~jnz1568/getInfo.php?workbook=12_05.xlsx&amp;sheet=U0&amp;row=4837&amp;col=6&amp;number=4.3&amp;sourceID=14","4.3")</f>
        <v>4.3</v>
      </c>
      <c r="G4837" s="4" t="str">
        <f>HYPERLINK("http://141.218.60.56/~jnz1568/getInfo.php?workbook=12_05.xlsx&amp;sheet=U0&amp;row=4837&amp;col=7&amp;number=0.0614&amp;sourceID=14","0.0614")</f>
        <v>0.0614</v>
      </c>
    </row>
    <row r="4838" spans="1:7">
      <c r="A4838" s="3"/>
      <c r="B4838" s="3"/>
      <c r="C4838" s="3"/>
      <c r="D4838" s="3"/>
      <c r="E4838" s="3">
        <v>15</v>
      </c>
      <c r="F4838" s="4" t="str">
        <f>HYPERLINK("http://141.218.60.56/~jnz1568/getInfo.php?workbook=12_05.xlsx&amp;sheet=U0&amp;row=4838&amp;col=6&amp;number=4.4&amp;sourceID=14","4.4")</f>
        <v>4.4</v>
      </c>
      <c r="G4838" s="4" t="str">
        <f>HYPERLINK("http://141.218.60.56/~jnz1568/getInfo.php?workbook=12_05.xlsx&amp;sheet=U0&amp;row=4838&amp;col=7&amp;number=0.0614&amp;sourceID=14","0.0614")</f>
        <v>0.0614</v>
      </c>
    </row>
    <row r="4839" spans="1:7">
      <c r="A4839" s="3"/>
      <c r="B4839" s="3"/>
      <c r="C4839" s="3"/>
      <c r="D4839" s="3"/>
      <c r="E4839" s="3">
        <v>16</v>
      </c>
      <c r="F4839" s="4" t="str">
        <f>HYPERLINK("http://141.218.60.56/~jnz1568/getInfo.php?workbook=12_05.xlsx&amp;sheet=U0&amp;row=4839&amp;col=6&amp;number=4.5&amp;sourceID=14","4.5")</f>
        <v>4.5</v>
      </c>
      <c r="G4839" s="4" t="str">
        <f>HYPERLINK("http://141.218.60.56/~jnz1568/getInfo.php?workbook=12_05.xlsx&amp;sheet=U0&amp;row=4839&amp;col=7&amp;number=0.0615&amp;sourceID=14","0.0615")</f>
        <v>0.0615</v>
      </c>
    </row>
    <row r="4840" spans="1:7">
      <c r="A4840" s="3"/>
      <c r="B4840" s="3"/>
      <c r="C4840" s="3"/>
      <c r="D4840" s="3"/>
      <c r="E4840" s="3">
        <v>17</v>
      </c>
      <c r="F4840" s="4" t="str">
        <f>HYPERLINK("http://141.218.60.56/~jnz1568/getInfo.php?workbook=12_05.xlsx&amp;sheet=U0&amp;row=4840&amp;col=6&amp;number=4.6&amp;sourceID=14","4.6")</f>
        <v>4.6</v>
      </c>
      <c r="G4840" s="4" t="str">
        <f>HYPERLINK("http://141.218.60.56/~jnz1568/getInfo.php?workbook=12_05.xlsx&amp;sheet=U0&amp;row=4840&amp;col=7&amp;number=0.0616&amp;sourceID=14","0.0616")</f>
        <v>0.0616</v>
      </c>
    </row>
    <row r="4841" spans="1:7">
      <c r="A4841" s="3"/>
      <c r="B4841" s="3"/>
      <c r="C4841" s="3"/>
      <c r="D4841" s="3"/>
      <c r="E4841" s="3">
        <v>18</v>
      </c>
      <c r="F4841" s="4" t="str">
        <f>HYPERLINK("http://141.218.60.56/~jnz1568/getInfo.php?workbook=12_05.xlsx&amp;sheet=U0&amp;row=4841&amp;col=6&amp;number=4.7&amp;sourceID=14","4.7")</f>
        <v>4.7</v>
      </c>
      <c r="G4841" s="4" t="str">
        <f>HYPERLINK("http://141.218.60.56/~jnz1568/getInfo.php?workbook=12_05.xlsx&amp;sheet=U0&amp;row=4841&amp;col=7&amp;number=0.0617&amp;sourceID=14","0.0617")</f>
        <v>0.0617</v>
      </c>
    </row>
    <row r="4842" spans="1:7">
      <c r="A4842" s="3"/>
      <c r="B4842" s="3"/>
      <c r="C4842" s="3"/>
      <c r="D4842" s="3"/>
      <c r="E4842" s="3">
        <v>19</v>
      </c>
      <c r="F4842" s="4" t="str">
        <f>HYPERLINK("http://141.218.60.56/~jnz1568/getInfo.php?workbook=12_05.xlsx&amp;sheet=U0&amp;row=4842&amp;col=6&amp;number=4.8&amp;sourceID=14","4.8")</f>
        <v>4.8</v>
      </c>
      <c r="G4842" s="4" t="str">
        <f>HYPERLINK("http://141.218.60.56/~jnz1568/getInfo.php?workbook=12_05.xlsx&amp;sheet=U0&amp;row=4842&amp;col=7&amp;number=0.0618&amp;sourceID=14","0.0618")</f>
        <v>0.0618</v>
      </c>
    </row>
    <row r="4843" spans="1:7">
      <c r="A4843" s="3"/>
      <c r="B4843" s="3"/>
      <c r="C4843" s="3"/>
      <c r="D4843" s="3"/>
      <c r="E4843" s="3">
        <v>20</v>
      </c>
      <c r="F4843" s="4" t="str">
        <f>HYPERLINK("http://141.218.60.56/~jnz1568/getInfo.php?workbook=12_05.xlsx&amp;sheet=U0&amp;row=4843&amp;col=6&amp;number=4.9&amp;sourceID=14","4.9")</f>
        <v>4.9</v>
      </c>
      <c r="G4843" s="4" t="str">
        <f>HYPERLINK("http://141.218.60.56/~jnz1568/getInfo.php?workbook=12_05.xlsx&amp;sheet=U0&amp;row=4843&amp;col=7&amp;number=0.062&amp;sourceID=14","0.062")</f>
        <v>0.062</v>
      </c>
    </row>
    <row r="4844" spans="1:7">
      <c r="A4844" s="3">
        <v>12</v>
      </c>
      <c r="B4844" s="3">
        <v>5</v>
      </c>
      <c r="C4844" s="3">
        <v>2</v>
      </c>
      <c r="D4844" s="3">
        <v>95</v>
      </c>
      <c r="E4844" s="3">
        <v>1</v>
      </c>
      <c r="F4844" s="4" t="str">
        <f>HYPERLINK("http://141.218.60.56/~jnz1568/getInfo.php?workbook=12_05.xlsx&amp;sheet=U0&amp;row=4844&amp;col=6&amp;number=3&amp;sourceID=14","3")</f>
        <v>3</v>
      </c>
      <c r="G4844" s="4" t="str">
        <f>HYPERLINK("http://141.218.60.56/~jnz1568/getInfo.php?workbook=12_05.xlsx&amp;sheet=U0&amp;row=4844&amp;col=7&amp;number=0.0266&amp;sourceID=14","0.0266")</f>
        <v>0.0266</v>
      </c>
    </row>
    <row r="4845" spans="1:7">
      <c r="A4845" s="3"/>
      <c r="B4845" s="3"/>
      <c r="C4845" s="3"/>
      <c r="D4845" s="3"/>
      <c r="E4845" s="3">
        <v>2</v>
      </c>
      <c r="F4845" s="4" t="str">
        <f>HYPERLINK("http://141.218.60.56/~jnz1568/getInfo.php?workbook=12_05.xlsx&amp;sheet=U0&amp;row=4845&amp;col=6&amp;number=3.1&amp;sourceID=14","3.1")</f>
        <v>3.1</v>
      </c>
      <c r="G4845" s="4" t="str">
        <f>HYPERLINK("http://141.218.60.56/~jnz1568/getInfo.php?workbook=12_05.xlsx&amp;sheet=U0&amp;row=4845&amp;col=7&amp;number=0.0266&amp;sourceID=14","0.0266")</f>
        <v>0.0266</v>
      </c>
    </row>
    <row r="4846" spans="1:7">
      <c r="A4846" s="3"/>
      <c r="B4846" s="3"/>
      <c r="C4846" s="3"/>
      <c r="D4846" s="3"/>
      <c r="E4846" s="3">
        <v>3</v>
      </c>
      <c r="F4846" s="4" t="str">
        <f>HYPERLINK("http://141.218.60.56/~jnz1568/getInfo.php?workbook=12_05.xlsx&amp;sheet=U0&amp;row=4846&amp;col=6&amp;number=3.2&amp;sourceID=14","3.2")</f>
        <v>3.2</v>
      </c>
      <c r="G4846" s="4" t="str">
        <f>HYPERLINK("http://141.218.60.56/~jnz1568/getInfo.php?workbook=12_05.xlsx&amp;sheet=U0&amp;row=4846&amp;col=7&amp;number=0.0266&amp;sourceID=14","0.0266")</f>
        <v>0.0266</v>
      </c>
    </row>
    <row r="4847" spans="1:7">
      <c r="A4847" s="3"/>
      <c r="B4847" s="3"/>
      <c r="C4847" s="3"/>
      <c r="D4847" s="3"/>
      <c r="E4847" s="3">
        <v>4</v>
      </c>
      <c r="F4847" s="4" t="str">
        <f>HYPERLINK("http://141.218.60.56/~jnz1568/getInfo.php?workbook=12_05.xlsx&amp;sheet=U0&amp;row=4847&amp;col=6&amp;number=3.3&amp;sourceID=14","3.3")</f>
        <v>3.3</v>
      </c>
      <c r="G4847" s="4" t="str">
        <f>HYPERLINK("http://141.218.60.56/~jnz1568/getInfo.php?workbook=12_05.xlsx&amp;sheet=U0&amp;row=4847&amp;col=7&amp;number=0.0266&amp;sourceID=14","0.0266")</f>
        <v>0.0266</v>
      </c>
    </row>
    <row r="4848" spans="1:7">
      <c r="A4848" s="3"/>
      <c r="B4848" s="3"/>
      <c r="C4848" s="3"/>
      <c r="D4848" s="3"/>
      <c r="E4848" s="3">
        <v>5</v>
      </c>
      <c r="F4848" s="4" t="str">
        <f>HYPERLINK("http://141.218.60.56/~jnz1568/getInfo.php?workbook=12_05.xlsx&amp;sheet=U0&amp;row=4848&amp;col=6&amp;number=3.4&amp;sourceID=14","3.4")</f>
        <v>3.4</v>
      </c>
      <c r="G4848" s="4" t="str">
        <f>HYPERLINK("http://141.218.60.56/~jnz1568/getInfo.php?workbook=12_05.xlsx&amp;sheet=U0&amp;row=4848&amp;col=7&amp;number=0.0266&amp;sourceID=14","0.0266")</f>
        <v>0.0266</v>
      </c>
    </row>
    <row r="4849" spans="1:7">
      <c r="A4849" s="3"/>
      <c r="B4849" s="3"/>
      <c r="C4849" s="3"/>
      <c r="D4849" s="3"/>
      <c r="E4849" s="3">
        <v>6</v>
      </c>
      <c r="F4849" s="4" t="str">
        <f>HYPERLINK("http://141.218.60.56/~jnz1568/getInfo.php?workbook=12_05.xlsx&amp;sheet=U0&amp;row=4849&amp;col=6&amp;number=3.5&amp;sourceID=14","3.5")</f>
        <v>3.5</v>
      </c>
      <c r="G4849" s="4" t="str">
        <f>HYPERLINK("http://141.218.60.56/~jnz1568/getInfo.php?workbook=12_05.xlsx&amp;sheet=U0&amp;row=4849&amp;col=7&amp;number=0.0267&amp;sourceID=14","0.0267")</f>
        <v>0.0267</v>
      </c>
    </row>
    <row r="4850" spans="1:7">
      <c r="A4850" s="3"/>
      <c r="B4850" s="3"/>
      <c r="C4850" s="3"/>
      <c r="D4850" s="3"/>
      <c r="E4850" s="3">
        <v>7</v>
      </c>
      <c r="F4850" s="4" t="str">
        <f>HYPERLINK("http://141.218.60.56/~jnz1568/getInfo.php?workbook=12_05.xlsx&amp;sheet=U0&amp;row=4850&amp;col=6&amp;number=3.6&amp;sourceID=14","3.6")</f>
        <v>3.6</v>
      </c>
      <c r="G4850" s="4" t="str">
        <f>HYPERLINK("http://141.218.60.56/~jnz1568/getInfo.php?workbook=12_05.xlsx&amp;sheet=U0&amp;row=4850&amp;col=7&amp;number=0.0267&amp;sourceID=14","0.0267")</f>
        <v>0.0267</v>
      </c>
    </row>
    <row r="4851" spans="1:7">
      <c r="A4851" s="3"/>
      <c r="B4851" s="3"/>
      <c r="C4851" s="3"/>
      <c r="D4851" s="3"/>
      <c r="E4851" s="3">
        <v>8</v>
      </c>
      <c r="F4851" s="4" t="str">
        <f>HYPERLINK("http://141.218.60.56/~jnz1568/getInfo.php?workbook=12_05.xlsx&amp;sheet=U0&amp;row=4851&amp;col=6&amp;number=3.7&amp;sourceID=14","3.7")</f>
        <v>3.7</v>
      </c>
      <c r="G4851" s="4" t="str">
        <f>HYPERLINK("http://141.218.60.56/~jnz1568/getInfo.php?workbook=12_05.xlsx&amp;sheet=U0&amp;row=4851&amp;col=7&amp;number=0.0267&amp;sourceID=14","0.0267")</f>
        <v>0.0267</v>
      </c>
    </row>
    <row r="4852" spans="1:7">
      <c r="A4852" s="3"/>
      <c r="B4852" s="3"/>
      <c r="C4852" s="3"/>
      <c r="D4852" s="3"/>
      <c r="E4852" s="3">
        <v>9</v>
      </c>
      <c r="F4852" s="4" t="str">
        <f>HYPERLINK("http://141.218.60.56/~jnz1568/getInfo.php?workbook=12_05.xlsx&amp;sheet=U0&amp;row=4852&amp;col=6&amp;number=3.8&amp;sourceID=14","3.8")</f>
        <v>3.8</v>
      </c>
      <c r="G4852" s="4" t="str">
        <f>HYPERLINK("http://141.218.60.56/~jnz1568/getInfo.php?workbook=12_05.xlsx&amp;sheet=U0&amp;row=4852&amp;col=7&amp;number=0.0267&amp;sourceID=14","0.0267")</f>
        <v>0.0267</v>
      </c>
    </row>
    <row r="4853" spans="1:7">
      <c r="A4853" s="3"/>
      <c r="B4853" s="3"/>
      <c r="C4853" s="3"/>
      <c r="D4853" s="3"/>
      <c r="E4853" s="3">
        <v>10</v>
      </c>
      <c r="F4853" s="4" t="str">
        <f>HYPERLINK("http://141.218.60.56/~jnz1568/getInfo.php?workbook=12_05.xlsx&amp;sheet=U0&amp;row=4853&amp;col=6&amp;number=3.9&amp;sourceID=14","3.9")</f>
        <v>3.9</v>
      </c>
      <c r="G4853" s="4" t="str">
        <f>HYPERLINK("http://141.218.60.56/~jnz1568/getInfo.php?workbook=12_05.xlsx&amp;sheet=U0&amp;row=4853&amp;col=7&amp;number=0.0267&amp;sourceID=14","0.0267")</f>
        <v>0.0267</v>
      </c>
    </row>
    <row r="4854" spans="1:7">
      <c r="A4854" s="3"/>
      <c r="B4854" s="3"/>
      <c r="C4854" s="3"/>
      <c r="D4854" s="3"/>
      <c r="E4854" s="3">
        <v>11</v>
      </c>
      <c r="F4854" s="4" t="str">
        <f>HYPERLINK("http://141.218.60.56/~jnz1568/getInfo.php?workbook=12_05.xlsx&amp;sheet=U0&amp;row=4854&amp;col=6&amp;number=4&amp;sourceID=14","4")</f>
        <v>4</v>
      </c>
      <c r="G4854" s="4" t="str">
        <f>HYPERLINK("http://141.218.60.56/~jnz1568/getInfo.php?workbook=12_05.xlsx&amp;sheet=U0&amp;row=4854&amp;col=7&amp;number=0.0268&amp;sourceID=14","0.0268")</f>
        <v>0.0268</v>
      </c>
    </row>
    <row r="4855" spans="1:7">
      <c r="A4855" s="3"/>
      <c r="B4855" s="3"/>
      <c r="C4855" s="3"/>
      <c r="D4855" s="3"/>
      <c r="E4855" s="3">
        <v>12</v>
      </c>
      <c r="F4855" s="4" t="str">
        <f>HYPERLINK("http://141.218.60.56/~jnz1568/getInfo.php?workbook=12_05.xlsx&amp;sheet=U0&amp;row=4855&amp;col=6&amp;number=4.1&amp;sourceID=14","4.1")</f>
        <v>4.1</v>
      </c>
      <c r="G4855" s="4" t="str">
        <f>HYPERLINK("http://141.218.60.56/~jnz1568/getInfo.php?workbook=12_05.xlsx&amp;sheet=U0&amp;row=4855&amp;col=7&amp;number=0.0268&amp;sourceID=14","0.0268")</f>
        <v>0.0268</v>
      </c>
    </row>
    <row r="4856" spans="1:7">
      <c r="A4856" s="3"/>
      <c r="B4856" s="3"/>
      <c r="C4856" s="3"/>
      <c r="D4856" s="3"/>
      <c r="E4856" s="3">
        <v>13</v>
      </c>
      <c r="F4856" s="4" t="str">
        <f>HYPERLINK("http://141.218.60.56/~jnz1568/getInfo.php?workbook=12_05.xlsx&amp;sheet=U0&amp;row=4856&amp;col=6&amp;number=4.2&amp;sourceID=14","4.2")</f>
        <v>4.2</v>
      </c>
      <c r="G4856" s="4" t="str">
        <f>HYPERLINK("http://141.218.60.56/~jnz1568/getInfo.php?workbook=12_05.xlsx&amp;sheet=U0&amp;row=4856&amp;col=7&amp;number=0.0269&amp;sourceID=14","0.0269")</f>
        <v>0.0269</v>
      </c>
    </row>
    <row r="4857" spans="1:7">
      <c r="A4857" s="3"/>
      <c r="B4857" s="3"/>
      <c r="C4857" s="3"/>
      <c r="D4857" s="3"/>
      <c r="E4857" s="3">
        <v>14</v>
      </c>
      <c r="F4857" s="4" t="str">
        <f>HYPERLINK("http://141.218.60.56/~jnz1568/getInfo.php?workbook=12_05.xlsx&amp;sheet=U0&amp;row=4857&amp;col=6&amp;number=4.3&amp;sourceID=14","4.3")</f>
        <v>4.3</v>
      </c>
      <c r="G4857" s="4" t="str">
        <f>HYPERLINK("http://141.218.60.56/~jnz1568/getInfo.php?workbook=12_05.xlsx&amp;sheet=U0&amp;row=4857&amp;col=7&amp;number=0.0269&amp;sourceID=14","0.0269")</f>
        <v>0.0269</v>
      </c>
    </row>
    <row r="4858" spans="1:7">
      <c r="A4858" s="3"/>
      <c r="B4858" s="3"/>
      <c r="C4858" s="3"/>
      <c r="D4858" s="3"/>
      <c r="E4858" s="3">
        <v>15</v>
      </c>
      <c r="F4858" s="4" t="str">
        <f>HYPERLINK("http://141.218.60.56/~jnz1568/getInfo.php?workbook=12_05.xlsx&amp;sheet=U0&amp;row=4858&amp;col=6&amp;number=4.4&amp;sourceID=14","4.4")</f>
        <v>4.4</v>
      </c>
      <c r="G4858" s="4" t="str">
        <f>HYPERLINK("http://141.218.60.56/~jnz1568/getInfo.php?workbook=12_05.xlsx&amp;sheet=U0&amp;row=4858&amp;col=7&amp;number=0.027&amp;sourceID=14","0.027")</f>
        <v>0.027</v>
      </c>
    </row>
    <row r="4859" spans="1:7">
      <c r="A4859" s="3"/>
      <c r="B4859" s="3"/>
      <c r="C4859" s="3"/>
      <c r="D4859" s="3"/>
      <c r="E4859" s="3">
        <v>16</v>
      </c>
      <c r="F4859" s="4" t="str">
        <f>HYPERLINK("http://141.218.60.56/~jnz1568/getInfo.php?workbook=12_05.xlsx&amp;sheet=U0&amp;row=4859&amp;col=6&amp;number=4.5&amp;sourceID=14","4.5")</f>
        <v>4.5</v>
      </c>
      <c r="G4859" s="4" t="str">
        <f>HYPERLINK("http://141.218.60.56/~jnz1568/getInfo.php?workbook=12_05.xlsx&amp;sheet=U0&amp;row=4859&amp;col=7&amp;number=0.0271&amp;sourceID=14","0.0271")</f>
        <v>0.0271</v>
      </c>
    </row>
    <row r="4860" spans="1:7">
      <c r="A4860" s="3"/>
      <c r="B4860" s="3"/>
      <c r="C4860" s="3"/>
      <c r="D4860" s="3"/>
      <c r="E4860" s="3">
        <v>17</v>
      </c>
      <c r="F4860" s="4" t="str">
        <f>HYPERLINK("http://141.218.60.56/~jnz1568/getInfo.php?workbook=12_05.xlsx&amp;sheet=U0&amp;row=4860&amp;col=6&amp;number=4.6&amp;sourceID=14","4.6")</f>
        <v>4.6</v>
      </c>
      <c r="G4860" s="4" t="str">
        <f>HYPERLINK("http://141.218.60.56/~jnz1568/getInfo.php?workbook=12_05.xlsx&amp;sheet=U0&amp;row=4860&amp;col=7&amp;number=0.0272&amp;sourceID=14","0.0272")</f>
        <v>0.0272</v>
      </c>
    </row>
    <row r="4861" spans="1:7">
      <c r="A4861" s="3"/>
      <c r="B4861" s="3"/>
      <c r="C4861" s="3"/>
      <c r="D4861" s="3"/>
      <c r="E4861" s="3">
        <v>18</v>
      </c>
      <c r="F4861" s="4" t="str">
        <f>HYPERLINK("http://141.218.60.56/~jnz1568/getInfo.php?workbook=12_05.xlsx&amp;sheet=U0&amp;row=4861&amp;col=6&amp;number=4.7&amp;sourceID=14","4.7")</f>
        <v>4.7</v>
      </c>
      <c r="G4861" s="4" t="str">
        <f>HYPERLINK("http://141.218.60.56/~jnz1568/getInfo.php?workbook=12_05.xlsx&amp;sheet=U0&amp;row=4861&amp;col=7&amp;number=0.0274&amp;sourceID=14","0.0274")</f>
        <v>0.0274</v>
      </c>
    </row>
    <row r="4862" spans="1:7">
      <c r="A4862" s="3"/>
      <c r="B4862" s="3"/>
      <c r="C4862" s="3"/>
      <c r="D4862" s="3"/>
      <c r="E4862" s="3">
        <v>19</v>
      </c>
      <c r="F4862" s="4" t="str">
        <f>HYPERLINK("http://141.218.60.56/~jnz1568/getInfo.php?workbook=12_05.xlsx&amp;sheet=U0&amp;row=4862&amp;col=6&amp;number=4.8&amp;sourceID=14","4.8")</f>
        <v>4.8</v>
      </c>
      <c r="G4862" s="4" t="str">
        <f>HYPERLINK("http://141.218.60.56/~jnz1568/getInfo.php?workbook=12_05.xlsx&amp;sheet=U0&amp;row=4862&amp;col=7&amp;number=0.0276&amp;sourceID=14","0.0276")</f>
        <v>0.0276</v>
      </c>
    </row>
    <row r="4863" spans="1:7">
      <c r="A4863" s="3"/>
      <c r="B4863" s="3"/>
      <c r="C4863" s="3"/>
      <c r="D4863" s="3"/>
      <c r="E4863" s="3">
        <v>20</v>
      </c>
      <c r="F4863" s="4" t="str">
        <f>HYPERLINK("http://141.218.60.56/~jnz1568/getInfo.php?workbook=12_05.xlsx&amp;sheet=U0&amp;row=4863&amp;col=6&amp;number=4.9&amp;sourceID=14","4.9")</f>
        <v>4.9</v>
      </c>
      <c r="G4863" s="4" t="str">
        <f>HYPERLINK("http://141.218.60.56/~jnz1568/getInfo.php?workbook=12_05.xlsx&amp;sheet=U0&amp;row=4863&amp;col=7&amp;number=0.0279&amp;sourceID=14","0.0279")</f>
        <v>0.0279</v>
      </c>
    </row>
    <row r="4864" spans="1:7">
      <c r="A4864" s="3">
        <v>12</v>
      </c>
      <c r="B4864" s="3">
        <v>5</v>
      </c>
      <c r="C4864" s="3">
        <v>2</v>
      </c>
      <c r="D4864" s="3">
        <v>96</v>
      </c>
      <c r="E4864" s="3">
        <v>1</v>
      </c>
      <c r="F4864" s="4" t="str">
        <f>HYPERLINK("http://141.218.60.56/~jnz1568/getInfo.php?workbook=12_05.xlsx&amp;sheet=U0&amp;row=4864&amp;col=6&amp;number=3&amp;sourceID=14","3")</f>
        <v>3</v>
      </c>
      <c r="G4864" s="4" t="str">
        <f>HYPERLINK("http://141.218.60.56/~jnz1568/getInfo.php?workbook=12_05.xlsx&amp;sheet=U0&amp;row=4864&amp;col=7&amp;number=0.0147&amp;sourceID=14","0.0147")</f>
        <v>0.0147</v>
      </c>
    </row>
    <row r="4865" spans="1:7">
      <c r="A4865" s="3"/>
      <c r="B4865" s="3"/>
      <c r="C4865" s="3"/>
      <c r="D4865" s="3"/>
      <c r="E4865" s="3">
        <v>2</v>
      </c>
      <c r="F4865" s="4" t="str">
        <f>HYPERLINK("http://141.218.60.56/~jnz1568/getInfo.php?workbook=12_05.xlsx&amp;sheet=U0&amp;row=4865&amp;col=6&amp;number=3.1&amp;sourceID=14","3.1")</f>
        <v>3.1</v>
      </c>
      <c r="G4865" s="4" t="str">
        <f>HYPERLINK("http://141.218.60.56/~jnz1568/getInfo.php?workbook=12_05.xlsx&amp;sheet=U0&amp;row=4865&amp;col=7&amp;number=0.0147&amp;sourceID=14","0.0147")</f>
        <v>0.0147</v>
      </c>
    </row>
    <row r="4866" spans="1:7">
      <c r="A4866" s="3"/>
      <c r="B4866" s="3"/>
      <c r="C4866" s="3"/>
      <c r="D4866" s="3"/>
      <c r="E4866" s="3">
        <v>3</v>
      </c>
      <c r="F4866" s="4" t="str">
        <f>HYPERLINK("http://141.218.60.56/~jnz1568/getInfo.php?workbook=12_05.xlsx&amp;sheet=U0&amp;row=4866&amp;col=6&amp;number=3.2&amp;sourceID=14","3.2")</f>
        <v>3.2</v>
      </c>
      <c r="G4866" s="4" t="str">
        <f>HYPERLINK("http://141.218.60.56/~jnz1568/getInfo.php?workbook=12_05.xlsx&amp;sheet=U0&amp;row=4866&amp;col=7&amp;number=0.0147&amp;sourceID=14","0.0147")</f>
        <v>0.0147</v>
      </c>
    </row>
    <row r="4867" spans="1:7">
      <c r="A4867" s="3"/>
      <c r="B4867" s="3"/>
      <c r="C4867" s="3"/>
      <c r="D4867" s="3"/>
      <c r="E4867" s="3">
        <v>4</v>
      </c>
      <c r="F4867" s="4" t="str">
        <f>HYPERLINK("http://141.218.60.56/~jnz1568/getInfo.php?workbook=12_05.xlsx&amp;sheet=U0&amp;row=4867&amp;col=6&amp;number=3.3&amp;sourceID=14","3.3")</f>
        <v>3.3</v>
      </c>
      <c r="G4867" s="4" t="str">
        <f>HYPERLINK("http://141.218.60.56/~jnz1568/getInfo.php?workbook=12_05.xlsx&amp;sheet=U0&amp;row=4867&amp;col=7&amp;number=0.0147&amp;sourceID=14","0.0147")</f>
        <v>0.0147</v>
      </c>
    </row>
    <row r="4868" spans="1:7">
      <c r="A4868" s="3"/>
      <c r="B4868" s="3"/>
      <c r="C4868" s="3"/>
      <c r="D4868" s="3"/>
      <c r="E4868" s="3">
        <v>5</v>
      </c>
      <c r="F4868" s="4" t="str">
        <f>HYPERLINK("http://141.218.60.56/~jnz1568/getInfo.php?workbook=12_05.xlsx&amp;sheet=U0&amp;row=4868&amp;col=6&amp;number=3.4&amp;sourceID=14","3.4")</f>
        <v>3.4</v>
      </c>
      <c r="G4868" s="4" t="str">
        <f>HYPERLINK("http://141.218.60.56/~jnz1568/getInfo.php?workbook=12_05.xlsx&amp;sheet=U0&amp;row=4868&amp;col=7&amp;number=0.0147&amp;sourceID=14","0.0147")</f>
        <v>0.0147</v>
      </c>
    </row>
    <row r="4869" spans="1:7">
      <c r="A4869" s="3"/>
      <c r="B4869" s="3"/>
      <c r="C4869" s="3"/>
      <c r="D4869" s="3"/>
      <c r="E4869" s="3">
        <v>6</v>
      </c>
      <c r="F4869" s="4" t="str">
        <f>HYPERLINK("http://141.218.60.56/~jnz1568/getInfo.php?workbook=12_05.xlsx&amp;sheet=U0&amp;row=4869&amp;col=6&amp;number=3.5&amp;sourceID=14","3.5")</f>
        <v>3.5</v>
      </c>
      <c r="G4869" s="4" t="str">
        <f>HYPERLINK("http://141.218.60.56/~jnz1568/getInfo.php?workbook=12_05.xlsx&amp;sheet=U0&amp;row=4869&amp;col=7&amp;number=0.0147&amp;sourceID=14","0.0147")</f>
        <v>0.0147</v>
      </c>
    </row>
    <row r="4870" spans="1:7">
      <c r="A4870" s="3"/>
      <c r="B4870" s="3"/>
      <c r="C4870" s="3"/>
      <c r="D4870" s="3"/>
      <c r="E4870" s="3">
        <v>7</v>
      </c>
      <c r="F4870" s="4" t="str">
        <f>HYPERLINK("http://141.218.60.56/~jnz1568/getInfo.php?workbook=12_05.xlsx&amp;sheet=U0&amp;row=4870&amp;col=6&amp;number=3.6&amp;sourceID=14","3.6")</f>
        <v>3.6</v>
      </c>
      <c r="G4870" s="4" t="str">
        <f>HYPERLINK("http://141.218.60.56/~jnz1568/getInfo.php?workbook=12_05.xlsx&amp;sheet=U0&amp;row=4870&amp;col=7&amp;number=0.0147&amp;sourceID=14","0.0147")</f>
        <v>0.0147</v>
      </c>
    </row>
    <row r="4871" spans="1:7">
      <c r="A4871" s="3"/>
      <c r="B4871" s="3"/>
      <c r="C4871" s="3"/>
      <c r="D4871" s="3"/>
      <c r="E4871" s="3">
        <v>8</v>
      </c>
      <c r="F4871" s="4" t="str">
        <f>HYPERLINK("http://141.218.60.56/~jnz1568/getInfo.php?workbook=12_05.xlsx&amp;sheet=U0&amp;row=4871&amp;col=6&amp;number=3.7&amp;sourceID=14","3.7")</f>
        <v>3.7</v>
      </c>
      <c r="G4871" s="4" t="str">
        <f>HYPERLINK("http://141.218.60.56/~jnz1568/getInfo.php?workbook=12_05.xlsx&amp;sheet=U0&amp;row=4871&amp;col=7&amp;number=0.0147&amp;sourceID=14","0.0147")</f>
        <v>0.0147</v>
      </c>
    </row>
    <row r="4872" spans="1:7">
      <c r="A4872" s="3"/>
      <c r="B4872" s="3"/>
      <c r="C4872" s="3"/>
      <c r="D4872" s="3"/>
      <c r="E4872" s="3">
        <v>9</v>
      </c>
      <c r="F4872" s="4" t="str">
        <f>HYPERLINK("http://141.218.60.56/~jnz1568/getInfo.php?workbook=12_05.xlsx&amp;sheet=U0&amp;row=4872&amp;col=6&amp;number=3.8&amp;sourceID=14","3.8")</f>
        <v>3.8</v>
      </c>
      <c r="G4872" s="4" t="str">
        <f>HYPERLINK("http://141.218.60.56/~jnz1568/getInfo.php?workbook=12_05.xlsx&amp;sheet=U0&amp;row=4872&amp;col=7&amp;number=0.0148&amp;sourceID=14","0.0148")</f>
        <v>0.0148</v>
      </c>
    </row>
    <row r="4873" spans="1:7">
      <c r="A4873" s="3"/>
      <c r="B4873" s="3"/>
      <c r="C4873" s="3"/>
      <c r="D4873" s="3"/>
      <c r="E4873" s="3">
        <v>10</v>
      </c>
      <c r="F4873" s="4" t="str">
        <f>HYPERLINK("http://141.218.60.56/~jnz1568/getInfo.php?workbook=12_05.xlsx&amp;sheet=U0&amp;row=4873&amp;col=6&amp;number=3.9&amp;sourceID=14","3.9")</f>
        <v>3.9</v>
      </c>
      <c r="G4873" s="4" t="str">
        <f>HYPERLINK("http://141.218.60.56/~jnz1568/getInfo.php?workbook=12_05.xlsx&amp;sheet=U0&amp;row=4873&amp;col=7&amp;number=0.0148&amp;sourceID=14","0.0148")</f>
        <v>0.0148</v>
      </c>
    </row>
    <row r="4874" spans="1:7">
      <c r="A4874" s="3"/>
      <c r="B4874" s="3"/>
      <c r="C4874" s="3"/>
      <c r="D4874" s="3"/>
      <c r="E4874" s="3">
        <v>11</v>
      </c>
      <c r="F4874" s="4" t="str">
        <f>HYPERLINK("http://141.218.60.56/~jnz1568/getInfo.php?workbook=12_05.xlsx&amp;sheet=U0&amp;row=4874&amp;col=6&amp;number=4&amp;sourceID=14","4")</f>
        <v>4</v>
      </c>
      <c r="G4874" s="4" t="str">
        <f>HYPERLINK("http://141.218.60.56/~jnz1568/getInfo.php?workbook=12_05.xlsx&amp;sheet=U0&amp;row=4874&amp;col=7&amp;number=0.0148&amp;sourceID=14","0.0148")</f>
        <v>0.0148</v>
      </c>
    </row>
    <row r="4875" spans="1:7">
      <c r="A4875" s="3"/>
      <c r="B4875" s="3"/>
      <c r="C4875" s="3"/>
      <c r="D4875" s="3"/>
      <c r="E4875" s="3">
        <v>12</v>
      </c>
      <c r="F4875" s="4" t="str">
        <f>HYPERLINK("http://141.218.60.56/~jnz1568/getInfo.php?workbook=12_05.xlsx&amp;sheet=U0&amp;row=4875&amp;col=6&amp;number=4.1&amp;sourceID=14","4.1")</f>
        <v>4.1</v>
      </c>
      <c r="G4875" s="4" t="str">
        <f>HYPERLINK("http://141.218.60.56/~jnz1568/getInfo.php?workbook=12_05.xlsx&amp;sheet=U0&amp;row=4875&amp;col=7&amp;number=0.0148&amp;sourceID=14","0.0148")</f>
        <v>0.0148</v>
      </c>
    </row>
    <row r="4876" spans="1:7">
      <c r="A4876" s="3"/>
      <c r="B4876" s="3"/>
      <c r="C4876" s="3"/>
      <c r="D4876" s="3"/>
      <c r="E4876" s="3">
        <v>13</v>
      </c>
      <c r="F4876" s="4" t="str">
        <f>HYPERLINK("http://141.218.60.56/~jnz1568/getInfo.php?workbook=12_05.xlsx&amp;sheet=U0&amp;row=4876&amp;col=6&amp;number=4.2&amp;sourceID=14","4.2")</f>
        <v>4.2</v>
      </c>
      <c r="G4876" s="4" t="str">
        <f>HYPERLINK("http://141.218.60.56/~jnz1568/getInfo.php?workbook=12_05.xlsx&amp;sheet=U0&amp;row=4876&amp;col=7&amp;number=0.0148&amp;sourceID=14","0.0148")</f>
        <v>0.0148</v>
      </c>
    </row>
    <row r="4877" spans="1:7">
      <c r="A4877" s="3"/>
      <c r="B4877" s="3"/>
      <c r="C4877" s="3"/>
      <c r="D4877" s="3"/>
      <c r="E4877" s="3">
        <v>14</v>
      </c>
      <c r="F4877" s="4" t="str">
        <f>HYPERLINK("http://141.218.60.56/~jnz1568/getInfo.php?workbook=12_05.xlsx&amp;sheet=U0&amp;row=4877&amp;col=6&amp;number=4.3&amp;sourceID=14","4.3")</f>
        <v>4.3</v>
      </c>
      <c r="G4877" s="4" t="str">
        <f>HYPERLINK("http://141.218.60.56/~jnz1568/getInfo.php?workbook=12_05.xlsx&amp;sheet=U0&amp;row=4877&amp;col=7&amp;number=0.0148&amp;sourceID=14","0.0148")</f>
        <v>0.0148</v>
      </c>
    </row>
    <row r="4878" spans="1:7">
      <c r="A4878" s="3"/>
      <c r="B4878" s="3"/>
      <c r="C4878" s="3"/>
      <c r="D4878" s="3"/>
      <c r="E4878" s="3">
        <v>15</v>
      </c>
      <c r="F4878" s="4" t="str">
        <f>HYPERLINK("http://141.218.60.56/~jnz1568/getInfo.php?workbook=12_05.xlsx&amp;sheet=U0&amp;row=4878&amp;col=6&amp;number=4.4&amp;sourceID=14","4.4")</f>
        <v>4.4</v>
      </c>
      <c r="G4878" s="4" t="str">
        <f>HYPERLINK("http://141.218.60.56/~jnz1568/getInfo.php?workbook=12_05.xlsx&amp;sheet=U0&amp;row=4878&amp;col=7&amp;number=0.0148&amp;sourceID=14","0.0148")</f>
        <v>0.0148</v>
      </c>
    </row>
    <row r="4879" spans="1:7">
      <c r="A4879" s="3"/>
      <c r="B4879" s="3"/>
      <c r="C4879" s="3"/>
      <c r="D4879" s="3"/>
      <c r="E4879" s="3">
        <v>16</v>
      </c>
      <c r="F4879" s="4" t="str">
        <f>HYPERLINK("http://141.218.60.56/~jnz1568/getInfo.php?workbook=12_05.xlsx&amp;sheet=U0&amp;row=4879&amp;col=6&amp;number=4.5&amp;sourceID=14","4.5")</f>
        <v>4.5</v>
      </c>
      <c r="G4879" s="4" t="str">
        <f>HYPERLINK("http://141.218.60.56/~jnz1568/getInfo.php?workbook=12_05.xlsx&amp;sheet=U0&amp;row=4879&amp;col=7&amp;number=0.0148&amp;sourceID=14","0.0148")</f>
        <v>0.0148</v>
      </c>
    </row>
    <row r="4880" spans="1:7">
      <c r="A4880" s="3"/>
      <c r="B4880" s="3"/>
      <c r="C4880" s="3"/>
      <c r="D4880" s="3"/>
      <c r="E4880" s="3">
        <v>17</v>
      </c>
      <c r="F4880" s="4" t="str">
        <f>HYPERLINK("http://141.218.60.56/~jnz1568/getInfo.php?workbook=12_05.xlsx&amp;sheet=U0&amp;row=4880&amp;col=6&amp;number=4.6&amp;sourceID=14","4.6")</f>
        <v>4.6</v>
      </c>
      <c r="G4880" s="4" t="str">
        <f>HYPERLINK("http://141.218.60.56/~jnz1568/getInfo.php?workbook=12_05.xlsx&amp;sheet=U0&amp;row=4880&amp;col=7&amp;number=0.0149&amp;sourceID=14","0.0149")</f>
        <v>0.0149</v>
      </c>
    </row>
    <row r="4881" spans="1:7">
      <c r="A4881" s="3"/>
      <c r="B4881" s="3"/>
      <c r="C4881" s="3"/>
      <c r="D4881" s="3"/>
      <c r="E4881" s="3">
        <v>18</v>
      </c>
      <c r="F4881" s="4" t="str">
        <f>HYPERLINK("http://141.218.60.56/~jnz1568/getInfo.php?workbook=12_05.xlsx&amp;sheet=U0&amp;row=4881&amp;col=6&amp;number=4.7&amp;sourceID=14","4.7")</f>
        <v>4.7</v>
      </c>
      <c r="G4881" s="4" t="str">
        <f>HYPERLINK("http://141.218.60.56/~jnz1568/getInfo.php?workbook=12_05.xlsx&amp;sheet=U0&amp;row=4881&amp;col=7&amp;number=0.0149&amp;sourceID=14","0.0149")</f>
        <v>0.0149</v>
      </c>
    </row>
    <row r="4882" spans="1:7">
      <c r="A4882" s="3"/>
      <c r="B4882" s="3"/>
      <c r="C4882" s="3"/>
      <c r="D4882" s="3"/>
      <c r="E4882" s="3">
        <v>19</v>
      </c>
      <c r="F4882" s="4" t="str">
        <f>HYPERLINK("http://141.218.60.56/~jnz1568/getInfo.php?workbook=12_05.xlsx&amp;sheet=U0&amp;row=4882&amp;col=6&amp;number=4.8&amp;sourceID=14","4.8")</f>
        <v>4.8</v>
      </c>
      <c r="G4882" s="4" t="str">
        <f>HYPERLINK("http://141.218.60.56/~jnz1568/getInfo.php?workbook=12_05.xlsx&amp;sheet=U0&amp;row=4882&amp;col=7&amp;number=0.0149&amp;sourceID=14","0.0149")</f>
        <v>0.0149</v>
      </c>
    </row>
    <row r="4883" spans="1:7">
      <c r="A4883" s="3"/>
      <c r="B4883" s="3"/>
      <c r="C4883" s="3"/>
      <c r="D4883" s="3"/>
      <c r="E4883" s="3">
        <v>20</v>
      </c>
      <c r="F4883" s="4" t="str">
        <f>HYPERLINK("http://141.218.60.56/~jnz1568/getInfo.php?workbook=12_05.xlsx&amp;sheet=U0&amp;row=4883&amp;col=6&amp;number=4.9&amp;sourceID=14","4.9")</f>
        <v>4.9</v>
      </c>
      <c r="G4883" s="4" t="str">
        <f>HYPERLINK("http://141.218.60.56/~jnz1568/getInfo.php?workbook=12_05.xlsx&amp;sheet=U0&amp;row=4883&amp;col=7&amp;number=0.015&amp;sourceID=14","0.015")</f>
        <v>0.015</v>
      </c>
    </row>
    <row r="4884" spans="1:7">
      <c r="A4884" s="3">
        <v>12</v>
      </c>
      <c r="B4884" s="3">
        <v>5</v>
      </c>
      <c r="C4884" s="3">
        <v>2</v>
      </c>
      <c r="D4884" s="3">
        <v>97</v>
      </c>
      <c r="E4884" s="3">
        <v>1</v>
      </c>
      <c r="F4884" s="4" t="str">
        <f>HYPERLINK("http://141.218.60.56/~jnz1568/getInfo.php?workbook=12_05.xlsx&amp;sheet=U0&amp;row=4884&amp;col=6&amp;number=3&amp;sourceID=14","3")</f>
        <v>3</v>
      </c>
      <c r="G4884" s="4" t="str">
        <f>HYPERLINK("http://141.218.60.56/~jnz1568/getInfo.php?workbook=12_05.xlsx&amp;sheet=U0&amp;row=4884&amp;col=7&amp;number=0.0122&amp;sourceID=14","0.0122")</f>
        <v>0.0122</v>
      </c>
    </row>
    <row r="4885" spans="1:7">
      <c r="A4885" s="3"/>
      <c r="B4885" s="3"/>
      <c r="C4885" s="3"/>
      <c r="D4885" s="3"/>
      <c r="E4885" s="3">
        <v>2</v>
      </c>
      <c r="F4885" s="4" t="str">
        <f>HYPERLINK("http://141.218.60.56/~jnz1568/getInfo.php?workbook=12_05.xlsx&amp;sheet=U0&amp;row=4885&amp;col=6&amp;number=3.1&amp;sourceID=14","3.1")</f>
        <v>3.1</v>
      </c>
      <c r="G4885" s="4" t="str">
        <f>HYPERLINK("http://141.218.60.56/~jnz1568/getInfo.php?workbook=12_05.xlsx&amp;sheet=U0&amp;row=4885&amp;col=7&amp;number=0.0122&amp;sourceID=14","0.0122")</f>
        <v>0.0122</v>
      </c>
    </row>
    <row r="4886" spans="1:7">
      <c r="A4886" s="3"/>
      <c r="B4886" s="3"/>
      <c r="C4886" s="3"/>
      <c r="D4886" s="3"/>
      <c r="E4886" s="3">
        <v>3</v>
      </c>
      <c r="F4886" s="4" t="str">
        <f>HYPERLINK("http://141.218.60.56/~jnz1568/getInfo.php?workbook=12_05.xlsx&amp;sheet=U0&amp;row=4886&amp;col=6&amp;number=3.2&amp;sourceID=14","3.2")</f>
        <v>3.2</v>
      </c>
      <c r="G4886" s="4" t="str">
        <f>HYPERLINK("http://141.218.60.56/~jnz1568/getInfo.php?workbook=12_05.xlsx&amp;sheet=U0&amp;row=4886&amp;col=7&amp;number=0.0122&amp;sourceID=14","0.0122")</f>
        <v>0.0122</v>
      </c>
    </row>
    <row r="4887" spans="1:7">
      <c r="A4887" s="3"/>
      <c r="B4887" s="3"/>
      <c r="C4887" s="3"/>
      <c r="D4887" s="3"/>
      <c r="E4887" s="3">
        <v>4</v>
      </c>
      <c r="F4887" s="4" t="str">
        <f>HYPERLINK("http://141.218.60.56/~jnz1568/getInfo.php?workbook=12_05.xlsx&amp;sheet=U0&amp;row=4887&amp;col=6&amp;number=3.3&amp;sourceID=14","3.3")</f>
        <v>3.3</v>
      </c>
      <c r="G4887" s="4" t="str">
        <f>HYPERLINK("http://141.218.60.56/~jnz1568/getInfo.php?workbook=12_05.xlsx&amp;sheet=U0&amp;row=4887&amp;col=7&amp;number=0.0122&amp;sourceID=14","0.0122")</f>
        <v>0.0122</v>
      </c>
    </row>
    <row r="4888" spans="1:7">
      <c r="A4888" s="3"/>
      <c r="B4888" s="3"/>
      <c r="C4888" s="3"/>
      <c r="D4888" s="3"/>
      <c r="E4888" s="3">
        <v>5</v>
      </c>
      <c r="F4888" s="4" t="str">
        <f>HYPERLINK("http://141.218.60.56/~jnz1568/getInfo.php?workbook=12_05.xlsx&amp;sheet=U0&amp;row=4888&amp;col=6&amp;number=3.4&amp;sourceID=14","3.4")</f>
        <v>3.4</v>
      </c>
      <c r="G4888" s="4" t="str">
        <f>HYPERLINK("http://141.218.60.56/~jnz1568/getInfo.php?workbook=12_05.xlsx&amp;sheet=U0&amp;row=4888&amp;col=7&amp;number=0.0122&amp;sourceID=14","0.0122")</f>
        <v>0.0122</v>
      </c>
    </row>
    <row r="4889" spans="1:7">
      <c r="A4889" s="3"/>
      <c r="B4889" s="3"/>
      <c r="C4889" s="3"/>
      <c r="D4889" s="3"/>
      <c r="E4889" s="3">
        <v>6</v>
      </c>
      <c r="F4889" s="4" t="str">
        <f>HYPERLINK("http://141.218.60.56/~jnz1568/getInfo.php?workbook=12_05.xlsx&amp;sheet=U0&amp;row=4889&amp;col=6&amp;number=3.5&amp;sourceID=14","3.5")</f>
        <v>3.5</v>
      </c>
      <c r="G4889" s="4" t="str">
        <f>HYPERLINK("http://141.218.60.56/~jnz1568/getInfo.php?workbook=12_05.xlsx&amp;sheet=U0&amp;row=4889&amp;col=7&amp;number=0.0122&amp;sourceID=14","0.0122")</f>
        <v>0.0122</v>
      </c>
    </row>
    <row r="4890" spans="1:7">
      <c r="A4890" s="3"/>
      <c r="B4890" s="3"/>
      <c r="C4890" s="3"/>
      <c r="D4890" s="3"/>
      <c r="E4890" s="3">
        <v>7</v>
      </c>
      <c r="F4890" s="4" t="str">
        <f>HYPERLINK("http://141.218.60.56/~jnz1568/getInfo.php?workbook=12_05.xlsx&amp;sheet=U0&amp;row=4890&amp;col=6&amp;number=3.6&amp;sourceID=14","3.6")</f>
        <v>3.6</v>
      </c>
      <c r="G4890" s="4" t="str">
        <f>HYPERLINK("http://141.218.60.56/~jnz1568/getInfo.php?workbook=12_05.xlsx&amp;sheet=U0&amp;row=4890&amp;col=7&amp;number=0.0122&amp;sourceID=14","0.0122")</f>
        <v>0.0122</v>
      </c>
    </row>
    <row r="4891" spans="1:7">
      <c r="A4891" s="3"/>
      <c r="B4891" s="3"/>
      <c r="C4891" s="3"/>
      <c r="D4891" s="3"/>
      <c r="E4891" s="3">
        <v>8</v>
      </c>
      <c r="F4891" s="4" t="str">
        <f>HYPERLINK("http://141.218.60.56/~jnz1568/getInfo.php?workbook=12_05.xlsx&amp;sheet=U0&amp;row=4891&amp;col=6&amp;number=3.7&amp;sourceID=14","3.7")</f>
        <v>3.7</v>
      </c>
      <c r="G4891" s="4" t="str">
        <f>HYPERLINK("http://141.218.60.56/~jnz1568/getInfo.php?workbook=12_05.xlsx&amp;sheet=U0&amp;row=4891&amp;col=7&amp;number=0.0122&amp;sourceID=14","0.0122")</f>
        <v>0.0122</v>
      </c>
    </row>
    <row r="4892" spans="1:7">
      <c r="A4892" s="3"/>
      <c r="B4892" s="3"/>
      <c r="C4892" s="3"/>
      <c r="D4892" s="3"/>
      <c r="E4892" s="3">
        <v>9</v>
      </c>
      <c r="F4892" s="4" t="str">
        <f>HYPERLINK("http://141.218.60.56/~jnz1568/getInfo.php?workbook=12_05.xlsx&amp;sheet=U0&amp;row=4892&amp;col=6&amp;number=3.8&amp;sourceID=14","3.8")</f>
        <v>3.8</v>
      </c>
      <c r="G4892" s="4" t="str">
        <f>HYPERLINK("http://141.218.60.56/~jnz1568/getInfo.php?workbook=12_05.xlsx&amp;sheet=U0&amp;row=4892&amp;col=7&amp;number=0.0122&amp;sourceID=14","0.0122")</f>
        <v>0.0122</v>
      </c>
    </row>
    <row r="4893" spans="1:7">
      <c r="A4893" s="3"/>
      <c r="B4893" s="3"/>
      <c r="C4893" s="3"/>
      <c r="D4893" s="3"/>
      <c r="E4893" s="3">
        <v>10</v>
      </c>
      <c r="F4893" s="4" t="str">
        <f>HYPERLINK("http://141.218.60.56/~jnz1568/getInfo.php?workbook=12_05.xlsx&amp;sheet=U0&amp;row=4893&amp;col=6&amp;number=3.9&amp;sourceID=14","3.9")</f>
        <v>3.9</v>
      </c>
      <c r="G4893" s="4" t="str">
        <f>HYPERLINK("http://141.218.60.56/~jnz1568/getInfo.php?workbook=12_05.xlsx&amp;sheet=U0&amp;row=4893&amp;col=7&amp;number=0.0122&amp;sourceID=14","0.0122")</f>
        <v>0.0122</v>
      </c>
    </row>
    <row r="4894" spans="1:7">
      <c r="A4894" s="3"/>
      <c r="B4894" s="3"/>
      <c r="C4894" s="3"/>
      <c r="D4894" s="3"/>
      <c r="E4894" s="3">
        <v>11</v>
      </c>
      <c r="F4894" s="4" t="str">
        <f>HYPERLINK("http://141.218.60.56/~jnz1568/getInfo.php?workbook=12_05.xlsx&amp;sheet=U0&amp;row=4894&amp;col=6&amp;number=4&amp;sourceID=14","4")</f>
        <v>4</v>
      </c>
      <c r="G4894" s="4" t="str">
        <f>HYPERLINK("http://141.218.60.56/~jnz1568/getInfo.php?workbook=12_05.xlsx&amp;sheet=U0&amp;row=4894&amp;col=7&amp;number=0.0122&amp;sourceID=14","0.0122")</f>
        <v>0.0122</v>
      </c>
    </row>
    <row r="4895" spans="1:7">
      <c r="A4895" s="3"/>
      <c r="B4895" s="3"/>
      <c r="C4895" s="3"/>
      <c r="D4895" s="3"/>
      <c r="E4895" s="3">
        <v>12</v>
      </c>
      <c r="F4895" s="4" t="str">
        <f>HYPERLINK("http://141.218.60.56/~jnz1568/getInfo.php?workbook=12_05.xlsx&amp;sheet=U0&amp;row=4895&amp;col=6&amp;number=4.1&amp;sourceID=14","4.1")</f>
        <v>4.1</v>
      </c>
      <c r="G4895" s="4" t="str">
        <f>HYPERLINK("http://141.218.60.56/~jnz1568/getInfo.php?workbook=12_05.xlsx&amp;sheet=U0&amp;row=4895&amp;col=7&amp;number=0.0122&amp;sourceID=14","0.0122")</f>
        <v>0.0122</v>
      </c>
    </row>
    <row r="4896" spans="1:7">
      <c r="A4896" s="3"/>
      <c r="B4896" s="3"/>
      <c r="C4896" s="3"/>
      <c r="D4896" s="3"/>
      <c r="E4896" s="3">
        <v>13</v>
      </c>
      <c r="F4896" s="4" t="str">
        <f>HYPERLINK("http://141.218.60.56/~jnz1568/getInfo.php?workbook=12_05.xlsx&amp;sheet=U0&amp;row=4896&amp;col=6&amp;number=4.2&amp;sourceID=14","4.2")</f>
        <v>4.2</v>
      </c>
      <c r="G4896" s="4" t="str">
        <f>HYPERLINK("http://141.218.60.56/~jnz1568/getInfo.php?workbook=12_05.xlsx&amp;sheet=U0&amp;row=4896&amp;col=7&amp;number=0.0122&amp;sourceID=14","0.0122")</f>
        <v>0.0122</v>
      </c>
    </row>
    <row r="4897" spans="1:7">
      <c r="A4897" s="3"/>
      <c r="B4897" s="3"/>
      <c r="C4897" s="3"/>
      <c r="D4897" s="3"/>
      <c r="E4897" s="3">
        <v>14</v>
      </c>
      <c r="F4897" s="4" t="str">
        <f>HYPERLINK("http://141.218.60.56/~jnz1568/getInfo.php?workbook=12_05.xlsx&amp;sheet=U0&amp;row=4897&amp;col=6&amp;number=4.3&amp;sourceID=14","4.3")</f>
        <v>4.3</v>
      </c>
      <c r="G4897" s="4" t="str">
        <f>HYPERLINK("http://141.218.60.56/~jnz1568/getInfo.php?workbook=12_05.xlsx&amp;sheet=U0&amp;row=4897&amp;col=7&amp;number=0.0122&amp;sourceID=14","0.0122")</f>
        <v>0.0122</v>
      </c>
    </row>
    <row r="4898" spans="1:7">
      <c r="A4898" s="3"/>
      <c r="B4898" s="3"/>
      <c r="C4898" s="3"/>
      <c r="D4898" s="3"/>
      <c r="E4898" s="3">
        <v>15</v>
      </c>
      <c r="F4898" s="4" t="str">
        <f>HYPERLINK("http://141.218.60.56/~jnz1568/getInfo.php?workbook=12_05.xlsx&amp;sheet=U0&amp;row=4898&amp;col=6&amp;number=4.4&amp;sourceID=14","4.4")</f>
        <v>4.4</v>
      </c>
      <c r="G4898" s="4" t="str">
        <f>HYPERLINK("http://141.218.60.56/~jnz1568/getInfo.php?workbook=12_05.xlsx&amp;sheet=U0&amp;row=4898&amp;col=7&amp;number=0.0122&amp;sourceID=14","0.0122")</f>
        <v>0.0122</v>
      </c>
    </row>
    <row r="4899" spans="1:7">
      <c r="A4899" s="3"/>
      <c r="B4899" s="3"/>
      <c r="C4899" s="3"/>
      <c r="D4899" s="3"/>
      <c r="E4899" s="3">
        <v>16</v>
      </c>
      <c r="F4899" s="4" t="str">
        <f>HYPERLINK("http://141.218.60.56/~jnz1568/getInfo.php?workbook=12_05.xlsx&amp;sheet=U0&amp;row=4899&amp;col=6&amp;number=4.5&amp;sourceID=14","4.5")</f>
        <v>4.5</v>
      </c>
      <c r="G4899" s="4" t="str">
        <f>HYPERLINK("http://141.218.60.56/~jnz1568/getInfo.php?workbook=12_05.xlsx&amp;sheet=U0&amp;row=4899&amp;col=7&amp;number=0.0122&amp;sourceID=14","0.0122")</f>
        <v>0.0122</v>
      </c>
    </row>
    <row r="4900" spans="1:7">
      <c r="A4900" s="3"/>
      <c r="B4900" s="3"/>
      <c r="C4900" s="3"/>
      <c r="D4900" s="3"/>
      <c r="E4900" s="3">
        <v>17</v>
      </c>
      <c r="F4900" s="4" t="str">
        <f>HYPERLINK("http://141.218.60.56/~jnz1568/getInfo.php?workbook=12_05.xlsx&amp;sheet=U0&amp;row=4900&amp;col=6&amp;number=4.6&amp;sourceID=14","4.6")</f>
        <v>4.6</v>
      </c>
      <c r="G4900" s="4" t="str">
        <f>HYPERLINK("http://141.218.60.56/~jnz1568/getInfo.php?workbook=12_05.xlsx&amp;sheet=U0&amp;row=4900&amp;col=7&amp;number=0.0122&amp;sourceID=14","0.0122")</f>
        <v>0.0122</v>
      </c>
    </row>
    <row r="4901" spans="1:7">
      <c r="A4901" s="3"/>
      <c r="B4901" s="3"/>
      <c r="C4901" s="3"/>
      <c r="D4901" s="3"/>
      <c r="E4901" s="3">
        <v>18</v>
      </c>
      <c r="F4901" s="4" t="str">
        <f>HYPERLINK("http://141.218.60.56/~jnz1568/getInfo.php?workbook=12_05.xlsx&amp;sheet=U0&amp;row=4901&amp;col=6&amp;number=4.7&amp;sourceID=14","4.7")</f>
        <v>4.7</v>
      </c>
      <c r="G4901" s="4" t="str">
        <f>HYPERLINK("http://141.218.60.56/~jnz1568/getInfo.php?workbook=12_05.xlsx&amp;sheet=U0&amp;row=4901&amp;col=7&amp;number=0.0122&amp;sourceID=14","0.0122")</f>
        <v>0.0122</v>
      </c>
    </row>
    <row r="4902" spans="1:7">
      <c r="A4902" s="3"/>
      <c r="B4902" s="3"/>
      <c r="C4902" s="3"/>
      <c r="D4902" s="3"/>
      <c r="E4902" s="3">
        <v>19</v>
      </c>
      <c r="F4902" s="4" t="str">
        <f>HYPERLINK("http://141.218.60.56/~jnz1568/getInfo.php?workbook=12_05.xlsx&amp;sheet=U0&amp;row=4902&amp;col=6&amp;number=4.8&amp;sourceID=14","4.8")</f>
        <v>4.8</v>
      </c>
      <c r="G4902" s="4" t="str">
        <f>HYPERLINK("http://141.218.60.56/~jnz1568/getInfo.php?workbook=12_05.xlsx&amp;sheet=U0&amp;row=4902&amp;col=7&amp;number=0.0122&amp;sourceID=14","0.0122")</f>
        <v>0.0122</v>
      </c>
    </row>
    <row r="4903" spans="1:7">
      <c r="A4903" s="3"/>
      <c r="B4903" s="3"/>
      <c r="C4903" s="3"/>
      <c r="D4903" s="3"/>
      <c r="E4903" s="3">
        <v>20</v>
      </c>
      <c r="F4903" s="4" t="str">
        <f>HYPERLINK("http://141.218.60.56/~jnz1568/getInfo.php?workbook=12_05.xlsx&amp;sheet=U0&amp;row=4903&amp;col=6&amp;number=4.9&amp;sourceID=14","4.9")</f>
        <v>4.9</v>
      </c>
      <c r="G4903" s="4" t="str">
        <f>HYPERLINK("http://141.218.60.56/~jnz1568/getInfo.php?workbook=12_05.xlsx&amp;sheet=U0&amp;row=4903&amp;col=7&amp;number=0.0122&amp;sourceID=14","0.0122")</f>
        <v>0.0122</v>
      </c>
    </row>
    <row r="4904" spans="1:7">
      <c r="A4904" s="3">
        <v>12</v>
      </c>
      <c r="B4904" s="3">
        <v>5</v>
      </c>
      <c r="C4904" s="3">
        <v>2</v>
      </c>
      <c r="D4904" s="3">
        <v>98</v>
      </c>
      <c r="E4904" s="3">
        <v>1</v>
      </c>
      <c r="F4904" s="4" t="str">
        <f>HYPERLINK("http://141.218.60.56/~jnz1568/getInfo.php?workbook=12_05.xlsx&amp;sheet=U0&amp;row=4904&amp;col=6&amp;number=3&amp;sourceID=14","3")</f>
        <v>3</v>
      </c>
      <c r="G4904" s="4" t="str">
        <f>HYPERLINK("http://141.218.60.56/~jnz1568/getInfo.php?workbook=12_05.xlsx&amp;sheet=U0&amp;row=4904&amp;col=7&amp;number=0.000273&amp;sourceID=14","0.000273")</f>
        <v>0.000273</v>
      </c>
    </row>
    <row r="4905" spans="1:7">
      <c r="A4905" s="3"/>
      <c r="B4905" s="3"/>
      <c r="C4905" s="3"/>
      <c r="D4905" s="3"/>
      <c r="E4905" s="3">
        <v>2</v>
      </c>
      <c r="F4905" s="4" t="str">
        <f>HYPERLINK("http://141.218.60.56/~jnz1568/getInfo.php?workbook=12_05.xlsx&amp;sheet=U0&amp;row=4905&amp;col=6&amp;number=3.1&amp;sourceID=14","3.1")</f>
        <v>3.1</v>
      </c>
      <c r="G4905" s="4" t="str">
        <f>HYPERLINK("http://141.218.60.56/~jnz1568/getInfo.php?workbook=12_05.xlsx&amp;sheet=U0&amp;row=4905&amp;col=7&amp;number=0.000273&amp;sourceID=14","0.000273")</f>
        <v>0.000273</v>
      </c>
    </row>
    <row r="4906" spans="1:7">
      <c r="A4906" s="3"/>
      <c r="B4906" s="3"/>
      <c r="C4906" s="3"/>
      <c r="D4906" s="3"/>
      <c r="E4906" s="3">
        <v>3</v>
      </c>
      <c r="F4906" s="4" t="str">
        <f>HYPERLINK("http://141.218.60.56/~jnz1568/getInfo.php?workbook=12_05.xlsx&amp;sheet=U0&amp;row=4906&amp;col=6&amp;number=3.2&amp;sourceID=14","3.2")</f>
        <v>3.2</v>
      </c>
      <c r="G4906" s="4" t="str">
        <f>HYPERLINK("http://141.218.60.56/~jnz1568/getInfo.php?workbook=12_05.xlsx&amp;sheet=U0&amp;row=4906&amp;col=7&amp;number=0.000273&amp;sourceID=14","0.000273")</f>
        <v>0.000273</v>
      </c>
    </row>
    <row r="4907" spans="1:7">
      <c r="A4907" s="3"/>
      <c r="B4907" s="3"/>
      <c r="C4907" s="3"/>
      <c r="D4907" s="3"/>
      <c r="E4907" s="3">
        <v>4</v>
      </c>
      <c r="F4907" s="4" t="str">
        <f>HYPERLINK("http://141.218.60.56/~jnz1568/getInfo.php?workbook=12_05.xlsx&amp;sheet=U0&amp;row=4907&amp;col=6&amp;number=3.3&amp;sourceID=14","3.3")</f>
        <v>3.3</v>
      </c>
      <c r="G4907" s="4" t="str">
        <f>HYPERLINK("http://141.218.60.56/~jnz1568/getInfo.php?workbook=12_05.xlsx&amp;sheet=U0&amp;row=4907&amp;col=7&amp;number=0.000273&amp;sourceID=14","0.000273")</f>
        <v>0.000273</v>
      </c>
    </row>
    <row r="4908" spans="1:7">
      <c r="A4908" s="3"/>
      <c r="B4908" s="3"/>
      <c r="C4908" s="3"/>
      <c r="D4908" s="3"/>
      <c r="E4908" s="3">
        <v>5</v>
      </c>
      <c r="F4908" s="4" t="str">
        <f>HYPERLINK("http://141.218.60.56/~jnz1568/getInfo.php?workbook=12_05.xlsx&amp;sheet=U0&amp;row=4908&amp;col=6&amp;number=3.4&amp;sourceID=14","3.4")</f>
        <v>3.4</v>
      </c>
      <c r="G4908" s="4" t="str">
        <f>HYPERLINK("http://141.218.60.56/~jnz1568/getInfo.php?workbook=12_05.xlsx&amp;sheet=U0&amp;row=4908&amp;col=7&amp;number=0.000273&amp;sourceID=14","0.000273")</f>
        <v>0.000273</v>
      </c>
    </row>
    <row r="4909" spans="1:7">
      <c r="A4909" s="3"/>
      <c r="B4909" s="3"/>
      <c r="C4909" s="3"/>
      <c r="D4909" s="3"/>
      <c r="E4909" s="3">
        <v>6</v>
      </c>
      <c r="F4909" s="4" t="str">
        <f>HYPERLINK("http://141.218.60.56/~jnz1568/getInfo.php?workbook=12_05.xlsx&amp;sheet=U0&amp;row=4909&amp;col=6&amp;number=3.5&amp;sourceID=14","3.5")</f>
        <v>3.5</v>
      </c>
      <c r="G4909" s="4" t="str">
        <f>HYPERLINK("http://141.218.60.56/~jnz1568/getInfo.php?workbook=12_05.xlsx&amp;sheet=U0&amp;row=4909&amp;col=7&amp;number=0.000273&amp;sourceID=14","0.000273")</f>
        <v>0.000273</v>
      </c>
    </row>
    <row r="4910" spans="1:7">
      <c r="A4910" s="3"/>
      <c r="B4910" s="3"/>
      <c r="C4910" s="3"/>
      <c r="D4910" s="3"/>
      <c r="E4910" s="3">
        <v>7</v>
      </c>
      <c r="F4910" s="4" t="str">
        <f>HYPERLINK("http://141.218.60.56/~jnz1568/getInfo.php?workbook=12_05.xlsx&amp;sheet=U0&amp;row=4910&amp;col=6&amp;number=3.6&amp;sourceID=14","3.6")</f>
        <v>3.6</v>
      </c>
      <c r="G4910" s="4" t="str">
        <f>HYPERLINK("http://141.218.60.56/~jnz1568/getInfo.php?workbook=12_05.xlsx&amp;sheet=U0&amp;row=4910&amp;col=7&amp;number=0.000272&amp;sourceID=14","0.000272")</f>
        <v>0.000272</v>
      </c>
    </row>
    <row r="4911" spans="1:7">
      <c r="A4911" s="3"/>
      <c r="B4911" s="3"/>
      <c r="C4911" s="3"/>
      <c r="D4911" s="3"/>
      <c r="E4911" s="3">
        <v>8</v>
      </c>
      <c r="F4911" s="4" t="str">
        <f>HYPERLINK("http://141.218.60.56/~jnz1568/getInfo.php?workbook=12_05.xlsx&amp;sheet=U0&amp;row=4911&amp;col=6&amp;number=3.7&amp;sourceID=14","3.7")</f>
        <v>3.7</v>
      </c>
      <c r="G4911" s="4" t="str">
        <f>HYPERLINK("http://141.218.60.56/~jnz1568/getInfo.php?workbook=12_05.xlsx&amp;sheet=U0&amp;row=4911&amp;col=7&amp;number=0.000272&amp;sourceID=14","0.000272")</f>
        <v>0.000272</v>
      </c>
    </row>
    <row r="4912" spans="1:7">
      <c r="A4912" s="3"/>
      <c r="B4912" s="3"/>
      <c r="C4912" s="3"/>
      <c r="D4912" s="3"/>
      <c r="E4912" s="3">
        <v>9</v>
      </c>
      <c r="F4912" s="4" t="str">
        <f>HYPERLINK("http://141.218.60.56/~jnz1568/getInfo.php?workbook=12_05.xlsx&amp;sheet=U0&amp;row=4912&amp;col=6&amp;number=3.8&amp;sourceID=14","3.8")</f>
        <v>3.8</v>
      </c>
      <c r="G4912" s="4" t="str">
        <f>HYPERLINK("http://141.218.60.56/~jnz1568/getInfo.php?workbook=12_05.xlsx&amp;sheet=U0&amp;row=4912&amp;col=7&amp;number=0.000272&amp;sourceID=14","0.000272")</f>
        <v>0.000272</v>
      </c>
    </row>
    <row r="4913" spans="1:7">
      <c r="A4913" s="3"/>
      <c r="B4913" s="3"/>
      <c r="C4913" s="3"/>
      <c r="D4913" s="3"/>
      <c r="E4913" s="3">
        <v>10</v>
      </c>
      <c r="F4913" s="4" t="str">
        <f>HYPERLINK("http://141.218.60.56/~jnz1568/getInfo.php?workbook=12_05.xlsx&amp;sheet=U0&amp;row=4913&amp;col=6&amp;number=3.9&amp;sourceID=14","3.9")</f>
        <v>3.9</v>
      </c>
      <c r="G4913" s="4" t="str">
        <f>HYPERLINK("http://141.218.60.56/~jnz1568/getInfo.php?workbook=12_05.xlsx&amp;sheet=U0&amp;row=4913&amp;col=7&amp;number=0.000271&amp;sourceID=14","0.000271")</f>
        <v>0.000271</v>
      </c>
    </row>
    <row r="4914" spans="1:7">
      <c r="A4914" s="3"/>
      <c r="B4914" s="3"/>
      <c r="C4914" s="3"/>
      <c r="D4914" s="3"/>
      <c r="E4914" s="3">
        <v>11</v>
      </c>
      <c r="F4914" s="4" t="str">
        <f>HYPERLINK("http://141.218.60.56/~jnz1568/getInfo.php?workbook=12_05.xlsx&amp;sheet=U0&amp;row=4914&amp;col=6&amp;number=4&amp;sourceID=14","4")</f>
        <v>4</v>
      </c>
      <c r="G4914" s="4" t="str">
        <f>HYPERLINK("http://141.218.60.56/~jnz1568/getInfo.php?workbook=12_05.xlsx&amp;sheet=U0&amp;row=4914&amp;col=7&amp;number=0.000271&amp;sourceID=14","0.000271")</f>
        <v>0.000271</v>
      </c>
    </row>
    <row r="4915" spans="1:7">
      <c r="A4915" s="3"/>
      <c r="B4915" s="3"/>
      <c r="C4915" s="3"/>
      <c r="D4915" s="3"/>
      <c r="E4915" s="3">
        <v>12</v>
      </c>
      <c r="F4915" s="4" t="str">
        <f>HYPERLINK("http://141.218.60.56/~jnz1568/getInfo.php?workbook=12_05.xlsx&amp;sheet=U0&amp;row=4915&amp;col=6&amp;number=4.1&amp;sourceID=14","4.1")</f>
        <v>4.1</v>
      </c>
      <c r="G4915" s="4" t="str">
        <f>HYPERLINK("http://141.218.60.56/~jnz1568/getInfo.php?workbook=12_05.xlsx&amp;sheet=U0&amp;row=4915&amp;col=7&amp;number=0.00027&amp;sourceID=14","0.00027")</f>
        <v>0.00027</v>
      </c>
    </row>
    <row r="4916" spans="1:7">
      <c r="A4916" s="3"/>
      <c r="B4916" s="3"/>
      <c r="C4916" s="3"/>
      <c r="D4916" s="3"/>
      <c r="E4916" s="3">
        <v>13</v>
      </c>
      <c r="F4916" s="4" t="str">
        <f>HYPERLINK("http://141.218.60.56/~jnz1568/getInfo.php?workbook=12_05.xlsx&amp;sheet=U0&amp;row=4916&amp;col=6&amp;number=4.2&amp;sourceID=14","4.2")</f>
        <v>4.2</v>
      </c>
      <c r="G4916" s="4" t="str">
        <f>HYPERLINK("http://141.218.60.56/~jnz1568/getInfo.php?workbook=12_05.xlsx&amp;sheet=U0&amp;row=4916&amp;col=7&amp;number=0.00027&amp;sourceID=14","0.00027")</f>
        <v>0.00027</v>
      </c>
    </row>
    <row r="4917" spans="1:7">
      <c r="A4917" s="3"/>
      <c r="B4917" s="3"/>
      <c r="C4917" s="3"/>
      <c r="D4917" s="3"/>
      <c r="E4917" s="3">
        <v>14</v>
      </c>
      <c r="F4917" s="4" t="str">
        <f>HYPERLINK("http://141.218.60.56/~jnz1568/getInfo.php?workbook=12_05.xlsx&amp;sheet=U0&amp;row=4917&amp;col=6&amp;number=4.3&amp;sourceID=14","4.3")</f>
        <v>4.3</v>
      </c>
      <c r="G4917" s="4" t="str">
        <f>HYPERLINK("http://141.218.60.56/~jnz1568/getInfo.php?workbook=12_05.xlsx&amp;sheet=U0&amp;row=4917&amp;col=7&amp;number=0.000269&amp;sourceID=14","0.000269")</f>
        <v>0.000269</v>
      </c>
    </row>
    <row r="4918" spans="1:7">
      <c r="A4918" s="3"/>
      <c r="B4918" s="3"/>
      <c r="C4918" s="3"/>
      <c r="D4918" s="3"/>
      <c r="E4918" s="3">
        <v>15</v>
      </c>
      <c r="F4918" s="4" t="str">
        <f>HYPERLINK("http://141.218.60.56/~jnz1568/getInfo.php?workbook=12_05.xlsx&amp;sheet=U0&amp;row=4918&amp;col=6&amp;number=4.4&amp;sourceID=14","4.4")</f>
        <v>4.4</v>
      </c>
      <c r="G4918" s="4" t="str">
        <f>HYPERLINK("http://141.218.60.56/~jnz1568/getInfo.php?workbook=12_05.xlsx&amp;sheet=U0&amp;row=4918&amp;col=7&amp;number=0.000268&amp;sourceID=14","0.000268")</f>
        <v>0.000268</v>
      </c>
    </row>
    <row r="4919" spans="1:7">
      <c r="A4919" s="3"/>
      <c r="B4919" s="3"/>
      <c r="C4919" s="3"/>
      <c r="D4919" s="3"/>
      <c r="E4919" s="3">
        <v>16</v>
      </c>
      <c r="F4919" s="4" t="str">
        <f>HYPERLINK("http://141.218.60.56/~jnz1568/getInfo.php?workbook=12_05.xlsx&amp;sheet=U0&amp;row=4919&amp;col=6&amp;number=4.5&amp;sourceID=14","4.5")</f>
        <v>4.5</v>
      </c>
      <c r="G4919" s="4" t="str">
        <f>HYPERLINK("http://141.218.60.56/~jnz1568/getInfo.php?workbook=12_05.xlsx&amp;sheet=U0&amp;row=4919&amp;col=7&amp;number=0.000266&amp;sourceID=14","0.000266")</f>
        <v>0.000266</v>
      </c>
    </row>
    <row r="4920" spans="1:7">
      <c r="A4920" s="3"/>
      <c r="B4920" s="3"/>
      <c r="C4920" s="3"/>
      <c r="D4920" s="3"/>
      <c r="E4920" s="3">
        <v>17</v>
      </c>
      <c r="F4920" s="4" t="str">
        <f>HYPERLINK("http://141.218.60.56/~jnz1568/getInfo.php?workbook=12_05.xlsx&amp;sheet=U0&amp;row=4920&amp;col=6&amp;number=4.6&amp;sourceID=14","4.6")</f>
        <v>4.6</v>
      </c>
      <c r="G4920" s="4" t="str">
        <f>HYPERLINK("http://141.218.60.56/~jnz1568/getInfo.php?workbook=12_05.xlsx&amp;sheet=U0&amp;row=4920&amp;col=7&amp;number=0.000265&amp;sourceID=14","0.000265")</f>
        <v>0.000265</v>
      </c>
    </row>
    <row r="4921" spans="1:7">
      <c r="A4921" s="3"/>
      <c r="B4921" s="3"/>
      <c r="C4921" s="3"/>
      <c r="D4921" s="3"/>
      <c r="E4921" s="3">
        <v>18</v>
      </c>
      <c r="F4921" s="4" t="str">
        <f>HYPERLINK("http://141.218.60.56/~jnz1568/getInfo.php?workbook=12_05.xlsx&amp;sheet=U0&amp;row=4921&amp;col=6&amp;number=4.7&amp;sourceID=14","4.7")</f>
        <v>4.7</v>
      </c>
      <c r="G4921" s="4" t="str">
        <f>HYPERLINK("http://141.218.60.56/~jnz1568/getInfo.php?workbook=12_05.xlsx&amp;sheet=U0&amp;row=4921&amp;col=7&amp;number=0.000263&amp;sourceID=14","0.000263")</f>
        <v>0.000263</v>
      </c>
    </row>
    <row r="4922" spans="1:7">
      <c r="A4922" s="3"/>
      <c r="B4922" s="3"/>
      <c r="C4922" s="3"/>
      <c r="D4922" s="3"/>
      <c r="E4922" s="3">
        <v>19</v>
      </c>
      <c r="F4922" s="4" t="str">
        <f>HYPERLINK("http://141.218.60.56/~jnz1568/getInfo.php?workbook=12_05.xlsx&amp;sheet=U0&amp;row=4922&amp;col=6&amp;number=4.8&amp;sourceID=14","4.8")</f>
        <v>4.8</v>
      </c>
      <c r="G4922" s="4" t="str">
        <f>HYPERLINK("http://141.218.60.56/~jnz1568/getInfo.php?workbook=12_05.xlsx&amp;sheet=U0&amp;row=4922&amp;col=7&amp;number=0.00026&amp;sourceID=14","0.00026")</f>
        <v>0.00026</v>
      </c>
    </row>
    <row r="4923" spans="1:7">
      <c r="A4923" s="3"/>
      <c r="B4923" s="3"/>
      <c r="C4923" s="3"/>
      <c r="D4923" s="3"/>
      <c r="E4923" s="3">
        <v>20</v>
      </c>
      <c r="F4923" s="4" t="str">
        <f>HYPERLINK("http://141.218.60.56/~jnz1568/getInfo.php?workbook=12_05.xlsx&amp;sheet=U0&amp;row=4923&amp;col=6&amp;number=4.9&amp;sourceID=14","4.9")</f>
        <v>4.9</v>
      </c>
      <c r="G4923" s="4" t="str">
        <f>HYPERLINK("http://141.218.60.56/~jnz1568/getInfo.php?workbook=12_05.xlsx&amp;sheet=U0&amp;row=4923&amp;col=7&amp;number=0.000257&amp;sourceID=14","0.000257")</f>
        <v>0.000257</v>
      </c>
    </row>
    <row r="4924" spans="1:7">
      <c r="A4924" s="3">
        <v>12</v>
      </c>
      <c r="B4924" s="3">
        <v>5</v>
      </c>
      <c r="C4924" s="3">
        <v>2</v>
      </c>
      <c r="D4924" s="3">
        <v>99</v>
      </c>
      <c r="E4924" s="3">
        <v>1</v>
      </c>
      <c r="F4924" s="4" t="str">
        <f>HYPERLINK("http://141.218.60.56/~jnz1568/getInfo.php?workbook=12_05.xlsx&amp;sheet=U0&amp;row=4924&amp;col=6&amp;number=3&amp;sourceID=14","3")</f>
        <v>3</v>
      </c>
      <c r="G4924" s="4" t="str">
        <f>HYPERLINK("http://141.218.60.56/~jnz1568/getInfo.php?workbook=12_05.xlsx&amp;sheet=U0&amp;row=4924&amp;col=7&amp;number=0.00029&amp;sourceID=14","0.00029")</f>
        <v>0.00029</v>
      </c>
    </row>
    <row r="4925" spans="1:7">
      <c r="A4925" s="3"/>
      <c r="B4925" s="3"/>
      <c r="C4925" s="3"/>
      <c r="D4925" s="3"/>
      <c r="E4925" s="3">
        <v>2</v>
      </c>
      <c r="F4925" s="4" t="str">
        <f>HYPERLINK("http://141.218.60.56/~jnz1568/getInfo.php?workbook=12_05.xlsx&amp;sheet=U0&amp;row=4925&amp;col=6&amp;number=3.1&amp;sourceID=14","3.1")</f>
        <v>3.1</v>
      </c>
      <c r="G4925" s="4" t="str">
        <f>HYPERLINK("http://141.218.60.56/~jnz1568/getInfo.php?workbook=12_05.xlsx&amp;sheet=U0&amp;row=4925&amp;col=7&amp;number=0.00029&amp;sourceID=14","0.00029")</f>
        <v>0.00029</v>
      </c>
    </row>
    <row r="4926" spans="1:7">
      <c r="A4926" s="3"/>
      <c r="B4926" s="3"/>
      <c r="C4926" s="3"/>
      <c r="D4926" s="3"/>
      <c r="E4926" s="3">
        <v>3</v>
      </c>
      <c r="F4926" s="4" t="str">
        <f>HYPERLINK("http://141.218.60.56/~jnz1568/getInfo.php?workbook=12_05.xlsx&amp;sheet=U0&amp;row=4926&amp;col=6&amp;number=3.2&amp;sourceID=14","3.2")</f>
        <v>3.2</v>
      </c>
      <c r="G4926" s="4" t="str">
        <f>HYPERLINK("http://141.218.60.56/~jnz1568/getInfo.php?workbook=12_05.xlsx&amp;sheet=U0&amp;row=4926&amp;col=7&amp;number=0.00029&amp;sourceID=14","0.00029")</f>
        <v>0.00029</v>
      </c>
    </row>
    <row r="4927" spans="1:7">
      <c r="A4927" s="3"/>
      <c r="B4927" s="3"/>
      <c r="C4927" s="3"/>
      <c r="D4927" s="3"/>
      <c r="E4927" s="3">
        <v>4</v>
      </c>
      <c r="F4927" s="4" t="str">
        <f>HYPERLINK("http://141.218.60.56/~jnz1568/getInfo.php?workbook=12_05.xlsx&amp;sheet=U0&amp;row=4927&amp;col=6&amp;number=3.3&amp;sourceID=14","3.3")</f>
        <v>3.3</v>
      </c>
      <c r="G4927" s="4" t="str">
        <f>HYPERLINK("http://141.218.60.56/~jnz1568/getInfo.php?workbook=12_05.xlsx&amp;sheet=U0&amp;row=4927&amp;col=7&amp;number=0.00029&amp;sourceID=14","0.00029")</f>
        <v>0.00029</v>
      </c>
    </row>
    <row r="4928" spans="1:7">
      <c r="A4928" s="3"/>
      <c r="B4928" s="3"/>
      <c r="C4928" s="3"/>
      <c r="D4928" s="3"/>
      <c r="E4928" s="3">
        <v>5</v>
      </c>
      <c r="F4928" s="4" t="str">
        <f>HYPERLINK("http://141.218.60.56/~jnz1568/getInfo.php?workbook=12_05.xlsx&amp;sheet=U0&amp;row=4928&amp;col=6&amp;number=3.4&amp;sourceID=14","3.4")</f>
        <v>3.4</v>
      </c>
      <c r="G4928" s="4" t="str">
        <f>HYPERLINK("http://141.218.60.56/~jnz1568/getInfo.php?workbook=12_05.xlsx&amp;sheet=U0&amp;row=4928&amp;col=7&amp;number=0.00029&amp;sourceID=14","0.00029")</f>
        <v>0.00029</v>
      </c>
    </row>
    <row r="4929" spans="1:7">
      <c r="A4929" s="3"/>
      <c r="B4929" s="3"/>
      <c r="C4929" s="3"/>
      <c r="D4929" s="3"/>
      <c r="E4929" s="3">
        <v>6</v>
      </c>
      <c r="F4929" s="4" t="str">
        <f>HYPERLINK("http://141.218.60.56/~jnz1568/getInfo.php?workbook=12_05.xlsx&amp;sheet=U0&amp;row=4929&amp;col=6&amp;number=3.5&amp;sourceID=14","3.5")</f>
        <v>3.5</v>
      </c>
      <c r="G4929" s="4" t="str">
        <f>HYPERLINK("http://141.218.60.56/~jnz1568/getInfo.php?workbook=12_05.xlsx&amp;sheet=U0&amp;row=4929&amp;col=7&amp;number=0.00029&amp;sourceID=14","0.00029")</f>
        <v>0.00029</v>
      </c>
    </row>
    <row r="4930" spans="1:7">
      <c r="A4930" s="3"/>
      <c r="B4930" s="3"/>
      <c r="C4930" s="3"/>
      <c r="D4930" s="3"/>
      <c r="E4930" s="3">
        <v>7</v>
      </c>
      <c r="F4930" s="4" t="str">
        <f>HYPERLINK("http://141.218.60.56/~jnz1568/getInfo.php?workbook=12_05.xlsx&amp;sheet=U0&amp;row=4930&amp;col=6&amp;number=3.6&amp;sourceID=14","3.6")</f>
        <v>3.6</v>
      </c>
      <c r="G4930" s="4" t="str">
        <f>HYPERLINK("http://141.218.60.56/~jnz1568/getInfo.php?workbook=12_05.xlsx&amp;sheet=U0&amp;row=4930&amp;col=7&amp;number=0.00029&amp;sourceID=14","0.00029")</f>
        <v>0.00029</v>
      </c>
    </row>
    <row r="4931" spans="1:7">
      <c r="A4931" s="3"/>
      <c r="B4931" s="3"/>
      <c r="C4931" s="3"/>
      <c r="D4931" s="3"/>
      <c r="E4931" s="3">
        <v>8</v>
      </c>
      <c r="F4931" s="4" t="str">
        <f>HYPERLINK("http://141.218.60.56/~jnz1568/getInfo.php?workbook=12_05.xlsx&amp;sheet=U0&amp;row=4931&amp;col=6&amp;number=3.7&amp;sourceID=14","3.7")</f>
        <v>3.7</v>
      </c>
      <c r="G4931" s="4" t="str">
        <f>HYPERLINK("http://141.218.60.56/~jnz1568/getInfo.php?workbook=12_05.xlsx&amp;sheet=U0&amp;row=4931&amp;col=7&amp;number=0.000289&amp;sourceID=14","0.000289")</f>
        <v>0.000289</v>
      </c>
    </row>
    <row r="4932" spans="1:7">
      <c r="A4932" s="3"/>
      <c r="B4932" s="3"/>
      <c r="C4932" s="3"/>
      <c r="D4932" s="3"/>
      <c r="E4932" s="3">
        <v>9</v>
      </c>
      <c r="F4932" s="4" t="str">
        <f>HYPERLINK("http://141.218.60.56/~jnz1568/getInfo.php?workbook=12_05.xlsx&amp;sheet=U0&amp;row=4932&amp;col=6&amp;number=3.8&amp;sourceID=14","3.8")</f>
        <v>3.8</v>
      </c>
      <c r="G4932" s="4" t="str">
        <f>HYPERLINK("http://141.218.60.56/~jnz1568/getInfo.php?workbook=12_05.xlsx&amp;sheet=U0&amp;row=4932&amp;col=7&amp;number=0.000289&amp;sourceID=14","0.000289")</f>
        <v>0.000289</v>
      </c>
    </row>
    <row r="4933" spans="1:7">
      <c r="A4933" s="3"/>
      <c r="B4933" s="3"/>
      <c r="C4933" s="3"/>
      <c r="D4933" s="3"/>
      <c r="E4933" s="3">
        <v>10</v>
      </c>
      <c r="F4933" s="4" t="str">
        <f>HYPERLINK("http://141.218.60.56/~jnz1568/getInfo.php?workbook=12_05.xlsx&amp;sheet=U0&amp;row=4933&amp;col=6&amp;number=3.9&amp;sourceID=14","3.9")</f>
        <v>3.9</v>
      </c>
      <c r="G4933" s="4" t="str">
        <f>HYPERLINK("http://141.218.60.56/~jnz1568/getInfo.php?workbook=12_05.xlsx&amp;sheet=U0&amp;row=4933&amp;col=7&amp;number=0.000289&amp;sourceID=14","0.000289")</f>
        <v>0.000289</v>
      </c>
    </row>
    <row r="4934" spans="1:7">
      <c r="A4934" s="3"/>
      <c r="B4934" s="3"/>
      <c r="C4934" s="3"/>
      <c r="D4934" s="3"/>
      <c r="E4934" s="3">
        <v>11</v>
      </c>
      <c r="F4934" s="4" t="str">
        <f>HYPERLINK("http://141.218.60.56/~jnz1568/getInfo.php?workbook=12_05.xlsx&amp;sheet=U0&amp;row=4934&amp;col=6&amp;number=4&amp;sourceID=14","4")</f>
        <v>4</v>
      </c>
      <c r="G4934" s="4" t="str">
        <f>HYPERLINK("http://141.218.60.56/~jnz1568/getInfo.php?workbook=12_05.xlsx&amp;sheet=U0&amp;row=4934&amp;col=7&amp;number=0.000288&amp;sourceID=14","0.000288")</f>
        <v>0.000288</v>
      </c>
    </row>
    <row r="4935" spans="1:7">
      <c r="A4935" s="3"/>
      <c r="B4935" s="3"/>
      <c r="C4935" s="3"/>
      <c r="D4935" s="3"/>
      <c r="E4935" s="3">
        <v>12</v>
      </c>
      <c r="F4935" s="4" t="str">
        <f>HYPERLINK("http://141.218.60.56/~jnz1568/getInfo.php?workbook=12_05.xlsx&amp;sheet=U0&amp;row=4935&amp;col=6&amp;number=4.1&amp;sourceID=14","4.1")</f>
        <v>4.1</v>
      </c>
      <c r="G4935" s="4" t="str">
        <f>HYPERLINK("http://141.218.60.56/~jnz1568/getInfo.php?workbook=12_05.xlsx&amp;sheet=U0&amp;row=4935&amp;col=7&amp;number=0.000288&amp;sourceID=14","0.000288")</f>
        <v>0.000288</v>
      </c>
    </row>
    <row r="4936" spans="1:7">
      <c r="A4936" s="3"/>
      <c r="B4936" s="3"/>
      <c r="C4936" s="3"/>
      <c r="D4936" s="3"/>
      <c r="E4936" s="3">
        <v>13</v>
      </c>
      <c r="F4936" s="4" t="str">
        <f>HYPERLINK("http://141.218.60.56/~jnz1568/getInfo.php?workbook=12_05.xlsx&amp;sheet=U0&amp;row=4936&amp;col=6&amp;number=4.2&amp;sourceID=14","4.2")</f>
        <v>4.2</v>
      </c>
      <c r="G4936" s="4" t="str">
        <f>HYPERLINK("http://141.218.60.56/~jnz1568/getInfo.php?workbook=12_05.xlsx&amp;sheet=U0&amp;row=4936&amp;col=7&amp;number=0.000287&amp;sourceID=14","0.000287")</f>
        <v>0.000287</v>
      </c>
    </row>
    <row r="4937" spans="1:7">
      <c r="A4937" s="3"/>
      <c r="B4937" s="3"/>
      <c r="C4937" s="3"/>
      <c r="D4937" s="3"/>
      <c r="E4937" s="3">
        <v>14</v>
      </c>
      <c r="F4937" s="4" t="str">
        <f>HYPERLINK("http://141.218.60.56/~jnz1568/getInfo.php?workbook=12_05.xlsx&amp;sheet=U0&amp;row=4937&amp;col=6&amp;number=4.3&amp;sourceID=14","4.3")</f>
        <v>4.3</v>
      </c>
      <c r="G4937" s="4" t="str">
        <f>HYPERLINK("http://141.218.60.56/~jnz1568/getInfo.php?workbook=12_05.xlsx&amp;sheet=U0&amp;row=4937&amp;col=7&amp;number=0.000286&amp;sourceID=14","0.000286")</f>
        <v>0.000286</v>
      </c>
    </row>
    <row r="4938" spans="1:7">
      <c r="A4938" s="3"/>
      <c r="B4938" s="3"/>
      <c r="C4938" s="3"/>
      <c r="D4938" s="3"/>
      <c r="E4938" s="3">
        <v>15</v>
      </c>
      <c r="F4938" s="4" t="str">
        <f>HYPERLINK("http://141.218.60.56/~jnz1568/getInfo.php?workbook=12_05.xlsx&amp;sheet=U0&amp;row=4938&amp;col=6&amp;number=4.4&amp;sourceID=14","4.4")</f>
        <v>4.4</v>
      </c>
      <c r="G4938" s="4" t="str">
        <f>HYPERLINK("http://141.218.60.56/~jnz1568/getInfo.php?workbook=12_05.xlsx&amp;sheet=U0&amp;row=4938&amp;col=7&amp;number=0.000285&amp;sourceID=14","0.000285")</f>
        <v>0.000285</v>
      </c>
    </row>
    <row r="4939" spans="1:7">
      <c r="A4939" s="3"/>
      <c r="B4939" s="3"/>
      <c r="C4939" s="3"/>
      <c r="D4939" s="3"/>
      <c r="E4939" s="3">
        <v>16</v>
      </c>
      <c r="F4939" s="4" t="str">
        <f>HYPERLINK("http://141.218.60.56/~jnz1568/getInfo.php?workbook=12_05.xlsx&amp;sheet=U0&amp;row=4939&amp;col=6&amp;number=4.5&amp;sourceID=14","4.5")</f>
        <v>4.5</v>
      </c>
      <c r="G4939" s="4" t="str">
        <f>HYPERLINK("http://141.218.60.56/~jnz1568/getInfo.php?workbook=12_05.xlsx&amp;sheet=U0&amp;row=4939&amp;col=7&amp;number=0.000283&amp;sourceID=14","0.000283")</f>
        <v>0.000283</v>
      </c>
    </row>
    <row r="4940" spans="1:7">
      <c r="A4940" s="3"/>
      <c r="B4940" s="3"/>
      <c r="C4940" s="3"/>
      <c r="D4940" s="3"/>
      <c r="E4940" s="3">
        <v>17</v>
      </c>
      <c r="F4940" s="4" t="str">
        <f>HYPERLINK("http://141.218.60.56/~jnz1568/getInfo.php?workbook=12_05.xlsx&amp;sheet=U0&amp;row=4940&amp;col=6&amp;number=4.6&amp;sourceID=14","4.6")</f>
        <v>4.6</v>
      </c>
      <c r="G4940" s="4" t="str">
        <f>HYPERLINK("http://141.218.60.56/~jnz1568/getInfo.php?workbook=12_05.xlsx&amp;sheet=U0&amp;row=4940&amp;col=7&amp;number=0.000282&amp;sourceID=14","0.000282")</f>
        <v>0.000282</v>
      </c>
    </row>
    <row r="4941" spans="1:7">
      <c r="A4941" s="3"/>
      <c r="B4941" s="3"/>
      <c r="C4941" s="3"/>
      <c r="D4941" s="3"/>
      <c r="E4941" s="3">
        <v>18</v>
      </c>
      <c r="F4941" s="4" t="str">
        <f>HYPERLINK("http://141.218.60.56/~jnz1568/getInfo.php?workbook=12_05.xlsx&amp;sheet=U0&amp;row=4941&amp;col=6&amp;number=4.7&amp;sourceID=14","4.7")</f>
        <v>4.7</v>
      </c>
      <c r="G4941" s="4" t="str">
        <f>HYPERLINK("http://141.218.60.56/~jnz1568/getInfo.php?workbook=12_05.xlsx&amp;sheet=U0&amp;row=4941&amp;col=7&amp;number=0.000279&amp;sourceID=14","0.000279")</f>
        <v>0.000279</v>
      </c>
    </row>
    <row r="4942" spans="1:7">
      <c r="A4942" s="3"/>
      <c r="B4942" s="3"/>
      <c r="C4942" s="3"/>
      <c r="D4942" s="3"/>
      <c r="E4942" s="3">
        <v>19</v>
      </c>
      <c r="F4942" s="4" t="str">
        <f>HYPERLINK("http://141.218.60.56/~jnz1568/getInfo.php?workbook=12_05.xlsx&amp;sheet=U0&amp;row=4942&amp;col=6&amp;number=4.8&amp;sourceID=14","4.8")</f>
        <v>4.8</v>
      </c>
      <c r="G4942" s="4" t="str">
        <f>HYPERLINK("http://141.218.60.56/~jnz1568/getInfo.php?workbook=12_05.xlsx&amp;sheet=U0&amp;row=4942&amp;col=7&amp;number=0.000277&amp;sourceID=14","0.000277")</f>
        <v>0.000277</v>
      </c>
    </row>
    <row r="4943" spans="1:7">
      <c r="A4943" s="3"/>
      <c r="B4943" s="3"/>
      <c r="C4943" s="3"/>
      <c r="D4943" s="3"/>
      <c r="E4943" s="3">
        <v>20</v>
      </c>
      <c r="F4943" s="4" t="str">
        <f>HYPERLINK("http://141.218.60.56/~jnz1568/getInfo.php?workbook=12_05.xlsx&amp;sheet=U0&amp;row=4943&amp;col=6&amp;number=4.9&amp;sourceID=14","4.9")</f>
        <v>4.9</v>
      </c>
      <c r="G4943" s="4" t="str">
        <f>HYPERLINK("http://141.218.60.56/~jnz1568/getInfo.php?workbook=12_05.xlsx&amp;sheet=U0&amp;row=4943&amp;col=7&amp;number=0.000273&amp;sourceID=14","0.000273")</f>
        <v>0.000273</v>
      </c>
    </row>
    <row r="4944" spans="1:7">
      <c r="A4944" s="3">
        <v>12</v>
      </c>
      <c r="B4944" s="3">
        <v>5</v>
      </c>
      <c r="C4944" s="3">
        <v>2</v>
      </c>
      <c r="D4944" s="3">
        <v>100</v>
      </c>
      <c r="E4944" s="3">
        <v>1</v>
      </c>
      <c r="F4944" s="4" t="str">
        <f>HYPERLINK("http://141.218.60.56/~jnz1568/getInfo.php?workbook=12_05.xlsx&amp;sheet=U0&amp;row=4944&amp;col=6&amp;number=3&amp;sourceID=14","3")</f>
        <v>3</v>
      </c>
      <c r="G4944" s="4" t="str">
        <f>HYPERLINK("http://141.218.60.56/~jnz1568/getInfo.php?workbook=12_05.xlsx&amp;sheet=U0&amp;row=4944&amp;col=7&amp;number=0.000278&amp;sourceID=14","0.000278")</f>
        <v>0.000278</v>
      </c>
    </row>
    <row r="4945" spans="1:7">
      <c r="A4945" s="3"/>
      <c r="B4945" s="3"/>
      <c r="C4945" s="3"/>
      <c r="D4945" s="3"/>
      <c r="E4945" s="3">
        <v>2</v>
      </c>
      <c r="F4945" s="4" t="str">
        <f>HYPERLINK("http://141.218.60.56/~jnz1568/getInfo.php?workbook=12_05.xlsx&amp;sheet=U0&amp;row=4945&amp;col=6&amp;number=3.1&amp;sourceID=14","3.1")</f>
        <v>3.1</v>
      </c>
      <c r="G4945" s="4" t="str">
        <f>HYPERLINK("http://141.218.60.56/~jnz1568/getInfo.php?workbook=12_05.xlsx&amp;sheet=U0&amp;row=4945&amp;col=7&amp;number=0.000278&amp;sourceID=14","0.000278")</f>
        <v>0.000278</v>
      </c>
    </row>
    <row r="4946" spans="1:7">
      <c r="A4946" s="3"/>
      <c r="B4946" s="3"/>
      <c r="C4946" s="3"/>
      <c r="D4946" s="3"/>
      <c r="E4946" s="3">
        <v>3</v>
      </c>
      <c r="F4946" s="4" t="str">
        <f>HYPERLINK("http://141.218.60.56/~jnz1568/getInfo.php?workbook=12_05.xlsx&amp;sheet=U0&amp;row=4946&amp;col=6&amp;number=3.2&amp;sourceID=14","3.2")</f>
        <v>3.2</v>
      </c>
      <c r="G4946" s="4" t="str">
        <f>HYPERLINK("http://141.218.60.56/~jnz1568/getInfo.php?workbook=12_05.xlsx&amp;sheet=U0&amp;row=4946&amp;col=7&amp;number=0.000278&amp;sourceID=14","0.000278")</f>
        <v>0.000278</v>
      </c>
    </row>
    <row r="4947" spans="1:7">
      <c r="A4947" s="3"/>
      <c r="B4947" s="3"/>
      <c r="C4947" s="3"/>
      <c r="D4947" s="3"/>
      <c r="E4947" s="3">
        <v>4</v>
      </c>
      <c r="F4947" s="4" t="str">
        <f>HYPERLINK("http://141.218.60.56/~jnz1568/getInfo.php?workbook=12_05.xlsx&amp;sheet=U0&amp;row=4947&amp;col=6&amp;number=3.3&amp;sourceID=14","3.3")</f>
        <v>3.3</v>
      </c>
      <c r="G4947" s="4" t="str">
        <f>HYPERLINK("http://141.218.60.56/~jnz1568/getInfo.php?workbook=12_05.xlsx&amp;sheet=U0&amp;row=4947&amp;col=7&amp;number=0.000278&amp;sourceID=14","0.000278")</f>
        <v>0.000278</v>
      </c>
    </row>
    <row r="4948" spans="1:7">
      <c r="A4948" s="3"/>
      <c r="B4948" s="3"/>
      <c r="C4948" s="3"/>
      <c r="D4948" s="3"/>
      <c r="E4948" s="3">
        <v>5</v>
      </c>
      <c r="F4948" s="4" t="str">
        <f>HYPERLINK("http://141.218.60.56/~jnz1568/getInfo.php?workbook=12_05.xlsx&amp;sheet=U0&amp;row=4948&amp;col=6&amp;number=3.4&amp;sourceID=14","3.4")</f>
        <v>3.4</v>
      </c>
      <c r="G4948" s="4" t="str">
        <f>HYPERLINK("http://141.218.60.56/~jnz1568/getInfo.php?workbook=12_05.xlsx&amp;sheet=U0&amp;row=4948&amp;col=7&amp;number=0.000278&amp;sourceID=14","0.000278")</f>
        <v>0.000278</v>
      </c>
    </row>
    <row r="4949" spans="1:7">
      <c r="A4949" s="3"/>
      <c r="B4949" s="3"/>
      <c r="C4949" s="3"/>
      <c r="D4949" s="3"/>
      <c r="E4949" s="3">
        <v>6</v>
      </c>
      <c r="F4949" s="4" t="str">
        <f>HYPERLINK("http://141.218.60.56/~jnz1568/getInfo.php?workbook=12_05.xlsx&amp;sheet=U0&amp;row=4949&amp;col=6&amp;number=3.5&amp;sourceID=14","3.5")</f>
        <v>3.5</v>
      </c>
      <c r="G4949" s="4" t="str">
        <f>HYPERLINK("http://141.218.60.56/~jnz1568/getInfo.php?workbook=12_05.xlsx&amp;sheet=U0&amp;row=4949&amp;col=7&amp;number=0.000278&amp;sourceID=14","0.000278")</f>
        <v>0.000278</v>
      </c>
    </row>
    <row r="4950" spans="1:7">
      <c r="A4950" s="3"/>
      <c r="B4950" s="3"/>
      <c r="C4950" s="3"/>
      <c r="D4950" s="3"/>
      <c r="E4950" s="3">
        <v>7</v>
      </c>
      <c r="F4950" s="4" t="str">
        <f>HYPERLINK("http://141.218.60.56/~jnz1568/getInfo.php?workbook=12_05.xlsx&amp;sheet=U0&amp;row=4950&amp;col=6&amp;number=3.6&amp;sourceID=14","3.6")</f>
        <v>3.6</v>
      </c>
      <c r="G4950" s="4" t="str">
        <f>HYPERLINK("http://141.218.60.56/~jnz1568/getInfo.php?workbook=12_05.xlsx&amp;sheet=U0&amp;row=4950&amp;col=7&amp;number=0.000278&amp;sourceID=14","0.000278")</f>
        <v>0.000278</v>
      </c>
    </row>
    <row r="4951" spans="1:7">
      <c r="A4951" s="3"/>
      <c r="B4951" s="3"/>
      <c r="C4951" s="3"/>
      <c r="D4951" s="3"/>
      <c r="E4951" s="3">
        <v>8</v>
      </c>
      <c r="F4951" s="4" t="str">
        <f>HYPERLINK("http://141.218.60.56/~jnz1568/getInfo.php?workbook=12_05.xlsx&amp;sheet=U0&amp;row=4951&amp;col=6&amp;number=3.7&amp;sourceID=14","3.7")</f>
        <v>3.7</v>
      </c>
      <c r="G4951" s="4" t="str">
        <f>HYPERLINK("http://141.218.60.56/~jnz1568/getInfo.php?workbook=12_05.xlsx&amp;sheet=U0&amp;row=4951&amp;col=7&amp;number=0.000277&amp;sourceID=14","0.000277")</f>
        <v>0.000277</v>
      </c>
    </row>
    <row r="4952" spans="1:7">
      <c r="A4952" s="3"/>
      <c r="B4952" s="3"/>
      <c r="C4952" s="3"/>
      <c r="D4952" s="3"/>
      <c r="E4952" s="3">
        <v>9</v>
      </c>
      <c r="F4952" s="4" t="str">
        <f>HYPERLINK("http://141.218.60.56/~jnz1568/getInfo.php?workbook=12_05.xlsx&amp;sheet=U0&amp;row=4952&amp;col=6&amp;number=3.8&amp;sourceID=14","3.8")</f>
        <v>3.8</v>
      </c>
      <c r="G4952" s="4" t="str">
        <f>HYPERLINK("http://141.218.60.56/~jnz1568/getInfo.php?workbook=12_05.xlsx&amp;sheet=U0&amp;row=4952&amp;col=7&amp;number=0.000277&amp;sourceID=14","0.000277")</f>
        <v>0.000277</v>
      </c>
    </row>
    <row r="4953" spans="1:7">
      <c r="A4953" s="3"/>
      <c r="B4953" s="3"/>
      <c r="C4953" s="3"/>
      <c r="D4953" s="3"/>
      <c r="E4953" s="3">
        <v>10</v>
      </c>
      <c r="F4953" s="4" t="str">
        <f>HYPERLINK("http://141.218.60.56/~jnz1568/getInfo.php?workbook=12_05.xlsx&amp;sheet=U0&amp;row=4953&amp;col=6&amp;number=3.9&amp;sourceID=14","3.9")</f>
        <v>3.9</v>
      </c>
      <c r="G4953" s="4" t="str">
        <f>HYPERLINK("http://141.218.60.56/~jnz1568/getInfo.php?workbook=12_05.xlsx&amp;sheet=U0&amp;row=4953&amp;col=7&amp;number=0.000277&amp;sourceID=14","0.000277")</f>
        <v>0.000277</v>
      </c>
    </row>
    <row r="4954" spans="1:7">
      <c r="A4954" s="3"/>
      <c r="B4954" s="3"/>
      <c r="C4954" s="3"/>
      <c r="D4954" s="3"/>
      <c r="E4954" s="3">
        <v>11</v>
      </c>
      <c r="F4954" s="4" t="str">
        <f>HYPERLINK("http://141.218.60.56/~jnz1568/getInfo.php?workbook=12_05.xlsx&amp;sheet=U0&amp;row=4954&amp;col=6&amp;number=4&amp;sourceID=14","4")</f>
        <v>4</v>
      </c>
      <c r="G4954" s="4" t="str">
        <f>HYPERLINK("http://141.218.60.56/~jnz1568/getInfo.php?workbook=12_05.xlsx&amp;sheet=U0&amp;row=4954&amp;col=7&amp;number=0.000276&amp;sourceID=14","0.000276")</f>
        <v>0.000276</v>
      </c>
    </row>
    <row r="4955" spans="1:7">
      <c r="A4955" s="3"/>
      <c r="B4955" s="3"/>
      <c r="C4955" s="3"/>
      <c r="D4955" s="3"/>
      <c r="E4955" s="3">
        <v>12</v>
      </c>
      <c r="F4955" s="4" t="str">
        <f>HYPERLINK("http://141.218.60.56/~jnz1568/getInfo.php?workbook=12_05.xlsx&amp;sheet=U0&amp;row=4955&amp;col=6&amp;number=4.1&amp;sourceID=14","4.1")</f>
        <v>4.1</v>
      </c>
      <c r="G4955" s="4" t="str">
        <f>HYPERLINK("http://141.218.60.56/~jnz1568/getInfo.php?workbook=12_05.xlsx&amp;sheet=U0&amp;row=4955&amp;col=7&amp;number=0.000276&amp;sourceID=14","0.000276")</f>
        <v>0.000276</v>
      </c>
    </row>
    <row r="4956" spans="1:7">
      <c r="A4956" s="3"/>
      <c r="B4956" s="3"/>
      <c r="C4956" s="3"/>
      <c r="D4956" s="3"/>
      <c r="E4956" s="3">
        <v>13</v>
      </c>
      <c r="F4956" s="4" t="str">
        <f>HYPERLINK("http://141.218.60.56/~jnz1568/getInfo.php?workbook=12_05.xlsx&amp;sheet=U0&amp;row=4956&amp;col=6&amp;number=4.2&amp;sourceID=14","4.2")</f>
        <v>4.2</v>
      </c>
      <c r="G4956" s="4" t="str">
        <f>HYPERLINK("http://141.218.60.56/~jnz1568/getInfo.php?workbook=12_05.xlsx&amp;sheet=U0&amp;row=4956&amp;col=7&amp;number=0.000275&amp;sourceID=14","0.000275")</f>
        <v>0.000275</v>
      </c>
    </row>
    <row r="4957" spans="1:7">
      <c r="A4957" s="3"/>
      <c r="B4957" s="3"/>
      <c r="C4957" s="3"/>
      <c r="D4957" s="3"/>
      <c r="E4957" s="3">
        <v>14</v>
      </c>
      <c r="F4957" s="4" t="str">
        <f>HYPERLINK("http://141.218.60.56/~jnz1568/getInfo.php?workbook=12_05.xlsx&amp;sheet=U0&amp;row=4957&amp;col=6&amp;number=4.3&amp;sourceID=14","4.3")</f>
        <v>4.3</v>
      </c>
      <c r="G4957" s="4" t="str">
        <f>HYPERLINK("http://141.218.60.56/~jnz1568/getInfo.php?workbook=12_05.xlsx&amp;sheet=U0&amp;row=4957&amp;col=7&amp;number=0.000274&amp;sourceID=14","0.000274")</f>
        <v>0.000274</v>
      </c>
    </row>
    <row r="4958" spans="1:7">
      <c r="A4958" s="3"/>
      <c r="B4958" s="3"/>
      <c r="C4958" s="3"/>
      <c r="D4958" s="3"/>
      <c r="E4958" s="3">
        <v>15</v>
      </c>
      <c r="F4958" s="4" t="str">
        <f>HYPERLINK("http://141.218.60.56/~jnz1568/getInfo.php?workbook=12_05.xlsx&amp;sheet=U0&amp;row=4958&amp;col=6&amp;number=4.4&amp;sourceID=14","4.4")</f>
        <v>4.4</v>
      </c>
      <c r="G4958" s="4" t="str">
        <f>HYPERLINK("http://141.218.60.56/~jnz1568/getInfo.php?workbook=12_05.xlsx&amp;sheet=U0&amp;row=4958&amp;col=7&amp;number=0.000273&amp;sourceID=14","0.000273")</f>
        <v>0.000273</v>
      </c>
    </row>
    <row r="4959" spans="1:7">
      <c r="A4959" s="3"/>
      <c r="B4959" s="3"/>
      <c r="C4959" s="3"/>
      <c r="D4959" s="3"/>
      <c r="E4959" s="3">
        <v>16</v>
      </c>
      <c r="F4959" s="4" t="str">
        <f>HYPERLINK("http://141.218.60.56/~jnz1568/getInfo.php?workbook=12_05.xlsx&amp;sheet=U0&amp;row=4959&amp;col=6&amp;number=4.5&amp;sourceID=14","4.5")</f>
        <v>4.5</v>
      </c>
      <c r="G4959" s="4" t="str">
        <f>HYPERLINK("http://141.218.60.56/~jnz1568/getInfo.php?workbook=12_05.xlsx&amp;sheet=U0&amp;row=4959&amp;col=7&amp;number=0.000272&amp;sourceID=14","0.000272")</f>
        <v>0.000272</v>
      </c>
    </row>
    <row r="4960" spans="1:7">
      <c r="A4960" s="3"/>
      <c r="B4960" s="3"/>
      <c r="C4960" s="3"/>
      <c r="D4960" s="3"/>
      <c r="E4960" s="3">
        <v>17</v>
      </c>
      <c r="F4960" s="4" t="str">
        <f>HYPERLINK("http://141.218.60.56/~jnz1568/getInfo.php?workbook=12_05.xlsx&amp;sheet=U0&amp;row=4960&amp;col=6&amp;number=4.6&amp;sourceID=14","4.6")</f>
        <v>4.6</v>
      </c>
      <c r="G4960" s="4" t="str">
        <f>HYPERLINK("http://141.218.60.56/~jnz1568/getInfo.php?workbook=12_05.xlsx&amp;sheet=U0&amp;row=4960&amp;col=7&amp;number=0.00027&amp;sourceID=14","0.00027")</f>
        <v>0.00027</v>
      </c>
    </row>
    <row r="4961" spans="1:7">
      <c r="A4961" s="3"/>
      <c r="B4961" s="3"/>
      <c r="C4961" s="3"/>
      <c r="D4961" s="3"/>
      <c r="E4961" s="3">
        <v>18</v>
      </c>
      <c r="F4961" s="4" t="str">
        <f>HYPERLINK("http://141.218.60.56/~jnz1568/getInfo.php?workbook=12_05.xlsx&amp;sheet=U0&amp;row=4961&amp;col=6&amp;number=4.7&amp;sourceID=14","4.7")</f>
        <v>4.7</v>
      </c>
      <c r="G4961" s="4" t="str">
        <f>HYPERLINK("http://141.218.60.56/~jnz1568/getInfo.php?workbook=12_05.xlsx&amp;sheet=U0&amp;row=4961&amp;col=7&amp;number=0.000268&amp;sourceID=14","0.000268")</f>
        <v>0.000268</v>
      </c>
    </row>
    <row r="4962" spans="1:7">
      <c r="A4962" s="3"/>
      <c r="B4962" s="3"/>
      <c r="C4962" s="3"/>
      <c r="D4962" s="3"/>
      <c r="E4962" s="3">
        <v>19</v>
      </c>
      <c r="F4962" s="4" t="str">
        <f>HYPERLINK("http://141.218.60.56/~jnz1568/getInfo.php?workbook=12_05.xlsx&amp;sheet=U0&amp;row=4962&amp;col=6&amp;number=4.8&amp;sourceID=14","4.8")</f>
        <v>4.8</v>
      </c>
      <c r="G4962" s="4" t="str">
        <f>HYPERLINK("http://141.218.60.56/~jnz1568/getInfo.php?workbook=12_05.xlsx&amp;sheet=U0&amp;row=4962&amp;col=7&amp;number=0.000265&amp;sourceID=14","0.000265")</f>
        <v>0.000265</v>
      </c>
    </row>
    <row r="4963" spans="1:7">
      <c r="A4963" s="3"/>
      <c r="B4963" s="3"/>
      <c r="C4963" s="3"/>
      <c r="D4963" s="3"/>
      <c r="E4963" s="3">
        <v>20</v>
      </c>
      <c r="F4963" s="4" t="str">
        <f>HYPERLINK("http://141.218.60.56/~jnz1568/getInfo.php?workbook=12_05.xlsx&amp;sheet=U0&amp;row=4963&amp;col=6&amp;number=4.9&amp;sourceID=14","4.9")</f>
        <v>4.9</v>
      </c>
      <c r="G4963" s="4" t="str">
        <f>HYPERLINK("http://141.218.60.56/~jnz1568/getInfo.php?workbook=12_05.xlsx&amp;sheet=U0&amp;row=4963&amp;col=7&amp;number=0.000262&amp;sourceID=14","0.000262")</f>
        <v>0.000262</v>
      </c>
    </row>
    <row r="4964" spans="1:7">
      <c r="A4964" s="3">
        <v>12</v>
      </c>
      <c r="B4964" s="3">
        <v>5</v>
      </c>
      <c r="C4964" s="3">
        <v>2</v>
      </c>
      <c r="D4964" s="3">
        <v>101</v>
      </c>
      <c r="E4964" s="3">
        <v>1</v>
      </c>
      <c r="F4964" s="4" t="str">
        <f>HYPERLINK("http://141.218.60.56/~jnz1568/getInfo.php?workbook=12_05.xlsx&amp;sheet=U0&amp;row=4964&amp;col=6&amp;number=3&amp;sourceID=14","3")</f>
        <v>3</v>
      </c>
      <c r="G4964" s="4" t="str">
        <f>HYPERLINK("http://141.218.60.56/~jnz1568/getInfo.php?workbook=12_05.xlsx&amp;sheet=U0&amp;row=4964&amp;col=7&amp;number=0.000192&amp;sourceID=14","0.000192")</f>
        <v>0.000192</v>
      </c>
    </row>
    <row r="4965" spans="1:7">
      <c r="A4965" s="3"/>
      <c r="B4965" s="3"/>
      <c r="C4965" s="3"/>
      <c r="D4965" s="3"/>
      <c r="E4965" s="3">
        <v>2</v>
      </c>
      <c r="F4965" s="4" t="str">
        <f>HYPERLINK("http://141.218.60.56/~jnz1568/getInfo.php?workbook=12_05.xlsx&amp;sheet=U0&amp;row=4965&amp;col=6&amp;number=3.1&amp;sourceID=14","3.1")</f>
        <v>3.1</v>
      </c>
      <c r="G4965" s="4" t="str">
        <f>HYPERLINK("http://141.218.60.56/~jnz1568/getInfo.php?workbook=12_05.xlsx&amp;sheet=U0&amp;row=4965&amp;col=7&amp;number=0.000192&amp;sourceID=14","0.000192")</f>
        <v>0.000192</v>
      </c>
    </row>
    <row r="4966" spans="1:7">
      <c r="A4966" s="3"/>
      <c r="B4966" s="3"/>
      <c r="C4966" s="3"/>
      <c r="D4966" s="3"/>
      <c r="E4966" s="3">
        <v>3</v>
      </c>
      <c r="F4966" s="4" t="str">
        <f>HYPERLINK("http://141.218.60.56/~jnz1568/getInfo.php?workbook=12_05.xlsx&amp;sheet=U0&amp;row=4966&amp;col=6&amp;number=3.2&amp;sourceID=14","3.2")</f>
        <v>3.2</v>
      </c>
      <c r="G4966" s="4" t="str">
        <f>HYPERLINK("http://141.218.60.56/~jnz1568/getInfo.php?workbook=12_05.xlsx&amp;sheet=U0&amp;row=4966&amp;col=7&amp;number=0.000192&amp;sourceID=14","0.000192")</f>
        <v>0.000192</v>
      </c>
    </row>
    <row r="4967" spans="1:7">
      <c r="A4967" s="3"/>
      <c r="B4967" s="3"/>
      <c r="C4967" s="3"/>
      <c r="D4967" s="3"/>
      <c r="E4967" s="3">
        <v>4</v>
      </c>
      <c r="F4967" s="4" t="str">
        <f>HYPERLINK("http://141.218.60.56/~jnz1568/getInfo.php?workbook=12_05.xlsx&amp;sheet=U0&amp;row=4967&amp;col=6&amp;number=3.3&amp;sourceID=14","3.3")</f>
        <v>3.3</v>
      </c>
      <c r="G4967" s="4" t="str">
        <f>HYPERLINK("http://141.218.60.56/~jnz1568/getInfo.php?workbook=12_05.xlsx&amp;sheet=U0&amp;row=4967&amp;col=7&amp;number=0.000192&amp;sourceID=14","0.000192")</f>
        <v>0.000192</v>
      </c>
    </row>
    <row r="4968" spans="1:7">
      <c r="A4968" s="3"/>
      <c r="B4968" s="3"/>
      <c r="C4968" s="3"/>
      <c r="D4968" s="3"/>
      <c r="E4968" s="3">
        <v>5</v>
      </c>
      <c r="F4968" s="4" t="str">
        <f>HYPERLINK("http://141.218.60.56/~jnz1568/getInfo.php?workbook=12_05.xlsx&amp;sheet=U0&amp;row=4968&amp;col=6&amp;number=3.4&amp;sourceID=14","3.4")</f>
        <v>3.4</v>
      </c>
      <c r="G4968" s="4" t="str">
        <f>HYPERLINK("http://141.218.60.56/~jnz1568/getInfo.php?workbook=12_05.xlsx&amp;sheet=U0&amp;row=4968&amp;col=7&amp;number=0.000192&amp;sourceID=14","0.000192")</f>
        <v>0.000192</v>
      </c>
    </row>
    <row r="4969" spans="1:7">
      <c r="A4969" s="3"/>
      <c r="B4969" s="3"/>
      <c r="C4969" s="3"/>
      <c r="D4969" s="3"/>
      <c r="E4969" s="3">
        <v>6</v>
      </c>
      <c r="F4969" s="4" t="str">
        <f>HYPERLINK("http://141.218.60.56/~jnz1568/getInfo.php?workbook=12_05.xlsx&amp;sheet=U0&amp;row=4969&amp;col=6&amp;number=3.5&amp;sourceID=14","3.5")</f>
        <v>3.5</v>
      </c>
      <c r="G4969" s="4" t="str">
        <f>HYPERLINK("http://141.218.60.56/~jnz1568/getInfo.php?workbook=12_05.xlsx&amp;sheet=U0&amp;row=4969&amp;col=7&amp;number=0.000192&amp;sourceID=14","0.000192")</f>
        <v>0.000192</v>
      </c>
    </row>
    <row r="4970" spans="1:7">
      <c r="A4970" s="3"/>
      <c r="B4970" s="3"/>
      <c r="C4970" s="3"/>
      <c r="D4970" s="3"/>
      <c r="E4970" s="3">
        <v>7</v>
      </c>
      <c r="F4970" s="4" t="str">
        <f>HYPERLINK("http://141.218.60.56/~jnz1568/getInfo.php?workbook=12_05.xlsx&amp;sheet=U0&amp;row=4970&amp;col=6&amp;number=3.6&amp;sourceID=14","3.6")</f>
        <v>3.6</v>
      </c>
      <c r="G4970" s="4" t="str">
        <f>HYPERLINK("http://141.218.60.56/~jnz1568/getInfo.php?workbook=12_05.xlsx&amp;sheet=U0&amp;row=4970&amp;col=7&amp;number=0.000192&amp;sourceID=14","0.000192")</f>
        <v>0.000192</v>
      </c>
    </row>
    <row r="4971" spans="1:7">
      <c r="A4971" s="3"/>
      <c r="B4971" s="3"/>
      <c r="C4971" s="3"/>
      <c r="D4971" s="3"/>
      <c r="E4971" s="3">
        <v>8</v>
      </c>
      <c r="F4971" s="4" t="str">
        <f>HYPERLINK("http://141.218.60.56/~jnz1568/getInfo.php?workbook=12_05.xlsx&amp;sheet=U0&amp;row=4971&amp;col=6&amp;number=3.7&amp;sourceID=14","3.7")</f>
        <v>3.7</v>
      </c>
      <c r="G4971" s="4" t="str">
        <f>HYPERLINK("http://141.218.60.56/~jnz1568/getInfo.php?workbook=12_05.xlsx&amp;sheet=U0&amp;row=4971&amp;col=7&amp;number=0.000192&amp;sourceID=14","0.000192")</f>
        <v>0.000192</v>
      </c>
    </row>
    <row r="4972" spans="1:7">
      <c r="A4972" s="3"/>
      <c r="B4972" s="3"/>
      <c r="C4972" s="3"/>
      <c r="D4972" s="3"/>
      <c r="E4972" s="3">
        <v>9</v>
      </c>
      <c r="F4972" s="4" t="str">
        <f>HYPERLINK("http://141.218.60.56/~jnz1568/getInfo.php?workbook=12_05.xlsx&amp;sheet=U0&amp;row=4972&amp;col=6&amp;number=3.8&amp;sourceID=14","3.8")</f>
        <v>3.8</v>
      </c>
      <c r="G4972" s="4" t="str">
        <f>HYPERLINK("http://141.218.60.56/~jnz1568/getInfo.php?workbook=12_05.xlsx&amp;sheet=U0&amp;row=4972&amp;col=7&amp;number=0.000191&amp;sourceID=14","0.000191")</f>
        <v>0.000191</v>
      </c>
    </row>
    <row r="4973" spans="1:7">
      <c r="A4973" s="3"/>
      <c r="B4973" s="3"/>
      <c r="C4973" s="3"/>
      <c r="D4973" s="3"/>
      <c r="E4973" s="3">
        <v>10</v>
      </c>
      <c r="F4973" s="4" t="str">
        <f>HYPERLINK("http://141.218.60.56/~jnz1568/getInfo.php?workbook=12_05.xlsx&amp;sheet=U0&amp;row=4973&amp;col=6&amp;number=3.9&amp;sourceID=14","3.9")</f>
        <v>3.9</v>
      </c>
      <c r="G4973" s="4" t="str">
        <f>HYPERLINK("http://141.218.60.56/~jnz1568/getInfo.php?workbook=12_05.xlsx&amp;sheet=U0&amp;row=4973&amp;col=7&amp;number=0.000191&amp;sourceID=14","0.000191")</f>
        <v>0.000191</v>
      </c>
    </row>
    <row r="4974" spans="1:7">
      <c r="A4974" s="3"/>
      <c r="B4974" s="3"/>
      <c r="C4974" s="3"/>
      <c r="D4974" s="3"/>
      <c r="E4974" s="3">
        <v>11</v>
      </c>
      <c r="F4974" s="4" t="str">
        <f>HYPERLINK("http://141.218.60.56/~jnz1568/getInfo.php?workbook=12_05.xlsx&amp;sheet=U0&amp;row=4974&amp;col=6&amp;number=4&amp;sourceID=14","4")</f>
        <v>4</v>
      </c>
      <c r="G4974" s="4" t="str">
        <f>HYPERLINK("http://141.218.60.56/~jnz1568/getInfo.php?workbook=12_05.xlsx&amp;sheet=U0&amp;row=4974&amp;col=7&amp;number=0.000191&amp;sourceID=14","0.000191")</f>
        <v>0.000191</v>
      </c>
    </row>
    <row r="4975" spans="1:7">
      <c r="A4975" s="3"/>
      <c r="B4975" s="3"/>
      <c r="C4975" s="3"/>
      <c r="D4975" s="3"/>
      <c r="E4975" s="3">
        <v>12</v>
      </c>
      <c r="F4975" s="4" t="str">
        <f>HYPERLINK("http://141.218.60.56/~jnz1568/getInfo.php?workbook=12_05.xlsx&amp;sheet=U0&amp;row=4975&amp;col=6&amp;number=4.1&amp;sourceID=14","4.1")</f>
        <v>4.1</v>
      </c>
      <c r="G4975" s="4" t="str">
        <f>HYPERLINK("http://141.218.60.56/~jnz1568/getInfo.php?workbook=12_05.xlsx&amp;sheet=U0&amp;row=4975&amp;col=7&amp;number=0.00019&amp;sourceID=14","0.00019")</f>
        <v>0.00019</v>
      </c>
    </row>
    <row r="4976" spans="1:7">
      <c r="A4976" s="3"/>
      <c r="B4976" s="3"/>
      <c r="C4976" s="3"/>
      <c r="D4976" s="3"/>
      <c r="E4976" s="3">
        <v>13</v>
      </c>
      <c r="F4976" s="4" t="str">
        <f>HYPERLINK("http://141.218.60.56/~jnz1568/getInfo.php?workbook=12_05.xlsx&amp;sheet=U0&amp;row=4976&amp;col=6&amp;number=4.2&amp;sourceID=14","4.2")</f>
        <v>4.2</v>
      </c>
      <c r="G4976" s="4" t="str">
        <f>HYPERLINK("http://141.218.60.56/~jnz1568/getInfo.php?workbook=12_05.xlsx&amp;sheet=U0&amp;row=4976&amp;col=7&amp;number=0.00019&amp;sourceID=14","0.00019")</f>
        <v>0.00019</v>
      </c>
    </row>
    <row r="4977" spans="1:7">
      <c r="A4977" s="3"/>
      <c r="B4977" s="3"/>
      <c r="C4977" s="3"/>
      <c r="D4977" s="3"/>
      <c r="E4977" s="3">
        <v>14</v>
      </c>
      <c r="F4977" s="4" t="str">
        <f>HYPERLINK("http://141.218.60.56/~jnz1568/getInfo.php?workbook=12_05.xlsx&amp;sheet=U0&amp;row=4977&amp;col=6&amp;number=4.3&amp;sourceID=14","4.3")</f>
        <v>4.3</v>
      </c>
      <c r="G4977" s="4" t="str">
        <f>HYPERLINK("http://141.218.60.56/~jnz1568/getInfo.php?workbook=12_05.xlsx&amp;sheet=U0&amp;row=4977&amp;col=7&amp;number=0.000189&amp;sourceID=14","0.000189")</f>
        <v>0.000189</v>
      </c>
    </row>
    <row r="4978" spans="1:7">
      <c r="A4978" s="3"/>
      <c r="B4978" s="3"/>
      <c r="C4978" s="3"/>
      <c r="D4978" s="3"/>
      <c r="E4978" s="3">
        <v>15</v>
      </c>
      <c r="F4978" s="4" t="str">
        <f>HYPERLINK("http://141.218.60.56/~jnz1568/getInfo.php?workbook=12_05.xlsx&amp;sheet=U0&amp;row=4978&amp;col=6&amp;number=4.4&amp;sourceID=14","4.4")</f>
        <v>4.4</v>
      </c>
      <c r="G4978" s="4" t="str">
        <f>HYPERLINK("http://141.218.60.56/~jnz1568/getInfo.php?workbook=12_05.xlsx&amp;sheet=U0&amp;row=4978&amp;col=7&amp;number=0.000188&amp;sourceID=14","0.000188")</f>
        <v>0.000188</v>
      </c>
    </row>
    <row r="4979" spans="1:7">
      <c r="A4979" s="3"/>
      <c r="B4979" s="3"/>
      <c r="C4979" s="3"/>
      <c r="D4979" s="3"/>
      <c r="E4979" s="3">
        <v>16</v>
      </c>
      <c r="F4979" s="4" t="str">
        <f>HYPERLINK("http://141.218.60.56/~jnz1568/getInfo.php?workbook=12_05.xlsx&amp;sheet=U0&amp;row=4979&amp;col=6&amp;number=4.5&amp;sourceID=14","4.5")</f>
        <v>4.5</v>
      </c>
      <c r="G4979" s="4" t="str">
        <f>HYPERLINK("http://141.218.60.56/~jnz1568/getInfo.php?workbook=12_05.xlsx&amp;sheet=U0&amp;row=4979&amp;col=7&amp;number=0.000187&amp;sourceID=14","0.000187")</f>
        <v>0.000187</v>
      </c>
    </row>
    <row r="4980" spans="1:7">
      <c r="A4980" s="3"/>
      <c r="B4980" s="3"/>
      <c r="C4980" s="3"/>
      <c r="D4980" s="3"/>
      <c r="E4980" s="3">
        <v>17</v>
      </c>
      <c r="F4980" s="4" t="str">
        <f>HYPERLINK("http://141.218.60.56/~jnz1568/getInfo.php?workbook=12_05.xlsx&amp;sheet=U0&amp;row=4980&amp;col=6&amp;number=4.6&amp;sourceID=14","4.6")</f>
        <v>4.6</v>
      </c>
      <c r="G4980" s="4" t="str">
        <f>HYPERLINK("http://141.218.60.56/~jnz1568/getInfo.php?workbook=12_05.xlsx&amp;sheet=U0&amp;row=4980&amp;col=7&amp;number=0.000186&amp;sourceID=14","0.000186")</f>
        <v>0.000186</v>
      </c>
    </row>
    <row r="4981" spans="1:7">
      <c r="A4981" s="3"/>
      <c r="B4981" s="3"/>
      <c r="C4981" s="3"/>
      <c r="D4981" s="3"/>
      <c r="E4981" s="3">
        <v>18</v>
      </c>
      <c r="F4981" s="4" t="str">
        <f>HYPERLINK("http://141.218.60.56/~jnz1568/getInfo.php?workbook=12_05.xlsx&amp;sheet=U0&amp;row=4981&amp;col=6&amp;number=4.7&amp;sourceID=14","4.7")</f>
        <v>4.7</v>
      </c>
      <c r="G4981" s="4" t="str">
        <f>HYPERLINK("http://141.218.60.56/~jnz1568/getInfo.php?workbook=12_05.xlsx&amp;sheet=U0&amp;row=4981&amp;col=7&amp;number=0.000184&amp;sourceID=14","0.000184")</f>
        <v>0.000184</v>
      </c>
    </row>
    <row r="4982" spans="1:7">
      <c r="A4982" s="3"/>
      <c r="B4982" s="3"/>
      <c r="C4982" s="3"/>
      <c r="D4982" s="3"/>
      <c r="E4982" s="3">
        <v>19</v>
      </c>
      <c r="F4982" s="4" t="str">
        <f>HYPERLINK("http://141.218.60.56/~jnz1568/getInfo.php?workbook=12_05.xlsx&amp;sheet=U0&amp;row=4982&amp;col=6&amp;number=4.8&amp;sourceID=14","4.8")</f>
        <v>4.8</v>
      </c>
      <c r="G4982" s="4" t="str">
        <f>HYPERLINK("http://141.218.60.56/~jnz1568/getInfo.php?workbook=12_05.xlsx&amp;sheet=U0&amp;row=4982&amp;col=7&amp;number=0.000182&amp;sourceID=14","0.000182")</f>
        <v>0.000182</v>
      </c>
    </row>
    <row r="4983" spans="1:7">
      <c r="A4983" s="3"/>
      <c r="B4983" s="3"/>
      <c r="C4983" s="3"/>
      <c r="D4983" s="3"/>
      <c r="E4983" s="3">
        <v>20</v>
      </c>
      <c r="F4983" s="4" t="str">
        <f>HYPERLINK("http://141.218.60.56/~jnz1568/getInfo.php?workbook=12_05.xlsx&amp;sheet=U0&amp;row=4983&amp;col=6&amp;number=4.9&amp;sourceID=14","4.9")</f>
        <v>4.9</v>
      </c>
      <c r="G4983" s="4" t="str">
        <f>HYPERLINK("http://141.218.60.56/~jnz1568/getInfo.php?workbook=12_05.xlsx&amp;sheet=U0&amp;row=4983&amp;col=7&amp;number=0.000179&amp;sourceID=14","0.000179")</f>
        <v>0.000179</v>
      </c>
    </row>
    <row r="4984" spans="1:7">
      <c r="A4984" s="3">
        <v>12</v>
      </c>
      <c r="B4984" s="3">
        <v>5</v>
      </c>
      <c r="C4984" s="3">
        <v>2</v>
      </c>
      <c r="D4984" s="3">
        <v>102</v>
      </c>
      <c r="E4984" s="3">
        <v>1</v>
      </c>
      <c r="F4984" s="4" t="str">
        <f>HYPERLINK("http://141.218.60.56/~jnz1568/getInfo.php?workbook=12_05.xlsx&amp;sheet=U0&amp;row=4984&amp;col=6&amp;number=3&amp;sourceID=14","3")</f>
        <v>3</v>
      </c>
      <c r="G4984" s="4" t="str">
        <f>HYPERLINK("http://141.218.60.56/~jnz1568/getInfo.php?workbook=12_05.xlsx&amp;sheet=U0&amp;row=4984&amp;col=7&amp;number=0.000652&amp;sourceID=14","0.000652")</f>
        <v>0.000652</v>
      </c>
    </row>
    <row r="4985" spans="1:7">
      <c r="A4985" s="3"/>
      <c r="B4985" s="3"/>
      <c r="C4985" s="3"/>
      <c r="D4985" s="3"/>
      <c r="E4985" s="3">
        <v>2</v>
      </c>
      <c r="F4985" s="4" t="str">
        <f>HYPERLINK("http://141.218.60.56/~jnz1568/getInfo.php?workbook=12_05.xlsx&amp;sheet=U0&amp;row=4985&amp;col=6&amp;number=3.1&amp;sourceID=14","3.1")</f>
        <v>3.1</v>
      </c>
      <c r="G4985" s="4" t="str">
        <f>HYPERLINK("http://141.218.60.56/~jnz1568/getInfo.php?workbook=12_05.xlsx&amp;sheet=U0&amp;row=4985&amp;col=7&amp;number=0.000652&amp;sourceID=14","0.000652")</f>
        <v>0.000652</v>
      </c>
    </row>
    <row r="4986" spans="1:7">
      <c r="A4986" s="3"/>
      <c r="B4986" s="3"/>
      <c r="C4986" s="3"/>
      <c r="D4986" s="3"/>
      <c r="E4986" s="3">
        <v>3</v>
      </c>
      <c r="F4986" s="4" t="str">
        <f>HYPERLINK("http://141.218.60.56/~jnz1568/getInfo.php?workbook=12_05.xlsx&amp;sheet=U0&amp;row=4986&amp;col=6&amp;number=3.2&amp;sourceID=14","3.2")</f>
        <v>3.2</v>
      </c>
      <c r="G4986" s="4" t="str">
        <f>HYPERLINK("http://141.218.60.56/~jnz1568/getInfo.php?workbook=12_05.xlsx&amp;sheet=U0&amp;row=4986&amp;col=7&amp;number=0.000652&amp;sourceID=14","0.000652")</f>
        <v>0.000652</v>
      </c>
    </row>
    <row r="4987" spans="1:7">
      <c r="A4987" s="3"/>
      <c r="B4987" s="3"/>
      <c r="C4987" s="3"/>
      <c r="D4987" s="3"/>
      <c r="E4987" s="3">
        <v>4</v>
      </c>
      <c r="F4987" s="4" t="str">
        <f>HYPERLINK("http://141.218.60.56/~jnz1568/getInfo.php?workbook=12_05.xlsx&amp;sheet=U0&amp;row=4987&amp;col=6&amp;number=3.3&amp;sourceID=14","3.3")</f>
        <v>3.3</v>
      </c>
      <c r="G4987" s="4" t="str">
        <f>HYPERLINK("http://141.218.60.56/~jnz1568/getInfo.php?workbook=12_05.xlsx&amp;sheet=U0&amp;row=4987&amp;col=7&amp;number=0.000652&amp;sourceID=14","0.000652")</f>
        <v>0.000652</v>
      </c>
    </row>
    <row r="4988" spans="1:7">
      <c r="A4988" s="3"/>
      <c r="B4988" s="3"/>
      <c r="C4988" s="3"/>
      <c r="D4988" s="3"/>
      <c r="E4988" s="3">
        <v>5</v>
      </c>
      <c r="F4988" s="4" t="str">
        <f>HYPERLINK("http://141.218.60.56/~jnz1568/getInfo.php?workbook=12_05.xlsx&amp;sheet=U0&amp;row=4988&amp;col=6&amp;number=3.4&amp;sourceID=14","3.4")</f>
        <v>3.4</v>
      </c>
      <c r="G4988" s="4" t="str">
        <f>HYPERLINK("http://141.218.60.56/~jnz1568/getInfo.php?workbook=12_05.xlsx&amp;sheet=U0&amp;row=4988&amp;col=7&amp;number=0.000652&amp;sourceID=14","0.000652")</f>
        <v>0.000652</v>
      </c>
    </row>
    <row r="4989" spans="1:7">
      <c r="A4989" s="3"/>
      <c r="B4989" s="3"/>
      <c r="C4989" s="3"/>
      <c r="D4989" s="3"/>
      <c r="E4989" s="3">
        <v>6</v>
      </c>
      <c r="F4989" s="4" t="str">
        <f>HYPERLINK("http://141.218.60.56/~jnz1568/getInfo.php?workbook=12_05.xlsx&amp;sheet=U0&amp;row=4989&amp;col=6&amp;number=3.5&amp;sourceID=14","3.5")</f>
        <v>3.5</v>
      </c>
      <c r="G4989" s="4" t="str">
        <f>HYPERLINK("http://141.218.60.56/~jnz1568/getInfo.php?workbook=12_05.xlsx&amp;sheet=U0&amp;row=4989&amp;col=7&amp;number=0.000652&amp;sourceID=14","0.000652")</f>
        <v>0.000652</v>
      </c>
    </row>
    <row r="4990" spans="1:7">
      <c r="A4990" s="3"/>
      <c r="B4990" s="3"/>
      <c r="C4990" s="3"/>
      <c r="D4990" s="3"/>
      <c r="E4990" s="3">
        <v>7</v>
      </c>
      <c r="F4990" s="4" t="str">
        <f>HYPERLINK("http://141.218.60.56/~jnz1568/getInfo.php?workbook=12_05.xlsx&amp;sheet=U0&amp;row=4990&amp;col=6&amp;number=3.6&amp;sourceID=14","3.6")</f>
        <v>3.6</v>
      </c>
      <c r="G4990" s="4" t="str">
        <f>HYPERLINK("http://141.218.60.56/~jnz1568/getInfo.php?workbook=12_05.xlsx&amp;sheet=U0&amp;row=4990&amp;col=7&amp;number=0.000652&amp;sourceID=14","0.000652")</f>
        <v>0.000652</v>
      </c>
    </row>
    <row r="4991" spans="1:7">
      <c r="A4991" s="3"/>
      <c r="B4991" s="3"/>
      <c r="C4991" s="3"/>
      <c r="D4991" s="3"/>
      <c r="E4991" s="3">
        <v>8</v>
      </c>
      <c r="F4991" s="4" t="str">
        <f>HYPERLINK("http://141.218.60.56/~jnz1568/getInfo.php?workbook=12_05.xlsx&amp;sheet=U0&amp;row=4991&amp;col=6&amp;number=3.7&amp;sourceID=14","3.7")</f>
        <v>3.7</v>
      </c>
      <c r="G4991" s="4" t="str">
        <f>HYPERLINK("http://141.218.60.56/~jnz1568/getInfo.php?workbook=12_05.xlsx&amp;sheet=U0&amp;row=4991&amp;col=7&amp;number=0.000651&amp;sourceID=14","0.000651")</f>
        <v>0.000651</v>
      </c>
    </row>
    <row r="4992" spans="1:7">
      <c r="A4992" s="3"/>
      <c r="B4992" s="3"/>
      <c r="C4992" s="3"/>
      <c r="D4992" s="3"/>
      <c r="E4992" s="3">
        <v>9</v>
      </c>
      <c r="F4992" s="4" t="str">
        <f>HYPERLINK("http://141.218.60.56/~jnz1568/getInfo.php?workbook=12_05.xlsx&amp;sheet=U0&amp;row=4992&amp;col=6&amp;number=3.8&amp;sourceID=14","3.8")</f>
        <v>3.8</v>
      </c>
      <c r="G4992" s="4" t="str">
        <f>HYPERLINK("http://141.218.60.56/~jnz1568/getInfo.php?workbook=12_05.xlsx&amp;sheet=U0&amp;row=4992&amp;col=7&amp;number=0.000651&amp;sourceID=14","0.000651")</f>
        <v>0.000651</v>
      </c>
    </row>
    <row r="4993" spans="1:7">
      <c r="A4993" s="3"/>
      <c r="B4993" s="3"/>
      <c r="C4993" s="3"/>
      <c r="D4993" s="3"/>
      <c r="E4993" s="3">
        <v>10</v>
      </c>
      <c r="F4993" s="4" t="str">
        <f>HYPERLINK("http://141.218.60.56/~jnz1568/getInfo.php?workbook=12_05.xlsx&amp;sheet=U0&amp;row=4993&amp;col=6&amp;number=3.9&amp;sourceID=14","3.9")</f>
        <v>3.9</v>
      </c>
      <c r="G4993" s="4" t="str">
        <f>HYPERLINK("http://141.218.60.56/~jnz1568/getInfo.php?workbook=12_05.xlsx&amp;sheet=U0&amp;row=4993&amp;col=7&amp;number=0.000651&amp;sourceID=14","0.000651")</f>
        <v>0.000651</v>
      </c>
    </row>
    <row r="4994" spans="1:7">
      <c r="A4994" s="3"/>
      <c r="B4994" s="3"/>
      <c r="C4994" s="3"/>
      <c r="D4994" s="3"/>
      <c r="E4994" s="3">
        <v>11</v>
      </c>
      <c r="F4994" s="4" t="str">
        <f>HYPERLINK("http://141.218.60.56/~jnz1568/getInfo.php?workbook=12_05.xlsx&amp;sheet=U0&amp;row=4994&amp;col=6&amp;number=4&amp;sourceID=14","4")</f>
        <v>4</v>
      </c>
      <c r="G4994" s="4" t="str">
        <f>HYPERLINK("http://141.218.60.56/~jnz1568/getInfo.php?workbook=12_05.xlsx&amp;sheet=U0&amp;row=4994&amp;col=7&amp;number=0.000651&amp;sourceID=14","0.000651")</f>
        <v>0.000651</v>
      </c>
    </row>
    <row r="4995" spans="1:7">
      <c r="A4995" s="3"/>
      <c r="B4995" s="3"/>
      <c r="C4995" s="3"/>
      <c r="D4995" s="3"/>
      <c r="E4995" s="3">
        <v>12</v>
      </c>
      <c r="F4995" s="4" t="str">
        <f>HYPERLINK("http://141.218.60.56/~jnz1568/getInfo.php?workbook=12_05.xlsx&amp;sheet=U0&amp;row=4995&amp;col=6&amp;number=4.1&amp;sourceID=14","4.1")</f>
        <v>4.1</v>
      </c>
      <c r="G4995" s="4" t="str">
        <f>HYPERLINK("http://141.218.60.56/~jnz1568/getInfo.php?workbook=12_05.xlsx&amp;sheet=U0&amp;row=4995&amp;col=7&amp;number=0.000651&amp;sourceID=14","0.000651")</f>
        <v>0.000651</v>
      </c>
    </row>
    <row r="4996" spans="1:7">
      <c r="A4996" s="3"/>
      <c r="B4996" s="3"/>
      <c r="C4996" s="3"/>
      <c r="D4996" s="3"/>
      <c r="E4996" s="3">
        <v>13</v>
      </c>
      <c r="F4996" s="4" t="str">
        <f>HYPERLINK("http://141.218.60.56/~jnz1568/getInfo.php?workbook=12_05.xlsx&amp;sheet=U0&amp;row=4996&amp;col=6&amp;number=4.2&amp;sourceID=14","4.2")</f>
        <v>4.2</v>
      </c>
      <c r="G4996" s="4" t="str">
        <f>HYPERLINK("http://141.218.60.56/~jnz1568/getInfo.php?workbook=12_05.xlsx&amp;sheet=U0&amp;row=4996&amp;col=7&amp;number=0.000651&amp;sourceID=14","0.000651")</f>
        <v>0.000651</v>
      </c>
    </row>
    <row r="4997" spans="1:7">
      <c r="A4997" s="3"/>
      <c r="B4997" s="3"/>
      <c r="C4997" s="3"/>
      <c r="D4997" s="3"/>
      <c r="E4997" s="3">
        <v>14</v>
      </c>
      <c r="F4997" s="4" t="str">
        <f>HYPERLINK("http://141.218.60.56/~jnz1568/getInfo.php?workbook=12_05.xlsx&amp;sheet=U0&amp;row=4997&amp;col=6&amp;number=4.3&amp;sourceID=14","4.3")</f>
        <v>4.3</v>
      </c>
      <c r="G4997" s="4" t="str">
        <f>HYPERLINK("http://141.218.60.56/~jnz1568/getInfo.php?workbook=12_05.xlsx&amp;sheet=U0&amp;row=4997&amp;col=7&amp;number=0.000651&amp;sourceID=14","0.000651")</f>
        <v>0.000651</v>
      </c>
    </row>
    <row r="4998" spans="1:7">
      <c r="A4998" s="3"/>
      <c r="B4998" s="3"/>
      <c r="C4998" s="3"/>
      <c r="D4998" s="3"/>
      <c r="E4998" s="3">
        <v>15</v>
      </c>
      <c r="F4998" s="4" t="str">
        <f>HYPERLINK("http://141.218.60.56/~jnz1568/getInfo.php?workbook=12_05.xlsx&amp;sheet=U0&amp;row=4998&amp;col=6&amp;number=4.4&amp;sourceID=14","4.4")</f>
        <v>4.4</v>
      </c>
      <c r="G4998" s="4" t="str">
        <f>HYPERLINK("http://141.218.60.56/~jnz1568/getInfo.php?workbook=12_05.xlsx&amp;sheet=U0&amp;row=4998&amp;col=7&amp;number=0.000651&amp;sourceID=14","0.000651")</f>
        <v>0.000651</v>
      </c>
    </row>
    <row r="4999" spans="1:7">
      <c r="A4999" s="3"/>
      <c r="B4999" s="3"/>
      <c r="C4999" s="3"/>
      <c r="D4999" s="3"/>
      <c r="E4999" s="3">
        <v>16</v>
      </c>
      <c r="F4999" s="4" t="str">
        <f>HYPERLINK("http://141.218.60.56/~jnz1568/getInfo.php?workbook=12_05.xlsx&amp;sheet=U0&amp;row=4999&amp;col=6&amp;number=4.5&amp;sourceID=14","4.5")</f>
        <v>4.5</v>
      </c>
      <c r="G4999" s="4" t="str">
        <f>HYPERLINK("http://141.218.60.56/~jnz1568/getInfo.php?workbook=12_05.xlsx&amp;sheet=U0&amp;row=4999&amp;col=7&amp;number=0.000651&amp;sourceID=14","0.000651")</f>
        <v>0.000651</v>
      </c>
    </row>
    <row r="5000" spans="1:7">
      <c r="A5000" s="3"/>
      <c r="B5000" s="3"/>
      <c r="C5000" s="3"/>
      <c r="D5000" s="3"/>
      <c r="E5000" s="3">
        <v>17</v>
      </c>
      <c r="F5000" s="4" t="str">
        <f>HYPERLINK("http://141.218.60.56/~jnz1568/getInfo.php?workbook=12_05.xlsx&amp;sheet=U0&amp;row=5000&amp;col=6&amp;number=4.6&amp;sourceID=14","4.6")</f>
        <v>4.6</v>
      </c>
      <c r="G5000" s="4" t="str">
        <f>HYPERLINK("http://141.218.60.56/~jnz1568/getInfo.php?workbook=12_05.xlsx&amp;sheet=U0&amp;row=5000&amp;col=7&amp;number=0.000651&amp;sourceID=14","0.000651")</f>
        <v>0.000651</v>
      </c>
    </row>
    <row r="5001" spans="1:7">
      <c r="A5001" s="3"/>
      <c r="B5001" s="3"/>
      <c r="C5001" s="3"/>
      <c r="D5001" s="3"/>
      <c r="E5001" s="3">
        <v>18</v>
      </c>
      <c r="F5001" s="4" t="str">
        <f>HYPERLINK("http://141.218.60.56/~jnz1568/getInfo.php?workbook=12_05.xlsx&amp;sheet=U0&amp;row=5001&amp;col=6&amp;number=4.7&amp;sourceID=14","4.7")</f>
        <v>4.7</v>
      </c>
      <c r="G5001" s="4" t="str">
        <f>HYPERLINK("http://141.218.60.56/~jnz1568/getInfo.php?workbook=12_05.xlsx&amp;sheet=U0&amp;row=5001&amp;col=7&amp;number=0.00065&amp;sourceID=14","0.00065")</f>
        <v>0.00065</v>
      </c>
    </row>
    <row r="5002" spans="1:7">
      <c r="A5002" s="3"/>
      <c r="B5002" s="3"/>
      <c r="C5002" s="3"/>
      <c r="D5002" s="3"/>
      <c r="E5002" s="3">
        <v>19</v>
      </c>
      <c r="F5002" s="4" t="str">
        <f>HYPERLINK("http://141.218.60.56/~jnz1568/getInfo.php?workbook=12_05.xlsx&amp;sheet=U0&amp;row=5002&amp;col=6&amp;number=4.8&amp;sourceID=14","4.8")</f>
        <v>4.8</v>
      </c>
      <c r="G5002" s="4" t="str">
        <f>HYPERLINK("http://141.218.60.56/~jnz1568/getInfo.php?workbook=12_05.xlsx&amp;sheet=U0&amp;row=5002&amp;col=7&amp;number=0.00065&amp;sourceID=14","0.00065")</f>
        <v>0.00065</v>
      </c>
    </row>
    <row r="5003" spans="1:7">
      <c r="A5003" s="3"/>
      <c r="B5003" s="3"/>
      <c r="C5003" s="3"/>
      <c r="D5003" s="3"/>
      <c r="E5003" s="3">
        <v>20</v>
      </c>
      <c r="F5003" s="4" t="str">
        <f>HYPERLINK("http://141.218.60.56/~jnz1568/getInfo.php?workbook=12_05.xlsx&amp;sheet=U0&amp;row=5003&amp;col=6&amp;number=4.9&amp;sourceID=14","4.9")</f>
        <v>4.9</v>
      </c>
      <c r="G5003" s="4" t="str">
        <f>HYPERLINK("http://141.218.60.56/~jnz1568/getInfo.php?workbook=12_05.xlsx&amp;sheet=U0&amp;row=5003&amp;col=7&amp;number=0.00065&amp;sourceID=14","0.00065")</f>
        <v>0.00065</v>
      </c>
    </row>
    <row r="5004" spans="1:7">
      <c r="A5004" s="3">
        <v>12</v>
      </c>
      <c r="B5004" s="3">
        <v>5</v>
      </c>
      <c r="C5004" s="3">
        <v>2</v>
      </c>
      <c r="D5004" s="3">
        <v>103</v>
      </c>
      <c r="E5004" s="3">
        <v>1</v>
      </c>
      <c r="F5004" s="4" t="str">
        <f>HYPERLINK("http://141.218.60.56/~jnz1568/getInfo.php?workbook=12_05.xlsx&amp;sheet=U0&amp;row=5004&amp;col=6&amp;number=3&amp;sourceID=14","3")</f>
        <v>3</v>
      </c>
      <c r="G5004" s="4" t="str">
        <f>HYPERLINK("http://141.218.60.56/~jnz1568/getInfo.php?workbook=12_05.xlsx&amp;sheet=U0&amp;row=5004&amp;col=7&amp;number=0.00031&amp;sourceID=14","0.00031")</f>
        <v>0.00031</v>
      </c>
    </row>
    <row r="5005" spans="1:7">
      <c r="A5005" s="3"/>
      <c r="B5005" s="3"/>
      <c r="C5005" s="3"/>
      <c r="D5005" s="3"/>
      <c r="E5005" s="3">
        <v>2</v>
      </c>
      <c r="F5005" s="4" t="str">
        <f>HYPERLINK("http://141.218.60.56/~jnz1568/getInfo.php?workbook=12_05.xlsx&amp;sheet=U0&amp;row=5005&amp;col=6&amp;number=3.1&amp;sourceID=14","3.1")</f>
        <v>3.1</v>
      </c>
      <c r="G5005" s="4" t="str">
        <f>HYPERLINK("http://141.218.60.56/~jnz1568/getInfo.php?workbook=12_05.xlsx&amp;sheet=U0&amp;row=5005&amp;col=7&amp;number=0.00031&amp;sourceID=14","0.00031")</f>
        <v>0.00031</v>
      </c>
    </row>
    <row r="5006" spans="1:7">
      <c r="A5006" s="3"/>
      <c r="B5006" s="3"/>
      <c r="C5006" s="3"/>
      <c r="D5006" s="3"/>
      <c r="E5006" s="3">
        <v>3</v>
      </c>
      <c r="F5006" s="4" t="str">
        <f>HYPERLINK("http://141.218.60.56/~jnz1568/getInfo.php?workbook=12_05.xlsx&amp;sheet=U0&amp;row=5006&amp;col=6&amp;number=3.2&amp;sourceID=14","3.2")</f>
        <v>3.2</v>
      </c>
      <c r="G5006" s="4" t="str">
        <f>HYPERLINK("http://141.218.60.56/~jnz1568/getInfo.php?workbook=12_05.xlsx&amp;sheet=U0&amp;row=5006&amp;col=7&amp;number=0.00031&amp;sourceID=14","0.00031")</f>
        <v>0.00031</v>
      </c>
    </row>
    <row r="5007" spans="1:7">
      <c r="A5007" s="3"/>
      <c r="B5007" s="3"/>
      <c r="C5007" s="3"/>
      <c r="D5007" s="3"/>
      <c r="E5007" s="3">
        <v>4</v>
      </c>
      <c r="F5007" s="4" t="str">
        <f>HYPERLINK("http://141.218.60.56/~jnz1568/getInfo.php?workbook=12_05.xlsx&amp;sheet=U0&amp;row=5007&amp;col=6&amp;number=3.3&amp;sourceID=14","3.3")</f>
        <v>3.3</v>
      </c>
      <c r="G5007" s="4" t="str">
        <f>HYPERLINK("http://141.218.60.56/~jnz1568/getInfo.php?workbook=12_05.xlsx&amp;sheet=U0&amp;row=5007&amp;col=7&amp;number=0.00031&amp;sourceID=14","0.00031")</f>
        <v>0.00031</v>
      </c>
    </row>
    <row r="5008" spans="1:7">
      <c r="A5008" s="3"/>
      <c r="B5008" s="3"/>
      <c r="C5008" s="3"/>
      <c r="D5008" s="3"/>
      <c r="E5008" s="3">
        <v>5</v>
      </c>
      <c r="F5008" s="4" t="str">
        <f>HYPERLINK("http://141.218.60.56/~jnz1568/getInfo.php?workbook=12_05.xlsx&amp;sheet=U0&amp;row=5008&amp;col=6&amp;number=3.4&amp;sourceID=14","3.4")</f>
        <v>3.4</v>
      </c>
      <c r="G5008" s="4" t="str">
        <f>HYPERLINK("http://141.218.60.56/~jnz1568/getInfo.php?workbook=12_05.xlsx&amp;sheet=U0&amp;row=5008&amp;col=7&amp;number=0.00031&amp;sourceID=14","0.00031")</f>
        <v>0.00031</v>
      </c>
    </row>
    <row r="5009" spans="1:7">
      <c r="A5009" s="3"/>
      <c r="B5009" s="3"/>
      <c r="C5009" s="3"/>
      <c r="D5009" s="3"/>
      <c r="E5009" s="3">
        <v>6</v>
      </c>
      <c r="F5009" s="4" t="str">
        <f>HYPERLINK("http://141.218.60.56/~jnz1568/getInfo.php?workbook=12_05.xlsx&amp;sheet=U0&amp;row=5009&amp;col=6&amp;number=3.5&amp;sourceID=14","3.5")</f>
        <v>3.5</v>
      </c>
      <c r="G5009" s="4" t="str">
        <f>HYPERLINK("http://141.218.60.56/~jnz1568/getInfo.php?workbook=12_05.xlsx&amp;sheet=U0&amp;row=5009&amp;col=7&amp;number=0.000309&amp;sourceID=14","0.000309")</f>
        <v>0.000309</v>
      </c>
    </row>
    <row r="5010" spans="1:7">
      <c r="A5010" s="3"/>
      <c r="B5010" s="3"/>
      <c r="C5010" s="3"/>
      <c r="D5010" s="3"/>
      <c r="E5010" s="3">
        <v>7</v>
      </c>
      <c r="F5010" s="4" t="str">
        <f>HYPERLINK("http://141.218.60.56/~jnz1568/getInfo.php?workbook=12_05.xlsx&amp;sheet=U0&amp;row=5010&amp;col=6&amp;number=3.6&amp;sourceID=14","3.6")</f>
        <v>3.6</v>
      </c>
      <c r="G5010" s="4" t="str">
        <f>HYPERLINK("http://141.218.60.56/~jnz1568/getInfo.php?workbook=12_05.xlsx&amp;sheet=U0&amp;row=5010&amp;col=7&amp;number=0.000309&amp;sourceID=14","0.000309")</f>
        <v>0.000309</v>
      </c>
    </row>
    <row r="5011" spans="1:7">
      <c r="A5011" s="3"/>
      <c r="B5011" s="3"/>
      <c r="C5011" s="3"/>
      <c r="D5011" s="3"/>
      <c r="E5011" s="3">
        <v>8</v>
      </c>
      <c r="F5011" s="4" t="str">
        <f>HYPERLINK("http://141.218.60.56/~jnz1568/getInfo.php?workbook=12_05.xlsx&amp;sheet=U0&amp;row=5011&amp;col=6&amp;number=3.7&amp;sourceID=14","3.7")</f>
        <v>3.7</v>
      </c>
      <c r="G5011" s="4" t="str">
        <f>HYPERLINK("http://141.218.60.56/~jnz1568/getInfo.php?workbook=12_05.xlsx&amp;sheet=U0&amp;row=5011&amp;col=7&amp;number=0.000309&amp;sourceID=14","0.000309")</f>
        <v>0.000309</v>
      </c>
    </row>
    <row r="5012" spans="1:7">
      <c r="A5012" s="3"/>
      <c r="B5012" s="3"/>
      <c r="C5012" s="3"/>
      <c r="D5012" s="3"/>
      <c r="E5012" s="3">
        <v>9</v>
      </c>
      <c r="F5012" s="4" t="str">
        <f>HYPERLINK("http://141.218.60.56/~jnz1568/getInfo.php?workbook=12_05.xlsx&amp;sheet=U0&amp;row=5012&amp;col=6&amp;number=3.8&amp;sourceID=14","3.8")</f>
        <v>3.8</v>
      </c>
      <c r="G5012" s="4" t="str">
        <f>HYPERLINK("http://141.218.60.56/~jnz1568/getInfo.php?workbook=12_05.xlsx&amp;sheet=U0&amp;row=5012&amp;col=7&amp;number=0.000309&amp;sourceID=14","0.000309")</f>
        <v>0.000309</v>
      </c>
    </row>
    <row r="5013" spans="1:7">
      <c r="A5013" s="3"/>
      <c r="B5013" s="3"/>
      <c r="C5013" s="3"/>
      <c r="D5013" s="3"/>
      <c r="E5013" s="3">
        <v>10</v>
      </c>
      <c r="F5013" s="4" t="str">
        <f>HYPERLINK("http://141.218.60.56/~jnz1568/getInfo.php?workbook=12_05.xlsx&amp;sheet=U0&amp;row=5013&amp;col=6&amp;number=3.9&amp;sourceID=14","3.9")</f>
        <v>3.9</v>
      </c>
      <c r="G5013" s="4" t="str">
        <f>HYPERLINK("http://141.218.60.56/~jnz1568/getInfo.php?workbook=12_05.xlsx&amp;sheet=U0&amp;row=5013&amp;col=7&amp;number=0.000309&amp;sourceID=14","0.000309")</f>
        <v>0.000309</v>
      </c>
    </row>
    <row r="5014" spans="1:7">
      <c r="A5014" s="3"/>
      <c r="B5014" s="3"/>
      <c r="C5014" s="3"/>
      <c r="D5014" s="3"/>
      <c r="E5014" s="3">
        <v>11</v>
      </c>
      <c r="F5014" s="4" t="str">
        <f>HYPERLINK("http://141.218.60.56/~jnz1568/getInfo.php?workbook=12_05.xlsx&amp;sheet=U0&amp;row=5014&amp;col=6&amp;number=4&amp;sourceID=14","4")</f>
        <v>4</v>
      </c>
      <c r="G5014" s="4" t="str">
        <f>HYPERLINK("http://141.218.60.56/~jnz1568/getInfo.php?workbook=12_05.xlsx&amp;sheet=U0&amp;row=5014&amp;col=7&amp;number=0.000309&amp;sourceID=14","0.000309")</f>
        <v>0.000309</v>
      </c>
    </row>
    <row r="5015" spans="1:7">
      <c r="A5015" s="3"/>
      <c r="B5015" s="3"/>
      <c r="C5015" s="3"/>
      <c r="D5015" s="3"/>
      <c r="E5015" s="3">
        <v>12</v>
      </c>
      <c r="F5015" s="4" t="str">
        <f>HYPERLINK("http://141.218.60.56/~jnz1568/getInfo.php?workbook=12_05.xlsx&amp;sheet=U0&amp;row=5015&amp;col=6&amp;number=4.1&amp;sourceID=14","4.1")</f>
        <v>4.1</v>
      </c>
      <c r="G5015" s="4" t="str">
        <f>HYPERLINK("http://141.218.60.56/~jnz1568/getInfo.php?workbook=12_05.xlsx&amp;sheet=U0&amp;row=5015&amp;col=7&amp;number=0.000309&amp;sourceID=14","0.000309")</f>
        <v>0.000309</v>
      </c>
    </row>
    <row r="5016" spans="1:7">
      <c r="A5016" s="3"/>
      <c r="B5016" s="3"/>
      <c r="C5016" s="3"/>
      <c r="D5016" s="3"/>
      <c r="E5016" s="3">
        <v>13</v>
      </c>
      <c r="F5016" s="4" t="str">
        <f>HYPERLINK("http://141.218.60.56/~jnz1568/getInfo.php?workbook=12_05.xlsx&amp;sheet=U0&amp;row=5016&amp;col=6&amp;number=4.2&amp;sourceID=14","4.2")</f>
        <v>4.2</v>
      </c>
      <c r="G5016" s="4" t="str">
        <f>HYPERLINK("http://141.218.60.56/~jnz1568/getInfo.php?workbook=12_05.xlsx&amp;sheet=U0&amp;row=5016&amp;col=7&amp;number=0.000309&amp;sourceID=14","0.000309")</f>
        <v>0.000309</v>
      </c>
    </row>
    <row r="5017" spans="1:7">
      <c r="A5017" s="3"/>
      <c r="B5017" s="3"/>
      <c r="C5017" s="3"/>
      <c r="D5017" s="3"/>
      <c r="E5017" s="3">
        <v>14</v>
      </c>
      <c r="F5017" s="4" t="str">
        <f>HYPERLINK("http://141.218.60.56/~jnz1568/getInfo.php?workbook=12_05.xlsx&amp;sheet=U0&amp;row=5017&amp;col=6&amp;number=4.3&amp;sourceID=14","4.3")</f>
        <v>4.3</v>
      </c>
      <c r="G5017" s="4" t="str">
        <f>HYPERLINK("http://141.218.60.56/~jnz1568/getInfo.php?workbook=12_05.xlsx&amp;sheet=U0&amp;row=5017&amp;col=7&amp;number=0.000308&amp;sourceID=14","0.000308")</f>
        <v>0.000308</v>
      </c>
    </row>
    <row r="5018" spans="1:7">
      <c r="A5018" s="3"/>
      <c r="B5018" s="3"/>
      <c r="C5018" s="3"/>
      <c r="D5018" s="3"/>
      <c r="E5018" s="3">
        <v>15</v>
      </c>
      <c r="F5018" s="4" t="str">
        <f>HYPERLINK("http://141.218.60.56/~jnz1568/getInfo.php?workbook=12_05.xlsx&amp;sheet=U0&amp;row=5018&amp;col=6&amp;number=4.4&amp;sourceID=14","4.4")</f>
        <v>4.4</v>
      </c>
      <c r="G5018" s="4" t="str">
        <f>HYPERLINK("http://141.218.60.56/~jnz1568/getInfo.php?workbook=12_05.xlsx&amp;sheet=U0&amp;row=5018&amp;col=7&amp;number=0.000308&amp;sourceID=14","0.000308")</f>
        <v>0.000308</v>
      </c>
    </row>
    <row r="5019" spans="1:7">
      <c r="A5019" s="3"/>
      <c r="B5019" s="3"/>
      <c r="C5019" s="3"/>
      <c r="D5019" s="3"/>
      <c r="E5019" s="3">
        <v>16</v>
      </c>
      <c r="F5019" s="4" t="str">
        <f>HYPERLINK("http://141.218.60.56/~jnz1568/getInfo.php?workbook=12_05.xlsx&amp;sheet=U0&amp;row=5019&amp;col=6&amp;number=4.5&amp;sourceID=14","4.5")</f>
        <v>4.5</v>
      </c>
      <c r="G5019" s="4" t="str">
        <f>HYPERLINK("http://141.218.60.56/~jnz1568/getInfo.php?workbook=12_05.xlsx&amp;sheet=U0&amp;row=5019&amp;col=7&amp;number=0.000308&amp;sourceID=14","0.000308")</f>
        <v>0.000308</v>
      </c>
    </row>
    <row r="5020" spans="1:7">
      <c r="A5020" s="3"/>
      <c r="B5020" s="3"/>
      <c r="C5020" s="3"/>
      <c r="D5020" s="3"/>
      <c r="E5020" s="3">
        <v>17</v>
      </c>
      <c r="F5020" s="4" t="str">
        <f>HYPERLINK("http://141.218.60.56/~jnz1568/getInfo.php?workbook=12_05.xlsx&amp;sheet=U0&amp;row=5020&amp;col=6&amp;number=4.6&amp;sourceID=14","4.6")</f>
        <v>4.6</v>
      </c>
      <c r="G5020" s="4" t="str">
        <f>HYPERLINK("http://141.218.60.56/~jnz1568/getInfo.php?workbook=12_05.xlsx&amp;sheet=U0&amp;row=5020&amp;col=7&amp;number=0.000307&amp;sourceID=14","0.000307")</f>
        <v>0.000307</v>
      </c>
    </row>
    <row r="5021" spans="1:7">
      <c r="A5021" s="3"/>
      <c r="B5021" s="3"/>
      <c r="C5021" s="3"/>
      <c r="D5021" s="3"/>
      <c r="E5021" s="3">
        <v>18</v>
      </c>
      <c r="F5021" s="4" t="str">
        <f>HYPERLINK("http://141.218.60.56/~jnz1568/getInfo.php?workbook=12_05.xlsx&amp;sheet=U0&amp;row=5021&amp;col=6&amp;number=4.7&amp;sourceID=14","4.7")</f>
        <v>4.7</v>
      </c>
      <c r="G5021" s="4" t="str">
        <f>HYPERLINK("http://141.218.60.56/~jnz1568/getInfo.php?workbook=12_05.xlsx&amp;sheet=U0&amp;row=5021&amp;col=7&amp;number=0.000306&amp;sourceID=14","0.000306")</f>
        <v>0.000306</v>
      </c>
    </row>
    <row r="5022" spans="1:7">
      <c r="A5022" s="3"/>
      <c r="B5022" s="3"/>
      <c r="C5022" s="3"/>
      <c r="D5022" s="3"/>
      <c r="E5022" s="3">
        <v>19</v>
      </c>
      <c r="F5022" s="4" t="str">
        <f>HYPERLINK("http://141.218.60.56/~jnz1568/getInfo.php?workbook=12_05.xlsx&amp;sheet=U0&amp;row=5022&amp;col=6&amp;number=4.8&amp;sourceID=14","4.8")</f>
        <v>4.8</v>
      </c>
      <c r="G5022" s="4" t="str">
        <f>HYPERLINK("http://141.218.60.56/~jnz1568/getInfo.php?workbook=12_05.xlsx&amp;sheet=U0&amp;row=5022&amp;col=7&amp;number=0.000306&amp;sourceID=14","0.000306")</f>
        <v>0.000306</v>
      </c>
    </row>
    <row r="5023" spans="1:7">
      <c r="A5023" s="3"/>
      <c r="B5023" s="3"/>
      <c r="C5023" s="3"/>
      <c r="D5023" s="3"/>
      <c r="E5023" s="3">
        <v>20</v>
      </c>
      <c r="F5023" s="4" t="str">
        <f>HYPERLINK("http://141.218.60.56/~jnz1568/getInfo.php?workbook=12_05.xlsx&amp;sheet=U0&amp;row=5023&amp;col=6&amp;number=4.9&amp;sourceID=14","4.9")</f>
        <v>4.9</v>
      </c>
      <c r="G5023" s="4" t="str">
        <f>HYPERLINK("http://141.218.60.56/~jnz1568/getInfo.php?workbook=12_05.xlsx&amp;sheet=U0&amp;row=5023&amp;col=7&amp;number=0.000305&amp;sourceID=14","0.000305")</f>
        <v>0.000305</v>
      </c>
    </row>
    <row r="5024" spans="1:7">
      <c r="A5024" s="3">
        <v>12</v>
      </c>
      <c r="B5024" s="3">
        <v>5</v>
      </c>
      <c r="C5024" s="3">
        <v>2</v>
      </c>
      <c r="D5024" s="3">
        <v>104</v>
      </c>
      <c r="E5024" s="3">
        <v>1</v>
      </c>
      <c r="F5024" s="4" t="str">
        <f>HYPERLINK("http://141.218.60.56/~jnz1568/getInfo.php?workbook=12_05.xlsx&amp;sheet=U0&amp;row=5024&amp;col=6&amp;number=3&amp;sourceID=14","3")</f>
        <v>3</v>
      </c>
      <c r="G5024" s="4" t="str">
        <f>HYPERLINK("http://141.218.60.56/~jnz1568/getInfo.php?workbook=12_05.xlsx&amp;sheet=U0&amp;row=5024&amp;col=7&amp;number=0.0008&amp;sourceID=14","0.0008")</f>
        <v>0.0008</v>
      </c>
    </row>
    <row r="5025" spans="1:7">
      <c r="A5025" s="3"/>
      <c r="B5025" s="3"/>
      <c r="C5025" s="3"/>
      <c r="D5025" s="3"/>
      <c r="E5025" s="3">
        <v>2</v>
      </c>
      <c r="F5025" s="4" t="str">
        <f>HYPERLINK("http://141.218.60.56/~jnz1568/getInfo.php?workbook=12_05.xlsx&amp;sheet=U0&amp;row=5025&amp;col=6&amp;number=3.1&amp;sourceID=14","3.1")</f>
        <v>3.1</v>
      </c>
      <c r="G5025" s="4" t="str">
        <f>HYPERLINK("http://141.218.60.56/~jnz1568/getInfo.php?workbook=12_05.xlsx&amp;sheet=U0&amp;row=5025&amp;col=7&amp;number=0.0008&amp;sourceID=14","0.0008")</f>
        <v>0.0008</v>
      </c>
    </row>
    <row r="5026" spans="1:7">
      <c r="A5026" s="3"/>
      <c r="B5026" s="3"/>
      <c r="C5026" s="3"/>
      <c r="D5026" s="3"/>
      <c r="E5026" s="3">
        <v>3</v>
      </c>
      <c r="F5026" s="4" t="str">
        <f>HYPERLINK("http://141.218.60.56/~jnz1568/getInfo.php?workbook=12_05.xlsx&amp;sheet=U0&amp;row=5026&amp;col=6&amp;number=3.2&amp;sourceID=14","3.2")</f>
        <v>3.2</v>
      </c>
      <c r="G5026" s="4" t="str">
        <f>HYPERLINK("http://141.218.60.56/~jnz1568/getInfo.php?workbook=12_05.xlsx&amp;sheet=U0&amp;row=5026&amp;col=7&amp;number=0.0008&amp;sourceID=14","0.0008")</f>
        <v>0.0008</v>
      </c>
    </row>
    <row r="5027" spans="1:7">
      <c r="A5027" s="3"/>
      <c r="B5027" s="3"/>
      <c r="C5027" s="3"/>
      <c r="D5027" s="3"/>
      <c r="E5027" s="3">
        <v>4</v>
      </c>
      <c r="F5027" s="4" t="str">
        <f>HYPERLINK("http://141.218.60.56/~jnz1568/getInfo.php?workbook=12_05.xlsx&amp;sheet=U0&amp;row=5027&amp;col=6&amp;number=3.3&amp;sourceID=14","3.3")</f>
        <v>3.3</v>
      </c>
      <c r="G5027" s="4" t="str">
        <f>HYPERLINK("http://141.218.60.56/~jnz1568/getInfo.php?workbook=12_05.xlsx&amp;sheet=U0&amp;row=5027&amp;col=7&amp;number=0.0008&amp;sourceID=14","0.0008")</f>
        <v>0.0008</v>
      </c>
    </row>
    <row r="5028" spans="1:7">
      <c r="A5028" s="3"/>
      <c r="B5028" s="3"/>
      <c r="C5028" s="3"/>
      <c r="D5028" s="3"/>
      <c r="E5028" s="3">
        <v>5</v>
      </c>
      <c r="F5028" s="4" t="str">
        <f>HYPERLINK("http://141.218.60.56/~jnz1568/getInfo.php?workbook=12_05.xlsx&amp;sheet=U0&amp;row=5028&amp;col=6&amp;number=3.4&amp;sourceID=14","3.4")</f>
        <v>3.4</v>
      </c>
      <c r="G5028" s="4" t="str">
        <f>HYPERLINK("http://141.218.60.56/~jnz1568/getInfo.php?workbook=12_05.xlsx&amp;sheet=U0&amp;row=5028&amp;col=7&amp;number=0.0008&amp;sourceID=14","0.0008")</f>
        <v>0.0008</v>
      </c>
    </row>
    <row r="5029" spans="1:7">
      <c r="A5029" s="3"/>
      <c r="B5029" s="3"/>
      <c r="C5029" s="3"/>
      <c r="D5029" s="3"/>
      <c r="E5029" s="3">
        <v>6</v>
      </c>
      <c r="F5029" s="4" t="str">
        <f>HYPERLINK("http://141.218.60.56/~jnz1568/getInfo.php?workbook=12_05.xlsx&amp;sheet=U0&amp;row=5029&amp;col=6&amp;number=3.5&amp;sourceID=14","3.5")</f>
        <v>3.5</v>
      </c>
      <c r="G5029" s="4" t="str">
        <f>HYPERLINK("http://141.218.60.56/~jnz1568/getInfo.php?workbook=12_05.xlsx&amp;sheet=U0&amp;row=5029&amp;col=7&amp;number=0.0008&amp;sourceID=14","0.0008")</f>
        <v>0.0008</v>
      </c>
    </row>
    <row r="5030" spans="1:7">
      <c r="A5030" s="3"/>
      <c r="B5030" s="3"/>
      <c r="C5030" s="3"/>
      <c r="D5030" s="3"/>
      <c r="E5030" s="3">
        <v>7</v>
      </c>
      <c r="F5030" s="4" t="str">
        <f>HYPERLINK("http://141.218.60.56/~jnz1568/getInfo.php?workbook=12_05.xlsx&amp;sheet=U0&amp;row=5030&amp;col=6&amp;number=3.6&amp;sourceID=14","3.6")</f>
        <v>3.6</v>
      </c>
      <c r="G5030" s="4" t="str">
        <f>HYPERLINK("http://141.218.60.56/~jnz1568/getInfo.php?workbook=12_05.xlsx&amp;sheet=U0&amp;row=5030&amp;col=7&amp;number=0.0008&amp;sourceID=14","0.0008")</f>
        <v>0.0008</v>
      </c>
    </row>
    <row r="5031" spans="1:7">
      <c r="A5031" s="3"/>
      <c r="B5031" s="3"/>
      <c r="C5031" s="3"/>
      <c r="D5031" s="3"/>
      <c r="E5031" s="3">
        <v>8</v>
      </c>
      <c r="F5031" s="4" t="str">
        <f>HYPERLINK("http://141.218.60.56/~jnz1568/getInfo.php?workbook=12_05.xlsx&amp;sheet=U0&amp;row=5031&amp;col=6&amp;number=3.7&amp;sourceID=14","3.7")</f>
        <v>3.7</v>
      </c>
      <c r="G5031" s="4" t="str">
        <f>HYPERLINK("http://141.218.60.56/~jnz1568/getInfo.php?workbook=12_05.xlsx&amp;sheet=U0&amp;row=5031&amp;col=7&amp;number=0.0008&amp;sourceID=14","0.0008")</f>
        <v>0.0008</v>
      </c>
    </row>
    <row r="5032" spans="1:7">
      <c r="A5032" s="3"/>
      <c r="B5032" s="3"/>
      <c r="C5032" s="3"/>
      <c r="D5032" s="3"/>
      <c r="E5032" s="3">
        <v>9</v>
      </c>
      <c r="F5032" s="4" t="str">
        <f>HYPERLINK("http://141.218.60.56/~jnz1568/getInfo.php?workbook=12_05.xlsx&amp;sheet=U0&amp;row=5032&amp;col=6&amp;number=3.8&amp;sourceID=14","3.8")</f>
        <v>3.8</v>
      </c>
      <c r="G5032" s="4" t="str">
        <f>HYPERLINK("http://141.218.60.56/~jnz1568/getInfo.php?workbook=12_05.xlsx&amp;sheet=U0&amp;row=5032&amp;col=7&amp;number=0.0008&amp;sourceID=14","0.0008")</f>
        <v>0.0008</v>
      </c>
    </row>
    <row r="5033" spans="1:7">
      <c r="A5033" s="3"/>
      <c r="B5033" s="3"/>
      <c r="C5033" s="3"/>
      <c r="D5033" s="3"/>
      <c r="E5033" s="3">
        <v>10</v>
      </c>
      <c r="F5033" s="4" t="str">
        <f>HYPERLINK("http://141.218.60.56/~jnz1568/getInfo.php?workbook=12_05.xlsx&amp;sheet=U0&amp;row=5033&amp;col=6&amp;number=3.9&amp;sourceID=14","3.9")</f>
        <v>3.9</v>
      </c>
      <c r="G5033" s="4" t="str">
        <f>HYPERLINK("http://141.218.60.56/~jnz1568/getInfo.php?workbook=12_05.xlsx&amp;sheet=U0&amp;row=5033&amp;col=7&amp;number=0.0008&amp;sourceID=14","0.0008")</f>
        <v>0.0008</v>
      </c>
    </row>
    <row r="5034" spans="1:7">
      <c r="A5034" s="3"/>
      <c r="B5034" s="3"/>
      <c r="C5034" s="3"/>
      <c r="D5034" s="3"/>
      <c r="E5034" s="3">
        <v>11</v>
      </c>
      <c r="F5034" s="4" t="str">
        <f>HYPERLINK("http://141.218.60.56/~jnz1568/getInfo.php?workbook=12_05.xlsx&amp;sheet=U0&amp;row=5034&amp;col=6&amp;number=4&amp;sourceID=14","4")</f>
        <v>4</v>
      </c>
      <c r="G5034" s="4" t="str">
        <f>HYPERLINK("http://141.218.60.56/~jnz1568/getInfo.php?workbook=12_05.xlsx&amp;sheet=U0&amp;row=5034&amp;col=7&amp;number=0.0008&amp;sourceID=14","0.0008")</f>
        <v>0.0008</v>
      </c>
    </row>
    <row r="5035" spans="1:7">
      <c r="A5035" s="3"/>
      <c r="B5035" s="3"/>
      <c r="C5035" s="3"/>
      <c r="D5035" s="3"/>
      <c r="E5035" s="3">
        <v>12</v>
      </c>
      <c r="F5035" s="4" t="str">
        <f>HYPERLINK("http://141.218.60.56/~jnz1568/getInfo.php?workbook=12_05.xlsx&amp;sheet=U0&amp;row=5035&amp;col=6&amp;number=4.1&amp;sourceID=14","4.1")</f>
        <v>4.1</v>
      </c>
      <c r="G5035" s="4" t="str">
        <f>HYPERLINK("http://141.218.60.56/~jnz1568/getInfo.php?workbook=12_05.xlsx&amp;sheet=U0&amp;row=5035&amp;col=7&amp;number=0.0008&amp;sourceID=14","0.0008")</f>
        <v>0.0008</v>
      </c>
    </row>
    <row r="5036" spans="1:7">
      <c r="A5036" s="3"/>
      <c r="B5036" s="3"/>
      <c r="C5036" s="3"/>
      <c r="D5036" s="3"/>
      <c r="E5036" s="3">
        <v>13</v>
      </c>
      <c r="F5036" s="4" t="str">
        <f>HYPERLINK("http://141.218.60.56/~jnz1568/getInfo.php?workbook=12_05.xlsx&amp;sheet=U0&amp;row=5036&amp;col=6&amp;number=4.2&amp;sourceID=14","4.2")</f>
        <v>4.2</v>
      </c>
      <c r="G5036" s="4" t="str">
        <f>HYPERLINK("http://141.218.60.56/~jnz1568/getInfo.php?workbook=12_05.xlsx&amp;sheet=U0&amp;row=5036&amp;col=7&amp;number=0.0008&amp;sourceID=14","0.0008")</f>
        <v>0.0008</v>
      </c>
    </row>
    <row r="5037" spans="1:7">
      <c r="A5037" s="3"/>
      <c r="B5037" s="3"/>
      <c r="C5037" s="3"/>
      <c r="D5037" s="3"/>
      <c r="E5037" s="3">
        <v>14</v>
      </c>
      <c r="F5037" s="4" t="str">
        <f>HYPERLINK("http://141.218.60.56/~jnz1568/getInfo.php?workbook=12_05.xlsx&amp;sheet=U0&amp;row=5037&amp;col=6&amp;number=4.3&amp;sourceID=14","4.3")</f>
        <v>4.3</v>
      </c>
      <c r="G5037" s="4" t="str">
        <f>HYPERLINK("http://141.218.60.56/~jnz1568/getInfo.php?workbook=12_05.xlsx&amp;sheet=U0&amp;row=5037&amp;col=7&amp;number=0.0008&amp;sourceID=14","0.0008")</f>
        <v>0.0008</v>
      </c>
    </row>
    <row r="5038" spans="1:7">
      <c r="A5038" s="3"/>
      <c r="B5038" s="3"/>
      <c r="C5038" s="3"/>
      <c r="D5038" s="3"/>
      <c r="E5038" s="3">
        <v>15</v>
      </c>
      <c r="F5038" s="4" t="str">
        <f>HYPERLINK("http://141.218.60.56/~jnz1568/getInfo.php?workbook=12_05.xlsx&amp;sheet=U0&amp;row=5038&amp;col=6&amp;number=4.4&amp;sourceID=14","4.4")</f>
        <v>4.4</v>
      </c>
      <c r="G5038" s="4" t="str">
        <f>HYPERLINK("http://141.218.60.56/~jnz1568/getInfo.php?workbook=12_05.xlsx&amp;sheet=U0&amp;row=5038&amp;col=7&amp;number=0.0008&amp;sourceID=14","0.0008")</f>
        <v>0.0008</v>
      </c>
    </row>
    <row r="5039" spans="1:7">
      <c r="A5039" s="3"/>
      <c r="B5039" s="3"/>
      <c r="C5039" s="3"/>
      <c r="D5039" s="3"/>
      <c r="E5039" s="3">
        <v>16</v>
      </c>
      <c r="F5039" s="4" t="str">
        <f>HYPERLINK("http://141.218.60.56/~jnz1568/getInfo.php?workbook=12_05.xlsx&amp;sheet=U0&amp;row=5039&amp;col=6&amp;number=4.5&amp;sourceID=14","4.5")</f>
        <v>4.5</v>
      </c>
      <c r="G5039" s="4" t="str">
        <f>HYPERLINK("http://141.218.60.56/~jnz1568/getInfo.php?workbook=12_05.xlsx&amp;sheet=U0&amp;row=5039&amp;col=7&amp;number=0.000799&amp;sourceID=14","0.000799")</f>
        <v>0.000799</v>
      </c>
    </row>
    <row r="5040" spans="1:7">
      <c r="A5040" s="3"/>
      <c r="B5040" s="3"/>
      <c r="C5040" s="3"/>
      <c r="D5040" s="3"/>
      <c r="E5040" s="3">
        <v>17</v>
      </c>
      <c r="F5040" s="4" t="str">
        <f>HYPERLINK("http://141.218.60.56/~jnz1568/getInfo.php?workbook=12_05.xlsx&amp;sheet=U0&amp;row=5040&amp;col=6&amp;number=4.6&amp;sourceID=14","4.6")</f>
        <v>4.6</v>
      </c>
      <c r="G5040" s="4" t="str">
        <f>HYPERLINK("http://141.218.60.56/~jnz1568/getInfo.php?workbook=12_05.xlsx&amp;sheet=U0&amp;row=5040&amp;col=7&amp;number=0.000799&amp;sourceID=14","0.000799")</f>
        <v>0.000799</v>
      </c>
    </row>
    <row r="5041" spans="1:7">
      <c r="A5041" s="3"/>
      <c r="B5041" s="3"/>
      <c r="C5041" s="3"/>
      <c r="D5041" s="3"/>
      <c r="E5041" s="3">
        <v>18</v>
      </c>
      <c r="F5041" s="4" t="str">
        <f>HYPERLINK("http://141.218.60.56/~jnz1568/getInfo.php?workbook=12_05.xlsx&amp;sheet=U0&amp;row=5041&amp;col=6&amp;number=4.7&amp;sourceID=14","4.7")</f>
        <v>4.7</v>
      </c>
      <c r="G5041" s="4" t="str">
        <f>HYPERLINK("http://141.218.60.56/~jnz1568/getInfo.php?workbook=12_05.xlsx&amp;sheet=U0&amp;row=5041&amp;col=7&amp;number=0.000799&amp;sourceID=14","0.000799")</f>
        <v>0.000799</v>
      </c>
    </row>
    <row r="5042" spans="1:7">
      <c r="A5042" s="3"/>
      <c r="B5042" s="3"/>
      <c r="C5042" s="3"/>
      <c r="D5042" s="3"/>
      <c r="E5042" s="3">
        <v>19</v>
      </c>
      <c r="F5042" s="4" t="str">
        <f>HYPERLINK("http://141.218.60.56/~jnz1568/getInfo.php?workbook=12_05.xlsx&amp;sheet=U0&amp;row=5042&amp;col=6&amp;number=4.8&amp;sourceID=14","4.8")</f>
        <v>4.8</v>
      </c>
      <c r="G5042" s="4" t="str">
        <f>HYPERLINK("http://141.218.60.56/~jnz1568/getInfo.php?workbook=12_05.xlsx&amp;sheet=U0&amp;row=5042&amp;col=7&amp;number=0.000798&amp;sourceID=14","0.000798")</f>
        <v>0.000798</v>
      </c>
    </row>
    <row r="5043" spans="1:7">
      <c r="A5043" s="3"/>
      <c r="B5043" s="3"/>
      <c r="C5043" s="3"/>
      <c r="D5043" s="3"/>
      <c r="E5043" s="3">
        <v>20</v>
      </c>
      <c r="F5043" s="4" t="str">
        <f>HYPERLINK("http://141.218.60.56/~jnz1568/getInfo.php?workbook=12_05.xlsx&amp;sheet=U0&amp;row=5043&amp;col=6&amp;number=4.9&amp;sourceID=14","4.9")</f>
        <v>4.9</v>
      </c>
      <c r="G5043" s="4" t="str">
        <f>HYPERLINK("http://141.218.60.56/~jnz1568/getInfo.php?workbook=12_05.xlsx&amp;sheet=U0&amp;row=5043&amp;col=7&amp;number=0.000798&amp;sourceID=14","0.000798")</f>
        <v>0.000798</v>
      </c>
    </row>
    <row r="5044" spans="1:7">
      <c r="A5044" s="3">
        <v>12</v>
      </c>
      <c r="B5044" s="3">
        <v>5</v>
      </c>
      <c r="C5044" s="3">
        <v>2</v>
      </c>
      <c r="D5044" s="3">
        <v>105</v>
      </c>
      <c r="E5044" s="3">
        <v>1</v>
      </c>
      <c r="F5044" s="4" t="str">
        <f>HYPERLINK("http://141.218.60.56/~jnz1568/getInfo.php?workbook=12_05.xlsx&amp;sheet=U0&amp;row=5044&amp;col=6&amp;number=3&amp;sourceID=14","3")</f>
        <v>3</v>
      </c>
      <c r="G5044" s="4" t="str">
        <f>HYPERLINK("http://141.218.60.56/~jnz1568/getInfo.php?workbook=12_05.xlsx&amp;sheet=U0&amp;row=5044&amp;col=7&amp;number=0.00069&amp;sourceID=14","0.00069")</f>
        <v>0.00069</v>
      </c>
    </row>
    <row r="5045" spans="1:7">
      <c r="A5045" s="3"/>
      <c r="B5045" s="3"/>
      <c r="C5045" s="3"/>
      <c r="D5045" s="3"/>
      <c r="E5045" s="3">
        <v>2</v>
      </c>
      <c r="F5045" s="4" t="str">
        <f>HYPERLINK("http://141.218.60.56/~jnz1568/getInfo.php?workbook=12_05.xlsx&amp;sheet=U0&amp;row=5045&amp;col=6&amp;number=3.1&amp;sourceID=14","3.1")</f>
        <v>3.1</v>
      </c>
      <c r="G5045" s="4" t="str">
        <f>HYPERLINK("http://141.218.60.56/~jnz1568/getInfo.php?workbook=12_05.xlsx&amp;sheet=U0&amp;row=5045&amp;col=7&amp;number=0.00069&amp;sourceID=14","0.00069")</f>
        <v>0.00069</v>
      </c>
    </row>
    <row r="5046" spans="1:7">
      <c r="A5046" s="3"/>
      <c r="B5046" s="3"/>
      <c r="C5046" s="3"/>
      <c r="D5046" s="3"/>
      <c r="E5046" s="3">
        <v>3</v>
      </c>
      <c r="F5046" s="4" t="str">
        <f>HYPERLINK("http://141.218.60.56/~jnz1568/getInfo.php?workbook=12_05.xlsx&amp;sheet=U0&amp;row=5046&amp;col=6&amp;number=3.2&amp;sourceID=14","3.2")</f>
        <v>3.2</v>
      </c>
      <c r="G5046" s="4" t="str">
        <f>HYPERLINK("http://141.218.60.56/~jnz1568/getInfo.php?workbook=12_05.xlsx&amp;sheet=U0&amp;row=5046&amp;col=7&amp;number=0.00069&amp;sourceID=14","0.00069")</f>
        <v>0.00069</v>
      </c>
    </row>
    <row r="5047" spans="1:7">
      <c r="A5047" s="3"/>
      <c r="B5047" s="3"/>
      <c r="C5047" s="3"/>
      <c r="D5047" s="3"/>
      <c r="E5047" s="3">
        <v>4</v>
      </c>
      <c r="F5047" s="4" t="str">
        <f>HYPERLINK("http://141.218.60.56/~jnz1568/getInfo.php?workbook=12_05.xlsx&amp;sheet=U0&amp;row=5047&amp;col=6&amp;number=3.3&amp;sourceID=14","3.3")</f>
        <v>3.3</v>
      </c>
      <c r="G5047" s="4" t="str">
        <f>HYPERLINK("http://141.218.60.56/~jnz1568/getInfo.php?workbook=12_05.xlsx&amp;sheet=U0&amp;row=5047&amp;col=7&amp;number=0.00069&amp;sourceID=14","0.00069")</f>
        <v>0.00069</v>
      </c>
    </row>
    <row r="5048" spans="1:7">
      <c r="A5048" s="3"/>
      <c r="B5048" s="3"/>
      <c r="C5048" s="3"/>
      <c r="D5048" s="3"/>
      <c r="E5048" s="3">
        <v>5</v>
      </c>
      <c r="F5048" s="4" t="str">
        <f>HYPERLINK("http://141.218.60.56/~jnz1568/getInfo.php?workbook=12_05.xlsx&amp;sheet=U0&amp;row=5048&amp;col=6&amp;number=3.4&amp;sourceID=14","3.4")</f>
        <v>3.4</v>
      </c>
      <c r="G5048" s="4" t="str">
        <f>HYPERLINK("http://141.218.60.56/~jnz1568/getInfo.php?workbook=12_05.xlsx&amp;sheet=U0&amp;row=5048&amp;col=7&amp;number=0.00069&amp;sourceID=14","0.00069")</f>
        <v>0.00069</v>
      </c>
    </row>
    <row r="5049" spans="1:7">
      <c r="A5049" s="3"/>
      <c r="B5049" s="3"/>
      <c r="C5049" s="3"/>
      <c r="D5049" s="3"/>
      <c r="E5049" s="3">
        <v>6</v>
      </c>
      <c r="F5049" s="4" t="str">
        <f>HYPERLINK("http://141.218.60.56/~jnz1568/getInfo.php?workbook=12_05.xlsx&amp;sheet=U0&amp;row=5049&amp;col=6&amp;number=3.5&amp;sourceID=14","3.5")</f>
        <v>3.5</v>
      </c>
      <c r="G5049" s="4" t="str">
        <f>HYPERLINK("http://141.218.60.56/~jnz1568/getInfo.php?workbook=12_05.xlsx&amp;sheet=U0&amp;row=5049&amp;col=7&amp;number=0.000689&amp;sourceID=14","0.000689")</f>
        <v>0.000689</v>
      </c>
    </row>
    <row r="5050" spans="1:7">
      <c r="A5050" s="3"/>
      <c r="B5050" s="3"/>
      <c r="C5050" s="3"/>
      <c r="D5050" s="3"/>
      <c r="E5050" s="3">
        <v>7</v>
      </c>
      <c r="F5050" s="4" t="str">
        <f>HYPERLINK("http://141.218.60.56/~jnz1568/getInfo.php?workbook=12_05.xlsx&amp;sheet=U0&amp;row=5050&amp;col=6&amp;number=3.6&amp;sourceID=14","3.6")</f>
        <v>3.6</v>
      </c>
      <c r="G5050" s="4" t="str">
        <f>HYPERLINK("http://141.218.60.56/~jnz1568/getInfo.php?workbook=12_05.xlsx&amp;sheet=U0&amp;row=5050&amp;col=7&amp;number=0.000689&amp;sourceID=14","0.000689")</f>
        <v>0.000689</v>
      </c>
    </row>
    <row r="5051" spans="1:7">
      <c r="A5051" s="3"/>
      <c r="B5051" s="3"/>
      <c r="C5051" s="3"/>
      <c r="D5051" s="3"/>
      <c r="E5051" s="3">
        <v>8</v>
      </c>
      <c r="F5051" s="4" t="str">
        <f>HYPERLINK("http://141.218.60.56/~jnz1568/getInfo.php?workbook=12_05.xlsx&amp;sheet=U0&amp;row=5051&amp;col=6&amp;number=3.7&amp;sourceID=14","3.7")</f>
        <v>3.7</v>
      </c>
      <c r="G5051" s="4" t="str">
        <f>HYPERLINK("http://141.218.60.56/~jnz1568/getInfo.php?workbook=12_05.xlsx&amp;sheet=U0&amp;row=5051&amp;col=7&amp;number=0.000689&amp;sourceID=14","0.000689")</f>
        <v>0.000689</v>
      </c>
    </row>
    <row r="5052" spans="1:7">
      <c r="A5052" s="3"/>
      <c r="B5052" s="3"/>
      <c r="C5052" s="3"/>
      <c r="D5052" s="3"/>
      <c r="E5052" s="3">
        <v>9</v>
      </c>
      <c r="F5052" s="4" t="str">
        <f>HYPERLINK("http://141.218.60.56/~jnz1568/getInfo.php?workbook=12_05.xlsx&amp;sheet=U0&amp;row=5052&amp;col=6&amp;number=3.8&amp;sourceID=14","3.8")</f>
        <v>3.8</v>
      </c>
      <c r="G5052" s="4" t="str">
        <f>HYPERLINK("http://141.218.60.56/~jnz1568/getInfo.php?workbook=12_05.xlsx&amp;sheet=U0&amp;row=5052&amp;col=7&amp;number=0.000689&amp;sourceID=14","0.000689")</f>
        <v>0.000689</v>
      </c>
    </row>
    <row r="5053" spans="1:7">
      <c r="A5053" s="3"/>
      <c r="B5053" s="3"/>
      <c r="C5053" s="3"/>
      <c r="D5053" s="3"/>
      <c r="E5053" s="3">
        <v>10</v>
      </c>
      <c r="F5053" s="4" t="str">
        <f>HYPERLINK("http://141.218.60.56/~jnz1568/getInfo.php?workbook=12_05.xlsx&amp;sheet=U0&amp;row=5053&amp;col=6&amp;number=3.9&amp;sourceID=14","3.9")</f>
        <v>3.9</v>
      </c>
      <c r="G5053" s="4" t="str">
        <f>HYPERLINK("http://141.218.60.56/~jnz1568/getInfo.php?workbook=12_05.xlsx&amp;sheet=U0&amp;row=5053&amp;col=7&amp;number=0.000688&amp;sourceID=14","0.000688")</f>
        <v>0.000688</v>
      </c>
    </row>
    <row r="5054" spans="1:7">
      <c r="A5054" s="3"/>
      <c r="B5054" s="3"/>
      <c r="C5054" s="3"/>
      <c r="D5054" s="3"/>
      <c r="E5054" s="3">
        <v>11</v>
      </c>
      <c r="F5054" s="4" t="str">
        <f>HYPERLINK("http://141.218.60.56/~jnz1568/getInfo.php?workbook=12_05.xlsx&amp;sheet=U0&amp;row=5054&amp;col=6&amp;number=4&amp;sourceID=14","4")</f>
        <v>4</v>
      </c>
      <c r="G5054" s="4" t="str">
        <f>HYPERLINK("http://141.218.60.56/~jnz1568/getInfo.php?workbook=12_05.xlsx&amp;sheet=U0&amp;row=5054&amp;col=7&amp;number=0.000688&amp;sourceID=14","0.000688")</f>
        <v>0.000688</v>
      </c>
    </row>
    <row r="5055" spans="1:7">
      <c r="A5055" s="3"/>
      <c r="B5055" s="3"/>
      <c r="C5055" s="3"/>
      <c r="D5055" s="3"/>
      <c r="E5055" s="3">
        <v>12</v>
      </c>
      <c r="F5055" s="4" t="str">
        <f>HYPERLINK("http://141.218.60.56/~jnz1568/getInfo.php?workbook=12_05.xlsx&amp;sheet=U0&amp;row=5055&amp;col=6&amp;number=4.1&amp;sourceID=14","4.1")</f>
        <v>4.1</v>
      </c>
      <c r="G5055" s="4" t="str">
        <f>HYPERLINK("http://141.218.60.56/~jnz1568/getInfo.php?workbook=12_05.xlsx&amp;sheet=U0&amp;row=5055&amp;col=7&amp;number=0.000687&amp;sourceID=14","0.000687")</f>
        <v>0.000687</v>
      </c>
    </row>
    <row r="5056" spans="1:7">
      <c r="A5056" s="3"/>
      <c r="B5056" s="3"/>
      <c r="C5056" s="3"/>
      <c r="D5056" s="3"/>
      <c r="E5056" s="3">
        <v>13</v>
      </c>
      <c r="F5056" s="4" t="str">
        <f>HYPERLINK("http://141.218.60.56/~jnz1568/getInfo.php?workbook=12_05.xlsx&amp;sheet=U0&amp;row=5056&amp;col=6&amp;number=4.2&amp;sourceID=14","4.2")</f>
        <v>4.2</v>
      </c>
      <c r="G5056" s="4" t="str">
        <f>HYPERLINK("http://141.218.60.56/~jnz1568/getInfo.php?workbook=12_05.xlsx&amp;sheet=U0&amp;row=5056&amp;col=7&amp;number=0.000686&amp;sourceID=14","0.000686")</f>
        <v>0.000686</v>
      </c>
    </row>
    <row r="5057" spans="1:7">
      <c r="A5057" s="3"/>
      <c r="B5057" s="3"/>
      <c r="C5057" s="3"/>
      <c r="D5057" s="3"/>
      <c r="E5057" s="3">
        <v>14</v>
      </c>
      <c r="F5057" s="4" t="str">
        <f>HYPERLINK("http://141.218.60.56/~jnz1568/getInfo.php?workbook=12_05.xlsx&amp;sheet=U0&amp;row=5057&amp;col=6&amp;number=4.3&amp;sourceID=14","4.3")</f>
        <v>4.3</v>
      </c>
      <c r="G5057" s="4" t="str">
        <f>HYPERLINK("http://141.218.60.56/~jnz1568/getInfo.php?workbook=12_05.xlsx&amp;sheet=U0&amp;row=5057&amp;col=7&amp;number=0.000685&amp;sourceID=14","0.000685")</f>
        <v>0.000685</v>
      </c>
    </row>
    <row r="5058" spans="1:7">
      <c r="A5058" s="3"/>
      <c r="B5058" s="3"/>
      <c r="C5058" s="3"/>
      <c r="D5058" s="3"/>
      <c r="E5058" s="3">
        <v>15</v>
      </c>
      <c r="F5058" s="4" t="str">
        <f>HYPERLINK("http://141.218.60.56/~jnz1568/getInfo.php?workbook=12_05.xlsx&amp;sheet=U0&amp;row=5058&amp;col=6&amp;number=4.4&amp;sourceID=14","4.4")</f>
        <v>4.4</v>
      </c>
      <c r="G5058" s="4" t="str">
        <f>HYPERLINK("http://141.218.60.56/~jnz1568/getInfo.php?workbook=12_05.xlsx&amp;sheet=U0&amp;row=5058&amp;col=7&amp;number=0.000684&amp;sourceID=14","0.000684")</f>
        <v>0.000684</v>
      </c>
    </row>
    <row r="5059" spans="1:7">
      <c r="A5059" s="3"/>
      <c r="B5059" s="3"/>
      <c r="C5059" s="3"/>
      <c r="D5059" s="3"/>
      <c r="E5059" s="3">
        <v>16</v>
      </c>
      <c r="F5059" s="4" t="str">
        <f>HYPERLINK("http://141.218.60.56/~jnz1568/getInfo.php?workbook=12_05.xlsx&amp;sheet=U0&amp;row=5059&amp;col=6&amp;number=4.5&amp;sourceID=14","4.5")</f>
        <v>4.5</v>
      </c>
      <c r="G5059" s="4" t="str">
        <f>HYPERLINK("http://141.218.60.56/~jnz1568/getInfo.php?workbook=12_05.xlsx&amp;sheet=U0&amp;row=5059&amp;col=7&amp;number=0.000682&amp;sourceID=14","0.000682")</f>
        <v>0.000682</v>
      </c>
    </row>
    <row r="5060" spans="1:7">
      <c r="A5060" s="3"/>
      <c r="B5060" s="3"/>
      <c r="C5060" s="3"/>
      <c r="D5060" s="3"/>
      <c r="E5060" s="3">
        <v>17</v>
      </c>
      <c r="F5060" s="4" t="str">
        <f>HYPERLINK("http://141.218.60.56/~jnz1568/getInfo.php?workbook=12_05.xlsx&amp;sheet=U0&amp;row=5060&amp;col=6&amp;number=4.6&amp;sourceID=14","4.6")</f>
        <v>4.6</v>
      </c>
      <c r="G5060" s="4" t="str">
        <f>HYPERLINK("http://141.218.60.56/~jnz1568/getInfo.php?workbook=12_05.xlsx&amp;sheet=U0&amp;row=5060&amp;col=7&amp;number=0.00068&amp;sourceID=14","0.00068")</f>
        <v>0.00068</v>
      </c>
    </row>
    <row r="5061" spans="1:7">
      <c r="A5061" s="3"/>
      <c r="B5061" s="3"/>
      <c r="C5061" s="3"/>
      <c r="D5061" s="3"/>
      <c r="E5061" s="3">
        <v>18</v>
      </c>
      <c r="F5061" s="4" t="str">
        <f>HYPERLINK("http://141.218.60.56/~jnz1568/getInfo.php?workbook=12_05.xlsx&amp;sheet=U0&amp;row=5061&amp;col=6&amp;number=4.7&amp;sourceID=14","4.7")</f>
        <v>4.7</v>
      </c>
      <c r="G5061" s="4" t="str">
        <f>HYPERLINK("http://141.218.60.56/~jnz1568/getInfo.php?workbook=12_05.xlsx&amp;sheet=U0&amp;row=5061&amp;col=7&amp;number=0.000677&amp;sourceID=14","0.000677")</f>
        <v>0.000677</v>
      </c>
    </row>
    <row r="5062" spans="1:7">
      <c r="A5062" s="3"/>
      <c r="B5062" s="3"/>
      <c r="C5062" s="3"/>
      <c r="D5062" s="3"/>
      <c r="E5062" s="3">
        <v>19</v>
      </c>
      <c r="F5062" s="4" t="str">
        <f>HYPERLINK("http://141.218.60.56/~jnz1568/getInfo.php?workbook=12_05.xlsx&amp;sheet=U0&amp;row=5062&amp;col=6&amp;number=4.8&amp;sourceID=14","4.8")</f>
        <v>4.8</v>
      </c>
      <c r="G5062" s="4" t="str">
        <f>HYPERLINK("http://141.218.60.56/~jnz1568/getInfo.php?workbook=12_05.xlsx&amp;sheet=U0&amp;row=5062&amp;col=7&amp;number=0.000674&amp;sourceID=14","0.000674")</f>
        <v>0.000674</v>
      </c>
    </row>
    <row r="5063" spans="1:7">
      <c r="A5063" s="3"/>
      <c r="B5063" s="3"/>
      <c r="C5063" s="3"/>
      <c r="D5063" s="3"/>
      <c r="E5063" s="3">
        <v>20</v>
      </c>
      <c r="F5063" s="4" t="str">
        <f>HYPERLINK("http://141.218.60.56/~jnz1568/getInfo.php?workbook=12_05.xlsx&amp;sheet=U0&amp;row=5063&amp;col=6&amp;number=4.9&amp;sourceID=14","4.9")</f>
        <v>4.9</v>
      </c>
      <c r="G5063" s="4" t="str">
        <f>HYPERLINK("http://141.218.60.56/~jnz1568/getInfo.php?workbook=12_05.xlsx&amp;sheet=U0&amp;row=5063&amp;col=7&amp;number=0.00067&amp;sourceID=14","0.00067")</f>
        <v>0.00067</v>
      </c>
    </row>
    <row r="5064" spans="1:7">
      <c r="A5064" s="3">
        <v>12</v>
      </c>
      <c r="B5064" s="3">
        <v>5</v>
      </c>
      <c r="C5064" s="3">
        <v>2</v>
      </c>
      <c r="D5064" s="3">
        <v>106</v>
      </c>
      <c r="E5064" s="3">
        <v>1</v>
      </c>
      <c r="F5064" s="4" t="str">
        <f>HYPERLINK("http://141.218.60.56/~jnz1568/getInfo.php?workbook=12_05.xlsx&amp;sheet=U0&amp;row=5064&amp;col=6&amp;number=3&amp;sourceID=14","3")</f>
        <v>3</v>
      </c>
      <c r="G5064" s="4" t="str">
        <f>HYPERLINK("http://141.218.60.56/~jnz1568/getInfo.php?workbook=12_05.xlsx&amp;sheet=U0&amp;row=5064&amp;col=7&amp;number=0.0154&amp;sourceID=14","0.0154")</f>
        <v>0.0154</v>
      </c>
    </row>
    <row r="5065" spans="1:7">
      <c r="A5065" s="3"/>
      <c r="B5065" s="3"/>
      <c r="C5065" s="3"/>
      <c r="D5065" s="3"/>
      <c r="E5065" s="3">
        <v>2</v>
      </c>
      <c r="F5065" s="4" t="str">
        <f>HYPERLINK("http://141.218.60.56/~jnz1568/getInfo.php?workbook=12_05.xlsx&amp;sheet=U0&amp;row=5065&amp;col=6&amp;number=3.1&amp;sourceID=14","3.1")</f>
        <v>3.1</v>
      </c>
      <c r="G5065" s="4" t="str">
        <f>HYPERLINK("http://141.218.60.56/~jnz1568/getInfo.php?workbook=12_05.xlsx&amp;sheet=U0&amp;row=5065&amp;col=7&amp;number=0.0154&amp;sourceID=14","0.0154")</f>
        <v>0.0154</v>
      </c>
    </row>
    <row r="5066" spans="1:7">
      <c r="A5066" s="3"/>
      <c r="B5066" s="3"/>
      <c r="C5066" s="3"/>
      <c r="D5066" s="3"/>
      <c r="E5066" s="3">
        <v>3</v>
      </c>
      <c r="F5066" s="4" t="str">
        <f>HYPERLINK("http://141.218.60.56/~jnz1568/getInfo.php?workbook=12_05.xlsx&amp;sheet=U0&amp;row=5066&amp;col=6&amp;number=3.2&amp;sourceID=14","3.2")</f>
        <v>3.2</v>
      </c>
      <c r="G5066" s="4" t="str">
        <f>HYPERLINK("http://141.218.60.56/~jnz1568/getInfo.php?workbook=12_05.xlsx&amp;sheet=U0&amp;row=5066&amp;col=7&amp;number=0.0154&amp;sourceID=14","0.0154")</f>
        <v>0.0154</v>
      </c>
    </row>
    <row r="5067" spans="1:7">
      <c r="A5067" s="3"/>
      <c r="B5067" s="3"/>
      <c r="C5067" s="3"/>
      <c r="D5067" s="3"/>
      <c r="E5067" s="3">
        <v>4</v>
      </c>
      <c r="F5067" s="4" t="str">
        <f>HYPERLINK("http://141.218.60.56/~jnz1568/getInfo.php?workbook=12_05.xlsx&amp;sheet=U0&amp;row=5067&amp;col=6&amp;number=3.3&amp;sourceID=14","3.3")</f>
        <v>3.3</v>
      </c>
      <c r="G5067" s="4" t="str">
        <f>HYPERLINK("http://141.218.60.56/~jnz1568/getInfo.php?workbook=12_05.xlsx&amp;sheet=U0&amp;row=5067&amp;col=7&amp;number=0.0154&amp;sourceID=14","0.0154")</f>
        <v>0.0154</v>
      </c>
    </row>
    <row r="5068" spans="1:7">
      <c r="A5068" s="3"/>
      <c r="B5068" s="3"/>
      <c r="C5068" s="3"/>
      <c r="D5068" s="3"/>
      <c r="E5068" s="3">
        <v>5</v>
      </c>
      <c r="F5068" s="4" t="str">
        <f>HYPERLINK("http://141.218.60.56/~jnz1568/getInfo.php?workbook=12_05.xlsx&amp;sheet=U0&amp;row=5068&amp;col=6&amp;number=3.4&amp;sourceID=14","3.4")</f>
        <v>3.4</v>
      </c>
      <c r="G5068" s="4" t="str">
        <f>HYPERLINK("http://141.218.60.56/~jnz1568/getInfo.php?workbook=12_05.xlsx&amp;sheet=U0&amp;row=5068&amp;col=7&amp;number=0.0154&amp;sourceID=14","0.0154")</f>
        <v>0.0154</v>
      </c>
    </row>
    <row r="5069" spans="1:7">
      <c r="A5069" s="3"/>
      <c r="B5069" s="3"/>
      <c r="C5069" s="3"/>
      <c r="D5069" s="3"/>
      <c r="E5069" s="3">
        <v>6</v>
      </c>
      <c r="F5069" s="4" t="str">
        <f>HYPERLINK("http://141.218.60.56/~jnz1568/getInfo.php?workbook=12_05.xlsx&amp;sheet=U0&amp;row=5069&amp;col=6&amp;number=3.5&amp;sourceID=14","3.5")</f>
        <v>3.5</v>
      </c>
      <c r="G5069" s="4" t="str">
        <f>HYPERLINK("http://141.218.60.56/~jnz1568/getInfo.php?workbook=12_05.xlsx&amp;sheet=U0&amp;row=5069&amp;col=7&amp;number=0.0154&amp;sourceID=14","0.0154")</f>
        <v>0.0154</v>
      </c>
    </row>
    <row r="5070" spans="1:7">
      <c r="A5070" s="3"/>
      <c r="B5070" s="3"/>
      <c r="C5070" s="3"/>
      <c r="D5070" s="3"/>
      <c r="E5070" s="3">
        <v>7</v>
      </c>
      <c r="F5070" s="4" t="str">
        <f>HYPERLINK("http://141.218.60.56/~jnz1568/getInfo.php?workbook=12_05.xlsx&amp;sheet=U0&amp;row=5070&amp;col=6&amp;number=3.6&amp;sourceID=14","3.6")</f>
        <v>3.6</v>
      </c>
      <c r="G5070" s="4" t="str">
        <f>HYPERLINK("http://141.218.60.56/~jnz1568/getInfo.php?workbook=12_05.xlsx&amp;sheet=U0&amp;row=5070&amp;col=7&amp;number=0.0154&amp;sourceID=14","0.0154")</f>
        <v>0.0154</v>
      </c>
    </row>
    <row r="5071" spans="1:7">
      <c r="A5071" s="3"/>
      <c r="B5071" s="3"/>
      <c r="C5071" s="3"/>
      <c r="D5071" s="3"/>
      <c r="E5071" s="3">
        <v>8</v>
      </c>
      <c r="F5071" s="4" t="str">
        <f>HYPERLINK("http://141.218.60.56/~jnz1568/getInfo.php?workbook=12_05.xlsx&amp;sheet=U0&amp;row=5071&amp;col=6&amp;number=3.7&amp;sourceID=14","3.7")</f>
        <v>3.7</v>
      </c>
      <c r="G5071" s="4" t="str">
        <f>HYPERLINK("http://141.218.60.56/~jnz1568/getInfo.php?workbook=12_05.xlsx&amp;sheet=U0&amp;row=5071&amp;col=7&amp;number=0.0154&amp;sourceID=14","0.0154")</f>
        <v>0.0154</v>
      </c>
    </row>
    <row r="5072" spans="1:7">
      <c r="A5072" s="3"/>
      <c r="B5072" s="3"/>
      <c r="C5072" s="3"/>
      <c r="D5072" s="3"/>
      <c r="E5072" s="3">
        <v>9</v>
      </c>
      <c r="F5072" s="4" t="str">
        <f>HYPERLINK("http://141.218.60.56/~jnz1568/getInfo.php?workbook=12_05.xlsx&amp;sheet=U0&amp;row=5072&amp;col=6&amp;number=3.8&amp;sourceID=14","3.8")</f>
        <v>3.8</v>
      </c>
      <c r="G5072" s="4" t="str">
        <f>HYPERLINK("http://141.218.60.56/~jnz1568/getInfo.php?workbook=12_05.xlsx&amp;sheet=U0&amp;row=5072&amp;col=7&amp;number=0.0154&amp;sourceID=14","0.0154")</f>
        <v>0.0154</v>
      </c>
    </row>
    <row r="5073" spans="1:7">
      <c r="A5073" s="3"/>
      <c r="B5073" s="3"/>
      <c r="C5073" s="3"/>
      <c r="D5073" s="3"/>
      <c r="E5073" s="3">
        <v>10</v>
      </c>
      <c r="F5073" s="4" t="str">
        <f>HYPERLINK("http://141.218.60.56/~jnz1568/getInfo.php?workbook=12_05.xlsx&amp;sheet=U0&amp;row=5073&amp;col=6&amp;number=3.9&amp;sourceID=14","3.9")</f>
        <v>3.9</v>
      </c>
      <c r="G5073" s="4" t="str">
        <f>HYPERLINK("http://141.218.60.56/~jnz1568/getInfo.php?workbook=12_05.xlsx&amp;sheet=U0&amp;row=5073&amp;col=7&amp;number=0.0154&amp;sourceID=14","0.0154")</f>
        <v>0.0154</v>
      </c>
    </row>
    <row r="5074" spans="1:7">
      <c r="A5074" s="3"/>
      <c r="B5074" s="3"/>
      <c r="C5074" s="3"/>
      <c r="D5074" s="3"/>
      <c r="E5074" s="3">
        <v>11</v>
      </c>
      <c r="F5074" s="4" t="str">
        <f>HYPERLINK("http://141.218.60.56/~jnz1568/getInfo.php?workbook=12_05.xlsx&amp;sheet=U0&amp;row=5074&amp;col=6&amp;number=4&amp;sourceID=14","4")</f>
        <v>4</v>
      </c>
      <c r="G5074" s="4" t="str">
        <f>HYPERLINK("http://141.218.60.56/~jnz1568/getInfo.php?workbook=12_05.xlsx&amp;sheet=U0&amp;row=5074&amp;col=7&amp;number=0.0153&amp;sourceID=14","0.0153")</f>
        <v>0.0153</v>
      </c>
    </row>
    <row r="5075" spans="1:7">
      <c r="A5075" s="3"/>
      <c r="B5075" s="3"/>
      <c r="C5075" s="3"/>
      <c r="D5075" s="3"/>
      <c r="E5075" s="3">
        <v>12</v>
      </c>
      <c r="F5075" s="4" t="str">
        <f>HYPERLINK("http://141.218.60.56/~jnz1568/getInfo.php?workbook=12_05.xlsx&amp;sheet=U0&amp;row=5075&amp;col=6&amp;number=4.1&amp;sourceID=14","4.1")</f>
        <v>4.1</v>
      </c>
      <c r="G5075" s="4" t="str">
        <f>HYPERLINK("http://141.218.60.56/~jnz1568/getInfo.php?workbook=12_05.xlsx&amp;sheet=U0&amp;row=5075&amp;col=7&amp;number=0.0153&amp;sourceID=14","0.0153")</f>
        <v>0.0153</v>
      </c>
    </row>
    <row r="5076" spans="1:7">
      <c r="A5076" s="3"/>
      <c r="B5076" s="3"/>
      <c r="C5076" s="3"/>
      <c r="D5076" s="3"/>
      <c r="E5076" s="3">
        <v>13</v>
      </c>
      <c r="F5076" s="4" t="str">
        <f>HYPERLINK("http://141.218.60.56/~jnz1568/getInfo.php?workbook=12_05.xlsx&amp;sheet=U0&amp;row=5076&amp;col=6&amp;number=4.2&amp;sourceID=14","4.2")</f>
        <v>4.2</v>
      </c>
      <c r="G5076" s="4" t="str">
        <f>HYPERLINK("http://141.218.60.56/~jnz1568/getInfo.php?workbook=12_05.xlsx&amp;sheet=U0&amp;row=5076&amp;col=7&amp;number=0.0152&amp;sourceID=14","0.0152")</f>
        <v>0.0152</v>
      </c>
    </row>
    <row r="5077" spans="1:7">
      <c r="A5077" s="3"/>
      <c r="B5077" s="3"/>
      <c r="C5077" s="3"/>
      <c r="D5077" s="3"/>
      <c r="E5077" s="3">
        <v>14</v>
      </c>
      <c r="F5077" s="4" t="str">
        <f>HYPERLINK("http://141.218.60.56/~jnz1568/getInfo.php?workbook=12_05.xlsx&amp;sheet=U0&amp;row=5077&amp;col=6&amp;number=4.3&amp;sourceID=14","4.3")</f>
        <v>4.3</v>
      </c>
      <c r="G5077" s="4" t="str">
        <f>HYPERLINK("http://141.218.60.56/~jnz1568/getInfo.php?workbook=12_05.xlsx&amp;sheet=U0&amp;row=5077&amp;col=7&amp;number=0.0152&amp;sourceID=14","0.0152")</f>
        <v>0.0152</v>
      </c>
    </row>
    <row r="5078" spans="1:7">
      <c r="A5078" s="3"/>
      <c r="B5078" s="3"/>
      <c r="C5078" s="3"/>
      <c r="D5078" s="3"/>
      <c r="E5078" s="3">
        <v>15</v>
      </c>
      <c r="F5078" s="4" t="str">
        <f>HYPERLINK("http://141.218.60.56/~jnz1568/getInfo.php?workbook=12_05.xlsx&amp;sheet=U0&amp;row=5078&amp;col=6&amp;number=4.4&amp;sourceID=14","4.4")</f>
        <v>4.4</v>
      </c>
      <c r="G5078" s="4" t="str">
        <f>HYPERLINK("http://141.218.60.56/~jnz1568/getInfo.php?workbook=12_05.xlsx&amp;sheet=U0&amp;row=5078&amp;col=7&amp;number=0.0151&amp;sourceID=14","0.0151")</f>
        <v>0.0151</v>
      </c>
    </row>
    <row r="5079" spans="1:7">
      <c r="A5079" s="3"/>
      <c r="B5079" s="3"/>
      <c r="C5079" s="3"/>
      <c r="D5079" s="3"/>
      <c r="E5079" s="3">
        <v>16</v>
      </c>
      <c r="F5079" s="4" t="str">
        <f>HYPERLINK("http://141.218.60.56/~jnz1568/getInfo.php?workbook=12_05.xlsx&amp;sheet=U0&amp;row=5079&amp;col=6&amp;number=4.5&amp;sourceID=14","4.5")</f>
        <v>4.5</v>
      </c>
      <c r="G5079" s="4" t="str">
        <f>HYPERLINK("http://141.218.60.56/~jnz1568/getInfo.php?workbook=12_05.xlsx&amp;sheet=U0&amp;row=5079&amp;col=7&amp;number=0.015&amp;sourceID=14","0.015")</f>
        <v>0.015</v>
      </c>
    </row>
    <row r="5080" spans="1:7">
      <c r="A5080" s="3"/>
      <c r="B5080" s="3"/>
      <c r="C5080" s="3"/>
      <c r="D5080" s="3"/>
      <c r="E5080" s="3">
        <v>17</v>
      </c>
      <c r="F5080" s="4" t="str">
        <f>HYPERLINK("http://141.218.60.56/~jnz1568/getInfo.php?workbook=12_05.xlsx&amp;sheet=U0&amp;row=5080&amp;col=6&amp;number=4.6&amp;sourceID=14","4.6")</f>
        <v>4.6</v>
      </c>
      <c r="G5080" s="4" t="str">
        <f>HYPERLINK("http://141.218.60.56/~jnz1568/getInfo.php?workbook=12_05.xlsx&amp;sheet=U0&amp;row=5080&amp;col=7&amp;number=0.0149&amp;sourceID=14","0.0149")</f>
        <v>0.0149</v>
      </c>
    </row>
    <row r="5081" spans="1:7">
      <c r="A5081" s="3"/>
      <c r="B5081" s="3"/>
      <c r="C5081" s="3"/>
      <c r="D5081" s="3"/>
      <c r="E5081" s="3">
        <v>18</v>
      </c>
      <c r="F5081" s="4" t="str">
        <f>HYPERLINK("http://141.218.60.56/~jnz1568/getInfo.php?workbook=12_05.xlsx&amp;sheet=U0&amp;row=5081&amp;col=6&amp;number=4.7&amp;sourceID=14","4.7")</f>
        <v>4.7</v>
      </c>
      <c r="G5081" s="4" t="str">
        <f>HYPERLINK("http://141.218.60.56/~jnz1568/getInfo.php?workbook=12_05.xlsx&amp;sheet=U0&amp;row=5081&amp;col=7&amp;number=0.0148&amp;sourceID=14","0.0148")</f>
        <v>0.0148</v>
      </c>
    </row>
    <row r="5082" spans="1:7">
      <c r="A5082" s="3"/>
      <c r="B5082" s="3"/>
      <c r="C5082" s="3"/>
      <c r="D5082" s="3"/>
      <c r="E5082" s="3">
        <v>19</v>
      </c>
      <c r="F5082" s="4" t="str">
        <f>HYPERLINK("http://141.218.60.56/~jnz1568/getInfo.php?workbook=12_05.xlsx&amp;sheet=U0&amp;row=5082&amp;col=6&amp;number=4.8&amp;sourceID=14","4.8")</f>
        <v>4.8</v>
      </c>
      <c r="G5082" s="4" t="str">
        <f>HYPERLINK("http://141.218.60.56/~jnz1568/getInfo.php?workbook=12_05.xlsx&amp;sheet=U0&amp;row=5082&amp;col=7&amp;number=0.0146&amp;sourceID=14","0.0146")</f>
        <v>0.0146</v>
      </c>
    </row>
    <row r="5083" spans="1:7">
      <c r="A5083" s="3"/>
      <c r="B5083" s="3"/>
      <c r="C5083" s="3"/>
      <c r="D5083" s="3"/>
      <c r="E5083" s="3">
        <v>20</v>
      </c>
      <c r="F5083" s="4" t="str">
        <f>HYPERLINK("http://141.218.60.56/~jnz1568/getInfo.php?workbook=12_05.xlsx&amp;sheet=U0&amp;row=5083&amp;col=6&amp;number=4.9&amp;sourceID=14","4.9")</f>
        <v>4.9</v>
      </c>
      <c r="G5083" s="4" t="str">
        <f>HYPERLINK("http://141.218.60.56/~jnz1568/getInfo.php?workbook=12_05.xlsx&amp;sheet=U0&amp;row=5083&amp;col=7&amp;number=0.0144&amp;sourceID=14","0.0144")</f>
        <v>0.0144</v>
      </c>
    </row>
    <row r="5084" spans="1:7">
      <c r="A5084" s="3">
        <v>12</v>
      </c>
      <c r="B5084" s="3">
        <v>5</v>
      </c>
      <c r="C5084" s="3">
        <v>2</v>
      </c>
      <c r="D5084" s="3">
        <v>107</v>
      </c>
      <c r="E5084" s="3">
        <v>1</v>
      </c>
      <c r="F5084" s="4" t="str">
        <f>HYPERLINK("http://141.218.60.56/~jnz1568/getInfo.php?workbook=12_05.xlsx&amp;sheet=U0&amp;row=5084&amp;col=6&amp;number=3&amp;sourceID=14","3")</f>
        <v>3</v>
      </c>
      <c r="G5084" s="4" t="str">
        <f>HYPERLINK("http://141.218.60.56/~jnz1568/getInfo.php?workbook=12_05.xlsx&amp;sheet=U0&amp;row=5084&amp;col=7&amp;number=0.00744&amp;sourceID=14","0.00744")</f>
        <v>0.00744</v>
      </c>
    </row>
    <row r="5085" spans="1:7">
      <c r="A5085" s="3"/>
      <c r="B5085" s="3"/>
      <c r="C5085" s="3"/>
      <c r="D5085" s="3"/>
      <c r="E5085" s="3">
        <v>2</v>
      </c>
      <c r="F5085" s="4" t="str">
        <f>HYPERLINK("http://141.218.60.56/~jnz1568/getInfo.php?workbook=12_05.xlsx&amp;sheet=U0&amp;row=5085&amp;col=6&amp;number=3.1&amp;sourceID=14","3.1")</f>
        <v>3.1</v>
      </c>
      <c r="G5085" s="4" t="str">
        <f>HYPERLINK("http://141.218.60.56/~jnz1568/getInfo.php?workbook=12_05.xlsx&amp;sheet=U0&amp;row=5085&amp;col=7&amp;number=0.00744&amp;sourceID=14","0.00744")</f>
        <v>0.00744</v>
      </c>
    </row>
    <row r="5086" spans="1:7">
      <c r="A5086" s="3"/>
      <c r="B5086" s="3"/>
      <c r="C5086" s="3"/>
      <c r="D5086" s="3"/>
      <c r="E5086" s="3">
        <v>3</v>
      </c>
      <c r="F5086" s="4" t="str">
        <f>HYPERLINK("http://141.218.60.56/~jnz1568/getInfo.php?workbook=12_05.xlsx&amp;sheet=U0&amp;row=5086&amp;col=6&amp;number=3.2&amp;sourceID=14","3.2")</f>
        <v>3.2</v>
      </c>
      <c r="G5086" s="4" t="str">
        <f>HYPERLINK("http://141.218.60.56/~jnz1568/getInfo.php?workbook=12_05.xlsx&amp;sheet=U0&amp;row=5086&amp;col=7&amp;number=0.00744&amp;sourceID=14","0.00744")</f>
        <v>0.00744</v>
      </c>
    </row>
    <row r="5087" spans="1:7">
      <c r="A5087" s="3"/>
      <c r="B5087" s="3"/>
      <c r="C5087" s="3"/>
      <c r="D5087" s="3"/>
      <c r="E5087" s="3">
        <v>4</v>
      </c>
      <c r="F5087" s="4" t="str">
        <f>HYPERLINK("http://141.218.60.56/~jnz1568/getInfo.php?workbook=12_05.xlsx&amp;sheet=U0&amp;row=5087&amp;col=6&amp;number=3.3&amp;sourceID=14","3.3")</f>
        <v>3.3</v>
      </c>
      <c r="G5087" s="4" t="str">
        <f>HYPERLINK("http://141.218.60.56/~jnz1568/getInfo.php?workbook=12_05.xlsx&amp;sheet=U0&amp;row=5087&amp;col=7&amp;number=0.00743&amp;sourceID=14","0.00743")</f>
        <v>0.00743</v>
      </c>
    </row>
    <row r="5088" spans="1:7">
      <c r="A5088" s="3"/>
      <c r="B5088" s="3"/>
      <c r="C5088" s="3"/>
      <c r="D5088" s="3"/>
      <c r="E5088" s="3">
        <v>5</v>
      </c>
      <c r="F5088" s="4" t="str">
        <f>HYPERLINK("http://141.218.60.56/~jnz1568/getInfo.php?workbook=12_05.xlsx&amp;sheet=U0&amp;row=5088&amp;col=6&amp;number=3.4&amp;sourceID=14","3.4")</f>
        <v>3.4</v>
      </c>
      <c r="G5088" s="4" t="str">
        <f>HYPERLINK("http://141.218.60.56/~jnz1568/getInfo.php?workbook=12_05.xlsx&amp;sheet=U0&amp;row=5088&amp;col=7&amp;number=0.00743&amp;sourceID=14","0.00743")</f>
        <v>0.00743</v>
      </c>
    </row>
    <row r="5089" spans="1:7">
      <c r="A5089" s="3"/>
      <c r="B5089" s="3"/>
      <c r="C5089" s="3"/>
      <c r="D5089" s="3"/>
      <c r="E5089" s="3">
        <v>6</v>
      </c>
      <c r="F5089" s="4" t="str">
        <f>HYPERLINK("http://141.218.60.56/~jnz1568/getInfo.php?workbook=12_05.xlsx&amp;sheet=U0&amp;row=5089&amp;col=6&amp;number=3.5&amp;sourceID=14","3.5")</f>
        <v>3.5</v>
      </c>
      <c r="G5089" s="4" t="str">
        <f>HYPERLINK("http://141.218.60.56/~jnz1568/getInfo.php?workbook=12_05.xlsx&amp;sheet=U0&amp;row=5089&amp;col=7&amp;number=0.00743&amp;sourceID=14","0.00743")</f>
        <v>0.00743</v>
      </c>
    </row>
    <row r="5090" spans="1:7">
      <c r="A5090" s="3"/>
      <c r="B5090" s="3"/>
      <c r="C5090" s="3"/>
      <c r="D5090" s="3"/>
      <c r="E5090" s="3">
        <v>7</v>
      </c>
      <c r="F5090" s="4" t="str">
        <f>HYPERLINK("http://141.218.60.56/~jnz1568/getInfo.php?workbook=12_05.xlsx&amp;sheet=U0&amp;row=5090&amp;col=6&amp;number=3.6&amp;sourceID=14","3.6")</f>
        <v>3.6</v>
      </c>
      <c r="G5090" s="4" t="str">
        <f>HYPERLINK("http://141.218.60.56/~jnz1568/getInfo.php?workbook=12_05.xlsx&amp;sheet=U0&amp;row=5090&amp;col=7&amp;number=0.00742&amp;sourceID=14","0.00742")</f>
        <v>0.00742</v>
      </c>
    </row>
    <row r="5091" spans="1:7">
      <c r="A5091" s="3"/>
      <c r="B5091" s="3"/>
      <c r="C5091" s="3"/>
      <c r="D5091" s="3"/>
      <c r="E5091" s="3">
        <v>8</v>
      </c>
      <c r="F5091" s="4" t="str">
        <f>HYPERLINK("http://141.218.60.56/~jnz1568/getInfo.php?workbook=12_05.xlsx&amp;sheet=U0&amp;row=5091&amp;col=6&amp;number=3.7&amp;sourceID=14","3.7")</f>
        <v>3.7</v>
      </c>
      <c r="G5091" s="4" t="str">
        <f>HYPERLINK("http://141.218.60.56/~jnz1568/getInfo.php?workbook=12_05.xlsx&amp;sheet=U0&amp;row=5091&amp;col=7&amp;number=0.00741&amp;sourceID=14","0.00741")</f>
        <v>0.00741</v>
      </c>
    </row>
    <row r="5092" spans="1:7">
      <c r="A5092" s="3"/>
      <c r="B5092" s="3"/>
      <c r="C5092" s="3"/>
      <c r="D5092" s="3"/>
      <c r="E5092" s="3">
        <v>9</v>
      </c>
      <c r="F5092" s="4" t="str">
        <f>HYPERLINK("http://141.218.60.56/~jnz1568/getInfo.php?workbook=12_05.xlsx&amp;sheet=U0&amp;row=5092&amp;col=6&amp;number=3.8&amp;sourceID=14","3.8")</f>
        <v>3.8</v>
      </c>
      <c r="G5092" s="4" t="str">
        <f>HYPERLINK("http://141.218.60.56/~jnz1568/getInfo.php?workbook=12_05.xlsx&amp;sheet=U0&amp;row=5092&amp;col=7&amp;number=0.0074&amp;sourceID=14","0.0074")</f>
        <v>0.0074</v>
      </c>
    </row>
    <row r="5093" spans="1:7">
      <c r="A5093" s="3"/>
      <c r="B5093" s="3"/>
      <c r="C5093" s="3"/>
      <c r="D5093" s="3"/>
      <c r="E5093" s="3">
        <v>10</v>
      </c>
      <c r="F5093" s="4" t="str">
        <f>HYPERLINK("http://141.218.60.56/~jnz1568/getInfo.php?workbook=12_05.xlsx&amp;sheet=U0&amp;row=5093&amp;col=6&amp;number=3.9&amp;sourceID=14","3.9")</f>
        <v>3.9</v>
      </c>
      <c r="G5093" s="4" t="str">
        <f>HYPERLINK("http://141.218.60.56/~jnz1568/getInfo.php?workbook=12_05.xlsx&amp;sheet=U0&amp;row=5093&amp;col=7&amp;number=0.00739&amp;sourceID=14","0.00739")</f>
        <v>0.00739</v>
      </c>
    </row>
    <row r="5094" spans="1:7">
      <c r="A5094" s="3"/>
      <c r="B5094" s="3"/>
      <c r="C5094" s="3"/>
      <c r="D5094" s="3"/>
      <c r="E5094" s="3">
        <v>11</v>
      </c>
      <c r="F5094" s="4" t="str">
        <f>HYPERLINK("http://141.218.60.56/~jnz1568/getInfo.php?workbook=12_05.xlsx&amp;sheet=U0&amp;row=5094&amp;col=6&amp;number=4&amp;sourceID=14","4")</f>
        <v>4</v>
      </c>
      <c r="G5094" s="4" t="str">
        <f>HYPERLINK("http://141.218.60.56/~jnz1568/getInfo.php?workbook=12_05.xlsx&amp;sheet=U0&amp;row=5094&amp;col=7&amp;number=0.00738&amp;sourceID=14","0.00738")</f>
        <v>0.00738</v>
      </c>
    </row>
    <row r="5095" spans="1:7">
      <c r="A5095" s="3"/>
      <c r="B5095" s="3"/>
      <c r="C5095" s="3"/>
      <c r="D5095" s="3"/>
      <c r="E5095" s="3">
        <v>12</v>
      </c>
      <c r="F5095" s="4" t="str">
        <f>HYPERLINK("http://141.218.60.56/~jnz1568/getInfo.php?workbook=12_05.xlsx&amp;sheet=U0&amp;row=5095&amp;col=6&amp;number=4.1&amp;sourceID=14","4.1")</f>
        <v>4.1</v>
      </c>
      <c r="G5095" s="4" t="str">
        <f>HYPERLINK("http://141.218.60.56/~jnz1568/getInfo.php?workbook=12_05.xlsx&amp;sheet=U0&amp;row=5095&amp;col=7&amp;number=0.00736&amp;sourceID=14","0.00736")</f>
        <v>0.00736</v>
      </c>
    </row>
    <row r="5096" spans="1:7">
      <c r="A5096" s="3"/>
      <c r="B5096" s="3"/>
      <c r="C5096" s="3"/>
      <c r="D5096" s="3"/>
      <c r="E5096" s="3">
        <v>13</v>
      </c>
      <c r="F5096" s="4" t="str">
        <f>HYPERLINK("http://141.218.60.56/~jnz1568/getInfo.php?workbook=12_05.xlsx&amp;sheet=U0&amp;row=5096&amp;col=6&amp;number=4.2&amp;sourceID=14","4.2")</f>
        <v>4.2</v>
      </c>
      <c r="G5096" s="4" t="str">
        <f>HYPERLINK("http://141.218.60.56/~jnz1568/getInfo.php?workbook=12_05.xlsx&amp;sheet=U0&amp;row=5096&amp;col=7&amp;number=0.00734&amp;sourceID=14","0.00734")</f>
        <v>0.00734</v>
      </c>
    </row>
    <row r="5097" spans="1:7">
      <c r="A5097" s="3"/>
      <c r="B5097" s="3"/>
      <c r="C5097" s="3"/>
      <c r="D5097" s="3"/>
      <c r="E5097" s="3">
        <v>14</v>
      </c>
      <c r="F5097" s="4" t="str">
        <f>HYPERLINK("http://141.218.60.56/~jnz1568/getInfo.php?workbook=12_05.xlsx&amp;sheet=U0&amp;row=5097&amp;col=6&amp;number=4.3&amp;sourceID=14","4.3")</f>
        <v>4.3</v>
      </c>
      <c r="G5097" s="4" t="str">
        <f>HYPERLINK("http://141.218.60.56/~jnz1568/getInfo.php?workbook=12_05.xlsx&amp;sheet=U0&amp;row=5097&amp;col=7&amp;number=0.00731&amp;sourceID=14","0.00731")</f>
        <v>0.00731</v>
      </c>
    </row>
    <row r="5098" spans="1:7">
      <c r="A5098" s="3"/>
      <c r="B5098" s="3"/>
      <c r="C5098" s="3"/>
      <c r="D5098" s="3"/>
      <c r="E5098" s="3">
        <v>15</v>
      </c>
      <c r="F5098" s="4" t="str">
        <f>HYPERLINK("http://141.218.60.56/~jnz1568/getInfo.php?workbook=12_05.xlsx&amp;sheet=U0&amp;row=5098&amp;col=6&amp;number=4.4&amp;sourceID=14","4.4")</f>
        <v>4.4</v>
      </c>
      <c r="G5098" s="4" t="str">
        <f>HYPERLINK("http://141.218.60.56/~jnz1568/getInfo.php?workbook=12_05.xlsx&amp;sheet=U0&amp;row=5098&amp;col=7&amp;number=0.00728&amp;sourceID=14","0.00728")</f>
        <v>0.00728</v>
      </c>
    </row>
    <row r="5099" spans="1:7">
      <c r="A5099" s="3"/>
      <c r="B5099" s="3"/>
      <c r="C5099" s="3"/>
      <c r="D5099" s="3"/>
      <c r="E5099" s="3">
        <v>16</v>
      </c>
      <c r="F5099" s="4" t="str">
        <f>HYPERLINK("http://141.218.60.56/~jnz1568/getInfo.php?workbook=12_05.xlsx&amp;sheet=U0&amp;row=5099&amp;col=6&amp;number=4.5&amp;sourceID=14","4.5")</f>
        <v>4.5</v>
      </c>
      <c r="G5099" s="4" t="str">
        <f>HYPERLINK("http://141.218.60.56/~jnz1568/getInfo.php?workbook=12_05.xlsx&amp;sheet=U0&amp;row=5099&amp;col=7&amp;number=0.00724&amp;sourceID=14","0.00724")</f>
        <v>0.00724</v>
      </c>
    </row>
    <row r="5100" spans="1:7">
      <c r="A5100" s="3"/>
      <c r="B5100" s="3"/>
      <c r="C5100" s="3"/>
      <c r="D5100" s="3"/>
      <c r="E5100" s="3">
        <v>17</v>
      </c>
      <c r="F5100" s="4" t="str">
        <f>HYPERLINK("http://141.218.60.56/~jnz1568/getInfo.php?workbook=12_05.xlsx&amp;sheet=U0&amp;row=5100&amp;col=6&amp;number=4.6&amp;sourceID=14","4.6")</f>
        <v>4.6</v>
      </c>
      <c r="G5100" s="4" t="str">
        <f>HYPERLINK("http://141.218.60.56/~jnz1568/getInfo.php?workbook=12_05.xlsx&amp;sheet=U0&amp;row=5100&amp;col=7&amp;number=0.00718&amp;sourceID=14","0.00718")</f>
        <v>0.00718</v>
      </c>
    </row>
    <row r="5101" spans="1:7">
      <c r="A5101" s="3"/>
      <c r="B5101" s="3"/>
      <c r="C5101" s="3"/>
      <c r="D5101" s="3"/>
      <c r="E5101" s="3">
        <v>18</v>
      </c>
      <c r="F5101" s="4" t="str">
        <f>HYPERLINK("http://141.218.60.56/~jnz1568/getInfo.php?workbook=12_05.xlsx&amp;sheet=U0&amp;row=5101&amp;col=6&amp;number=4.7&amp;sourceID=14","4.7")</f>
        <v>4.7</v>
      </c>
      <c r="G5101" s="4" t="str">
        <f>HYPERLINK("http://141.218.60.56/~jnz1568/getInfo.php?workbook=12_05.xlsx&amp;sheet=U0&amp;row=5101&amp;col=7&amp;number=0.00712&amp;sourceID=14","0.00712")</f>
        <v>0.00712</v>
      </c>
    </row>
    <row r="5102" spans="1:7">
      <c r="A5102" s="3"/>
      <c r="B5102" s="3"/>
      <c r="C5102" s="3"/>
      <c r="D5102" s="3"/>
      <c r="E5102" s="3">
        <v>19</v>
      </c>
      <c r="F5102" s="4" t="str">
        <f>HYPERLINK("http://141.218.60.56/~jnz1568/getInfo.php?workbook=12_05.xlsx&amp;sheet=U0&amp;row=5102&amp;col=6&amp;number=4.8&amp;sourceID=14","4.8")</f>
        <v>4.8</v>
      </c>
      <c r="G5102" s="4" t="str">
        <f>HYPERLINK("http://141.218.60.56/~jnz1568/getInfo.php?workbook=12_05.xlsx&amp;sheet=U0&amp;row=5102&amp;col=7&amp;number=0.00703&amp;sourceID=14","0.00703")</f>
        <v>0.00703</v>
      </c>
    </row>
    <row r="5103" spans="1:7">
      <c r="A5103" s="3"/>
      <c r="B5103" s="3"/>
      <c r="C5103" s="3"/>
      <c r="D5103" s="3"/>
      <c r="E5103" s="3">
        <v>20</v>
      </c>
      <c r="F5103" s="4" t="str">
        <f>HYPERLINK("http://141.218.60.56/~jnz1568/getInfo.php?workbook=12_05.xlsx&amp;sheet=U0&amp;row=5103&amp;col=6&amp;number=4.9&amp;sourceID=14","4.9")</f>
        <v>4.9</v>
      </c>
      <c r="G5103" s="4" t="str">
        <f>HYPERLINK("http://141.218.60.56/~jnz1568/getInfo.php?workbook=12_05.xlsx&amp;sheet=U0&amp;row=5103&amp;col=7&amp;number=0.00693&amp;sourceID=14","0.00693")</f>
        <v>0.00693</v>
      </c>
    </row>
    <row r="5104" spans="1:7">
      <c r="A5104" s="3">
        <v>12</v>
      </c>
      <c r="B5104" s="3">
        <v>5</v>
      </c>
      <c r="C5104" s="3">
        <v>2</v>
      </c>
      <c r="D5104" s="3">
        <v>108</v>
      </c>
      <c r="E5104" s="3">
        <v>1</v>
      </c>
      <c r="F5104" s="4" t="str">
        <f>HYPERLINK("http://141.218.60.56/~jnz1568/getInfo.php?workbook=12_05.xlsx&amp;sheet=U0&amp;row=5104&amp;col=6&amp;number=3&amp;sourceID=14","3")</f>
        <v>3</v>
      </c>
      <c r="G5104" s="4" t="str">
        <f>HYPERLINK("http://141.218.60.56/~jnz1568/getInfo.php?workbook=12_05.xlsx&amp;sheet=U0&amp;row=5104&amp;col=7&amp;number=0.0111&amp;sourceID=14","0.0111")</f>
        <v>0.0111</v>
      </c>
    </row>
    <row r="5105" spans="1:7">
      <c r="A5105" s="3"/>
      <c r="B5105" s="3"/>
      <c r="C5105" s="3"/>
      <c r="D5105" s="3"/>
      <c r="E5105" s="3">
        <v>2</v>
      </c>
      <c r="F5105" s="4" t="str">
        <f>HYPERLINK("http://141.218.60.56/~jnz1568/getInfo.php?workbook=12_05.xlsx&amp;sheet=U0&amp;row=5105&amp;col=6&amp;number=3.1&amp;sourceID=14","3.1")</f>
        <v>3.1</v>
      </c>
      <c r="G5105" s="4" t="str">
        <f>HYPERLINK("http://141.218.60.56/~jnz1568/getInfo.php?workbook=12_05.xlsx&amp;sheet=U0&amp;row=5105&amp;col=7&amp;number=0.0111&amp;sourceID=14","0.0111")</f>
        <v>0.0111</v>
      </c>
    </row>
    <row r="5106" spans="1:7">
      <c r="A5106" s="3"/>
      <c r="B5106" s="3"/>
      <c r="C5106" s="3"/>
      <c r="D5106" s="3"/>
      <c r="E5106" s="3">
        <v>3</v>
      </c>
      <c r="F5106" s="4" t="str">
        <f>HYPERLINK("http://141.218.60.56/~jnz1568/getInfo.php?workbook=12_05.xlsx&amp;sheet=U0&amp;row=5106&amp;col=6&amp;number=3.2&amp;sourceID=14","3.2")</f>
        <v>3.2</v>
      </c>
      <c r="G5106" s="4" t="str">
        <f>HYPERLINK("http://141.218.60.56/~jnz1568/getInfo.php?workbook=12_05.xlsx&amp;sheet=U0&amp;row=5106&amp;col=7&amp;number=0.0111&amp;sourceID=14","0.0111")</f>
        <v>0.0111</v>
      </c>
    </row>
    <row r="5107" spans="1:7">
      <c r="A5107" s="3"/>
      <c r="B5107" s="3"/>
      <c r="C5107" s="3"/>
      <c r="D5107" s="3"/>
      <c r="E5107" s="3">
        <v>4</v>
      </c>
      <c r="F5107" s="4" t="str">
        <f>HYPERLINK("http://141.218.60.56/~jnz1568/getInfo.php?workbook=12_05.xlsx&amp;sheet=U0&amp;row=5107&amp;col=6&amp;number=3.3&amp;sourceID=14","3.3")</f>
        <v>3.3</v>
      </c>
      <c r="G5107" s="4" t="str">
        <f>HYPERLINK("http://141.218.60.56/~jnz1568/getInfo.php?workbook=12_05.xlsx&amp;sheet=U0&amp;row=5107&amp;col=7&amp;number=0.0111&amp;sourceID=14","0.0111")</f>
        <v>0.0111</v>
      </c>
    </row>
    <row r="5108" spans="1:7">
      <c r="A5108" s="3"/>
      <c r="B5108" s="3"/>
      <c r="C5108" s="3"/>
      <c r="D5108" s="3"/>
      <c r="E5108" s="3">
        <v>5</v>
      </c>
      <c r="F5108" s="4" t="str">
        <f>HYPERLINK("http://141.218.60.56/~jnz1568/getInfo.php?workbook=12_05.xlsx&amp;sheet=U0&amp;row=5108&amp;col=6&amp;number=3.4&amp;sourceID=14","3.4")</f>
        <v>3.4</v>
      </c>
      <c r="G5108" s="4" t="str">
        <f>HYPERLINK("http://141.218.60.56/~jnz1568/getInfo.php?workbook=12_05.xlsx&amp;sheet=U0&amp;row=5108&amp;col=7&amp;number=0.0111&amp;sourceID=14","0.0111")</f>
        <v>0.0111</v>
      </c>
    </row>
    <row r="5109" spans="1:7">
      <c r="A5109" s="3"/>
      <c r="B5109" s="3"/>
      <c r="C5109" s="3"/>
      <c r="D5109" s="3"/>
      <c r="E5109" s="3">
        <v>6</v>
      </c>
      <c r="F5109" s="4" t="str">
        <f>HYPERLINK("http://141.218.60.56/~jnz1568/getInfo.php?workbook=12_05.xlsx&amp;sheet=U0&amp;row=5109&amp;col=6&amp;number=3.5&amp;sourceID=14","3.5")</f>
        <v>3.5</v>
      </c>
      <c r="G5109" s="4" t="str">
        <f>HYPERLINK("http://141.218.60.56/~jnz1568/getInfo.php?workbook=12_05.xlsx&amp;sheet=U0&amp;row=5109&amp;col=7&amp;number=0.0111&amp;sourceID=14","0.0111")</f>
        <v>0.0111</v>
      </c>
    </row>
    <row r="5110" spans="1:7">
      <c r="A5110" s="3"/>
      <c r="B5110" s="3"/>
      <c r="C5110" s="3"/>
      <c r="D5110" s="3"/>
      <c r="E5110" s="3">
        <v>7</v>
      </c>
      <c r="F5110" s="4" t="str">
        <f>HYPERLINK("http://141.218.60.56/~jnz1568/getInfo.php?workbook=12_05.xlsx&amp;sheet=U0&amp;row=5110&amp;col=6&amp;number=3.6&amp;sourceID=14","3.6")</f>
        <v>3.6</v>
      </c>
      <c r="G5110" s="4" t="str">
        <f>HYPERLINK("http://141.218.60.56/~jnz1568/getInfo.php?workbook=12_05.xlsx&amp;sheet=U0&amp;row=5110&amp;col=7&amp;number=0.0111&amp;sourceID=14","0.0111")</f>
        <v>0.0111</v>
      </c>
    </row>
    <row r="5111" spans="1:7">
      <c r="A5111" s="3"/>
      <c r="B5111" s="3"/>
      <c r="C5111" s="3"/>
      <c r="D5111" s="3"/>
      <c r="E5111" s="3">
        <v>8</v>
      </c>
      <c r="F5111" s="4" t="str">
        <f>HYPERLINK("http://141.218.60.56/~jnz1568/getInfo.php?workbook=12_05.xlsx&amp;sheet=U0&amp;row=5111&amp;col=6&amp;number=3.7&amp;sourceID=14","3.7")</f>
        <v>3.7</v>
      </c>
      <c r="G5111" s="4" t="str">
        <f>HYPERLINK("http://141.218.60.56/~jnz1568/getInfo.php?workbook=12_05.xlsx&amp;sheet=U0&amp;row=5111&amp;col=7&amp;number=0.0111&amp;sourceID=14","0.0111")</f>
        <v>0.0111</v>
      </c>
    </row>
    <row r="5112" spans="1:7">
      <c r="A5112" s="3"/>
      <c r="B5112" s="3"/>
      <c r="C5112" s="3"/>
      <c r="D5112" s="3"/>
      <c r="E5112" s="3">
        <v>9</v>
      </c>
      <c r="F5112" s="4" t="str">
        <f>HYPERLINK("http://141.218.60.56/~jnz1568/getInfo.php?workbook=12_05.xlsx&amp;sheet=U0&amp;row=5112&amp;col=6&amp;number=3.8&amp;sourceID=14","3.8")</f>
        <v>3.8</v>
      </c>
      <c r="G5112" s="4" t="str">
        <f>HYPERLINK("http://141.218.60.56/~jnz1568/getInfo.php?workbook=12_05.xlsx&amp;sheet=U0&amp;row=5112&amp;col=7&amp;number=0.0111&amp;sourceID=14","0.0111")</f>
        <v>0.0111</v>
      </c>
    </row>
    <row r="5113" spans="1:7">
      <c r="A5113" s="3"/>
      <c r="B5113" s="3"/>
      <c r="C5113" s="3"/>
      <c r="D5113" s="3"/>
      <c r="E5113" s="3">
        <v>10</v>
      </c>
      <c r="F5113" s="4" t="str">
        <f>HYPERLINK("http://141.218.60.56/~jnz1568/getInfo.php?workbook=12_05.xlsx&amp;sheet=U0&amp;row=5113&amp;col=6&amp;number=3.9&amp;sourceID=14","3.9")</f>
        <v>3.9</v>
      </c>
      <c r="G5113" s="4" t="str">
        <f>HYPERLINK("http://141.218.60.56/~jnz1568/getInfo.php?workbook=12_05.xlsx&amp;sheet=U0&amp;row=5113&amp;col=7&amp;number=0.0111&amp;sourceID=14","0.0111")</f>
        <v>0.0111</v>
      </c>
    </row>
    <row r="5114" spans="1:7">
      <c r="A5114" s="3"/>
      <c r="B5114" s="3"/>
      <c r="C5114" s="3"/>
      <c r="D5114" s="3"/>
      <c r="E5114" s="3">
        <v>11</v>
      </c>
      <c r="F5114" s="4" t="str">
        <f>HYPERLINK("http://141.218.60.56/~jnz1568/getInfo.php?workbook=12_05.xlsx&amp;sheet=U0&amp;row=5114&amp;col=6&amp;number=4&amp;sourceID=14","4")</f>
        <v>4</v>
      </c>
      <c r="G5114" s="4" t="str">
        <f>HYPERLINK("http://141.218.60.56/~jnz1568/getInfo.php?workbook=12_05.xlsx&amp;sheet=U0&amp;row=5114&amp;col=7&amp;number=0.0111&amp;sourceID=14","0.0111")</f>
        <v>0.0111</v>
      </c>
    </row>
    <row r="5115" spans="1:7">
      <c r="A5115" s="3"/>
      <c r="B5115" s="3"/>
      <c r="C5115" s="3"/>
      <c r="D5115" s="3"/>
      <c r="E5115" s="3">
        <v>12</v>
      </c>
      <c r="F5115" s="4" t="str">
        <f>HYPERLINK("http://141.218.60.56/~jnz1568/getInfo.php?workbook=12_05.xlsx&amp;sheet=U0&amp;row=5115&amp;col=6&amp;number=4.1&amp;sourceID=14","4.1")</f>
        <v>4.1</v>
      </c>
      <c r="G5115" s="4" t="str">
        <f>HYPERLINK("http://141.218.60.56/~jnz1568/getInfo.php?workbook=12_05.xlsx&amp;sheet=U0&amp;row=5115&amp;col=7&amp;number=0.0111&amp;sourceID=14","0.0111")</f>
        <v>0.0111</v>
      </c>
    </row>
    <row r="5116" spans="1:7">
      <c r="A5116" s="3"/>
      <c r="B5116" s="3"/>
      <c r="C5116" s="3"/>
      <c r="D5116" s="3"/>
      <c r="E5116" s="3">
        <v>13</v>
      </c>
      <c r="F5116" s="4" t="str">
        <f>HYPERLINK("http://141.218.60.56/~jnz1568/getInfo.php?workbook=12_05.xlsx&amp;sheet=U0&amp;row=5116&amp;col=6&amp;number=4.2&amp;sourceID=14","4.2")</f>
        <v>4.2</v>
      </c>
      <c r="G5116" s="4" t="str">
        <f>HYPERLINK("http://141.218.60.56/~jnz1568/getInfo.php?workbook=12_05.xlsx&amp;sheet=U0&amp;row=5116&amp;col=7&amp;number=0.011&amp;sourceID=14","0.011")</f>
        <v>0.011</v>
      </c>
    </row>
    <row r="5117" spans="1:7">
      <c r="A5117" s="3"/>
      <c r="B5117" s="3"/>
      <c r="C5117" s="3"/>
      <c r="D5117" s="3"/>
      <c r="E5117" s="3">
        <v>14</v>
      </c>
      <c r="F5117" s="4" t="str">
        <f>HYPERLINK("http://141.218.60.56/~jnz1568/getInfo.php?workbook=12_05.xlsx&amp;sheet=U0&amp;row=5117&amp;col=6&amp;number=4.3&amp;sourceID=14","4.3")</f>
        <v>4.3</v>
      </c>
      <c r="G5117" s="4" t="str">
        <f>HYPERLINK("http://141.218.60.56/~jnz1568/getInfo.php?workbook=12_05.xlsx&amp;sheet=U0&amp;row=5117&amp;col=7&amp;number=0.011&amp;sourceID=14","0.011")</f>
        <v>0.011</v>
      </c>
    </row>
    <row r="5118" spans="1:7">
      <c r="A5118" s="3"/>
      <c r="B5118" s="3"/>
      <c r="C5118" s="3"/>
      <c r="D5118" s="3"/>
      <c r="E5118" s="3">
        <v>15</v>
      </c>
      <c r="F5118" s="4" t="str">
        <f>HYPERLINK("http://141.218.60.56/~jnz1568/getInfo.php?workbook=12_05.xlsx&amp;sheet=U0&amp;row=5118&amp;col=6&amp;number=4.4&amp;sourceID=14","4.4")</f>
        <v>4.4</v>
      </c>
      <c r="G5118" s="4" t="str">
        <f>HYPERLINK("http://141.218.60.56/~jnz1568/getInfo.php?workbook=12_05.xlsx&amp;sheet=U0&amp;row=5118&amp;col=7&amp;number=0.011&amp;sourceID=14","0.011")</f>
        <v>0.011</v>
      </c>
    </row>
    <row r="5119" spans="1:7">
      <c r="A5119" s="3"/>
      <c r="B5119" s="3"/>
      <c r="C5119" s="3"/>
      <c r="D5119" s="3"/>
      <c r="E5119" s="3">
        <v>16</v>
      </c>
      <c r="F5119" s="4" t="str">
        <f>HYPERLINK("http://141.218.60.56/~jnz1568/getInfo.php?workbook=12_05.xlsx&amp;sheet=U0&amp;row=5119&amp;col=6&amp;number=4.5&amp;sourceID=14","4.5")</f>
        <v>4.5</v>
      </c>
      <c r="G5119" s="4" t="str">
        <f>HYPERLINK("http://141.218.60.56/~jnz1568/getInfo.php?workbook=12_05.xlsx&amp;sheet=U0&amp;row=5119&amp;col=7&amp;number=0.011&amp;sourceID=14","0.011")</f>
        <v>0.011</v>
      </c>
    </row>
    <row r="5120" spans="1:7">
      <c r="A5120" s="3"/>
      <c r="B5120" s="3"/>
      <c r="C5120" s="3"/>
      <c r="D5120" s="3"/>
      <c r="E5120" s="3">
        <v>17</v>
      </c>
      <c r="F5120" s="4" t="str">
        <f>HYPERLINK("http://141.218.60.56/~jnz1568/getInfo.php?workbook=12_05.xlsx&amp;sheet=U0&amp;row=5120&amp;col=6&amp;number=4.6&amp;sourceID=14","4.6")</f>
        <v>4.6</v>
      </c>
      <c r="G5120" s="4" t="str">
        <f>HYPERLINK("http://141.218.60.56/~jnz1568/getInfo.php?workbook=12_05.xlsx&amp;sheet=U0&amp;row=5120&amp;col=7&amp;number=0.0109&amp;sourceID=14","0.0109")</f>
        <v>0.0109</v>
      </c>
    </row>
    <row r="5121" spans="1:7">
      <c r="A5121" s="3"/>
      <c r="B5121" s="3"/>
      <c r="C5121" s="3"/>
      <c r="D5121" s="3"/>
      <c r="E5121" s="3">
        <v>18</v>
      </c>
      <c r="F5121" s="4" t="str">
        <f>HYPERLINK("http://141.218.60.56/~jnz1568/getInfo.php?workbook=12_05.xlsx&amp;sheet=U0&amp;row=5121&amp;col=6&amp;number=4.7&amp;sourceID=14","4.7")</f>
        <v>4.7</v>
      </c>
      <c r="G5121" s="4" t="str">
        <f>HYPERLINK("http://141.218.60.56/~jnz1568/getInfo.php?workbook=12_05.xlsx&amp;sheet=U0&amp;row=5121&amp;col=7&amp;number=0.0109&amp;sourceID=14","0.0109")</f>
        <v>0.0109</v>
      </c>
    </row>
    <row r="5122" spans="1:7">
      <c r="A5122" s="3"/>
      <c r="B5122" s="3"/>
      <c r="C5122" s="3"/>
      <c r="D5122" s="3"/>
      <c r="E5122" s="3">
        <v>19</v>
      </c>
      <c r="F5122" s="4" t="str">
        <f>HYPERLINK("http://141.218.60.56/~jnz1568/getInfo.php?workbook=12_05.xlsx&amp;sheet=U0&amp;row=5122&amp;col=6&amp;number=4.8&amp;sourceID=14","4.8")</f>
        <v>4.8</v>
      </c>
      <c r="G5122" s="4" t="str">
        <f>HYPERLINK("http://141.218.60.56/~jnz1568/getInfo.php?workbook=12_05.xlsx&amp;sheet=U0&amp;row=5122&amp;col=7&amp;number=0.0108&amp;sourceID=14","0.0108")</f>
        <v>0.0108</v>
      </c>
    </row>
    <row r="5123" spans="1:7">
      <c r="A5123" s="3"/>
      <c r="B5123" s="3"/>
      <c r="C5123" s="3"/>
      <c r="D5123" s="3"/>
      <c r="E5123" s="3">
        <v>20</v>
      </c>
      <c r="F5123" s="4" t="str">
        <f>HYPERLINK("http://141.218.60.56/~jnz1568/getInfo.php?workbook=12_05.xlsx&amp;sheet=U0&amp;row=5123&amp;col=6&amp;number=4.9&amp;sourceID=14","4.9")</f>
        <v>4.9</v>
      </c>
      <c r="G5123" s="4" t="str">
        <f>HYPERLINK("http://141.218.60.56/~jnz1568/getInfo.php?workbook=12_05.xlsx&amp;sheet=U0&amp;row=5123&amp;col=7&amp;number=0.0107&amp;sourceID=14","0.0107")</f>
        <v>0.0107</v>
      </c>
    </row>
    <row r="5124" spans="1:7">
      <c r="A5124" s="3">
        <v>12</v>
      </c>
      <c r="B5124" s="3">
        <v>5</v>
      </c>
      <c r="C5124" s="3">
        <v>2</v>
      </c>
      <c r="D5124" s="3">
        <v>109</v>
      </c>
      <c r="E5124" s="3">
        <v>1</v>
      </c>
      <c r="F5124" s="4" t="str">
        <f>HYPERLINK("http://141.218.60.56/~jnz1568/getInfo.php?workbook=12_05.xlsx&amp;sheet=U0&amp;row=5124&amp;col=6&amp;number=3&amp;sourceID=14","3")</f>
        <v>3</v>
      </c>
      <c r="G5124" s="4" t="str">
        <f>HYPERLINK("http://141.218.60.56/~jnz1568/getInfo.php?workbook=12_05.xlsx&amp;sheet=U0&amp;row=5124&amp;col=7&amp;number=0.0412&amp;sourceID=14","0.0412")</f>
        <v>0.0412</v>
      </c>
    </row>
    <row r="5125" spans="1:7">
      <c r="A5125" s="3"/>
      <c r="B5125" s="3"/>
      <c r="C5125" s="3"/>
      <c r="D5125" s="3"/>
      <c r="E5125" s="3">
        <v>2</v>
      </c>
      <c r="F5125" s="4" t="str">
        <f>HYPERLINK("http://141.218.60.56/~jnz1568/getInfo.php?workbook=12_05.xlsx&amp;sheet=U0&amp;row=5125&amp;col=6&amp;number=3.1&amp;sourceID=14","3.1")</f>
        <v>3.1</v>
      </c>
      <c r="G5125" s="4" t="str">
        <f>HYPERLINK("http://141.218.60.56/~jnz1568/getInfo.php?workbook=12_05.xlsx&amp;sheet=U0&amp;row=5125&amp;col=7&amp;number=0.0412&amp;sourceID=14","0.0412")</f>
        <v>0.0412</v>
      </c>
    </row>
    <row r="5126" spans="1:7">
      <c r="A5126" s="3"/>
      <c r="B5126" s="3"/>
      <c r="C5126" s="3"/>
      <c r="D5126" s="3"/>
      <c r="E5126" s="3">
        <v>3</v>
      </c>
      <c r="F5126" s="4" t="str">
        <f>HYPERLINK("http://141.218.60.56/~jnz1568/getInfo.php?workbook=12_05.xlsx&amp;sheet=U0&amp;row=5126&amp;col=6&amp;number=3.2&amp;sourceID=14","3.2")</f>
        <v>3.2</v>
      </c>
      <c r="G5126" s="4" t="str">
        <f>HYPERLINK("http://141.218.60.56/~jnz1568/getInfo.php?workbook=12_05.xlsx&amp;sheet=U0&amp;row=5126&amp;col=7&amp;number=0.0412&amp;sourceID=14","0.0412")</f>
        <v>0.0412</v>
      </c>
    </row>
    <row r="5127" spans="1:7">
      <c r="A5127" s="3"/>
      <c r="B5127" s="3"/>
      <c r="C5127" s="3"/>
      <c r="D5127" s="3"/>
      <c r="E5127" s="3">
        <v>4</v>
      </c>
      <c r="F5127" s="4" t="str">
        <f>HYPERLINK("http://141.218.60.56/~jnz1568/getInfo.php?workbook=12_05.xlsx&amp;sheet=U0&amp;row=5127&amp;col=6&amp;number=3.3&amp;sourceID=14","3.3")</f>
        <v>3.3</v>
      </c>
      <c r="G5127" s="4" t="str">
        <f>HYPERLINK("http://141.218.60.56/~jnz1568/getInfo.php?workbook=12_05.xlsx&amp;sheet=U0&amp;row=5127&amp;col=7&amp;number=0.0412&amp;sourceID=14","0.0412")</f>
        <v>0.0412</v>
      </c>
    </row>
    <row r="5128" spans="1:7">
      <c r="A5128" s="3"/>
      <c r="B5128" s="3"/>
      <c r="C5128" s="3"/>
      <c r="D5128" s="3"/>
      <c r="E5128" s="3">
        <v>5</v>
      </c>
      <c r="F5128" s="4" t="str">
        <f>HYPERLINK("http://141.218.60.56/~jnz1568/getInfo.php?workbook=12_05.xlsx&amp;sheet=U0&amp;row=5128&amp;col=6&amp;number=3.4&amp;sourceID=14","3.4")</f>
        <v>3.4</v>
      </c>
      <c r="G5128" s="4" t="str">
        <f>HYPERLINK("http://141.218.60.56/~jnz1568/getInfo.php?workbook=12_05.xlsx&amp;sheet=U0&amp;row=5128&amp;col=7&amp;number=0.0412&amp;sourceID=14","0.0412")</f>
        <v>0.0412</v>
      </c>
    </row>
    <row r="5129" spans="1:7">
      <c r="A5129" s="3"/>
      <c r="B5129" s="3"/>
      <c r="C5129" s="3"/>
      <c r="D5129" s="3"/>
      <c r="E5129" s="3">
        <v>6</v>
      </c>
      <c r="F5129" s="4" t="str">
        <f>HYPERLINK("http://141.218.60.56/~jnz1568/getInfo.php?workbook=12_05.xlsx&amp;sheet=U0&amp;row=5129&amp;col=6&amp;number=3.5&amp;sourceID=14","3.5")</f>
        <v>3.5</v>
      </c>
      <c r="G5129" s="4" t="str">
        <f>HYPERLINK("http://141.218.60.56/~jnz1568/getInfo.php?workbook=12_05.xlsx&amp;sheet=U0&amp;row=5129&amp;col=7&amp;number=0.0412&amp;sourceID=14","0.0412")</f>
        <v>0.0412</v>
      </c>
    </row>
    <row r="5130" spans="1:7">
      <c r="A5130" s="3"/>
      <c r="B5130" s="3"/>
      <c r="C5130" s="3"/>
      <c r="D5130" s="3"/>
      <c r="E5130" s="3">
        <v>7</v>
      </c>
      <c r="F5130" s="4" t="str">
        <f>HYPERLINK("http://141.218.60.56/~jnz1568/getInfo.php?workbook=12_05.xlsx&amp;sheet=U0&amp;row=5130&amp;col=6&amp;number=3.6&amp;sourceID=14","3.6")</f>
        <v>3.6</v>
      </c>
      <c r="G5130" s="4" t="str">
        <f>HYPERLINK("http://141.218.60.56/~jnz1568/getInfo.php?workbook=12_05.xlsx&amp;sheet=U0&amp;row=5130&amp;col=7&amp;number=0.0413&amp;sourceID=14","0.0413")</f>
        <v>0.0413</v>
      </c>
    </row>
    <row r="5131" spans="1:7">
      <c r="A5131" s="3"/>
      <c r="B5131" s="3"/>
      <c r="C5131" s="3"/>
      <c r="D5131" s="3"/>
      <c r="E5131" s="3">
        <v>8</v>
      </c>
      <c r="F5131" s="4" t="str">
        <f>HYPERLINK("http://141.218.60.56/~jnz1568/getInfo.php?workbook=12_05.xlsx&amp;sheet=U0&amp;row=5131&amp;col=6&amp;number=3.7&amp;sourceID=14","3.7")</f>
        <v>3.7</v>
      </c>
      <c r="G5131" s="4" t="str">
        <f>HYPERLINK("http://141.218.60.56/~jnz1568/getInfo.php?workbook=12_05.xlsx&amp;sheet=U0&amp;row=5131&amp;col=7&amp;number=0.0413&amp;sourceID=14","0.0413")</f>
        <v>0.0413</v>
      </c>
    </row>
    <row r="5132" spans="1:7">
      <c r="A5132" s="3"/>
      <c r="B5132" s="3"/>
      <c r="C5132" s="3"/>
      <c r="D5132" s="3"/>
      <c r="E5132" s="3">
        <v>9</v>
      </c>
      <c r="F5132" s="4" t="str">
        <f>HYPERLINK("http://141.218.60.56/~jnz1568/getInfo.php?workbook=12_05.xlsx&amp;sheet=U0&amp;row=5132&amp;col=6&amp;number=3.8&amp;sourceID=14","3.8")</f>
        <v>3.8</v>
      </c>
      <c r="G5132" s="4" t="str">
        <f>HYPERLINK("http://141.218.60.56/~jnz1568/getInfo.php?workbook=12_05.xlsx&amp;sheet=U0&amp;row=5132&amp;col=7&amp;number=0.0413&amp;sourceID=14","0.0413")</f>
        <v>0.0413</v>
      </c>
    </row>
    <row r="5133" spans="1:7">
      <c r="A5133" s="3"/>
      <c r="B5133" s="3"/>
      <c r="C5133" s="3"/>
      <c r="D5133" s="3"/>
      <c r="E5133" s="3">
        <v>10</v>
      </c>
      <c r="F5133" s="4" t="str">
        <f>HYPERLINK("http://141.218.60.56/~jnz1568/getInfo.php?workbook=12_05.xlsx&amp;sheet=U0&amp;row=5133&amp;col=6&amp;number=3.9&amp;sourceID=14","3.9")</f>
        <v>3.9</v>
      </c>
      <c r="G5133" s="4" t="str">
        <f>HYPERLINK("http://141.218.60.56/~jnz1568/getInfo.php?workbook=12_05.xlsx&amp;sheet=U0&amp;row=5133&amp;col=7&amp;number=0.0414&amp;sourceID=14","0.0414")</f>
        <v>0.0414</v>
      </c>
    </row>
    <row r="5134" spans="1:7">
      <c r="A5134" s="3"/>
      <c r="B5134" s="3"/>
      <c r="C5134" s="3"/>
      <c r="D5134" s="3"/>
      <c r="E5134" s="3">
        <v>11</v>
      </c>
      <c r="F5134" s="4" t="str">
        <f>HYPERLINK("http://141.218.60.56/~jnz1568/getInfo.php?workbook=12_05.xlsx&amp;sheet=U0&amp;row=5134&amp;col=6&amp;number=4&amp;sourceID=14","4")</f>
        <v>4</v>
      </c>
      <c r="G5134" s="4" t="str">
        <f>HYPERLINK("http://141.218.60.56/~jnz1568/getInfo.php?workbook=12_05.xlsx&amp;sheet=U0&amp;row=5134&amp;col=7&amp;number=0.0414&amp;sourceID=14","0.0414")</f>
        <v>0.0414</v>
      </c>
    </row>
    <row r="5135" spans="1:7">
      <c r="A5135" s="3"/>
      <c r="B5135" s="3"/>
      <c r="C5135" s="3"/>
      <c r="D5135" s="3"/>
      <c r="E5135" s="3">
        <v>12</v>
      </c>
      <c r="F5135" s="4" t="str">
        <f>HYPERLINK("http://141.218.60.56/~jnz1568/getInfo.php?workbook=12_05.xlsx&amp;sheet=U0&amp;row=5135&amp;col=6&amp;number=4.1&amp;sourceID=14","4.1")</f>
        <v>4.1</v>
      </c>
      <c r="G5135" s="4" t="str">
        <f>HYPERLINK("http://141.218.60.56/~jnz1568/getInfo.php?workbook=12_05.xlsx&amp;sheet=U0&amp;row=5135&amp;col=7&amp;number=0.0415&amp;sourceID=14","0.0415")</f>
        <v>0.0415</v>
      </c>
    </row>
    <row r="5136" spans="1:7">
      <c r="A5136" s="3"/>
      <c r="B5136" s="3"/>
      <c r="C5136" s="3"/>
      <c r="D5136" s="3"/>
      <c r="E5136" s="3">
        <v>13</v>
      </c>
      <c r="F5136" s="4" t="str">
        <f>HYPERLINK("http://141.218.60.56/~jnz1568/getInfo.php?workbook=12_05.xlsx&amp;sheet=U0&amp;row=5136&amp;col=6&amp;number=4.2&amp;sourceID=14","4.2")</f>
        <v>4.2</v>
      </c>
      <c r="G5136" s="4" t="str">
        <f>HYPERLINK("http://141.218.60.56/~jnz1568/getInfo.php?workbook=12_05.xlsx&amp;sheet=U0&amp;row=5136&amp;col=7&amp;number=0.0416&amp;sourceID=14","0.0416")</f>
        <v>0.0416</v>
      </c>
    </row>
    <row r="5137" spans="1:7">
      <c r="A5137" s="3"/>
      <c r="B5137" s="3"/>
      <c r="C5137" s="3"/>
      <c r="D5137" s="3"/>
      <c r="E5137" s="3">
        <v>14</v>
      </c>
      <c r="F5137" s="4" t="str">
        <f>HYPERLINK("http://141.218.60.56/~jnz1568/getInfo.php?workbook=12_05.xlsx&amp;sheet=U0&amp;row=5137&amp;col=6&amp;number=4.3&amp;sourceID=14","4.3")</f>
        <v>4.3</v>
      </c>
      <c r="G5137" s="4" t="str">
        <f>HYPERLINK("http://141.218.60.56/~jnz1568/getInfo.php?workbook=12_05.xlsx&amp;sheet=U0&amp;row=5137&amp;col=7&amp;number=0.0417&amp;sourceID=14","0.0417")</f>
        <v>0.0417</v>
      </c>
    </row>
    <row r="5138" spans="1:7">
      <c r="A5138" s="3"/>
      <c r="B5138" s="3"/>
      <c r="C5138" s="3"/>
      <c r="D5138" s="3"/>
      <c r="E5138" s="3">
        <v>15</v>
      </c>
      <c r="F5138" s="4" t="str">
        <f>HYPERLINK("http://141.218.60.56/~jnz1568/getInfo.php?workbook=12_05.xlsx&amp;sheet=U0&amp;row=5138&amp;col=6&amp;number=4.4&amp;sourceID=14","4.4")</f>
        <v>4.4</v>
      </c>
      <c r="G5138" s="4" t="str">
        <f>HYPERLINK("http://141.218.60.56/~jnz1568/getInfo.php?workbook=12_05.xlsx&amp;sheet=U0&amp;row=5138&amp;col=7&amp;number=0.0418&amp;sourceID=14","0.0418")</f>
        <v>0.0418</v>
      </c>
    </row>
    <row r="5139" spans="1:7">
      <c r="A5139" s="3"/>
      <c r="B5139" s="3"/>
      <c r="C5139" s="3"/>
      <c r="D5139" s="3"/>
      <c r="E5139" s="3">
        <v>16</v>
      </c>
      <c r="F5139" s="4" t="str">
        <f>HYPERLINK("http://141.218.60.56/~jnz1568/getInfo.php?workbook=12_05.xlsx&amp;sheet=U0&amp;row=5139&amp;col=6&amp;number=4.5&amp;sourceID=14","4.5")</f>
        <v>4.5</v>
      </c>
      <c r="G5139" s="4" t="str">
        <f>HYPERLINK("http://141.218.60.56/~jnz1568/getInfo.php?workbook=12_05.xlsx&amp;sheet=U0&amp;row=5139&amp;col=7&amp;number=0.042&amp;sourceID=14","0.042")</f>
        <v>0.042</v>
      </c>
    </row>
    <row r="5140" spans="1:7">
      <c r="A5140" s="3"/>
      <c r="B5140" s="3"/>
      <c r="C5140" s="3"/>
      <c r="D5140" s="3"/>
      <c r="E5140" s="3">
        <v>17</v>
      </c>
      <c r="F5140" s="4" t="str">
        <f>HYPERLINK("http://141.218.60.56/~jnz1568/getInfo.php?workbook=12_05.xlsx&amp;sheet=U0&amp;row=5140&amp;col=6&amp;number=4.6&amp;sourceID=14","4.6")</f>
        <v>4.6</v>
      </c>
      <c r="G5140" s="4" t="str">
        <f>HYPERLINK("http://141.218.60.56/~jnz1568/getInfo.php?workbook=12_05.xlsx&amp;sheet=U0&amp;row=5140&amp;col=7&amp;number=0.0422&amp;sourceID=14","0.0422")</f>
        <v>0.0422</v>
      </c>
    </row>
    <row r="5141" spans="1:7">
      <c r="A5141" s="3"/>
      <c r="B5141" s="3"/>
      <c r="C5141" s="3"/>
      <c r="D5141" s="3"/>
      <c r="E5141" s="3">
        <v>18</v>
      </c>
      <c r="F5141" s="4" t="str">
        <f>HYPERLINK("http://141.218.60.56/~jnz1568/getInfo.php?workbook=12_05.xlsx&amp;sheet=U0&amp;row=5141&amp;col=6&amp;number=4.7&amp;sourceID=14","4.7")</f>
        <v>4.7</v>
      </c>
      <c r="G5141" s="4" t="str">
        <f>HYPERLINK("http://141.218.60.56/~jnz1568/getInfo.php?workbook=12_05.xlsx&amp;sheet=U0&amp;row=5141&amp;col=7&amp;number=0.0425&amp;sourceID=14","0.0425")</f>
        <v>0.0425</v>
      </c>
    </row>
    <row r="5142" spans="1:7">
      <c r="A5142" s="3"/>
      <c r="B5142" s="3"/>
      <c r="C5142" s="3"/>
      <c r="D5142" s="3"/>
      <c r="E5142" s="3">
        <v>19</v>
      </c>
      <c r="F5142" s="4" t="str">
        <f>HYPERLINK("http://141.218.60.56/~jnz1568/getInfo.php?workbook=12_05.xlsx&amp;sheet=U0&amp;row=5142&amp;col=6&amp;number=4.8&amp;sourceID=14","4.8")</f>
        <v>4.8</v>
      </c>
      <c r="G5142" s="4" t="str">
        <f>HYPERLINK("http://141.218.60.56/~jnz1568/getInfo.php?workbook=12_05.xlsx&amp;sheet=U0&amp;row=5142&amp;col=7&amp;number=0.0429&amp;sourceID=14","0.0429")</f>
        <v>0.0429</v>
      </c>
    </row>
    <row r="5143" spans="1:7">
      <c r="A5143" s="3"/>
      <c r="B5143" s="3"/>
      <c r="C5143" s="3"/>
      <c r="D5143" s="3"/>
      <c r="E5143" s="3">
        <v>20</v>
      </c>
      <c r="F5143" s="4" t="str">
        <f>HYPERLINK("http://141.218.60.56/~jnz1568/getInfo.php?workbook=12_05.xlsx&amp;sheet=U0&amp;row=5143&amp;col=6&amp;number=4.9&amp;sourceID=14","4.9")</f>
        <v>4.9</v>
      </c>
      <c r="G5143" s="4" t="str">
        <f>HYPERLINK("http://141.218.60.56/~jnz1568/getInfo.php?workbook=12_05.xlsx&amp;sheet=U0&amp;row=5143&amp;col=7&amp;number=0.0433&amp;sourceID=14","0.0433")</f>
        <v>0.0433</v>
      </c>
    </row>
    <row r="5144" spans="1:7">
      <c r="A5144" s="3">
        <v>12</v>
      </c>
      <c r="B5144" s="3">
        <v>5</v>
      </c>
      <c r="C5144" s="3">
        <v>2</v>
      </c>
      <c r="D5144" s="3">
        <v>110</v>
      </c>
      <c r="E5144" s="3">
        <v>1</v>
      </c>
      <c r="F5144" s="4" t="str">
        <f>HYPERLINK("http://141.218.60.56/~jnz1568/getInfo.php?workbook=12_05.xlsx&amp;sheet=U0&amp;row=5144&amp;col=6&amp;number=3&amp;sourceID=14","3")</f>
        <v>3</v>
      </c>
      <c r="G5144" s="4" t="str">
        <f>HYPERLINK("http://141.218.60.56/~jnz1568/getInfo.php?workbook=12_05.xlsx&amp;sheet=U0&amp;row=5144&amp;col=7&amp;number=0.0148&amp;sourceID=14","0.0148")</f>
        <v>0.0148</v>
      </c>
    </row>
    <row r="5145" spans="1:7">
      <c r="A5145" s="3"/>
      <c r="B5145" s="3"/>
      <c r="C5145" s="3"/>
      <c r="D5145" s="3"/>
      <c r="E5145" s="3">
        <v>2</v>
      </c>
      <c r="F5145" s="4" t="str">
        <f>HYPERLINK("http://141.218.60.56/~jnz1568/getInfo.php?workbook=12_05.xlsx&amp;sheet=U0&amp;row=5145&amp;col=6&amp;number=3.1&amp;sourceID=14","3.1")</f>
        <v>3.1</v>
      </c>
      <c r="G5145" s="4" t="str">
        <f>HYPERLINK("http://141.218.60.56/~jnz1568/getInfo.php?workbook=12_05.xlsx&amp;sheet=U0&amp;row=5145&amp;col=7&amp;number=0.0148&amp;sourceID=14","0.0148")</f>
        <v>0.0148</v>
      </c>
    </row>
    <row r="5146" spans="1:7">
      <c r="A5146" s="3"/>
      <c r="B5146" s="3"/>
      <c r="C5146" s="3"/>
      <c r="D5146" s="3"/>
      <c r="E5146" s="3">
        <v>3</v>
      </c>
      <c r="F5146" s="4" t="str">
        <f>HYPERLINK("http://141.218.60.56/~jnz1568/getInfo.php?workbook=12_05.xlsx&amp;sheet=U0&amp;row=5146&amp;col=6&amp;number=3.2&amp;sourceID=14","3.2")</f>
        <v>3.2</v>
      </c>
      <c r="G5146" s="4" t="str">
        <f>HYPERLINK("http://141.218.60.56/~jnz1568/getInfo.php?workbook=12_05.xlsx&amp;sheet=U0&amp;row=5146&amp;col=7&amp;number=0.0148&amp;sourceID=14","0.0148")</f>
        <v>0.0148</v>
      </c>
    </row>
    <row r="5147" spans="1:7">
      <c r="A5147" s="3"/>
      <c r="B5147" s="3"/>
      <c r="C5147" s="3"/>
      <c r="D5147" s="3"/>
      <c r="E5147" s="3">
        <v>4</v>
      </c>
      <c r="F5147" s="4" t="str">
        <f>HYPERLINK("http://141.218.60.56/~jnz1568/getInfo.php?workbook=12_05.xlsx&amp;sheet=U0&amp;row=5147&amp;col=6&amp;number=3.3&amp;sourceID=14","3.3")</f>
        <v>3.3</v>
      </c>
      <c r="G5147" s="4" t="str">
        <f>HYPERLINK("http://141.218.60.56/~jnz1568/getInfo.php?workbook=12_05.xlsx&amp;sheet=U0&amp;row=5147&amp;col=7&amp;number=0.0148&amp;sourceID=14","0.0148")</f>
        <v>0.0148</v>
      </c>
    </row>
    <row r="5148" spans="1:7">
      <c r="A5148" s="3"/>
      <c r="B5148" s="3"/>
      <c r="C5148" s="3"/>
      <c r="D5148" s="3"/>
      <c r="E5148" s="3">
        <v>5</v>
      </c>
      <c r="F5148" s="4" t="str">
        <f>HYPERLINK("http://141.218.60.56/~jnz1568/getInfo.php?workbook=12_05.xlsx&amp;sheet=U0&amp;row=5148&amp;col=6&amp;number=3.4&amp;sourceID=14","3.4")</f>
        <v>3.4</v>
      </c>
      <c r="G5148" s="4" t="str">
        <f>HYPERLINK("http://141.218.60.56/~jnz1568/getInfo.php?workbook=12_05.xlsx&amp;sheet=U0&amp;row=5148&amp;col=7&amp;number=0.0148&amp;sourceID=14","0.0148")</f>
        <v>0.0148</v>
      </c>
    </row>
    <row r="5149" spans="1:7">
      <c r="A5149" s="3"/>
      <c r="B5149" s="3"/>
      <c r="C5149" s="3"/>
      <c r="D5149" s="3"/>
      <c r="E5149" s="3">
        <v>6</v>
      </c>
      <c r="F5149" s="4" t="str">
        <f>HYPERLINK("http://141.218.60.56/~jnz1568/getInfo.php?workbook=12_05.xlsx&amp;sheet=U0&amp;row=5149&amp;col=6&amp;number=3.5&amp;sourceID=14","3.5")</f>
        <v>3.5</v>
      </c>
      <c r="G5149" s="4" t="str">
        <f>HYPERLINK("http://141.218.60.56/~jnz1568/getInfo.php?workbook=12_05.xlsx&amp;sheet=U0&amp;row=5149&amp;col=7&amp;number=0.0148&amp;sourceID=14","0.0148")</f>
        <v>0.0148</v>
      </c>
    </row>
    <row r="5150" spans="1:7">
      <c r="A5150" s="3"/>
      <c r="B5150" s="3"/>
      <c r="C5150" s="3"/>
      <c r="D5150" s="3"/>
      <c r="E5150" s="3">
        <v>7</v>
      </c>
      <c r="F5150" s="4" t="str">
        <f>HYPERLINK("http://141.218.60.56/~jnz1568/getInfo.php?workbook=12_05.xlsx&amp;sheet=U0&amp;row=5150&amp;col=6&amp;number=3.6&amp;sourceID=14","3.6")</f>
        <v>3.6</v>
      </c>
      <c r="G5150" s="4" t="str">
        <f>HYPERLINK("http://141.218.60.56/~jnz1568/getInfo.php?workbook=12_05.xlsx&amp;sheet=U0&amp;row=5150&amp;col=7&amp;number=0.0148&amp;sourceID=14","0.0148")</f>
        <v>0.0148</v>
      </c>
    </row>
    <row r="5151" spans="1:7">
      <c r="A5151" s="3"/>
      <c r="B5151" s="3"/>
      <c r="C5151" s="3"/>
      <c r="D5151" s="3"/>
      <c r="E5151" s="3">
        <v>8</v>
      </c>
      <c r="F5151" s="4" t="str">
        <f>HYPERLINK("http://141.218.60.56/~jnz1568/getInfo.php?workbook=12_05.xlsx&amp;sheet=U0&amp;row=5151&amp;col=6&amp;number=3.7&amp;sourceID=14","3.7")</f>
        <v>3.7</v>
      </c>
      <c r="G5151" s="4" t="str">
        <f>HYPERLINK("http://141.218.60.56/~jnz1568/getInfo.php?workbook=12_05.xlsx&amp;sheet=U0&amp;row=5151&amp;col=7&amp;number=0.0147&amp;sourceID=14","0.0147")</f>
        <v>0.0147</v>
      </c>
    </row>
    <row r="5152" spans="1:7">
      <c r="A5152" s="3"/>
      <c r="B5152" s="3"/>
      <c r="C5152" s="3"/>
      <c r="D5152" s="3"/>
      <c r="E5152" s="3">
        <v>9</v>
      </c>
      <c r="F5152" s="4" t="str">
        <f>HYPERLINK("http://141.218.60.56/~jnz1568/getInfo.php?workbook=12_05.xlsx&amp;sheet=U0&amp;row=5152&amp;col=6&amp;number=3.8&amp;sourceID=14","3.8")</f>
        <v>3.8</v>
      </c>
      <c r="G5152" s="4" t="str">
        <f>HYPERLINK("http://141.218.60.56/~jnz1568/getInfo.php?workbook=12_05.xlsx&amp;sheet=U0&amp;row=5152&amp;col=7&amp;number=0.0147&amp;sourceID=14","0.0147")</f>
        <v>0.0147</v>
      </c>
    </row>
    <row r="5153" spans="1:7">
      <c r="A5153" s="3"/>
      <c r="B5153" s="3"/>
      <c r="C5153" s="3"/>
      <c r="D5153" s="3"/>
      <c r="E5153" s="3">
        <v>10</v>
      </c>
      <c r="F5153" s="4" t="str">
        <f>HYPERLINK("http://141.218.60.56/~jnz1568/getInfo.php?workbook=12_05.xlsx&amp;sheet=U0&amp;row=5153&amp;col=6&amp;number=3.9&amp;sourceID=14","3.9")</f>
        <v>3.9</v>
      </c>
      <c r="G5153" s="4" t="str">
        <f>HYPERLINK("http://141.218.60.56/~jnz1568/getInfo.php?workbook=12_05.xlsx&amp;sheet=U0&amp;row=5153&amp;col=7&amp;number=0.0147&amp;sourceID=14","0.0147")</f>
        <v>0.0147</v>
      </c>
    </row>
    <row r="5154" spans="1:7">
      <c r="A5154" s="3"/>
      <c r="B5154" s="3"/>
      <c r="C5154" s="3"/>
      <c r="D5154" s="3"/>
      <c r="E5154" s="3">
        <v>11</v>
      </c>
      <c r="F5154" s="4" t="str">
        <f>HYPERLINK("http://141.218.60.56/~jnz1568/getInfo.php?workbook=12_05.xlsx&amp;sheet=U0&amp;row=5154&amp;col=6&amp;number=4&amp;sourceID=14","4")</f>
        <v>4</v>
      </c>
      <c r="G5154" s="4" t="str">
        <f>HYPERLINK("http://141.218.60.56/~jnz1568/getInfo.php?workbook=12_05.xlsx&amp;sheet=U0&amp;row=5154&amp;col=7&amp;number=0.0147&amp;sourceID=14","0.0147")</f>
        <v>0.0147</v>
      </c>
    </row>
    <row r="5155" spans="1:7">
      <c r="A5155" s="3"/>
      <c r="B5155" s="3"/>
      <c r="C5155" s="3"/>
      <c r="D5155" s="3"/>
      <c r="E5155" s="3">
        <v>12</v>
      </c>
      <c r="F5155" s="4" t="str">
        <f>HYPERLINK("http://141.218.60.56/~jnz1568/getInfo.php?workbook=12_05.xlsx&amp;sheet=U0&amp;row=5155&amp;col=6&amp;number=4.1&amp;sourceID=14","4.1")</f>
        <v>4.1</v>
      </c>
      <c r="G5155" s="4" t="str">
        <f>HYPERLINK("http://141.218.60.56/~jnz1568/getInfo.php?workbook=12_05.xlsx&amp;sheet=U0&amp;row=5155&amp;col=7&amp;number=0.0146&amp;sourceID=14","0.0146")</f>
        <v>0.0146</v>
      </c>
    </row>
    <row r="5156" spans="1:7">
      <c r="A5156" s="3"/>
      <c r="B5156" s="3"/>
      <c r="C5156" s="3"/>
      <c r="D5156" s="3"/>
      <c r="E5156" s="3">
        <v>13</v>
      </c>
      <c r="F5156" s="4" t="str">
        <f>HYPERLINK("http://141.218.60.56/~jnz1568/getInfo.php?workbook=12_05.xlsx&amp;sheet=U0&amp;row=5156&amp;col=6&amp;number=4.2&amp;sourceID=14","4.2")</f>
        <v>4.2</v>
      </c>
      <c r="G5156" s="4" t="str">
        <f>HYPERLINK("http://141.218.60.56/~jnz1568/getInfo.php?workbook=12_05.xlsx&amp;sheet=U0&amp;row=5156&amp;col=7&amp;number=0.0146&amp;sourceID=14","0.0146")</f>
        <v>0.0146</v>
      </c>
    </row>
    <row r="5157" spans="1:7">
      <c r="A5157" s="3"/>
      <c r="B5157" s="3"/>
      <c r="C5157" s="3"/>
      <c r="D5157" s="3"/>
      <c r="E5157" s="3">
        <v>14</v>
      </c>
      <c r="F5157" s="4" t="str">
        <f>HYPERLINK("http://141.218.60.56/~jnz1568/getInfo.php?workbook=12_05.xlsx&amp;sheet=U0&amp;row=5157&amp;col=6&amp;number=4.3&amp;sourceID=14","4.3")</f>
        <v>4.3</v>
      </c>
      <c r="G5157" s="4" t="str">
        <f>HYPERLINK("http://141.218.60.56/~jnz1568/getInfo.php?workbook=12_05.xlsx&amp;sheet=U0&amp;row=5157&amp;col=7&amp;number=0.0146&amp;sourceID=14","0.0146")</f>
        <v>0.0146</v>
      </c>
    </row>
    <row r="5158" spans="1:7">
      <c r="A5158" s="3"/>
      <c r="B5158" s="3"/>
      <c r="C5158" s="3"/>
      <c r="D5158" s="3"/>
      <c r="E5158" s="3">
        <v>15</v>
      </c>
      <c r="F5158" s="4" t="str">
        <f>HYPERLINK("http://141.218.60.56/~jnz1568/getInfo.php?workbook=12_05.xlsx&amp;sheet=U0&amp;row=5158&amp;col=6&amp;number=4.4&amp;sourceID=14","4.4")</f>
        <v>4.4</v>
      </c>
      <c r="G5158" s="4" t="str">
        <f>HYPERLINK("http://141.218.60.56/~jnz1568/getInfo.php?workbook=12_05.xlsx&amp;sheet=U0&amp;row=5158&amp;col=7&amp;number=0.0145&amp;sourceID=14","0.0145")</f>
        <v>0.0145</v>
      </c>
    </row>
    <row r="5159" spans="1:7">
      <c r="A5159" s="3"/>
      <c r="B5159" s="3"/>
      <c r="C5159" s="3"/>
      <c r="D5159" s="3"/>
      <c r="E5159" s="3">
        <v>16</v>
      </c>
      <c r="F5159" s="4" t="str">
        <f>HYPERLINK("http://141.218.60.56/~jnz1568/getInfo.php?workbook=12_05.xlsx&amp;sheet=U0&amp;row=5159&amp;col=6&amp;number=4.5&amp;sourceID=14","4.5")</f>
        <v>4.5</v>
      </c>
      <c r="G5159" s="4" t="str">
        <f>HYPERLINK("http://141.218.60.56/~jnz1568/getInfo.php?workbook=12_05.xlsx&amp;sheet=U0&amp;row=5159&amp;col=7&amp;number=0.0144&amp;sourceID=14","0.0144")</f>
        <v>0.0144</v>
      </c>
    </row>
    <row r="5160" spans="1:7">
      <c r="A5160" s="3"/>
      <c r="B5160" s="3"/>
      <c r="C5160" s="3"/>
      <c r="D5160" s="3"/>
      <c r="E5160" s="3">
        <v>17</v>
      </c>
      <c r="F5160" s="4" t="str">
        <f>HYPERLINK("http://141.218.60.56/~jnz1568/getInfo.php?workbook=12_05.xlsx&amp;sheet=U0&amp;row=5160&amp;col=6&amp;number=4.6&amp;sourceID=14","4.6")</f>
        <v>4.6</v>
      </c>
      <c r="G5160" s="4" t="str">
        <f>HYPERLINK("http://141.218.60.56/~jnz1568/getInfo.php?workbook=12_05.xlsx&amp;sheet=U0&amp;row=5160&amp;col=7&amp;number=0.0143&amp;sourceID=14","0.0143")</f>
        <v>0.0143</v>
      </c>
    </row>
    <row r="5161" spans="1:7">
      <c r="A5161" s="3"/>
      <c r="B5161" s="3"/>
      <c r="C5161" s="3"/>
      <c r="D5161" s="3"/>
      <c r="E5161" s="3">
        <v>18</v>
      </c>
      <c r="F5161" s="4" t="str">
        <f>HYPERLINK("http://141.218.60.56/~jnz1568/getInfo.php?workbook=12_05.xlsx&amp;sheet=U0&amp;row=5161&amp;col=6&amp;number=4.7&amp;sourceID=14","4.7")</f>
        <v>4.7</v>
      </c>
      <c r="G5161" s="4" t="str">
        <f>HYPERLINK("http://141.218.60.56/~jnz1568/getInfo.php?workbook=12_05.xlsx&amp;sheet=U0&amp;row=5161&amp;col=7&amp;number=0.0142&amp;sourceID=14","0.0142")</f>
        <v>0.0142</v>
      </c>
    </row>
    <row r="5162" spans="1:7">
      <c r="A5162" s="3"/>
      <c r="B5162" s="3"/>
      <c r="C5162" s="3"/>
      <c r="D5162" s="3"/>
      <c r="E5162" s="3">
        <v>19</v>
      </c>
      <c r="F5162" s="4" t="str">
        <f>HYPERLINK("http://141.218.60.56/~jnz1568/getInfo.php?workbook=12_05.xlsx&amp;sheet=U0&amp;row=5162&amp;col=6&amp;number=4.8&amp;sourceID=14","4.8")</f>
        <v>4.8</v>
      </c>
      <c r="G5162" s="4" t="str">
        <f>HYPERLINK("http://141.218.60.56/~jnz1568/getInfo.php?workbook=12_05.xlsx&amp;sheet=U0&amp;row=5162&amp;col=7&amp;number=0.0141&amp;sourceID=14","0.0141")</f>
        <v>0.0141</v>
      </c>
    </row>
    <row r="5163" spans="1:7">
      <c r="A5163" s="3"/>
      <c r="B5163" s="3"/>
      <c r="C5163" s="3"/>
      <c r="D5163" s="3"/>
      <c r="E5163" s="3">
        <v>20</v>
      </c>
      <c r="F5163" s="4" t="str">
        <f>HYPERLINK("http://141.218.60.56/~jnz1568/getInfo.php?workbook=12_05.xlsx&amp;sheet=U0&amp;row=5163&amp;col=6&amp;number=4.9&amp;sourceID=14","4.9")</f>
        <v>4.9</v>
      </c>
      <c r="G5163" s="4" t="str">
        <f>HYPERLINK("http://141.218.60.56/~jnz1568/getInfo.php?workbook=12_05.xlsx&amp;sheet=U0&amp;row=5163&amp;col=7&amp;number=0.0139&amp;sourceID=14","0.0139")</f>
        <v>0.0139</v>
      </c>
    </row>
    <row r="5164" spans="1:7">
      <c r="A5164" s="3">
        <v>12</v>
      </c>
      <c r="B5164" s="3">
        <v>5</v>
      </c>
      <c r="C5164" s="3">
        <v>2</v>
      </c>
      <c r="D5164" s="3">
        <v>111</v>
      </c>
      <c r="E5164" s="3">
        <v>1</v>
      </c>
      <c r="F5164" s="4" t="str">
        <f>HYPERLINK("http://141.218.60.56/~jnz1568/getInfo.php?workbook=12_05.xlsx&amp;sheet=U0&amp;row=5164&amp;col=6&amp;number=3&amp;sourceID=14","3")</f>
        <v>3</v>
      </c>
      <c r="G5164" s="4" t="str">
        <f>HYPERLINK("http://141.218.60.56/~jnz1568/getInfo.php?workbook=12_05.xlsx&amp;sheet=U0&amp;row=5164&amp;col=7&amp;number=0.0182&amp;sourceID=14","0.0182")</f>
        <v>0.0182</v>
      </c>
    </row>
    <row r="5165" spans="1:7">
      <c r="A5165" s="3"/>
      <c r="B5165" s="3"/>
      <c r="C5165" s="3"/>
      <c r="D5165" s="3"/>
      <c r="E5165" s="3">
        <v>2</v>
      </c>
      <c r="F5165" s="4" t="str">
        <f>HYPERLINK("http://141.218.60.56/~jnz1568/getInfo.php?workbook=12_05.xlsx&amp;sheet=U0&amp;row=5165&amp;col=6&amp;number=3.1&amp;sourceID=14","3.1")</f>
        <v>3.1</v>
      </c>
      <c r="G5165" s="4" t="str">
        <f>HYPERLINK("http://141.218.60.56/~jnz1568/getInfo.php?workbook=12_05.xlsx&amp;sheet=U0&amp;row=5165&amp;col=7&amp;number=0.0182&amp;sourceID=14","0.0182")</f>
        <v>0.0182</v>
      </c>
    </row>
    <row r="5166" spans="1:7">
      <c r="A5166" s="3"/>
      <c r="B5166" s="3"/>
      <c r="C5166" s="3"/>
      <c r="D5166" s="3"/>
      <c r="E5166" s="3">
        <v>3</v>
      </c>
      <c r="F5166" s="4" t="str">
        <f>HYPERLINK("http://141.218.60.56/~jnz1568/getInfo.php?workbook=12_05.xlsx&amp;sheet=U0&amp;row=5166&amp;col=6&amp;number=3.2&amp;sourceID=14","3.2")</f>
        <v>3.2</v>
      </c>
      <c r="G5166" s="4" t="str">
        <f>HYPERLINK("http://141.218.60.56/~jnz1568/getInfo.php?workbook=12_05.xlsx&amp;sheet=U0&amp;row=5166&amp;col=7&amp;number=0.0182&amp;sourceID=14","0.0182")</f>
        <v>0.0182</v>
      </c>
    </row>
    <row r="5167" spans="1:7">
      <c r="A5167" s="3"/>
      <c r="B5167" s="3"/>
      <c r="C5167" s="3"/>
      <c r="D5167" s="3"/>
      <c r="E5167" s="3">
        <v>4</v>
      </c>
      <c r="F5167" s="4" t="str">
        <f>HYPERLINK("http://141.218.60.56/~jnz1568/getInfo.php?workbook=12_05.xlsx&amp;sheet=U0&amp;row=5167&amp;col=6&amp;number=3.3&amp;sourceID=14","3.3")</f>
        <v>3.3</v>
      </c>
      <c r="G5167" s="4" t="str">
        <f>HYPERLINK("http://141.218.60.56/~jnz1568/getInfo.php?workbook=12_05.xlsx&amp;sheet=U0&amp;row=5167&amp;col=7&amp;number=0.0183&amp;sourceID=14","0.0183")</f>
        <v>0.0183</v>
      </c>
    </row>
    <row r="5168" spans="1:7">
      <c r="A5168" s="3"/>
      <c r="B5168" s="3"/>
      <c r="C5168" s="3"/>
      <c r="D5168" s="3"/>
      <c r="E5168" s="3">
        <v>5</v>
      </c>
      <c r="F5168" s="4" t="str">
        <f>HYPERLINK("http://141.218.60.56/~jnz1568/getInfo.php?workbook=12_05.xlsx&amp;sheet=U0&amp;row=5168&amp;col=6&amp;number=3.4&amp;sourceID=14","3.4")</f>
        <v>3.4</v>
      </c>
      <c r="G5168" s="4" t="str">
        <f>HYPERLINK("http://141.218.60.56/~jnz1568/getInfo.php?workbook=12_05.xlsx&amp;sheet=U0&amp;row=5168&amp;col=7&amp;number=0.0183&amp;sourceID=14","0.0183")</f>
        <v>0.0183</v>
      </c>
    </row>
    <row r="5169" spans="1:7">
      <c r="A5169" s="3"/>
      <c r="B5169" s="3"/>
      <c r="C5169" s="3"/>
      <c r="D5169" s="3"/>
      <c r="E5169" s="3">
        <v>6</v>
      </c>
      <c r="F5169" s="4" t="str">
        <f>HYPERLINK("http://141.218.60.56/~jnz1568/getInfo.php?workbook=12_05.xlsx&amp;sheet=U0&amp;row=5169&amp;col=6&amp;number=3.5&amp;sourceID=14","3.5")</f>
        <v>3.5</v>
      </c>
      <c r="G5169" s="4" t="str">
        <f>HYPERLINK("http://141.218.60.56/~jnz1568/getInfo.php?workbook=12_05.xlsx&amp;sheet=U0&amp;row=5169&amp;col=7&amp;number=0.0183&amp;sourceID=14","0.0183")</f>
        <v>0.0183</v>
      </c>
    </row>
    <row r="5170" spans="1:7">
      <c r="A5170" s="3"/>
      <c r="B5170" s="3"/>
      <c r="C5170" s="3"/>
      <c r="D5170" s="3"/>
      <c r="E5170" s="3">
        <v>7</v>
      </c>
      <c r="F5170" s="4" t="str">
        <f>HYPERLINK("http://141.218.60.56/~jnz1568/getInfo.php?workbook=12_05.xlsx&amp;sheet=U0&amp;row=5170&amp;col=6&amp;number=3.6&amp;sourceID=14","3.6")</f>
        <v>3.6</v>
      </c>
      <c r="G5170" s="4" t="str">
        <f>HYPERLINK("http://141.218.60.56/~jnz1568/getInfo.php?workbook=12_05.xlsx&amp;sheet=U0&amp;row=5170&amp;col=7&amp;number=0.0183&amp;sourceID=14","0.0183")</f>
        <v>0.0183</v>
      </c>
    </row>
    <row r="5171" spans="1:7">
      <c r="A5171" s="3"/>
      <c r="B5171" s="3"/>
      <c r="C5171" s="3"/>
      <c r="D5171" s="3"/>
      <c r="E5171" s="3">
        <v>8</v>
      </c>
      <c r="F5171" s="4" t="str">
        <f>HYPERLINK("http://141.218.60.56/~jnz1568/getInfo.php?workbook=12_05.xlsx&amp;sheet=U0&amp;row=5171&amp;col=6&amp;number=3.7&amp;sourceID=14","3.7")</f>
        <v>3.7</v>
      </c>
      <c r="G5171" s="4" t="str">
        <f>HYPERLINK("http://141.218.60.56/~jnz1568/getInfo.php?workbook=12_05.xlsx&amp;sheet=U0&amp;row=5171&amp;col=7&amp;number=0.0183&amp;sourceID=14","0.0183")</f>
        <v>0.0183</v>
      </c>
    </row>
    <row r="5172" spans="1:7">
      <c r="A5172" s="3"/>
      <c r="B5172" s="3"/>
      <c r="C5172" s="3"/>
      <c r="D5172" s="3"/>
      <c r="E5172" s="3">
        <v>9</v>
      </c>
      <c r="F5172" s="4" t="str">
        <f>HYPERLINK("http://141.218.60.56/~jnz1568/getInfo.php?workbook=12_05.xlsx&amp;sheet=U0&amp;row=5172&amp;col=6&amp;number=3.8&amp;sourceID=14","3.8")</f>
        <v>3.8</v>
      </c>
      <c r="G5172" s="4" t="str">
        <f>HYPERLINK("http://141.218.60.56/~jnz1568/getInfo.php?workbook=12_05.xlsx&amp;sheet=U0&amp;row=5172&amp;col=7&amp;number=0.0183&amp;sourceID=14","0.0183")</f>
        <v>0.0183</v>
      </c>
    </row>
    <row r="5173" spans="1:7">
      <c r="A5173" s="3"/>
      <c r="B5173" s="3"/>
      <c r="C5173" s="3"/>
      <c r="D5173" s="3"/>
      <c r="E5173" s="3">
        <v>10</v>
      </c>
      <c r="F5173" s="4" t="str">
        <f>HYPERLINK("http://141.218.60.56/~jnz1568/getInfo.php?workbook=12_05.xlsx&amp;sheet=U0&amp;row=5173&amp;col=6&amp;number=3.9&amp;sourceID=14","3.9")</f>
        <v>3.9</v>
      </c>
      <c r="G5173" s="4" t="str">
        <f>HYPERLINK("http://141.218.60.56/~jnz1568/getInfo.php?workbook=12_05.xlsx&amp;sheet=U0&amp;row=5173&amp;col=7&amp;number=0.0183&amp;sourceID=14","0.0183")</f>
        <v>0.0183</v>
      </c>
    </row>
    <row r="5174" spans="1:7">
      <c r="A5174" s="3"/>
      <c r="B5174" s="3"/>
      <c r="C5174" s="3"/>
      <c r="D5174" s="3"/>
      <c r="E5174" s="3">
        <v>11</v>
      </c>
      <c r="F5174" s="4" t="str">
        <f>HYPERLINK("http://141.218.60.56/~jnz1568/getInfo.php?workbook=12_05.xlsx&amp;sheet=U0&amp;row=5174&amp;col=6&amp;number=4&amp;sourceID=14","4")</f>
        <v>4</v>
      </c>
      <c r="G5174" s="4" t="str">
        <f>HYPERLINK("http://141.218.60.56/~jnz1568/getInfo.php?workbook=12_05.xlsx&amp;sheet=U0&amp;row=5174&amp;col=7&amp;number=0.0184&amp;sourceID=14","0.0184")</f>
        <v>0.0184</v>
      </c>
    </row>
    <row r="5175" spans="1:7">
      <c r="A5175" s="3"/>
      <c r="B5175" s="3"/>
      <c r="C5175" s="3"/>
      <c r="D5175" s="3"/>
      <c r="E5175" s="3">
        <v>12</v>
      </c>
      <c r="F5175" s="4" t="str">
        <f>HYPERLINK("http://141.218.60.56/~jnz1568/getInfo.php?workbook=12_05.xlsx&amp;sheet=U0&amp;row=5175&amp;col=6&amp;number=4.1&amp;sourceID=14","4.1")</f>
        <v>4.1</v>
      </c>
      <c r="G5175" s="4" t="str">
        <f>HYPERLINK("http://141.218.60.56/~jnz1568/getInfo.php?workbook=12_05.xlsx&amp;sheet=U0&amp;row=5175&amp;col=7&amp;number=0.0184&amp;sourceID=14","0.0184")</f>
        <v>0.0184</v>
      </c>
    </row>
    <row r="5176" spans="1:7">
      <c r="A5176" s="3"/>
      <c r="B5176" s="3"/>
      <c r="C5176" s="3"/>
      <c r="D5176" s="3"/>
      <c r="E5176" s="3">
        <v>13</v>
      </c>
      <c r="F5176" s="4" t="str">
        <f>HYPERLINK("http://141.218.60.56/~jnz1568/getInfo.php?workbook=12_05.xlsx&amp;sheet=U0&amp;row=5176&amp;col=6&amp;number=4.2&amp;sourceID=14","4.2")</f>
        <v>4.2</v>
      </c>
      <c r="G5176" s="4" t="str">
        <f>HYPERLINK("http://141.218.60.56/~jnz1568/getInfo.php?workbook=12_05.xlsx&amp;sheet=U0&amp;row=5176&amp;col=7&amp;number=0.0184&amp;sourceID=14","0.0184")</f>
        <v>0.0184</v>
      </c>
    </row>
    <row r="5177" spans="1:7">
      <c r="A5177" s="3"/>
      <c r="B5177" s="3"/>
      <c r="C5177" s="3"/>
      <c r="D5177" s="3"/>
      <c r="E5177" s="3">
        <v>14</v>
      </c>
      <c r="F5177" s="4" t="str">
        <f>HYPERLINK("http://141.218.60.56/~jnz1568/getInfo.php?workbook=12_05.xlsx&amp;sheet=U0&amp;row=5177&amp;col=6&amp;number=4.3&amp;sourceID=14","4.3")</f>
        <v>4.3</v>
      </c>
      <c r="G5177" s="4" t="str">
        <f>HYPERLINK("http://141.218.60.56/~jnz1568/getInfo.php?workbook=12_05.xlsx&amp;sheet=U0&amp;row=5177&amp;col=7&amp;number=0.0185&amp;sourceID=14","0.0185")</f>
        <v>0.0185</v>
      </c>
    </row>
    <row r="5178" spans="1:7">
      <c r="A5178" s="3"/>
      <c r="B5178" s="3"/>
      <c r="C5178" s="3"/>
      <c r="D5178" s="3"/>
      <c r="E5178" s="3">
        <v>15</v>
      </c>
      <c r="F5178" s="4" t="str">
        <f>HYPERLINK("http://141.218.60.56/~jnz1568/getInfo.php?workbook=12_05.xlsx&amp;sheet=U0&amp;row=5178&amp;col=6&amp;number=4.4&amp;sourceID=14","4.4")</f>
        <v>4.4</v>
      </c>
      <c r="G5178" s="4" t="str">
        <f>HYPERLINK("http://141.218.60.56/~jnz1568/getInfo.php?workbook=12_05.xlsx&amp;sheet=U0&amp;row=5178&amp;col=7&amp;number=0.0185&amp;sourceID=14","0.0185")</f>
        <v>0.0185</v>
      </c>
    </row>
    <row r="5179" spans="1:7">
      <c r="A5179" s="3"/>
      <c r="B5179" s="3"/>
      <c r="C5179" s="3"/>
      <c r="D5179" s="3"/>
      <c r="E5179" s="3">
        <v>16</v>
      </c>
      <c r="F5179" s="4" t="str">
        <f>HYPERLINK("http://141.218.60.56/~jnz1568/getInfo.php?workbook=12_05.xlsx&amp;sheet=U0&amp;row=5179&amp;col=6&amp;number=4.5&amp;sourceID=14","4.5")</f>
        <v>4.5</v>
      </c>
      <c r="G5179" s="4" t="str">
        <f>HYPERLINK("http://141.218.60.56/~jnz1568/getInfo.php?workbook=12_05.xlsx&amp;sheet=U0&amp;row=5179&amp;col=7&amp;number=0.0186&amp;sourceID=14","0.0186")</f>
        <v>0.0186</v>
      </c>
    </row>
    <row r="5180" spans="1:7">
      <c r="A5180" s="3"/>
      <c r="B5180" s="3"/>
      <c r="C5180" s="3"/>
      <c r="D5180" s="3"/>
      <c r="E5180" s="3">
        <v>17</v>
      </c>
      <c r="F5180" s="4" t="str">
        <f>HYPERLINK("http://141.218.60.56/~jnz1568/getInfo.php?workbook=12_05.xlsx&amp;sheet=U0&amp;row=5180&amp;col=6&amp;number=4.6&amp;sourceID=14","4.6")</f>
        <v>4.6</v>
      </c>
      <c r="G5180" s="4" t="str">
        <f>HYPERLINK("http://141.218.60.56/~jnz1568/getInfo.php?workbook=12_05.xlsx&amp;sheet=U0&amp;row=5180&amp;col=7&amp;number=0.0187&amp;sourceID=14","0.0187")</f>
        <v>0.0187</v>
      </c>
    </row>
    <row r="5181" spans="1:7">
      <c r="A5181" s="3"/>
      <c r="B5181" s="3"/>
      <c r="C5181" s="3"/>
      <c r="D5181" s="3"/>
      <c r="E5181" s="3">
        <v>18</v>
      </c>
      <c r="F5181" s="4" t="str">
        <f>HYPERLINK("http://141.218.60.56/~jnz1568/getInfo.php?workbook=12_05.xlsx&amp;sheet=U0&amp;row=5181&amp;col=6&amp;number=4.7&amp;sourceID=14","4.7")</f>
        <v>4.7</v>
      </c>
      <c r="G5181" s="4" t="str">
        <f>HYPERLINK("http://141.218.60.56/~jnz1568/getInfo.php?workbook=12_05.xlsx&amp;sheet=U0&amp;row=5181&amp;col=7&amp;number=0.0188&amp;sourceID=14","0.0188")</f>
        <v>0.0188</v>
      </c>
    </row>
    <row r="5182" spans="1:7">
      <c r="A5182" s="3"/>
      <c r="B5182" s="3"/>
      <c r="C5182" s="3"/>
      <c r="D5182" s="3"/>
      <c r="E5182" s="3">
        <v>19</v>
      </c>
      <c r="F5182" s="4" t="str">
        <f>HYPERLINK("http://141.218.60.56/~jnz1568/getInfo.php?workbook=12_05.xlsx&amp;sheet=U0&amp;row=5182&amp;col=6&amp;number=4.8&amp;sourceID=14","4.8")</f>
        <v>4.8</v>
      </c>
      <c r="G5182" s="4" t="str">
        <f>HYPERLINK("http://141.218.60.56/~jnz1568/getInfo.php?workbook=12_05.xlsx&amp;sheet=U0&amp;row=5182&amp;col=7&amp;number=0.019&amp;sourceID=14","0.019")</f>
        <v>0.019</v>
      </c>
    </row>
    <row r="5183" spans="1:7">
      <c r="A5183" s="3"/>
      <c r="B5183" s="3"/>
      <c r="C5183" s="3"/>
      <c r="D5183" s="3"/>
      <c r="E5183" s="3">
        <v>20</v>
      </c>
      <c r="F5183" s="4" t="str">
        <f>HYPERLINK("http://141.218.60.56/~jnz1568/getInfo.php?workbook=12_05.xlsx&amp;sheet=U0&amp;row=5183&amp;col=6&amp;number=4.9&amp;sourceID=14","4.9")</f>
        <v>4.9</v>
      </c>
      <c r="G5183" s="4" t="str">
        <f>HYPERLINK("http://141.218.60.56/~jnz1568/getInfo.php?workbook=12_05.xlsx&amp;sheet=U0&amp;row=5183&amp;col=7&amp;number=0.0192&amp;sourceID=14","0.0192")</f>
        <v>0.0192</v>
      </c>
    </row>
    <row r="5184" spans="1:7">
      <c r="A5184" s="3">
        <v>12</v>
      </c>
      <c r="B5184" s="3">
        <v>5</v>
      </c>
      <c r="C5184" s="3">
        <v>2</v>
      </c>
      <c r="D5184" s="3">
        <v>112</v>
      </c>
      <c r="E5184" s="3">
        <v>1</v>
      </c>
      <c r="F5184" s="4" t="str">
        <f>HYPERLINK("http://141.218.60.56/~jnz1568/getInfo.php?workbook=12_05.xlsx&amp;sheet=U0&amp;row=5184&amp;col=6&amp;number=3&amp;sourceID=14","3")</f>
        <v>3</v>
      </c>
      <c r="G5184" s="4" t="str">
        <f>HYPERLINK("http://141.218.60.56/~jnz1568/getInfo.php?workbook=12_05.xlsx&amp;sheet=U0&amp;row=5184&amp;col=7&amp;number=0.0155&amp;sourceID=14","0.0155")</f>
        <v>0.0155</v>
      </c>
    </row>
    <row r="5185" spans="1:7">
      <c r="A5185" s="3"/>
      <c r="B5185" s="3"/>
      <c r="C5185" s="3"/>
      <c r="D5185" s="3"/>
      <c r="E5185" s="3">
        <v>2</v>
      </c>
      <c r="F5185" s="4" t="str">
        <f>HYPERLINK("http://141.218.60.56/~jnz1568/getInfo.php?workbook=12_05.xlsx&amp;sheet=U0&amp;row=5185&amp;col=6&amp;number=3.1&amp;sourceID=14","3.1")</f>
        <v>3.1</v>
      </c>
      <c r="G5185" s="4" t="str">
        <f>HYPERLINK("http://141.218.60.56/~jnz1568/getInfo.php?workbook=12_05.xlsx&amp;sheet=U0&amp;row=5185&amp;col=7&amp;number=0.0155&amp;sourceID=14","0.0155")</f>
        <v>0.0155</v>
      </c>
    </row>
    <row r="5186" spans="1:7">
      <c r="A5186" s="3"/>
      <c r="B5186" s="3"/>
      <c r="C5186" s="3"/>
      <c r="D5186" s="3"/>
      <c r="E5186" s="3">
        <v>3</v>
      </c>
      <c r="F5186" s="4" t="str">
        <f>HYPERLINK("http://141.218.60.56/~jnz1568/getInfo.php?workbook=12_05.xlsx&amp;sheet=U0&amp;row=5186&amp;col=6&amp;number=3.2&amp;sourceID=14","3.2")</f>
        <v>3.2</v>
      </c>
      <c r="G5186" s="4" t="str">
        <f>HYPERLINK("http://141.218.60.56/~jnz1568/getInfo.php?workbook=12_05.xlsx&amp;sheet=U0&amp;row=5186&amp;col=7&amp;number=0.0155&amp;sourceID=14","0.0155")</f>
        <v>0.0155</v>
      </c>
    </row>
    <row r="5187" spans="1:7">
      <c r="A5187" s="3"/>
      <c r="B5187" s="3"/>
      <c r="C5187" s="3"/>
      <c r="D5187" s="3"/>
      <c r="E5187" s="3">
        <v>4</v>
      </c>
      <c r="F5187" s="4" t="str">
        <f>HYPERLINK("http://141.218.60.56/~jnz1568/getInfo.php?workbook=12_05.xlsx&amp;sheet=U0&amp;row=5187&amp;col=6&amp;number=3.3&amp;sourceID=14","3.3")</f>
        <v>3.3</v>
      </c>
      <c r="G5187" s="4" t="str">
        <f>HYPERLINK("http://141.218.60.56/~jnz1568/getInfo.php?workbook=12_05.xlsx&amp;sheet=U0&amp;row=5187&amp;col=7&amp;number=0.0155&amp;sourceID=14","0.0155")</f>
        <v>0.0155</v>
      </c>
    </row>
    <row r="5188" spans="1:7">
      <c r="A5188" s="3"/>
      <c r="B5188" s="3"/>
      <c r="C5188" s="3"/>
      <c r="D5188" s="3"/>
      <c r="E5188" s="3">
        <v>5</v>
      </c>
      <c r="F5188" s="4" t="str">
        <f>HYPERLINK("http://141.218.60.56/~jnz1568/getInfo.php?workbook=12_05.xlsx&amp;sheet=U0&amp;row=5188&amp;col=6&amp;number=3.4&amp;sourceID=14","3.4")</f>
        <v>3.4</v>
      </c>
      <c r="G5188" s="4" t="str">
        <f>HYPERLINK("http://141.218.60.56/~jnz1568/getInfo.php?workbook=12_05.xlsx&amp;sheet=U0&amp;row=5188&amp;col=7&amp;number=0.0155&amp;sourceID=14","0.0155")</f>
        <v>0.0155</v>
      </c>
    </row>
    <row r="5189" spans="1:7">
      <c r="A5189" s="3"/>
      <c r="B5189" s="3"/>
      <c r="C5189" s="3"/>
      <c r="D5189" s="3"/>
      <c r="E5189" s="3">
        <v>6</v>
      </c>
      <c r="F5189" s="4" t="str">
        <f>HYPERLINK("http://141.218.60.56/~jnz1568/getInfo.php?workbook=12_05.xlsx&amp;sheet=U0&amp;row=5189&amp;col=6&amp;number=3.5&amp;sourceID=14","3.5")</f>
        <v>3.5</v>
      </c>
      <c r="G5189" s="4" t="str">
        <f>HYPERLINK("http://141.218.60.56/~jnz1568/getInfo.php?workbook=12_05.xlsx&amp;sheet=U0&amp;row=5189&amp;col=7&amp;number=0.0155&amp;sourceID=14","0.0155")</f>
        <v>0.0155</v>
      </c>
    </row>
    <row r="5190" spans="1:7">
      <c r="A5190" s="3"/>
      <c r="B5190" s="3"/>
      <c r="C5190" s="3"/>
      <c r="D5190" s="3"/>
      <c r="E5190" s="3">
        <v>7</v>
      </c>
      <c r="F5190" s="4" t="str">
        <f>HYPERLINK("http://141.218.60.56/~jnz1568/getInfo.php?workbook=12_05.xlsx&amp;sheet=U0&amp;row=5190&amp;col=6&amp;number=3.6&amp;sourceID=14","3.6")</f>
        <v>3.6</v>
      </c>
      <c r="G5190" s="4" t="str">
        <f>HYPERLINK("http://141.218.60.56/~jnz1568/getInfo.php?workbook=12_05.xlsx&amp;sheet=U0&amp;row=5190&amp;col=7&amp;number=0.0155&amp;sourceID=14","0.0155")</f>
        <v>0.0155</v>
      </c>
    </row>
    <row r="5191" spans="1:7">
      <c r="A5191" s="3"/>
      <c r="B5191" s="3"/>
      <c r="C5191" s="3"/>
      <c r="D5191" s="3"/>
      <c r="E5191" s="3">
        <v>8</v>
      </c>
      <c r="F5191" s="4" t="str">
        <f>HYPERLINK("http://141.218.60.56/~jnz1568/getInfo.php?workbook=12_05.xlsx&amp;sheet=U0&amp;row=5191&amp;col=6&amp;number=3.7&amp;sourceID=14","3.7")</f>
        <v>3.7</v>
      </c>
      <c r="G5191" s="4" t="str">
        <f>HYPERLINK("http://141.218.60.56/~jnz1568/getInfo.php?workbook=12_05.xlsx&amp;sheet=U0&amp;row=5191&amp;col=7&amp;number=0.0155&amp;sourceID=14","0.0155")</f>
        <v>0.0155</v>
      </c>
    </row>
    <row r="5192" spans="1:7">
      <c r="A5192" s="3"/>
      <c r="B5192" s="3"/>
      <c r="C5192" s="3"/>
      <c r="D5192" s="3"/>
      <c r="E5192" s="3">
        <v>9</v>
      </c>
      <c r="F5192" s="4" t="str">
        <f>HYPERLINK("http://141.218.60.56/~jnz1568/getInfo.php?workbook=12_05.xlsx&amp;sheet=U0&amp;row=5192&amp;col=6&amp;number=3.8&amp;sourceID=14","3.8")</f>
        <v>3.8</v>
      </c>
      <c r="G5192" s="4" t="str">
        <f>HYPERLINK("http://141.218.60.56/~jnz1568/getInfo.php?workbook=12_05.xlsx&amp;sheet=U0&amp;row=5192&amp;col=7&amp;number=0.0154&amp;sourceID=14","0.0154")</f>
        <v>0.0154</v>
      </c>
    </row>
    <row r="5193" spans="1:7">
      <c r="A5193" s="3"/>
      <c r="B5193" s="3"/>
      <c r="C5193" s="3"/>
      <c r="D5193" s="3"/>
      <c r="E5193" s="3">
        <v>10</v>
      </c>
      <c r="F5193" s="4" t="str">
        <f>HYPERLINK("http://141.218.60.56/~jnz1568/getInfo.php?workbook=12_05.xlsx&amp;sheet=U0&amp;row=5193&amp;col=6&amp;number=3.9&amp;sourceID=14","3.9")</f>
        <v>3.9</v>
      </c>
      <c r="G5193" s="4" t="str">
        <f>HYPERLINK("http://141.218.60.56/~jnz1568/getInfo.php?workbook=12_05.xlsx&amp;sheet=U0&amp;row=5193&amp;col=7&amp;number=0.0154&amp;sourceID=14","0.0154")</f>
        <v>0.0154</v>
      </c>
    </row>
    <row r="5194" spans="1:7">
      <c r="A5194" s="3"/>
      <c r="B5194" s="3"/>
      <c r="C5194" s="3"/>
      <c r="D5194" s="3"/>
      <c r="E5194" s="3">
        <v>11</v>
      </c>
      <c r="F5194" s="4" t="str">
        <f>HYPERLINK("http://141.218.60.56/~jnz1568/getInfo.php?workbook=12_05.xlsx&amp;sheet=U0&amp;row=5194&amp;col=6&amp;number=4&amp;sourceID=14","4")</f>
        <v>4</v>
      </c>
      <c r="G5194" s="4" t="str">
        <f>HYPERLINK("http://141.218.60.56/~jnz1568/getInfo.php?workbook=12_05.xlsx&amp;sheet=U0&amp;row=5194&amp;col=7&amp;number=0.0154&amp;sourceID=14","0.0154")</f>
        <v>0.0154</v>
      </c>
    </row>
    <row r="5195" spans="1:7">
      <c r="A5195" s="3"/>
      <c r="B5195" s="3"/>
      <c r="C5195" s="3"/>
      <c r="D5195" s="3"/>
      <c r="E5195" s="3">
        <v>12</v>
      </c>
      <c r="F5195" s="4" t="str">
        <f>HYPERLINK("http://141.218.60.56/~jnz1568/getInfo.php?workbook=12_05.xlsx&amp;sheet=U0&amp;row=5195&amp;col=6&amp;number=4.1&amp;sourceID=14","4.1")</f>
        <v>4.1</v>
      </c>
      <c r="G5195" s="4" t="str">
        <f>HYPERLINK("http://141.218.60.56/~jnz1568/getInfo.php?workbook=12_05.xlsx&amp;sheet=U0&amp;row=5195&amp;col=7&amp;number=0.0154&amp;sourceID=14","0.0154")</f>
        <v>0.0154</v>
      </c>
    </row>
    <row r="5196" spans="1:7">
      <c r="A5196" s="3"/>
      <c r="B5196" s="3"/>
      <c r="C5196" s="3"/>
      <c r="D5196" s="3"/>
      <c r="E5196" s="3">
        <v>13</v>
      </c>
      <c r="F5196" s="4" t="str">
        <f>HYPERLINK("http://141.218.60.56/~jnz1568/getInfo.php?workbook=12_05.xlsx&amp;sheet=U0&amp;row=5196&amp;col=6&amp;number=4.2&amp;sourceID=14","4.2")</f>
        <v>4.2</v>
      </c>
      <c r="G5196" s="4" t="str">
        <f>HYPERLINK("http://141.218.60.56/~jnz1568/getInfo.php?workbook=12_05.xlsx&amp;sheet=U0&amp;row=5196&amp;col=7&amp;number=0.0154&amp;sourceID=14","0.0154")</f>
        <v>0.0154</v>
      </c>
    </row>
    <row r="5197" spans="1:7">
      <c r="A5197" s="3"/>
      <c r="B5197" s="3"/>
      <c r="C5197" s="3"/>
      <c r="D5197" s="3"/>
      <c r="E5197" s="3">
        <v>14</v>
      </c>
      <c r="F5197" s="4" t="str">
        <f>HYPERLINK("http://141.218.60.56/~jnz1568/getInfo.php?workbook=12_05.xlsx&amp;sheet=U0&amp;row=5197&amp;col=6&amp;number=4.3&amp;sourceID=14","4.3")</f>
        <v>4.3</v>
      </c>
      <c r="G5197" s="4" t="str">
        <f>HYPERLINK("http://141.218.60.56/~jnz1568/getInfo.php?workbook=12_05.xlsx&amp;sheet=U0&amp;row=5197&amp;col=7&amp;number=0.0153&amp;sourceID=14","0.0153")</f>
        <v>0.0153</v>
      </c>
    </row>
    <row r="5198" spans="1:7">
      <c r="A5198" s="3"/>
      <c r="B5198" s="3"/>
      <c r="C5198" s="3"/>
      <c r="D5198" s="3"/>
      <c r="E5198" s="3">
        <v>15</v>
      </c>
      <c r="F5198" s="4" t="str">
        <f>HYPERLINK("http://141.218.60.56/~jnz1568/getInfo.php?workbook=12_05.xlsx&amp;sheet=U0&amp;row=5198&amp;col=6&amp;number=4.4&amp;sourceID=14","4.4")</f>
        <v>4.4</v>
      </c>
      <c r="G5198" s="4" t="str">
        <f>HYPERLINK("http://141.218.60.56/~jnz1568/getInfo.php?workbook=12_05.xlsx&amp;sheet=U0&amp;row=5198&amp;col=7&amp;number=0.0153&amp;sourceID=14","0.0153")</f>
        <v>0.0153</v>
      </c>
    </row>
    <row r="5199" spans="1:7">
      <c r="A5199" s="3"/>
      <c r="B5199" s="3"/>
      <c r="C5199" s="3"/>
      <c r="D5199" s="3"/>
      <c r="E5199" s="3">
        <v>16</v>
      </c>
      <c r="F5199" s="4" t="str">
        <f>HYPERLINK("http://141.218.60.56/~jnz1568/getInfo.php?workbook=12_05.xlsx&amp;sheet=U0&amp;row=5199&amp;col=6&amp;number=4.5&amp;sourceID=14","4.5")</f>
        <v>4.5</v>
      </c>
      <c r="G5199" s="4" t="str">
        <f>HYPERLINK("http://141.218.60.56/~jnz1568/getInfo.php?workbook=12_05.xlsx&amp;sheet=U0&amp;row=5199&amp;col=7&amp;number=0.0152&amp;sourceID=14","0.0152")</f>
        <v>0.0152</v>
      </c>
    </row>
    <row r="5200" spans="1:7">
      <c r="A5200" s="3"/>
      <c r="B5200" s="3"/>
      <c r="C5200" s="3"/>
      <c r="D5200" s="3"/>
      <c r="E5200" s="3">
        <v>17</v>
      </c>
      <c r="F5200" s="4" t="str">
        <f>HYPERLINK("http://141.218.60.56/~jnz1568/getInfo.php?workbook=12_05.xlsx&amp;sheet=U0&amp;row=5200&amp;col=6&amp;number=4.6&amp;sourceID=14","4.6")</f>
        <v>4.6</v>
      </c>
      <c r="G5200" s="4" t="str">
        <f>HYPERLINK("http://141.218.60.56/~jnz1568/getInfo.php?workbook=12_05.xlsx&amp;sheet=U0&amp;row=5200&amp;col=7&amp;number=0.0152&amp;sourceID=14","0.0152")</f>
        <v>0.0152</v>
      </c>
    </row>
    <row r="5201" spans="1:7">
      <c r="A5201" s="3"/>
      <c r="B5201" s="3"/>
      <c r="C5201" s="3"/>
      <c r="D5201" s="3"/>
      <c r="E5201" s="3">
        <v>18</v>
      </c>
      <c r="F5201" s="4" t="str">
        <f>HYPERLINK("http://141.218.60.56/~jnz1568/getInfo.php?workbook=12_05.xlsx&amp;sheet=U0&amp;row=5201&amp;col=6&amp;number=4.7&amp;sourceID=14","4.7")</f>
        <v>4.7</v>
      </c>
      <c r="G5201" s="4" t="str">
        <f>HYPERLINK("http://141.218.60.56/~jnz1568/getInfo.php?workbook=12_05.xlsx&amp;sheet=U0&amp;row=5201&amp;col=7&amp;number=0.0151&amp;sourceID=14","0.0151")</f>
        <v>0.0151</v>
      </c>
    </row>
    <row r="5202" spans="1:7">
      <c r="A5202" s="3"/>
      <c r="B5202" s="3"/>
      <c r="C5202" s="3"/>
      <c r="D5202" s="3"/>
      <c r="E5202" s="3">
        <v>19</v>
      </c>
      <c r="F5202" s="4" t="str">
        <f>HYPERLINK("http://141.218.60.56/~jnz1568/getInfo.php?workbook=12_05.xlsx&amp;sheet=U0&amp;row=5202&amp;col=6&amp;number=4.8&amp;sourceID=14","4.8")</f>
        <v>4.8</v>
      </c>
      <c r="G5202" s="4" t="str">
        <f>HYPERLINK("http://141.218.60.56/~jnz1568/getInfo.php?workbook=12_05.xlsx&amp;sheet=U0&amp;row=5202&amp;col=7&amp;number=0.015&amp;sourceID=14","0.015")</f>
        <v>0.015</v>
      </c>
    </row>
    <row r="5203" spans="1:7">
      <c r="A5203" s="3"/>
      <c r="B5203" s="3"/>
      <c r="C5203" s="3"/>
      <c r="D5203" s="3"/>
      <c r="E5203" s="3">
        <v>20</v>
      </c>
      <c r="F5203" s="4" t="str">
        <f>HYPERLINK("http://141.218.60.56/~jnz1568/getInfo.php?workbook=12_05.xlsx&amp;sheet=U0&amp;row=5203&amp;col=6&amp;number=4.9&amp;sourceID=14","4.9")</f>
        <v>4.9</v>
      </c>
      <c r="G5203" s="4" t="str">
        <f>HYPERLINK("http://141.218.60.56/~jnz1568/getInfo.php?workbook=12_05.xlsx&amp;sheet=U0&amp;row=5203&amp;col=7&amp;number=0.0149&amp;sourceID=14","0.0149")</f>
        <v>0.0149</v>
      </c>
    </row>
    <row r="5204" spans="1:7">
      <c r="A5204" s="3">
        <v>12</v>
      </c>
      <c r="B5204" s="3">
        <v>5</v>
      </c>
      <c r="C5204" s="3">
        <v>2</v>
      </c>
      <c r="D5204" s="3">
        <v>113</v>
      </c>
      <c r="E5204" s="3">
        <v>1</v>
      </c>
      <c r="F5204" s="4" t="str">
        <f>HYPERLINK("http://141.218.60.56/~jnz1568/getInfo.php?workbook=12_05.xlsx&amp;sheet=U0&amp;row=5204&amp;col=6&amp;number=3&amp;sourceID=14","3")</f>
        <v>3</v>
      </c>
      <c r="G5204" s="4" t="str">
        <f>HYPERLINK("http://141.218.60.56/~jnz1568/getInfo.php?workbook=12_05.xlsx&amp;sheet=U0&amp;row=5204&amp;col=7&amp;number=0.0276&amp;sourceID=14","0.0276")</f>
        <v>0.0276</v>
      </c>
    </row>
    <row r="5205" spans="1:7">
      <c r="A5205" s="3"/>
      <c r="B5205" s="3"/>
      <c r="C5205" s="3"/>
      <c r="D5205" s="3"/>
      <c r="E5205" s="3">
        <v>2</v>
      </c>
      <c r="F5205" s="4" t="str">
        <f>HYPERLINK("http://141.218.60.56/~jnz1568/getInfo.php?workbook=12_05.xlsx&amp;sheet=U0&amp;row=5205&amp;col=6&amp;number=3.1&amp;sourceID=14","3.1")</f>
        <v>3.1</v>
      </c>
      <c r="G5205" s="4" t="str">
        <f>HYPERLINK("http://141.218.60.56/~jnz1568/getInfo.php?workbook=12_05.xlsx&amp;sheet=U0&amp;row=5205&amp;col=7&amp;number=0.0276&amp;sourceID=14","0.0276")</f>
        <v>0.0276</v>
      </c>
    </row>
    <row r="5206" spans="1:7">
      <c r="A5206" s="3"/>
      <c r="B5206" s="3"/>
      <c r="C5206" s="3"/>
      <c r="D5206" s="3"/>
      <c r="E5206" s="3">
        <v>3</v>
      </c>
      <c r="F5206" s="4" t="str">
        <f>HYPERLINK("http://141.218.60.56/~jnz1568/getInfo.php?workbook=12_05.xlsx&amp;sheet=U0&amp;row=5206&amp;col=6&amp;number=3.2&amp;sourceID=14","3.2")</f>
        <v>3.2</v>
      </c>
      <c r="G5206" s="4" t="str">
        <f>HYPERLINK("http://141.218.60.56/~jnz1568/getInfo.php?workbook=12_05.xlsx&amp;sheet=U0&amp;row=5206&amp;col=7&amp;number=0.0276&amp;sourceID=14","0.0276")</f>
        <v>0.0276</v>
      </c>
    </row>
    <row r="5207" spans="1:7">
      <c r="A5207" s="3"/>
      <c r="B5207" s="3"/>
      <c r="C5207" s="3"/>
      <c r="D5207" s="3"/>
      <c r="E5207" s="3">
        <v>4</v>
      </c>
      <c r="F5207" s="4" t="str">
        <f>HYPERLINK("http://141.218.60.56/~jnz1568/getInfo.php?workbook=12_05.xlsx&amp;sheet=U0&amp;row=5207&amp;col=6&amp;number=3.3&amp;sourceID=14","3.3")</f>
        <v>3.3</v>
      </c>
      <c r="G5207" s="4" t="str">
        <f>HYPERLINK("http://141.218.60.56/~jnz1568/getInfo.php?workbook=12_05.xlsx&amp;sheet=U0&amp;row=5207&amp;col=7&amp;number=0.0276&amp;sourceID=14","0.0276")</f>
        <v>0.0276</v>
      </c>
    </row>
    <row r="5208" spans="1:7">
      <c r="A5208" s="3"/>
      <c r="B5208" s="3"/>
      <c r="C5208" s="3"/>
      <c r="D5208" s="3"/>
      <c r="E5208" s="3">
        <v>5</v>
      </c>
      <c r="F5208" s="4" t="str">
        <f>HYPERLINK("http://141.218.60.56/~jnz1568/getInfo.php?workbook=12_05.xlsx&amp;sheet=U0&amp;row=5208&amp;col=6&amp;number=3.4&amp;sourceID=14","3.4")</f>
        <v>3.4</v>
      </c>
      <c r="G5208" s="4" t="str">
        <f>HYPERLINK("http://141.218.60.56/~jnz1568/getInfo.php?workbook=12_05.xlsx&amp;sheet=U0&amp;row=5208&amp;col=7&amp;number=0.0276&amp;sourceID=14","0.0276")</f>
        <v>0.0276</v>
      </c>
    </row>
    <row r="5209" spans="1:7">
      <c r="A5209" s="3"/>
      <c r="B5209" s="3"/>
      <c r="C5209" s="3"/>
      <c r="D5209" s="3"/>
      <c r="E5209" s="3">
        <v>6</v>
      </c>
      <c r="F5209" s="4" t="str">
        <f>HYPERLINK("http://141.218.60.56/~jnz1568/getInfo.php?workbook=12_05.xlsx&amp;sheet=U0&amp;row=5209&amp;col=6&amp;number=3.5&amp;sourceID=14","3.5")</f>
        <v>3.5</v>
      </c>
      <c r="G5209" s="4" t="str">
        <f>HYPERLINK("http://141.218.60.56/~jnz1568/getInfo.php?workbook=12_05.xlsx&amp;sheet=U0&amp;row=5209&amp;col=7&amp;number=0.0276&amp;sourceID=14","0.0276")</f>
        <v>0.0276</v>
      </c>
    </row>
    <row r="5210" spans="1:7">
      <c r="A5210" s="3"/>
      <c r="B5210" s="3"/>
      <c r="C5210" s="3"/>
      <c r="D5210" s="3"/>
      <c r="E5210" s="3">
        <v>7</v>
      </c>
      <c r="F5210" s="4" t="str">
        <f>HYPERLINK("http://141.218.60.56/~jnz1568/getInfo.php?workbook=12_05.xlsx&amp;sheet=U0&amp;row=5210&amp;col=6&amp;number=3.6&amp;sourceID=14","3.6")</f>
        <v>3.6</v>
      </c>
      <c r="G5210" s="4" t="str">
        <f>HYPERLINK("http://141.218.60.56/~jnz1568/getInfo.php?workbook=12_05.xlsx&amp;sheet=U0&amp;row=5210&amp;col=7&amp;number=0.0276&amp;sourceID=14","0.0276")</f>
        <v>0.0276</v>
      </c>
    </row>
    <row r="5211" spans="1:7">
      <c r="A5211" s="3"/>
      <c r="B5211" s="3"/>
      <c r="C5211" s="3"/>
      <c r="D5211" s="3"/>
      <c r="E5211" s="3">
        <v>8</v>
      </c>
      <c r="F5211" s="4" t="str">
        <f>HYPERLINK("http://141.218.60.56/~jnz1568/getInfo.php?workbook=12_05.xlsx&amp;sheet=U0&amp;row=5211&amp;col=6&amp;number=3.7&amp;sourceID=14","3.7")</f>
        <v>3.7</v>
      </c>
      <c r="G5211" s="4" t="str">
        <f>HYPERLINK("http://141.218.60.56/~jnz1568/getInfo.php?workbook=12_05.xlsx&amp;sheet=U0&amp;row=5211&amp;col=7&amp;number=0.0276&amp;sourceID=14","0.0276")</f>
        <v>0.0276</v>
      </c>
    </row>
    <row r="5212" spans="1:7">
      <c r="A5212" s="3"/>
      <c r="B5212" s="3"/>
      <c r="C5212" s="3"/>
      <c r="D5212" s="3"/>
      <c r="E5212" s="3">
        <v>9</v>
      </c>
      <c r="F5212" s="4" t="str">
        <f>HYPERLINK("http://141.218.60.56/~jnz1568/getInfo.php?workbook=12_05.xlsx&amp;sheet=U0&amp;row=5212&amp;col=6&amp;number=3.8&amp;sourceID=14","3.8")</f>
        <v>3.8</v>
      </c>
      <c r="G5212" s="4" t="str">
        <f>HYPERLINK("http://141.218.60.56/~jnz1568/getInfo.php?workbook=12_05.xlsx&amp;sheet=U0&amp;row=5212&amp;col=7&amp;number=0.0277&amp;sourceID=14","0.0277")</f>
        <v>0.0277</v>
      </c>
    </row>
    <row r="5213" spans="1:7">
      <c r="A5213" s="3"/>
      <c r="B5213" s="3"/>
      <c r="C5213" s="3"/>
      <c r="D5213" s="3"/>
      <c r="E5213" s="3">
        <v>10</v>
      </c>
      <c r="F5213" s="4" t="str">
        <f>HYPERLINK("http://141.218.60.56/~jnz1568/getInfo.php?workbook=12_05.xlsx&amp;sheet=U0&amp;row=5213&amp;col=6&amp;number=3.9&amp;sourceID=14","3.9")</f>
        <v>3.9</v>
      </c>
      <c r="G5213" s="4" t="str">
        <f>HYPERLINK("http://141.218.60.56/~jnz1568/getInfo.php?workbook=12_05.xlsx&amp;sheet=U0&amp;row=5213&amp;col=7&amp;number=0.0277&amp;sourceID=14","0.0277")</f>
        <v>0.0277</v>
      </c>
    </row>
    <row r="5214" spans="1:7">
      <c r="A5214" s="3"/>
      <c r="B5214" s="3"/>
      <c r="C5214" s="3"/>
      <c r="D5214" s="3"/>
      <c r="E5214" s="3">
        <v>11</v>
      </c>
      <c r="F5214" s="4" t="str">
        <f>HYPERLINK("http://141.218.60.56/~jnz1568/getInfo.php?workbook=12_05.xlsx&amp;sheet=U0&amp;row=5214&amp;col=6&amp;number=4&amp;sourceID=14","4")</f>
        <v>4</v>
      </c>
      <c r="G5214" s="4" t="str">
        <f>HYPERLINK("http://141.218.60.56/~jnz1568/getInfo.php?workbook=12_05.xlsx&amp;sheet=U0&amp;row=5214&amp;col=7&amp;number=0.0277&amp;sourceID=14","0.0277")</f>
        <v>0.0277</v>
      </c>
    </row>
    <row r="5215" spans="1:7">
      <c r="A5215" s="3"/>
      <c r="B5215" s="3"/>
      <c r="C5215" s="3"/>
      <c r="D5215" s="3"/>
      <c r="E5215" s="3">
        <v>12</v>
      </c>
      <c r="F5215" s="4" t="str">
        <f>HYPERLINK("http://141.218.60.56/~jnz1568/getInfo.php?workbook=12_05.xlsx&amp;sheet=U0&amp;row=5215&amp;col=6&amp;number=4.1&amp;sourceID=14","4.1")</f>
        <v>4.1</v>
      </c>
      <c r="G5215" s="4" t="str">
        <f>HYPERLINK("http://141.218.60.56/~jnz1568/getInfo.php?workbook=12_05.xlsx&amp;sheet=U0&amp;row=5215&amp;col=7&amp;number=0.0277&amp;sourceID=14","0.0277")</f>
        <v>0.0277</v>
      </c>
    </row>
    <row r="5216" spans="1:7">
      <c r="A5216" s="3"/>
      <c r="B5216" s="3"/>
      <c r="C5216" s="3"/>
      <c r="D5216" s="3"/>
      <c r="E5216" s="3">
        <v>13</v>
      </c>
      <c r="F5216" s="4" t="str">
        <f>HYPERLINK("http://141.218.60.56/~jnz1568/getInfo.php?workbook=12_05.xlsx&amp;sheet=U0&amp;row=5216&amp;col=6&amp;number=4.2&amp;sourceID=14","4.2")</f>
        <v>4.2</v>
      </c>
      <c r="G5216" s="4" t="str">
        <f>HYPERLINK("http://141.218.60.56/~jnz1568/getInfo.php?workbook=12_05.xlsx&amp;sheet=U0&amp;row=5216&amp;col=7&amp;number=0.0278&amp;sourceID=14","0.0278")</f>
        <v>0.0278</v>
      </c>
    </row>
    <row r="5217" spans="1:7">
      <c r="A5217" s="3"/>
      <c r="B5217" s="3"/>
      <c r="C5217" s="3"/>
      <c r="D5217" s="3"/>
      <c r="E5217" s="3">
        <v>14</v>
      </c>
      <c r="F5217" s="4" t="str">
        <f>HYPERLINK("http://141.218.60.56/~jnz1568/getInfo.php?workbook=12_05.xlsx&amp;sheet=U0&amp;row=5217&amp;col=6&amp;number=4.3&amp;sourceID=14","4.3")</f>
        <v>4.3</v>
      </c>
      <c r="G5217" s="4" t="str">
        <f>HYPERLINK("http://141.218.60.56/~jnz1568/getInfo.php?workbook=12_05.xlsx&amp;sheet=U0&amp;row=5217&amp;col=7&amp;number=0.0278&amp;sourceID=14","0.0278")</f>
        <v>0.0278</v>
      </c>
    </row>
    <row r="5218" spans="1:7">
      <c r="A5218" s="3"/>
      <c r="B5218" s="3"/>
      <c r="C5218" s="3"/>
      <c r="D5218" s="3"/>
      <c r="E5218" s="3">
        <v>15</v>
      </c>
      <c r="F5218" s="4" t="str">
        <f>HYPERLINK("http://141.218.60.56/~jnz1568/getInfo.php?workbook=12_05.xlsx&amp;sheet=U0&amp;row=5218&amp;col=6&amp;number=4.4&amp;sourceID=14","4.4")</f>
        <v>4.4</v>
      </c>
      <c r="G5218" s="4" t="str">
        <f>HYPERLINK("http://141.218.60.56/~jnz1568/getInfo.php?workbook=12_05.xlsx&amp;sheet=U0&amp;row=5218&amp;col=7&amp;number=0.0279&amp;sourceID=14","0.0279")</f>
        <v>0.0279</v>
      </c>
    </row>
    <row r="5219" spans="1:7">
      <c r="A5219" s="3"/>
      <c r="B5219" s="3"/>
      <c r="C5219" s="3"/>
      <c r="D5219" s="3"/>
      <c r="E5219" s="3">
        <v>16</v>
      </c>
      <c r="F5219" s="4" t="str">
        <f>HYPERLINK("http://141.218.60.56/~jnz1568/getInfo.php?workbook=12_05.xlsx&amp;sheet=U0&amp;row=5219&amp;col=6&amp;number=4.5&amp;sourceID=14","4.5")</f>
        <v>4.5</v>
      </c>
      <c r="G5219" s="4" t="str">
        <f>HYPERLINK("http://141.218.60.56/~jnz1568/getInfo.php?workbook=12_05.xlsx&amp;sheet=U0&amp;row=5219&amp;col=7&amp;number=0.028&amp;sourceID=14","0.028")</f>
        <v>0.028</v>
      </c>
    </row>
    <row r="5220" spans="1:7">
      <c r="A5220" s="3"/>
      <c r="B5220" s="3"/>
      <c r="C5220" s="3"/>
      <c r="D5220" s="3"/>
      <c r="E5220" s="3">
        <v>17</v>
      </c>
      <c r="F5220" s="4" t="str">
        <f>HYPERLINK("http://141.218.60.56/~jnz1568/getInfo.php?workbook=12_05.xlsx&amp;sheet=U0&amp;row=5220&amp;col=6&amp;number=4.6&amp;sourceID=14","4.6")</f>
        <v>4.6</v>
      </c>
      <c r="G5220" s="4" t="str">
        <f>HYPERLINK("http://141.218.60.56/~jnz1568/getInfo.php?workbook=12_05.xlsx&amp;sheet=U0&amp;row=5220&amp;col=7&amp;number=0.0281&amp;sourceID=14","0.0281")</f>
        <v>0.0281</v>
      </c>
    </row>
    <row r="5221" spans="1:7">
      <c r="A5221" s="3"/>
      <c r="B5221" s="3"/>
      <c r="C5221" s="3"/>
      <c r="D5221" s="3"/>
      <c r="E5221" s="3">
        <v>18</v>
      </c>
      <c r="F5221" s="4" t="str">
        <f>HYPERLINK("http://141.218.60.56/~jnz1568/getInfo.php?workbook=12_05.xlsx&amp;sheet=U0&amp;row=5221&amp;col=6&amp;number=4.7&amp;sourceID=14","4.7")</f>
        <v>4.7</v>
      </c>
      <c r="G5221" s="4" t="str">
        <f>HYPERLINK("http://141.218.60.56/~jnz1568/getInfo.php?workbook=12_05.xlsx&amp;sheet=U0&amp;row=5221&amp;col=7&amp;number=0.0282&amp;sourceID=14","0.0282")</f>
        <v>0.0282</v>
      </c>
    </row>
    <row r="5222" spans="1:7">
      <c r="A5222" s="3"/>
      <c r="B5222" s="3"/>
      <c r="C5222" s="3"/>
      <c r="D5222" s="3"/>
      <c r="E5222" s="3">
        <v>19</v>
      </c>
      <c r="F5222" s="4" t="str">
        <f>HYPERLINK("http://141.218.60.56/~jnz1568/getInfo.php?workbook=12_05.xlsx&amp;sheet=U0&amp;row=5222&amp;col=6&amp;number=4.8&amp;sourceID=14","4.8")</f>
        <v>4.8</v>
      </c>
      <c r="G5222" s="4" t="str">
        <f>HYPERLINK("http://141.218.60.56/~jnz1568/getInfo.php?workbook=12_05.xlsx&amp;sheet=U0&amp;row=5222&amp;col=7&amp;number=0.0284&amp;sourceID=14","0.0284")</f>
        <v>0.0284</v>
      </c>
    </row>
    <row r="5223" spans="1:7">
      <c r="A5223" s="3"/>
      <c r="B5223" s="3"/>
      <c r="C5223" s="3"/>
      <c r="D5223" s="3"/>
      <c r="E5223" s="3">
        <v>20</v>
      </c>
      <c r="F5223" s="4" t="str">
        <f>HYPERLINK("http://141.218.60.56/~jnz1568/getInfo.php?workbook=12_05.xlsx&amp;sheet=U0&amp;row=5223&amp;col=6&amp;number=4.9&amp;sourceID=14","4.9")</f>
        <v>4.9</v>
      </c>
      <c r="G5223" s="4" t="str">
        <f>HYPERLINK("http://141.218.60.56/~jnz1568/getInfo.php?workbook=12_05.xlsx&amp;sheet=U0&amp;row=5223&amp;col=7&amp;number=0.0286&amp;sourceID=14","0.0286")</f>
        <v>0.0286</v>
      </c>
    </row>
    <row r="5224" spans="1:7">
      <c r="A5224" s="3">
        <v>12</v>
      </c>
      <c r="B5224" s="3">
        <v>5</v>
      </c>
      <c r="C5224" s="3">
        <v>2</v>
      </c>
      <c r="D5224" s="3">
        <v>114</v>
      </c>
      <c r="E5224" s="3">
        <v>1</v>
      </c>
      <c r="F5224" s="4" t="str">
        <f>HYPERLINK("http://141.218.60.56/~jnz1568/getInfo.php?workbook=12_05.xlsx&amp;sheet=U0&amp;row=5224&amp;col=6&amp;number=3&amp;sourceID=14","3")</f>
        <v>3</v>
      </c>
      <c r="G5224" s="4" t="str">
        <f>HYPERLINK("http://141.218.60.56/~jnz1568/getInfo.php?workbook=12_05.xlsx&amp;sheet=U0&amp;row=5224&amp;col=7&amp;number=0.000525&amp;sourceID=14","0.000525")</f>
        <v>0.000525</v>
      </c>
    </row>
    <row r="5225" spans="1:7">
      <c r="A5225" s="3"/>
      <c r="B5225" s="3"/>
      <c r="C5225" s="3"/>
      <c r="D5225" s="3"/>
      <c r="E5225" s="3">
        <v>2</v>
      </c>
      <c r="F5225" s="4" t="str">
        <f>HYPERLINK("http://141.218.60.56/~jnz1568/getInfo.php?workbook=12_05.xlsx&amp;sheet=U0&amp;row=5225&amp;col=6&amp;number=3.1&amp;sourceID=14","3.1")</f>
        <v>3.1</v>
      </c>
      <c r="G5225" s="4" t="str">
        <f>HYPERLINK("http://141.218.60.56/~jnz1568/getInfo.php?workbook=12_05.xlsx&amp;sheet=U0&amp;row=5225&amp;col=7&amp;number=0.000525&amp;sourceID=14","0.000525")</f>
        <v>0.000525</v>
      </c>
    </row>
    <row r="5226" spans="1:7">
      <c r="A5226" s="3"/>
      <c r="B5226" s="3"/>
      <c r="C5226" s="3"/>
      <c r="D5226" s="3"/>
      <c r="E5226" s="3">
        <v>3</v>
      </c>
      <c r="F5226" s="4" t="str">
        <f>HYPERLINK("http://141.218.60.56/~jnz1568/getInfo.php?workbook=12_05.xlsx&amp;sheet=U0&amp;row=5226&amp;col=6&amp;number=3.2&amp;sourceID=14","3.2")</f>
        <v>3.2</v>
      </c>
      <c r="G5226" s="4" t="str">
        <f>HYPERLINK("http://141.218.60.56/~jnz1568/getInfo.php?workbook=12_05.xlsx&amp;sheet=U0&amp;row=5226&amp;col=7&amp;number=0.000525&amp;sourceID=14","0.000525")</f>
        <v>0.000525</v>
      </c>
    </row>
    <row r="5227" spans="1:7">
      <c r="A5227" s="3"/>
      <c r="B5227" s="3"/>
      <c r="C5227" s="3"/>
      <c r="D5227" s="3"/>
      <c r="E5227" s="3">
        <v>4</v>
      </c>
      <c r="F5227" s="4" t="str">
        <f>HYPERLINK("http://141.218.60.56/~jnz1568/getInfo.php?workbook=12_05.xlsx&amp;sheet=U0&amp;row=5227&amp;col=6&amp;number=3.3&amp;sourceID=14","3.3")</f>
        <v>3.3</v>
      </c>
      <c r="G5227" s="4" t="str">
        <f>HYPERLINK("http://141.218.60.56/~jnz1568/getInfo.php?workbook=12_05.xlsx&amp;sheet=U0&amp;row=5227&amp;col=7&amp;number=0.000525&amp;sourceID=14","0.000525")</f>
        <v>0.000525</v>
      </c>
    </row>
    <row r="5228" spans="1:7">
      <c r="A5228" s="3"/>
      <c r="B5228" s="3"/>
      <c r="C5228" s="3"/>
      <c r="D5228" s="3"/>
      <c r="E5228" s="3">
        <v>5</v>
      </c>
      <c r="F5228" s="4" t="str">
        <f>HYPERLINK("http://141.218.60.56/~jnz1568/getInfo.php?workbook=12_05.xlsx&amp;sheet=U0&amp;row=5228&amp;col=6&amp;number=3.4&amp;sourceID=14","3.4")</f>
        <v>3.4</v>
      </c>
      <c r="G5228" s="4" t="str">
        <f>HYPERLINK("http://141.218.60.56/~jnz1568/getInfo.php?workbook=12_05.xlsx&amp;sheet=U0&amp;row=5228&amp;col=7&amp;number=0.000524&amp;sourceID=14","0.000524")</f>
        <v>0.000524</v>
      </c>
    </row>
    <row r="5229" spans="1:7">
      <c r="A5229" s="3"/>
      <c r="B5229" s="3"/>
      <c r="C5229" s="3"/>
      <c r="D5229" s="3"/>
      <c r="E5229" s="3">
        <v>6</v>
      </c>
      <c r="F5229" s="4" t="str">
        <f>HYPERLINK("http://141.218.60.56/~jnz1568/getInfo.php?workbook=12_05.xlsx&amp;sheet=U0&amp;row=5229&amp;col=6&amp;number=3.5&amp;sourceID=14","3.5")</f>
        <v>3.5</v>
      </c>
      <c r="G5229" s="4" t="str">
        <f>HYPERLINK("http://141.218.60.56/~jnz1568/getInfo.php?workbook=12_05.xlsx&amp;sheet=U0&amp;row=5229&amp;col=7&amp;number=0.000524&amp;sourceID=14","0.000524")</f>
        <v>0.000524</v>
      </c>
    </row>
    <row r="5230" spans="1:7">
      <c r="A5230" s="3"/>
      <c r="B5230" s="3"/>
      <c r="C5230" s="3"/>
      <c r="D5230" s="3"/>
      <c r="E5230" s="3">
        <v>7</v>
      </c>
      <c r="F5230" s="4" t="str">
        <f>HYPERLINK("http://141.218.60.56/~jnz1568/getInfo.php?workbook=12_05.xlsx&amp;sheet=U0&amp;row=5230&amp;col=6&amp;number=3.6&amp;sourceID=14","3.6")</f>
        <v>3.6</v>
      </c>
      <c r="G5230" s="4" t="str">
        <f>HYPERLINK("http://141.218.60.56/~jnz1568/getInfo.php?workbook=12_05.xlsx&amp;sheet=U0&amp;row=5230&amp;col=7&amp;number=0.000524&amp;sourceID=14","0.000524")</f>
        <v>0.000524</v>
      </c>
    </row>
    <row r="5231" spans="1:7">
      <c r="A5231" s="3"/>
      <c r="B5231" s="3"/>
      <c r="C5231" s="3"/>
      <c r="D5231" s="3"/>
      <c r="E5231" s="3">
        <v>8</v>
      </c>
      <c r="F5231" s="4" t="str">
        <f>HYPERLINK("http://141.218.60.56/~jnz1568/getInfo.php?workbook=12_05.xlsx&amp;sheet=U0&amp;row=5231&amp;col=6&amp;number=3.7&amp;sourceID=14","3.7")</f>
        <v>3.7</v>
      </c>
      <c r="G5231" s="4" t="str">
        <f>HYPERLINK("http://141.218.60.56/~jnz1568/getInfo.php?workbook=12_05.xlsx&amp;sheet=U0&amp;row=5231&amp;col=7&amp;number=0.000523&amp;sourceID=14","0.000523")</f>
        <v>0.000523</v>
      </c>
    </row>
    <row r="5232" spans="1:7">
      <c r="A5232" s="3"/>
      <c r="B5232" s="3"/>
      <c r="C5232" s="3"/>
      <c r="D5232" s="3"/>
      <c r="E5232" s="3">
        <v>9</v>
      </c>
      <c r="F5232" s="4" t="str">
        <f>HYPERLINK("http://141.218.60.56/~jnz1568/getInfo.php?workbook=12_05.xlsx&amp;sheet=U0&amp;row=5232&amp;col=6&amp;number=3.8&amp;sourceID=14","3.8")</f>
        <v>3.8</v>
      </c>
      <c r="G5232" s="4" t="str">
        <f>HYPERLINK("http://141.218.60.56/~jnz1568/getInfo.php?workbook=12_05.xlsx&amp;sheet=U0&amp;row=5232&amp;col=7&amp;number=0.000523&amp;sourceID=14","0.000523")</f>
        <v>0.000523</v>
      </c>
    </row>
    <row r="5233" spans="1:7">
      <c r="A5233" s="3"/>
      <c r="B5233" s="3"/>
      <c r="C5233" s="3"/>
      <c r="D5233" s="3"/>
      <c r="E5233" s="3">
        <v>10</v>
      </c>
      <c r="F5233" s="4" t="str">
        <f>HYPERLINK("http://141.218.60.56/~jnz1568/getInfo.php?workbook=12_05.xlsx&amp;sheet=U0&amp;row=5233&amp;col=6&amp;number=3.9&amp;sourceID=14","3.9")</f>
        <v>3.9</v>
      </c>
      <c r="G5233" s="4" t="str">
        <f>HYPERLINK("http://141.218.60.56/~jnz1568/getInfo.php?workbook=12_05.xlsx&amp;sheet=U0&amp;row=5233&amp;col=7&amp;number=0.000522&amp;sourceID=14","0.000522")</f>
        <v>0.000522</v>
      </c>
    </row>
    <row r="5234" spans="1:7">
      <c r="A5234" s="3"/>
      <c r="B5234" s="3"/>
      <c r="C5234" s="3"/>
      <c r="D5234" s="3"/>
      <c r="E5234" s="3">
        <v>11</v>
      </c>
      <c r="F5234" s="4" t="str">
        <f>HYPERLINK("http://141.218.60.56/~jnz1568/getInfo.php?workbook=12_05.xlsx&amp;sheet=U0&amp;row=5234&amp;col=6&amp;number=4&amp;sourceID=14","4")</f>
        <v>4</v>
      </c>
      <c r="G5234" s="4" t="str">
        <f>HYPERLINK("http://141.218.60.56/~jnz1568/getInfo.php?workbook=12_05.xlsx&amp;sheet=U0&amp;row=5234&amp;col=7&amp;number=0.000521&amp;sourceID=14","0.000521")</f>
        <v>0.000521</v>
      </c>
    </row>
    <row r="5235" spans="1:7">
      <c r="A5235" s="3"/>
      <c r="B5235" s="3"/>
      <c r="C5235" s="3"/>
      <c r="D5235" s="3"/>
      <c r="E5235" s="3">
        <v>12</v>
      </c>
      <c r="F5235" s="4" t="str">
        <f>HYPERLINK("http://141.218.60.56/~jnz1568/getInfo.php?workbook=12_05.xlsx&amp;sheet=U0&amp;row=5235&amp;col=6&amp;number=4.1&amp;sourceID=14","4.1")</f>
        <v>4.1</v>
      </c>
      <c r="G5235" s="4" t="str">
        <f>HYPERLINK("http://141.218.60.56/~jnz1568/getInfo.php?workbook=12_05.xlsx&amp;sheet=U0&amp;row=5235&amp;col=7&amp;number=0.00052&amp;sourceID=14","0.00052")</f>
        <v>0.00052</v>
      </c>
    </row>
    <row r="5236" spans="1:7">
      <c r="A5236" s="3"/>
      <c r="B5236" s="3"/>
      <c r="C5236" s="3"/>
      <c r="D5236" s="3"/>
      <c r="E5236" s="3">
        <v>13</v>
      </c>
      <c r="F5236" s="4" t="str">
        <f>HYPERLINK("http://141.218.60.56/~jnz1568/getInfo.php?workbook=12_05.xlsx&amp;sheet=U0&amp;row=5236&amp;col=6&amp;number=4.2&amp;sourceID=14","4.2")</f>
        <v>4.2</v>
      </c>
      <c r="G5236" s="4" t="str">
        <f>HYPERLINK("http://141.218.60.56/~jnz1568/getInfo.php?workbook=12_05.xlsx&amp;sheet=U0&amp;row=5236&amp;col=7&amp;number=0.000519&amp;sourceID=14","0.000519")</f>
        <v>0.000519</v>
      </c>
    </row>
    <row r="5237" spans="1:7">
      <c r="A5237" s="3"/>
      <c r="B5237" s="3"/>
      <c r="C5237" s="3"/>
      <c r="D5237" s="3"/>
      <c r="E5237" s="3">
        <v>14</v>
      </c>
      <c r="F5237" s="4" t="str">
        <f>HYPERLINK("http://141.218.60.56/~jnz1568/getInfo.php?workbook=12_05.xlsx&amp;sheet=U0&amp;row=5237&amp;col=6&amp;number=4.3&amp;sourceID=14","4.3")</f>
        <v>4.3</v>
      </c>
      <c r="G5237" s="4" t="str">
        <f>HYPERLINK("http://141.218.60.56/~jnz1568/getInfo.php?workbook=12_05.xlsx&amp;sheet=U0&amp;row=5237&amp;col=7&amp;number=0.000517&amp;sourceID=14","0.000517")</f>
        <v>0.000517</v>
      </c>
    </row>
    <row r="5238" spans="1:7">
      <c r="A5238" s="3"/>
      <c r="B5238" s="3"/>
      <c r="C5238" s="3"/>
      <c r="D5238" s="3"/>
      <c r="E5238" s="3">
        <v>15</v>
      </c>
      <c r="F5238" s="4" t="str">
        <f>HYPERLINK("http://141.218.60.56/~jnz1568/getInfo.php?workbook=12_05.xlsx&amp;sheet=U0&amp;row=5238&amp;col=6&amp;number=4.4&amp;sourceID=14","4.4")</f>
        <v>4.4</v>
      </c>
      <c r="G5238" s="4" t="str">
        <f>HYPERLINK("http://141.218.60.56/~jnz1568/getInfo.php?workbook=12_05.xlsx&amp;sheet=U0&amp;row=5238&amp;col=7&amp;number=0.000515&amp;sourceID=14","0.000515")</f>
        <v>0.000515</v>
      </c>
    </row>
    <row r="5239" spans="1:7">
      <c r="A5239" s="3"/>
      <c r="B5239" s="3"/>
      <c r="C5239" s="3"/>
      <c r="D5239" s="3"/>
      <c r="E5239" s="3">
        <v>16</v>
      </c>
      <c r="F5239" s="4" t="str">
        <f>HYPERLINK("http://141.218.60.56/~jnz1568/getInfo.php?workbook=12_05.xlsx&amp;sheet=U0&amp;row=5239&amp;col=6&amp;number=4.5&amp;sourceID=14","4.5")</f>
        <v>4.5</v>
      </c>
      <c r="G5239" s="4" t="str">
        <f>HYPERLINK("http://141.218.60.56/~jnz1568/getInfo.php?workbook=12_05.xlsx&amp;sheet=U0&amp;row=5239&amp;col=7&amp;number=0.000512&amp;sourceID=14","0.000512")</f>
        <v>0.000512</v>
      </c>
    </row>
    <row r="5240" spans="1:7">
      <c r="A5240" s="3"/>
      <c r="B5240" s="3"/>
      <c r="C5240" s="3"/>
      <c r="D5240" s="3"/>
      <c r="E5240" s="3">
        <v>17</v>
      </c>
      <c r="F5240" s="4" t="str">
        <f>HYPERLINK("http://141.218.60.56/~jnz1568/getInfo.php?workbook=12_05.xlsx&amp;sheet=U0&amp;row=5240&amp;col=6&amp;number=4.6&amp;sourceID=14","4.6")</f>
        <v>4.6</v>
      </c>
      <c r="G5240" s="4" t="str">
        <f>HYPERLINK("http://141.218.60.56/~jnz1568/getInfo.php?workbook=12_05.xlsx&amp;sheet=U0&amp;row=5240&amp;col=7&amp;number=0.000509&amp;sourceID=14","0.000509")</f>
        <v>0.000509</v>
      </c>
    </row>
    <row r="5241" spans="1:7">
      <c r="A5241" s="3"/>
      <c r="B5241" s="3"/>
      <c r="C5241" s="3"/>
      <c r="D5241" s="3"/>
      <c r="E5241" s="3">
        <v>18</v>
      </c>
      <c r="F5241" s="4" t="str">
        <f>HYPERLINK("http://141.218.60.56/~jnz1568/getInfo.php?workbook=12_05.xlsx&amp;sheet=U0&amp;row=5241&amp;col=6&amp;number=4.7&amp;sourceID=14","4.7")</f>
        <v>4.7</v>
      </c>
      <c r="G5241" s="4" t="str">
        <f>HYPERLINK("http://141.218.60.56/~jnz1568/getInfo.php?workbook=12_05.xlsx&amp;sheet=U0&amp;row=5241&amp;col=7&amp;number=0.000505&amp;sourceID=14","0.000505")</f>
        <v>0.000505</v>
      </c>
    </row>
    <row r="5242" spans="1:7">
      <c r="A5242" s="3"/>
      <c r="B5242" s="3"/>
      <c r="C5242" s="3"/>
      <c r="D5242" s="3"/>
      <c r="E5242" s="3">
        <v>19</v>
      </c>
      <c r="F5242" s="4" t="str">
        <f>HYPERLINK("http://141.218.60.56/~jnz1568/getInfo.php?workbook=12_05.xlsx&amp;sheet=U0&amp;row=5242&amp;col=6&amp;number=4.8&amp;sourceID=14","4.8")</f>
        <v>4.8</v>
      </c>
      <c r="G5242" s="4" t="str">
        <f>HYPERLINK("http://141.218.60.56/~jnz1568/getInfo.php?workbook=12_05.xlsx&amp;sheet=U0&amp;row=5242&amp;col=7&amp;number=0.0005&amp;sourceID=14","0.0005")</f>
        <v>0.0005</v>
      </c>
    </row>
    <row r="5243" spans="1:7">
      <c r="A5243" s="3"/>
      <c r="B5243" s="3"/>
      <c r="C5243" s="3"/>
      <c r="D5243" s="3"/>
      <c r="E5243" s="3">
        <v>20</v>
      </c>
      <c r="F5243" s="4" t="str">
        <f>HYPERLINK("http://141.218.60.56/~jnz1568/getInfo.php?workbook=12_05.xlsx&amp;sheet=U0&amp;row=5243&amp;col=6&amp;number=4.9&amp;sourceID=14","4.9")</f>
        <v>4.9</v>
      </c>
      <c r="G5243" s="4" t="str">
        <f>HYPERLINK("http://141.218.60.56/~jnz1568/getInfo.php?workbook=12_05.xlsx&amp;sheet=U0&amp;row=5243&amp;col=7&amp;number=0.000493&amp;sourceID=14","0.000493")</f>
        <v>0.000493</v>
      </c>
    </row>
    <row r="5244" spans="1:7">
      <c r="A5244" s="3">
        <v>12</v>
      </c>
      <c r="B5244" s="3">
        <v>5</v>
      </c>
      <c r="C5244" s="3">
        <v>2</v>
      </c>
      <c r="D5244" s="3">
        <v>115</v>
      </c>
      <c r="E5244" s="3">
        <v>1</v>
      </c>
      <c r="F5244" s="4" t="str">
        <f>HYPERLINK("http://141.218.60.56/~jnz1568/getInfo.php?workbook=12_05.xlsx&amp;sheet=U0&amp;row=5244&amp;col=6&amp;number=3&amp;sourceID=14","3")</f>
        <v>3</v>
      </c>
      <c r="G5244" s="4" t="str">
        <f>HYPERLINK("http://141.218.60.56/~jnz1568/getInfo.php?workbook=12_05.xlsx&amp;sheet=U0&amp;row=5244&amp;col=7&amp;number=0.000445&amp;sourceID=14","0.000445")</f>
        <v>0.000445</v>
      </c>
    </row>
    <row r="5245" spans="1:7">
      <c r="A5245" s="3"/>
      <c r="B5245" s="3"/>
      <c r="C5245" s="3"/>
      <c r="D5245" s="3"/>
      <c r="E5245" s="3">
        <v>2</v>
      </c>
      <c r="F5245" s="4" t="str">
        <f>HYPERLINK("http://141.218.60.56/~jnz1568/getInfo.php?workbook=12_05.xlsx&amp;sheet=U0&amp;row=5245&amp;col=6&amp;number=3.1&amp;sourceID=14","3.1")</f>
        <v>3.1</v>
      </c>
      <c r="G5245" s="4" t="str">
        <f>HYPERLINK("http://141.218.60.56/~jnz1568/getInfo.php?workbook=12_05.xlsx&amp;sheet=U0&amp;row=5245&amp;col=7&amp;number=0.000445&amp;sourceID=14","0.000445")</f>
        <v>0.000445</v>
      </c>
    </row>
    <row r="5246" spans="1:7">
      <c r="A5246" s="3"/>
      <c r="B5246" s="3"/>
      <c r="C5246" s="3"/>
      <c r="D5246" s="3"/>
      <c r="E5246" s="3">
        <v>3</v>
      </c>
      <c r="F5246" s="4" t="str">
        <f>HYPERLINK("http://141.218.60.56/~jnz1568/getInfo.php?workbook=12_05.xlsx&amp;sheet=U0&amp;row=5246&amp;col=6&amp;number=3.2&amp;sourceID=14","3.2")</f>
        <v>3.2</v>
      </c>
      <c r="G5246" s="4" t="str">
        <f>HYPERLINK("http://141.218.60.56/~jnz1568/getInfo.php?workbook=12_05.xlsx&amp;sheet=U0&amp;row=5246&amp;col=7&amp;number=0.000445&amp;sourceID=14","0.000445")</f>
        <v>0.000445</v>
      </c>
    </row>
    <row r="5247" spans="1:7">
      <c r="A5247" s="3"/>
      <c r="B5247" s="3"/>
      <c r="C5247" s="3"/>
      <c r="D5247" s="3"/>
      <c r="E5247" s="3">
        <v>4</v>
      </c>
      <c r="F5247" s="4" t="str">
        <f>HYPERLINK("http://141.218.60.56/~jnz1568/getInfo.php?workbook=12_05.xlsx&amp;sheet=U0&amp;row=5247&amp;col=6&amp;number=3.3&amp;sourceID=14","3.3")</f>
        <v>3.3</v>
      </c>
      <c r="G5247" s="4" t="str">
        <f>HYPERLINK("http://141.218.60.56/~jnz1568/getInfo.php?workbook=12_05.xlsx&amp;sheet=U0&amp;row=5247&amp;col=7&amp;number=0.000445&amp;sourceID=14","0.000445")</f>
        <v>0.000445</v>
      </c>
    </row>
    <row r="5248" spans="1:7">
      <c r="A5248" s="3"/>
      <c r="B5248" s="3"/>
      <c r="C5248" s="3"/>
      <c r="D5248" s="3"/>
      <c r="E5248" s="3">
        <v>5</v>
      </c>
      <c r="F5248" s="4" t="str">
        <f>HYPERLINK("http://141.218.60.56/~jnz1568/getInfo.php?workbook=12_05.xlsx&amp;sheet=U0&amp;row=5248&amp;col=6&amp;number=3.4&amp;sourceID=14","3.4")</f>
        <v>3.4</v>
      </c>
      <c r="G5248" s="4" t="str">
        <f>HYPERLINK("http://141.218.60.56/~jnz1568/getInfo.php?workbook=12_05.xlsx&amp;sheet=U0&amp;row=5248&amp;col=7&amp;number=0.000445&amp;sourceID=14","0.000445")</f>
        <v>0.000445</v>
      </c>
    </row>
    <row r="5249" spans="1:7">
      <c r="A5249" s="3"/>
      <c r="B5249" s="3"/>
      <c r="C5249" s="3"/>
      <c r="D5249" s="3"/>
      <c r="E5249" s="3">
        <v>6</v>
      </c>
      <c r="F5249" s="4" t="str">
        <f>HYPERLINK("http://141.218.60.56/~jnz1568/getInfo.php?workbook=12_05.xlsx&amp;sheet=U0&amp;row=5249&amp;col=6&amp;number=3.5&amp;sourceID=14","3.5")</f>
        <v>3.5</v>
      </c>
      <c r="G5249" s="4" t="str">
        <f>HYPERLINK("http://141.218.60.56/~jnz1568/getInfo.php?workbook=12_05.xlsx&amp;sheet=U0&amp;row=5249&amp;col=7&amp;number=0.000445&amp;sourceID=14","0.000445")</f>
        <v>0.000445</v>
      </c>
    </row>
    <row r="5250" spans="1:7">
      <c r="A5250" s="3"/>
      <c r="B5250" s="3"/>
      <c r="C5250" s="3"/>
      <c r="D5250" s="3"/>
      <c r="E5250" s="3">
        <v>7</v>
      </c>
      <c r="F5250" s="4" t="str">
        <f>HYPERLINK("http://141.218.60.56/~jnz1568/getInfo.php?workbook=12_05.xlsx&amp;sheet=U0&amp;row=5250&amp;col=6&amp;number=3.6&amp;sourceID=14","3.6")</f>
        <v>3.6</v>
      </c>
      <c r="G5250" s="4" t="str">
        <f>HYPERLINK("http://141.218.60.56/~jnz1568/getInfo.php?workbook=12_05.xlsx&amp;sheet=U0&amp;row=5250&amp;col=7&amp;number=0.000444&amp;sourceID=14","0.000444")</f>
        <v>0.000444</v>
      </c>
    </row>
    <row r="5251" spans="1:7">
      <c r="A5251" s="3"/>
      <c r="B5251" s="3"/>
      <c r="C5251" s="3"/>
      <c r="D5251" s="3"/>
      <c r="E5251" s="3">
        <v>8</v>
      </c>
      <c r="F5251" s="4" t="str">
        <f>HYPERLINK("http://141.218.60.56/~jnz1568/getInfo.php?workbook=12_05.xlsx&amp;sheet=U0&amp;row=5251&amp;col=6&amp;number=3.7&amp;sourceID=14","3.7")</f>
        <v>3.7</v>
      </c>
      <c r="G5251" s="4" t="str">
        <f>HYPERLINK("http://141.218.60.56/~jnz1568/getInfo.php?workbook=12_05.xlsx&amp;sheet=U0&amp;row=5251&amp;col=7&amp;number=0.000444&amp;sourceID=14","0.000444")</f>
        <v>0.000444</v>
      </c>
    </row>
    <row r="5252" spans="1:7">
      <c r="A5252" s="3"/>
      <c r="B5252" s="3"/>
      <c r="C5252" s="3"/>
      <c r="D5252" s="3"/>
      <c r="E5252" s="3">
        <v>9</v>
      </c>
      <c r="F5252" s="4" t="str">
        <f>HYPERLINK("http://141.218.60.56/~jnz1568/getInfo.php?workbook=12_05.xlsx&amp;sheet=U0&amp;row=5252&amp;col=6&amp;number=3.8&amp;sourceID=14","3.8")</f>
        <v>3.8</v>
      </c>
      <c r="G5252" s="4" t="str">
        <f>HYPERLINK("http://141.218.60.56/~jnz1568/getInfo.php?workbook=12_05.xlsx&amp;sheet=U0&amp;row=5252&amp;col=7&amp;number=0.000443&amp;sourceID=14","0.000443")</f>
        <v>0.000443</v>
      </c>
    </row>
    <row r="5253" spans="1:7">
      <c r="A5253" s="3"/>
      <c r="B5253" s="3"/>
      <c r="C5253" s="3"/>
      <c r="D5253" s="3"/>
      <c r="E5253" s="3">
        <v>10</v>
      </c>
      <c r="F5253" s="4" t="str">
        <f>HYPERLINK("http://141.218.60.56/~jnz1568/getInfo.php?workbook=12_05.xlsx&amp;sheet=U0&amp;row=5253&amp;col=6&amp;number=3.9&amp;sourceID=14","3.9")</f>
        <v>3.9</v>
      </c>
      <c r="G5253" s="4" t="str">
        <f>HYPERLINK("http://141.218.60.56/~jnz1568/getInfo.php?workbook=12_05.xlsx&amp;sheet=U0&amp;row=5253&amp;col=7&amp;number=0.000443&amp;sourceID=14","0.000443")</f>
        <v>0.000443</v>
      </c>
    </row>
    <row r="5254" spans="1:7">
      <c r="A5254" s="3"/>
      <c r="B5254" s="3"/>
      <c r="C5254" s="3"/>
      <c r="D5254" s="3"/>
      <c r="E5254" s="3">
        <v>11</v>
      </c>
      <c r="F5254" s="4" t="str">
        <f>HYPERLINK("http://141.218.60.56/~jnz1568/getInfo.php?workbook=12_05.xlsx&amp;sheet=U0&amp;row=5254&amp;col=6&amp;number=4&amp;sourceID=14","4")</f>
        <v>4</v>
      </c>
      <c r="G5254" s="4" t="str">
        <f>HYPERLINK("http://141.218.60.56/~jnz1568/getInfo.php?workbook=12_05.xlsx&amp;sheet=U0&amp;row=5254&amp;col=7&amp;number=0.000442&amp;sourceID=14","0.000442")</f>
        <v>0.000442</v>
      </c>
    </row>
    <row r="5255" spans="1:7">
      <c r="A5255" s="3"/>
      <c r="B5255" s="3"/>
      <c r="C5255" s="3"/>
      <c r="D5255" s="3"/>
      <c r="E5255" s="3">
        <v>12</v>
      </c>
      <c r="F5255" s="4" t="str">
        <f>HYPERLINK("http://141.218.60.56/~jnz1568/getInfo.php?workbook=12_05.xlsx&amp;sheet=U0&amp;row=5255&amp;col=6&amp;number=4.1&amp;sourceID=14","4.1")</f>
        <v>4.1</v>
      </c>
      <c r="G5255" s="4" t="str">
        <f>HYPERLINK("http://141.218.60.56/~jnz1568/getInfo.php?workbook=12_05.xlsx&amp;sheet=U0&amp;row=5255&amp;col=7&amp;number=0.000441&amp;sourceID=14","0.000441")</f>
        <v>0.000441</v>
      </c>
    </row>
    <row r="5256" spans="1:7">
      <c r="A5256" s="3"/>
      <c r="B5256" s="3"/>
      <c r="C5256" s="3"/>
      <c r="D5256" s="3"/>
      <c r="E5256" s="3">
        <v>13</v>
      </c>
      <c r="F5256" s="4" t="str">
        <f>HYPERLINK("http://141.218.60.56/~jnz1568/getInfo.php?workbook=12_05.xlsx&amp;sheet=U0&amp;row=5256&amp;col=6&amp;number=4.2&amp;sourceID=14","4.2")</f>
        <v>4.2</v>
      </c>
      <c r="G5256" s="4" t="str">
        <f>HYPERLINK("http://141.218.60.56/~jnz1568/getInfo.php?workbook=12_05.xlsx&amp;sheet=U0&amp;row=5256&amp;col=7&amp;number=0.00044&amp;sourceID=14","0.00044")</f>
        <v>0.00044</v>
      </c>
    </row>
    <row r="5257" spans="1:7">
      <c r="A5257" s="3"/>
      <c r="B5257" s="3"/>
      <c r="C5257" s="3"/>
      <c r="D5257" s="3"/>
      <c r="E5257" s="3">
        <v>14</v>
      </c>
      <c r="F5257" s="4" t="str">
        <f>HYPERLINK("http://141.218.60.56/~jnz1568/getInfo.php?workbook=12_05.xlsx&amp;sheet=U0&amp;row=5257&amp;col=6&amp;number=4.3&amp;sourceID=14","4.3")</f>
        <v>4.3</v>
      </c>
      <c r="G5257" s="4" t="str">
        <f>HYPERLINK("http://141.218.60.56/~jnz1568/getInfo.php?workbook=12_05.xlsx&amp;sheet=U0&amp;row=5257&amp;col=7&amp;number=0.000439&amp;sourceID=14","0.000439")</f>
        <v>0.000439</v>
      </c>
    </row>
    <row r="5258" spans="1:7">
      <c r="A5258" s="3"/>
      <c r="B5258" s="3"/>
      <c r="C5258" s="3"/>
      <c r="D5258" s="3"/>
      <c r="E5258" s="3">
        <v>15</v>
      </c>
      <c r="F5258" s="4" t="str">
        <f>HYPERLINK("http://141.218.60.56/~jnz1568/getInfo.php?workbook=12_05.xlsx&amp;sheet=U0&amp;row=5258&amp;col=6&amp;number=4.4&amp;sourceID=14","4.4")</f>
        <v>4.4</v>
      </c>
      <c r="G5258" s="4" t="str">
        <f>HYPERLINK("http://141.218.60.56/~jnz1568/getInfo.php?workbook=12_05.xlsx&amp;sheet=U0&amp;row=5258&amp;col=7&amp;number=0.000437&amp;sourceID=14","0.000437")</f>
        <v>0.000437</v>
      </c>
    </row>
    <row r="5259" spans="1:7">
      <c r="A5259" s="3"/>
      <c r="B5259" s="3"/>
      <c r="C5259" s="3"/>
      <c r="D5259" s="3"/>
      <c r="E5259" s="3">
        <v>16</v>
      </c>
      <c r="F5259" s="4" t="str">
        <f>HYPERLINK("http://141.218.60.56/~jnz1568/getInfo.php?workbook=12_05.xlsx&amp;sheet=U0&amp;row=5259&amp;col=6&amp;number=4.5&amp;sourceID=14","4.5")</f>
        <v>4.5</v>
      </c>
      <c r="G5259" s="4" t="str">
        <f>HYPERLINK("http://141.218.60.56/~jnz1568/getInfo.php?workbook=12_05.xlsx&amp;sheet=U0&amp;row=5259&amp;col=7&amp;number=0.000435&amp;sourceID=14","0.000435")</f>
        <v>0.000435</v>
      </c>
    </row>
    <row r="5260" spans="1:7">
      <c r="A5260" s="3"/>
      <c r="B5260" s="3"/>
      <c r="C5260" s="3"/>
      <c r="D5260" s="3"/>
      <c r="E5260" s="3">
        <v>17</v>
      </c>
      <c r="F5260" s="4" t="str">
        <f>HYPERLINK("http://141.218.60.56/~jnz1568/getInfo.php?workbook=12_05.xlsx&amp;sheet=U0&amp;row=5260&amp;col=6&amp;number=4.6&amp;sourceID=14","4.6")</f>
        <v>4.6</v>
      </c>
      <c r="G5260" s="4" t="str">
        <f>HYPERLINK("http://141.218.60.56/~jnz1568/getInfo.php?workbook=12_05.xlsx&amp;sheet=U0&amp;row=5260&amp;col=7&amp;number=0.000432&amp;sourceID=14","0.000432")</f>
        <v>0.000432</v>
      </c>
    </row>
    <row r="5261" spans="1:7">
      <c r="A5261" s="3"/>
      <c r="B5261" s="3"/>
      <c r="C5261" s="3"/>
      <c r="D5261" s="3"/>
      <c r="E5261" s="3">
        <v>18</v>
      </c>
      <c r="F5261" s="4" t="str">
        <f>HYPERLINK("http://141.218.60.56/~jnz1568/getInfo.php?workbook=12_05.xlsx&amp;sheet=U0&amp;row=5261&amp;col=6&amp;number=4.7&amp;sourceID=14","4.7")</f>
        <v>4.7</v>
      </c>
      <c r="G5261" s="4" t="str">
        <f>HYPERLINK("http://141.218.60.56/~jnz1568/getInfo.php?workbook=12_05.xlsx&amp;sheet=U0&amp;row=5261&amp;col=7&amp;number=0.000428&amp;sourceID=14","0.000428")</f>
        <v>0.000428</v>
      </c>
    </row>
    <row r="5262" spans="1:7">
      <c r="A5262" s="3"/>
      <c r="B5262" s="3"/>
      <c r="C5262" s="3"/>
      <c r="D5262" s="3"/>
      <c r="E5262" s="3">
        <v>19</v>
      </c>
      <c r="F5262" s="4" t="str">
        <f>HYPERLINK("http://141.218.60.56/~jnz1568/getInfo.php?workbook=12_05.xlsx&amp;sheet=U0&amp;row=5262&amp;col=6&amp;number=4.8&amp;sourceID=14","4.8")</f>
        <v>4.8</v>
      </c>
      <c r="G5262" s="4" t="str">
        <f>HYPERLINK("http://141.218.60.56/~jnz1568/getInfo.php?workbook=12_05.xlsx&amp;sheet=U0&amp;row=5262&amp;col=7&amp;number=0.000424&amp;sourceID=14","0.000424")</f>
        <v>0.000424</v>
      </c>
    </row>
    <row r="5263" spans="1:7">
      <c r="A5263" s="3"/>
      <c r="B5263" s="3"/>
      <c r="C5263" s="3"/>
      <c r="D5263" s="3"/>
      <c r="E5263" s="3">
        <v>20</v>
      </c>
      <c r="F5263" s="4" t="str">
        <f>HYPERLINK("http://141.218.60.56/~jnz1568/getInfo.php?workbook=12_05.xlsx&amp;sheet=U0&amp;row=5263&amp;col=6&amp;number=4.9&amp;sourceID=14","4.9")</f>
        <v>4.9</v>
      </c>
      <c r="G5263" s="4" t="str">
        <f>HYPERLINK("http://141.218.60.56/~jnz1568/getInfo.php?workbook=12_05.xlsx&amp;sheet=U0&amp;row=5263&amp;col=7&amp;number=0.000419&amp;sourceID=14","0.000419")</f>
        <v>0.000419</v>
      </c>
    </row>
    <row r="5264" spans="1:7">
      <c r="A5264" s="3">
        <v>12</v>
      </c>
      <c r="B5264" s="3">
        <v>5</v>
      </c>
      <c r="C5264" s="3">
        <v>2</v>
      </c>
      <c r="D5264" s="3">
        <v>116</v>
      </c>
      <c r="E5264" s="3">
        <v>1</v>
      </c>
      <c r="F5264" s="4" t="str">
        <f>HYPERLINK("http://141.218.60.56/~jnz1568/getInfo.php?workbook=12_05.xlsx&amp;sheet=U0&amp;row=5264&amp;col=6&amp;number=3&amp;sourceID=14","3")</f>
        <v>3</v>
      </c>
      <c r="G5264" s="4" t="str">
        <f>HYPERLINK("http://141.218.60.56/~jnz1568/getInfo.php?workbook=12_05.xlsx&amp;sheet=U0&amp;row=5264&amp;col=7&amp;number=0.000509&amp;sourceID=14","0.000509")</f>
        <v>0.000509</v>
      </c>
    </row>
    <row r="5265" spans="1:7">
      <c r="A5265" s="3"/>
      <c r="B5265" s="3"/>
      <c r="C5265" s="3"/>
      <c r="D5265" s="3"/>
      <c r="E5265" s="3">
        <v>2</v>
      </c>
      <c r="F5265" s="4" t="str">
        <f>HYPERLINK("http://141.218.60.56/~jnz1568/getInfo.php?workbook=12_05.xlsx&amp;sheet=U0&amp;row=5265&amp;col=6&amp;number=3.1&amp;sourceID=14","3.1")</f>
        <v>3.1</v>
      </c>
      <c r="G5265" s="4" t="str">
        <f>HYPERLINK("http://141.218.60.56/~jnz1568/getInfo.php?workbook=12_05.xlsx&amp;sheet=U0&amp;row=5265&amp;col=7&amp;number=0.000509&amp;sourceID=14","0.000509")</f>
        <v>0.000509</v>
      </c>
    </row>
    <row r="5266" spans="1:7">
      <c r="A5266" s="3"/>
      <c r="B5266" s="3"/>
      <c r="C5266" s="3"/>
      <c r="D5266" s="3"/>
      <c r="E5266" s="3">
        <v>3</v>
      </c>
      <c r="F5266" s="4" t="str">
        <f>HYPERLINK("http://141.218.60.56/~jnz1568/getInfo.php?workbook=12_05.xlsx&amp;sheet=U0&amp;row=5266&amp;col=6&amp;number=3.2&amp;sourceID=14","3.2")</f>
        <v>3.2</v>
      </c>
      <c r="G5266" s="4" t="str">
        <f>HYPERLINK("http://141.218.60.56/~jnz1568/getInfo.php?workbook=12_05.xlsx&amp;sheet=U0&amp;row=5266&amp;col=7&amp;number=0.000509&amp;sourceID=14","0.000509")</f>
        <v>0.000509</v>
      </c>
    </row>
    <row r="5267" spans="1:7">
      <c r="A5267" s="3"/>
      <c r="B5267" s="3"/>
      <c r="C5267" s="3"/>
      <c r="D5267" s="3"/>
      <c r="E5267" s="3">
        <v>4</v>
      </c>
      <c r="F5267" s="4" t="str">
        <f>HYPERLINK("http://141.218.60.56/~jnz1568/getInfo.php?workbook=12_05.xlsx&amp;sheet=U0&amp;row=5267&amp;col=6&amp;number=3.3&amp;sourceID=14","3.3")</f>
        <v>3.3</v>
      </c>
      <c r="G5267" s="4" t="str">
        <f>HYPERLINK("http://141.218.60.56/~jnz1568/getInfo.php?workbook=12_05.xlsx&amp;sheet=U0&amp;row=5267&amp;col=7&amp;number=0.000509&amp;sourceID=14","0.000509")</f>
        <v>0.000509</v>
      </c>
    </row>
    <row r="5268" spans="1:7">
      <c r="A5268" s="3"/>
      <c r="B5268" s="3"/>
      <c r="C5268" s="3"/>
      <c r="D5268" s="3"/>
      <c r="E5268" s="3">
        <v>5</v>
      </c>
      <c r="F5268" s="4" t="str">
        <f>HYPERLINK("http://141.218.60.56/~jnz1568/getInfo.php?workbook=12_05.xlsx&amp;sheet=U0&amp;row=5268&amp;col=6&amp;number=3.4&amp;sourceID=14","3.4")</f>
        <v>3.4</v>
      </c>
      <c r="G5268" s="4" t="str">
        <f>HYPERLINK("http://141.218.60.56/~jnz1568/getInfo.php?workbook=12_05.xlsx&amp;sheet=U0&amp;row=5268&amp;col=7&amp;number=0.000509&amp;sourceID=14","0.000509")</f>
        <v>0.000509</v>
      </c>
    </row>
    <row r="5269" spans="1:7">
      <c r="A5269" s="3"/>
      <c r="B5269" s="3"/>
      <c r="C5269" s="3"/>
      <c r="D5269" s="3"/>
      <c r="E5269" s="3">
        <v>6</v>
      </c>
      <c r="F5269" s="4" t="str">
        <f>HYPERLINK("http://141.218.60.56/~jnz1568/getInfo.php?workbook=12_05.xlsx&amp;sheet=U0&amp;row=5269&amp;col=6&amp;number=3.5&amp;sourceID=14","3.5")</f>
        <v>3.5</v>
      </c>
      <c r="G5269" s="4" t="str">
        <f>HYPERLINK("http://141.218.60.56/~jnz1568/getInfo.php?workbook=12_05.xlsx&amp;sheet=U0&amp;row=5269&amp;col=7&amp;number=0.000508&amp;sourceID=14","0.000508")</f>
        <v>0.000508</v>
      </c>
    </row>
    <row r="5270" spans="1:7">
      <c r="A5270" s="3"/>
      <c r="B5270" s="3"/>
      <c r="C5270" s="3"/>
      <c r="D5270" s="3"/>
      <c r="E5270" s="3">
        <v>7</v>
      </c>
      <c r="F5270" s="4" t="str">
        <f>HYPERLINK("http://141.218.60.56/~jnz1568/getInfo.php?workbook=12_05.xlsx&amp;sheet=U0&amp;row=5270&amp;col=6&amp;number=3.6&amp;sourceID=14","3.6")</f>
        <v>3.6</v>
      </c>
      <c r="G5270" s="4" t="str">
        <f>HYPERLINK("http://141.218.60.56/~jnz1568/getInfo.php?workbook=12_05.xlsx&amp;sheet=U0&amp;row=5270&amp;col=7&amp;number=0.000508&amp;sourceID=14","0.000508")</f>
        <v>0.000508</v>
      </c>
    </row>
    <row r="5271" spans="1:7">
      <c r="A5271" s="3"/>
      <c r="B5271" s="3"/>
      <c r="C5271" s="3"/>
      <c r="D5271" s="3"/>
      <c r="E5271" s="3">
        <v>8</v>
      </c>
      <c r="F5271" s="4" t="str">
        <f>HYPERLINK("http://141.218.60.56/~jnz1568/getInfo.php?workbook=12_05.xlsx&amp;sheet=U0&amp;row=5271&amp;col=6&amp;number=3.7&amp;sourceID=14","3.7")</f>
        <v>3.7</v>
      </c>
      <c r="G5271" s="4" t="str">
        <f>HYPERLINK("http://141.218.60.56/~jnz1568/getInfo.php?workbook=12_05.xlsx&amp;sheet=U0&amp;row=5271&amp;col=7&amp;number=0.000508&amp;sourceID=14","0.000508")</f>
        <v>0.000508</v>
      </c>
    </row>
    <row r="5272" spans="1:7">
      <c r="A5272" s="3"/>
      <c r="B5272" s="3"/>
      <c r="C5272" s="3"/>
      <c r="D5272" s="3"/>
      <c r="E5272" s="3">
        <v>9</v>
      </c>
      <c r="F5272" s="4" t="str">
        <f>HYPERLINK("http://141.218.60.56/~jnz1568/getInfo.php?workbook=12_05.xlsx&amp;sheet=U0&amp;row=5272&amp;col=6&amp;number=3.8&amp;sourceID=14","3.8")</f>
        <v>3.8</v>
      </c>
      <c r="G5272" s="4" t="str">
        <f>HYPERLINK("http://141.218.60.56/~jnz1568/getInfo.php?workbook=12_05.xlsx&amp;sheet=U0&amp;row=5272&amp;col=7&amp;number=0.000507&amp;sourceID=14","0.000507")</f>
        <v>0.000507</v>
      </c>
    </row>
    <row r="5273" spans="1:7">
      <c r="A5273" s="3"/>
      <c r="B5273" s="3"/>
      <c r="C5273" s="3"/>
      <c r="D5273" s="3"/>
      <c r="E5273" s="3">
        <v>10</v>
      </c>
      <c r="F5273" s="4" t="str">
        <f>HYPERLINK("http://141.218.60.56/~jnz1568/getInfo.php?workbook=12_05.xlsx&amp;sheet=U0&amp;row=5273&amp;col=6&amp;number=3.9&amp;sourceID=14","3.9")</f>
        <v>3.9</v>
      </c>
      <c r="G5273" s="4" t="str">
        <f>HYPERLINK("http://141.218.60.56/~jnz1568/getInfo.php?workbook=12_05.xlsx&amp;sheet=U0&amp;row=5273&amp;col=7&amp;number=0.000506&amp;sourceID=14","0.000506")</f>
        <v>0.000506</v>
      </c>
    </row>
    <row r="5274" spans="1:7">
      <c r="A5274" s="3"/>
      <c r="B5274" s="3"/>
      <c r="C5274" s="3"/>
      <c r="D5274" s="3"/>
      <c r="E5274" s="3">
        <v>11</v>
      </c>
      <c r="F5274" s="4" t="str">
        <f>HYPERLINK("http://141.218.60.56/~jnz1568/getInfo.php?workbook=12_05.xlsx&amp;sheet=U0&amp;row=5274&amp;col=6&amp;number=4&amp;sourceID=14","4")</f>
        <v>4</v>
      </c>
      <c r="G5274" s="4" t="str">
        <f>HYPERLINK("http://141.218.60.56/~jnz1568/getInfo.php?workbook=12_05.xlsx&amp;sheet=U0&amp;row=5274&amp;col=7&amp;number=0.000506&amp;sourceID=14","0.000506")</f>
        <v>0.000506</v>
      </c>
    </row>
    <row r="5275" spans="1:7">
      <c r="A5275" s="3"/>
      <c r="B5275" s="3"/>
      <c r="C5275" s="3"/>
      <c r="D5275" s="3"/>
      <c r="E5275" s="3">
        <v>12</v>
      </c>
      <c r="F5275" s="4" t="str">
        <f>HYPERLINK("http://141.218.60.56/~jnz1568/getInfo.php?workbook=12_05.xlsx&amp;sheet=U0&amp;row=5275&amp;col=6&amp;number=4.1&amp;sourceID=14","4.1")</f>
        <v>4.1</v>
      </c>
      <c r="G5275" s="4" t="str">
        <f>HYPERLINK("http://141.218.60.56/~jnz1568/getInfo.php?workbook=12_05.xlsx&amp;sheet=U0&amp;row=5275&amp;col=7&amp;number=0.000504&amp;sourceID=14","0.000504")</f>
        <v>0.000504</v>
      </c>
    </row>
    <row r="5276" spans="1:7">
      <c r="A5276" s="3"/>
      <c r="B5276" s="3"/>
      <c r="C5276" s="3"/>
      <c r="D5276" s="3"/>
      <c r="E5276" s="3">
        <v>13</v>
      </c>
      <c r="F5276" s="4" t="str">
        <f>HYPERLINK("http://141.218.60.56/~jnz1568/getInfo.php?workbook=12_05.xlsx&amp;sheet=U0&amp;row=5276&amp;col=6&amp;number=4.2&amp;sourceID=14","4.2")</f>
        <v>4.2</v>
      </c>
      <c r="G5276" s="4" t="str">
        <f>HYPERLINK("http://141.218.60.56/~jnz1568/getInfo.php?workbook=12_05.xlsx&amp;sheet=U0&amp;row=5276&amp;col=7&amp;number=0.000503&amp;sourceID=14","0.000503")</f>
        <v>0.000503</v>
      </c>
    </row>
    <row r="5277" spans="1:7">
      <c r="A5277" s="3"/>
      <c r="B5277" s="3"/>
      <c r="C5277" s="3"/>
      <c r="D5277" s="3"/>
      <c r="E5277" s="3">
        <v>14</v>
      </c>
      <c r="F5277" s="4" t="str">
        <f>HYPERLINK("http://141.218.60.56/~jnz1568/getInfo.php?workbook=12_05.xlsx&amp;sheet=U0&amp;row=5277&amp;col=6&amp;number=4.3&amp;sourceID=14","4.3")</f>
        <v>4.3</v>
      </c>
      <c r="G5277" s="4" t="str">
        <f>HYPERLINK("http://141.218.60.56/~jnz1568/getInfo.php?workbook=12_05.xlsx&amp;sheet=U0&amp;row=5277&amp;col=7&amp;number=0.000501&amp;sourceID=14","0.000501")</f>
        <v>0.000501</v>
      </c>
    </row>
    <row r="5278" spans="1:7">
      <c r="A5278" s="3"/>
      <c r="B5278" s="3"/>
      <c r="C5278" s="3"/>
      <c r="D5278" s="3"/>
      <c r="E5278" s="3">
        <v>15</v>
      </c>
      <c r="F5278" s="4" t="str">
        <f>HYPERLINK("http://141.218.60.56/~jnz1568/getInfo.php?workbook=12_05.xlsx&amp;sheet=U0&amp;row=5278&amp;col=6&amp;number=4.4&amp;sourceID=14","4.4")</f>
        <v>4.4</v>
      </c>
      <c r="G5278" s="4" t="str">
        <f>HYPERLINK("http://141.218.60.56/~jnz1568/getInfo.php?workbook=12_05.xlsx&amp;sheet=U0&amp;row=5278&amp;col=7&amp;number=0.000499&amp;sourceID=14","0.000499")</f>
        <v>0.000499</v>
      </c>
    </row>
    <row r="5279" spans="1:7">
      <c r="A5279" s="3"/>
      <c r="B5279" s="3"/>
      <c r="C5279" s="3"/>
      <c r="D5279" s="3"/>
      <c r="E5279" s="3">
        <v>16</v>
      </c>
      <c r="F5279" s="4" t="str">
        <f>HYPERLINK("http://141.218.60.56/~jnz1568/getInfo.php?workbook=12_05.xlsx&amp;sheet=U0&amp;row=5279&amp;col=6&amp;number=4.5&amp;sourceID=14","4.5")</f>
        <v>4.5</v>
      </c>
      <c r="G5279" s="4" t="str">
        <f>HYPERLINK("http://141.218.60.56/~jnz1568/getInfo.php?workbook=12_05.xlsx&amp;sheet=U0&amp;row=5279&amp;col=7&amp;number=0.000497&amp;sourceID=14","0.000497")</f>
        <v>0.000497</v>
      </c>
    </row>
    <row r="5280" spans="1:7">
      <c r="A5280" s="3"/>
      <c r="B5280" s="3"/>
      <c r="C5280" s="3"/>
      <c r="D5280" s="3"/>
      <c r="E5280" s="3">
        <v>17</v>
      </c>
      <c r="F5280" s="4" t="str">
        <f>HYPERLINK("http://141.218.60.56/~jnz1568/getInfo.php?workbook=12_05.xlsx&amp;sheet=U0&amp;row=5280&amp;col=6&amp;number=4.6&amp;sourceID=14","4.6")</f>
        <v>4.6</v>
      </c>
      <c r="G5280" s="4" t="str">
        <f>HYPERLINK("http://141.218.60.56/~jnz1568/getInfo.php?workbook=12_05.xlsx&amp;sheet=U0&amp;row=5280&amp;col=7&amp;number=0.000493&amp;sourceID=14","0.000493")</f>
        <v>0.000493</v>
      </c>
    </row>
    <row r="5281" spans="1:7">
      <c r="A5281" s="3"/>
      <c r="B5281" s="3"/>
      <c r="C5281" s="3"/>
      <c r="D5281" s="3"/>
      <c r="E5281" s="3">
        <v>18</v>
      </c>
      <c r="F5281" s="4" t="str">
        <f>HYPERLINK("http://141.218.60.56/~jnz1568/getInfo.php?workbook=12_05.xlsx&amp;sheet=U0&amp;row=5281&amp;col=6&amp;number=4.7&amp;sourceID=14","4.7")</f>
        <v>4.7</v>
      </c>
      <c r="G5281" s="4" t="str">
        <f>HYPERLINK("http://141.218.60.56/~jnz1568/getInfo.php?workbook=12_05.xlsx&amp;sheet=U0&amp;row=5281&amp;col=7&amp;number=0.000489&amp;sourceID=14","0.000489")</f>
        <v>0.000489</v>
      </c>
    </row>
    <row r="5282" spans="1:7">
      <c r="A5282" s="3"/>
      <c r="B5282" s="3"/>
      <c r="C5282" s="3"/>
      <c r="D5282" s="3"/>
      <c r="E5282" s="3">
        <v>19</v>
      </c>
      <c r="F5282" s="4" t="str">
        <f>HYPERLINK("http://141.218.60.56/~jnz1568/getInfo.php?workbook=12_05.xlsx&amp;sheet=U0&amp;row=5282&amp;col=6&amp;number=4.8&amp;sourceID=14","4.8")</f>
        <v>4.8</v>
      </c>
      <c r="G5282" s="4" t="str">
        <f>HYPERLINK("http://141.218.60.56/~jnz1568/getInfo.php?workbook=12_05.xlsx&amp;sheet=U0&amp;row=5282&amp;col=7&amp;number=0.000484&amp;sourceID=14","0.000484")</f>
        <v>0.000484</v>
      </c>
    </row>
    <row r="5283" spans="1:7">
      <c r="A5283" s="3"/>
      <c r="B5283" s="3"/>
      <c r="C5283" s="3"/>
      <c r="D5283" s="3"/>
      <c r="E5283" s="3">
        <v>20</v>
      </c>
      <c r="F5283" s="4" t="str">
        <f>HYPERLINK("http://141.218.60.56/~jnz1568/getInfo.php?workbook=12_05.xlsx&amp;sheet=U0&amp;row=5283&amp;col=6&amp;number=4.9&amp;sourceID=14","4.9")</f>
        <v>4.9</v>
      </c>
      <c r="G5283" s="4" t="str">
        <f>HYPERLINK("http://141.218.60.56/~jnz1568/getInfo.php?workbook=12_05.xlsx&amp;sheet=U0&amp;row=5283&amp;col=7&amp;number=0.000478&amp;sourceID=14","0.000478")</f>
        <v>0.000478</v>
      </c>
    </row>
    <row r="5284" spans="1:7">
      <c r="A5284" s="3">
        <v>12</v>
      </c>
      <c r="B5284" s="3">
        <v>5</v>
      </c>
      <c r="C5284" s="3">
        <v>2</v>
      </c>
      <c r="D5284" s="3">
        <v>117</v>
      </c>
      <c r="E5284" s="3">
        <v>1</v>
      </c>
      <c r="F5284" s="4" t="str">
        <f>HYPERLINK("http://141.218.60.56/~jnz1568/getInfo.php?workbook=12_05.xlsx&amp;sheet=U0&amp;row=5284&amp;col=6&amp;number=3&amp;sourceID=14","3")</f>
        <v>3</v>
      </c>
      <c r="G5284" s="4" t="str">
        <f>HYPERLINK("http://141.218.60.56/~jnz1568/getInfo.php?workbook=12_05.xlsx&amp;sheet=U0&amp;row=5284&amp;col=7&amp;number=0.00146&amp;sourceID=14","0.00146")</f>
        <v>0.00146</v>
      </c>
    </row>
    <row r="5285" spans="1:7">
      <c r="A5285" s="3"/>
      <c r="B5285" s="3"/>
      <c r="C5285" s="3"/>
      <c r="D5285" s="3"/>
      <c r="E5285" s="3">
        <v>2</v>
      </c>
      <c r="F5285" s="4" t="str">
        <f>HYPERLINK("http://141.218.60.56/~jnz1568/getInfo.php?workbook=12_05.xlsx&amp;sheet=U0&amp;row=5285&amp;col=6&amp;number=3.1&amp;sourceID=14","3.1")</f>
        <v>3.1</v>
      </c>
      <c r="G5285" s="4" t="str">
        <f>HYPERLINK("http://141.218.60.56/~jnz1568/getInfo.php?workbook=12_05.xlsx&amp;sheet=U0&amp;row=5285&amp;col=7&amp;number=0.00146&amp;sourceID=14","0.00146")</f>
        <v>0.00146</v>
      </c>
    </row>
    <row r="5286" spans="1:7">
      <c r="A5286" s="3"/>
      <c r="B5286" s="3"/>
      <c r="C5286" s="3"/>
      <c r="D5286" s="3"/>
      <c r="E5286" s="3">
        <v>3</v>
      </c>
      <c r="F5286" s="4" t="str">
        <f>HYPERLINK("http://141.218.60.56/~jnz1568/getInfo.php?workbook=12_05.xlsx&amp;sheet=U0&amp;row=5286&amp;col=6&amp;number=3.2&amp;sourceID=14","3.2")</f>
        <v>3.2</v>
      </c>
      <c r="G5286" s="4" t="str">
        <f>HYPERLINK("http://141.218.60.56/~jnz1568/getInfo.php?workbook=12_05.xlsx&amp;sheet=U0&amp;row=5286&amp;col=7&amp;number=0.00146&amp;sourceID=14","0.00146")</f>
        <v>0.00146</v>
      </c>
    </row>
    <row r="5287" spans="1:7">
      <c r="A5287" s="3"/>
      <c r="B5287" s="3"/>
      <c r="C5287" s="3"/>
      <c r="D5287" s="3"/>
      <c r="E5287" s="3">
        <v>4</v>
      </c>
      <c r="F5287" s="4" t="str">
        <f>HYPERLINK("http://141.218.60.56/~jnz1568/getInfo.php?workbook=12_05.xlsx&amp;sheet=U0&amp;row=5287&amp;col=6&amp;number=3.3&amp;sourceID=14","3.3")</f>
        <v>3.3</v>
      </c>
      <c r="G5287" s="4" t="str">
        <f>HYPERLINK("http://141.218.60.56/~jnz1568/getInfo.php?workbook=12_05.xlsx&amp;sheet=U0&amp;row=5287&amp;col=7&amp;number=0.00146&amp;sourceID=14","0.00146")</f>
        <v>0.00146</v>
      </c>
    </row>
    <row r="5288" spans="1:7">
      <c r="A5288" s="3"/>
      <c r="B5288" s="3"/>
      <c r="C5288" s="3"/>
      <c r="D5288" s="3"/>
      <c r="E5288" s="3">
        <v>5</v>
      </c>
      <c r="F5288" s="4" t="str">
        <f>HYPERLINK("http://141.218.60.56/~jnz1568/getInfo.php?workbook=12_05.xlsx&amp;sheet=U0&amp;row=5288&amp;col=6&amp;number=3.4&amp;sourceID=14","3.4")</f>
        <v>3.4</v>
      </c>
      <c r="G5288" s="4" t="str">
        <f>HYPERLINK("http://141.218.60.56/~jnz1568/getInfo.php?workbook=12_05.xlsx&amp;sheet=U0&amp;row=5288&amp;col=7&amp;number=0.00146&amp;sourceID=14","0.00146")</f>
        <v>0.00146</v>
      </c>
    </row>
    <row r="5289" spans="1:7">
      <c r="A5289" s="3"/>
      <c r="B5289" s="3"/>
      <c r="C5289" s="3"/>
      <c r="D5289" s="3"/>
      <c r="E5289" s="3">
        <v>6</v>
      </c>
      <c r="F5289" s="4" t="str">
        <f>HYPERLINK("http://141.218.60.56/~jnz1568/getInfo.php?workbook=12_05.xlsx&amp;sheet=U0&amp;row=5289&amp;col=6&amp;number=3.5&amp;sourceID=14","3.5")</f>
        <v>3.5</v>
      </c>
      <c r="G5289" s="4" t="str">
        <f>HYPERLINK("http://141.218.60.56/~jnz1568/getInfo.php?workbook=12_05.xlsx&amp;sheet=U0&amp;row=5289&amp;col=7&amp;number=0.00146&amp;sourceID=14","0.00146")</f>
        <v>0.00146</v>
      </c>
    </row>
    <row r="5290" spans="1:7">
      <c r="A5290" s="3"/>
      <c r="B5290" s="3"/>
      <c r="C5290" s="3"/>
      <c r="D5290" s="3"/>
      <c r="E5290" s="3">
        <v>7</v>
      </c>
      <c r="F5290" s="4" t="str">
        <f>HYPERLINK("http://141.218.60.56/~jnz1568/getInfo.php?workbook=12_05.xlsx&amp;sheet=U0&amp;row=5290&amp;col=6&amp;number=3.6&amp;sourceID=14","3.6")</f>
        <v>3.6</v>
      </c>
      <c r="G5290" s="4" t="str">
        <f>HYPERLINK("http://141.218.60.56/~jnz1568/getInfo.php?workbook=12_05.xlsx&amp;sheet=U0&amp;row=5290&amp;col=7&amp;number=0.00146&amp;sourceID=14","0.00146")</f>
        <v>0.00146</v>
      </c>
    </row>
    <row r="5291" spans="1:7">
      <c r="A5291" s="3"/>
      <c r="B5291" s="3"/>
      <c r="C5291" s="3"/>
      <c r="D5291" s="3"/>
      <c r="E5291" s="3">
        <v>8</v>
      </c>
      <c r="F5291" s="4" t="str">
        <f>HYPERLINK("http://141.218.60.56/~jnz1568/getInfo.php?workbook=12_05.xlsx&amp;sheet=U0&amp;row=5291&amp;col=6&amp;number=3.7&amp;sourceID=14","3.7")</f>
        <v>3.7</v>
      </c>
      <c r="G5291" s="4" t="str">
        <f>HYPERLINK("http://141.218.60.56/~jnz1568/getInfo.php?workbook=12_05.xlsx&amp;sheet=U0&amp;row=5291&amp;col=7&amp;number=0.00146&amp;sourceID=14","0.00146")</f>
        <v>0.00146</v>
      </c>
    </row>
    <row r="5292" spans="1:7">
      <c r="A5292" s="3"/>
      <c r="B5292" s="3"/>
      <c r="C5292" s="3"/>
      <c r="D5292" s="3"/>
      <c r="E5292" s="3">
        <v>9</v>
      </c>
      <c r="F5292" s="4" t="str">
        <f>HYPERLINK("http://141.218.60.56/~jnz1568/getInfo.php?workbook=12_05.xlsx&amp;sheet=U0&amp;row=5292&amp;col=6&amp;number=3.8&amp;sourceID=14","3.8")</f>
        <v>3.8</v>
      </c>
      <c r="G5292" s="4" t="str">
        <f>HYPERLINK("http://141.218.60.56/~jnz1568/getInfo.php?workbook=12_05.xlsx&amp;sheet=U0&amp;row=5292&amp;col=7&amp;number=0.00145&amp;sourceID=14","0.00145")</f>
        <v>0.00145</v>
      </c>
    </row>
    <row r="5293" spans="1:7">
      <c r="A5293" s="3"/>
      <c r="B5293" s="3"/>
      <c r="C5293" s="3"/>
      <c r="D5293" s="3"/>
      <c r="E5293" s="3">
        <v>10</v>
      </c>
      <c r="F5293" s="4" t="str">
        <f>HYPERLINK("http://141.218.60.56/~jnz1568/getInfo.php?workbook=12_05.xlsx&amp;sheet=U0&amp;row=5293&amp;col=6&amp;number=3.9&amp;sourceID=14","3.9")</f>
        <v>3.9</v>
      </c>
      <c r="G5293" s="4" t="str">
        <f>HYPERLINK("http://141.218.60.56/~jnz1568/getInfo.php?workbook=12_05.xlsx&amp;sheet=U0&amp;row=5293&amp;col=7&amp;number=0.00145&amp;sourceID=14","0.00145")</f>
        <v>0.00145</v>
      </c>
    </row>
    <row r="5294" spans="1:7">
      <c r="A5294" s="3"/>
      <c r="B5294" s="3"/>
      <c r="C5294" s="3"/>
      <c r="D5294" s="3"/>
      <c r="E5294" s="3">
        <v>11</v>
      </c>
      <c r="F5294" s="4" t="str">
        <f>HYPERLINK("http://141.218.60.56/~jnz1568/getInfo.php?workbook=12_05.xlsx&amp;sheet=U0&amp;row=5294&amp;col=6&amp;number=4&amp;sourceID=14","4")</f>
        <v>4</v>
      </c>
      <c r="G5294" s="4" t="str">
        <f>HYPERLINK("http://141.218.60.56/~jnz1568/getInfo.php?workbook=12_05.xlsx&amp;sheet=U0&amp;row=5294&amp;col=7&amp;number=0.00145&amp;sourceID=14","0.00145")</f>
        <v>0.00145</v>
      </c>
    </row>
    <row r="5295" spans="1:7">
      <c r="A5295" s="3"/>
      <c r="B5295" s="3"/>
      <c r="C5295" s="3"/>
      <c r="D5295" s="3"/>
      <c r="E5295" s="3">
        <v>12</v>
      </c>
      <c r="F5295" s="4" t="str">
        <f>HYPERLINK("http://141.218.60.56/~jnz1568/getInfo.php?workbook=12_05.xlsx&amp;sheet=U0&amp;row=5295&amp;col=6&amp;number=4.1&amp;sourceID=14","4.1")</f>
        <v>4.1</v>
      </c>
      <c r="G5295" s="4" t="str">
        <f>HYPERLINK("http://141.218.60.56/~jnz1568/getInfo.php?workbook=12_05.xlsx&amp;sheet=U0&amp;row=5295&amp;col=7&amp;number=0.00145&amp;sourceID=14","0.00145")</f>
        <v>0.00145</v>
      </c>
    </row>
    <row r="5296" spans="1:7">
      <c r="A5296" s="3"/>
      <c r="B5296" s="3"/>
      <c r="C5296" s="3"/>
      <c r="D5296" s="3"/>
      <c r="E5296" s="3">
        <v>13</v>
      </c>
      <c r="F5296" s="4" t="str">
        <f>HYPERLINK("http://141.218.60.56/~jnz1568/getInfo.php?workbook=12_05.xlsx&amp;sheet=U0&amp;row=5296&amp;col=6&amp;number=4.2&amp;sourceID=14","4.2")</f>
        <v>4.2</v>
      </c>
      <c r="G5296" s="4" t="str">
        <f>HYPERLINK("http://141.218.60.56/~jnz1568/getInfo.php?workbook=12_05.xlsx&amp;sheet=U0&amp;row=5296&amp;col=7&amp;number=0.00145&amp;sourceID=14","0.00145")</f>
        <v>0.00145</v>
      </c>
    </row>
    <row r="5297" spans="1:7">
      <c r="A5297" s="3"/>
      <c r="B5297" s="3"/>
      <c r="C5297" s="3"/>
      <c r="D5297" s="3"/>
      <c r="E5297" s="3">
        <v>14</v>
      </c>
      <c r="F5297" s="4" t="str">
        <f>HYPERLINK("http://141.218.60.56/~jnz1568/getInfo.php?workbook=12_05.xlsx&amp;sheet=U0&amp;row=5297&amp;col=6&amp;number=4.3&amp;sourceID=14","4.3")</f>
        <v>4.3</v>
      </c>
      <c r="G5297" s="4" t="str">
        <f>HYPERLINK("http://141.218.60.56/~jnz1568/getInfo.php?workbook=12_05.xlsx&amp;sheet=U0&amp;row=5297&amp;col=7&amp;number=0.00144&amp;sourceID=14","0.00144")</f>
        <v>0.00144</v>
      </c>
    </row>
    <row r="5298" spans="1:7">
      <c r="A5298" s="3"/>
      <c r="B5298" s="3"/>
      <c r="C5298" s="3"/>
      <c r="D5298" s="3"/>
      <c r="E5298" s="3">
        <v>15</v>
      </c>
      <c r="F5298" s="4" t="str">
        <f>HYPERLINK("http://141.218.60.56/~jnz1568/getInfo.php?workbook=12_05.xlsx&amp;sheet=U0&amp;row=5298&amp;col=6&amp;number=4.4&amp;sourceID=14","4.4")</f>
        <v>4.4</v>
      </c>
      <c r="G5298" s="4" t="str">
        <f>HYPERLINK("http://141.218.60.56/~jnz1568/getInfo.php?workbook=12_05.xlsx&amp;sheet=U0&amp;row=5298&amp;col=7&amp;number=0.00144&amp;sourceID=14","0.00144")</f>
        <v>0.00144</v>
      </c>
    </row>
    <row r="5299" spans="1:7">
      <c r="A5299" s="3"/>
      <c r="B5299" s="3"/>
      <c r="C5299" s="3"/>
      <c r="D5299" s="3"/>
      <c r="E5299" s="3">
        <v>16</v>
      </c>
      <c r="F5299" s="4" t="str">
        <f>HYPERLINK("http://141.218.60.56/~jnz1568/getInfo.php?workbook=12_05.xlsx&amp;sheet=U0&amp;row=5299&amp;col=6&amp;number=4.5&amp;sourceID=14","4.5")</f>
        <v>4.5</v>
      </c>
      <c r="G5299" s="4" t="str">
        <f>HYPERLINK("http://141.218.60.56/~jnz1568/getInfo.php?workbook=12_05.xlsx&amp;sheet=U0&amp;row=5299&amp;col=7&amp;number=0.00143&amp;sourceID=14","0.00143")</f>
        <v>0.00143</v>
      </c>
    </row>
    <row r="5300" spans="1:7">
      <c r="A5300" s="3"/>
      <c r="B5300" s="3"/>
      <c r="C5300" s="3"/>
      <c r="D5300" s="3"/>
      <c r="E5300" s="3">
        <v>17</v>
      </c>
      <c r="F5300" s="4" t="str">
        <f>HYPERLINK("http://141.218.60.56/~jnz1568/getInfo.php?workbook=12_05.xlsx&amp;sheet=U0&amp;row=5300&amp;col=6&amp;number=4.6&amp;sourceID=14","4.6")</f>
        <v>4.6</v>
      </c>
      <c r="G5300" s="4" t="str">
        <f>HYPERLINK("http://141.218.60.56/~jnz1568/getInfo.php?workbook=12_05.xlsx&amp;sheet=U0&amp;row=5300&amp;col=7&amp;number=0.00142&amp;sourceID=14","0.00142")</f>
        <v>0.00142</v>
      </c>
    </row>
    <row r="5301" spans="1:7">
      <c r="A5301" s="3"/>
      <c r="B5301" s="3"/>
      <c r="C5301" s="3"/>
      <c r="D5301" s="3"/>
      <c r="E5301" s="3">
        <v>18</v>
      </c>
      <c r="F5301" s="4" t="str">
        <f>HYPERLINK("http://141.218.60.56/~jnz1568/getInfo.php?workbook=12_05.xlsx&amp;sheet=U0&amp;row=5301&amp;col=6&amp;number=4.7&amp;sourceID=14","4.7")</f>
        <v>4.7</v>
      </c>
      <c r="G5301" s="4" t="str">
        <f>HYPERLINK("http://141.218.60.56/~jnz1568/getInfo.php?workbook=12_05.xlsx&amp;sheet=U0&amp;row=5301&amp;col=7&amp;number=0.00142&amp;sourceID=14","0.00142")</f>
        <v>0.00142</v>
      </c>
    </row>
    <row r="5302" spans="1:7">
      <c r="A5302" s="3"/>
      <c r="B5302" s="3"/>
      <c r="C5302" s="3"/>
      <c r="D5302" s="3"/>
      <c r="E5302" s="3">
        <v>19</v>
      </c>
      <c r="F5302" s="4" t="str">
        <f>HYPERLINK("http://141.218.60.56/~jnz1568/getInfo.php?workbook=12_05.xlsx&amp;sheet=U0&amp;row=5302&amp;col=6&amp;number=4.8&amp;sourceID=14","4.8")</f>
        <v>4.8</v>
      </c>
      <c r="G5302" s="4" t="str">
        <f>HYPERLINK("http://141.218.60.56/~jnz1568/getInfo.php?workbook=12_05.xlsx&amp;sheet=U0&amp;row=5302&amp;col=7&amp;number=0.0014&amp;sourceID=14","0.0014")</f>
        <v>0.0014</v>
      </c>
    </row>
    <row r="5303" spans="1:7">
      <c r="A5303" s="3"/>
      <c r="B5303" s="3"/>
      <c r="C5303" s="3"/>
      <c r="D5303" s="3"/>
      <c r="E5303" s="3">
        <v>20</v>
      </c>
      <c r="F5303" s="4" t="str">
        <f>HYPERLINK("http://141.218.60.56/~jnz1568/getInfo.php?workbook=12_05.xlsx&amp;sheet=U0&amp;row=5303&amp;col=6&amp;number=4.9&amp;sourceID=14","4.9")</f>
        <v>4.9</v>
      </c>
      <c r="G5303" s="4" t="str">
        <f>HYPERLINK("http://141.218.60.56/~jnz1568/getInfo.php?workbook=12_05.xlsx&amp;sheet=U0&amp;row=5303&amp;col=7&amp;number=0.00139&amp;sourceID=14","0.00139")</f>
        <v>0.00139</v>
      </c>
    </row>
    <row r="5304" spans="1:7">
      <c r="A5304" s="3">
        <v>12</v>
      </c>
      <c r="B5304" s="3">
        <v>5</v>
      </c>
      <c r="C5304" s="3">
        <v>2</v>
      </c>
      <c r="D5304" s="3">
        <v>118</v>
      </c>
      <c r="E5304" s="3">
        <v>1</v>
      </c>
      <c r="F5304" s="4" t="str">
        <f>HYPERLINK("http://141.218.60.56/~jnz1568/getInfo.php?workbook=12_05.xlsx&amp;sheet=U0&amp;row=5304&amp;col=6&amp;number=3&amp;sourceID=14","3")</f>
        <v>3</v>
      </c>
      <c r="G5304" s="4" t="str">
        <f>HYPERLINK("http://141.218.60.56/~jnz1568/getInfo.php?workbook=12_05.xlsx&amp;sheet=U0&amp;row=5304&amp;col=7&amp;number=0.000495&amp;sourceID=14","0.000495")</f>
        <v>0.000495</v>
      </c>
    </row>
    <row r="5305" spans="1:7">
      <c r="A5305" s="3"/>
      <c r="B5305" s="3"/>
      <c r="C5305" s="3"/>
      <c r="D5305" s="3"/>
      <c r="E5305" s="3">
        <v>2</v>
      </c>
      <c r="F5305" s="4" t="str">
        <f>HYPERLINK("http://141.218.60.56/~jnz1568/getInfo.php?workbook=12_05.xlsx&amp;sheet=U0&amp;row=5305&amp;col=6&amp;number=3.1&amp;sourceID=14","3.1")</f>
        <v>3.1</v>
      </c>
      <c r="G5305" s="4" t="str">
        <f>HYPERLINK("http://141.218.60.56/~jnz1568/getInfo.php?workbook=12_05.xlsx&amp;sheet=U0&amp;row=5305&amp;col=7&amp;number=0.000495&amp;sourceID=14","0.000495")</f>
        <v>0.000495</v>
      </c>
    </row>
    <row r="5306" spans="1:7">
      <c r="A5306" s="3"/>
      <c r="B5306" s="3"/>
      <c r="C5306" s="3"/>
      <c r="D5306" s="3"/>
      <c r="E5306" s="3">
        <v>3</v>
      </c>
      <c r="F5306" s="4" t="str">
        <f>HYPERLINK("http://141.218.60.56/~jnz1568/getInfo.php?workbook=12_05.xlsx&amp;sheet=U0&amp;row=5306&amp;col=6&amp;number=3.2&amp;sourceID=14","3.2")</f>
        <v>3.2</v>
      </c>
      <c r="G5306" s="4" t="str">
        <f>HYPERLINK("http://141.218.60.56/~jnz1568/getInfo.php?workbook=12_05.xlsx&amp;sheet=U0&amp;row=5306&amp;col=7&amp;number=0.000495&amp;sourceID=14","0.000495")</f>
        <v>0.000495</v>
      </c>
    </row>
    <row r="5307" spans="1:7">
      <c r="A5307" s="3"/>
      <c r="B5307" s="3"/>
      <c r="C5307" s="3"/>
      <c r="D5307" s="3"/>
      <c r="E5307" s="3">
        <v>4</v>
      </c>
      <c r="F5307" s="4" t="str">
        <f>HYPERLINK("http://141.218.60.56/~jnz1568/getInfo.php?workbook=12_05.xlsx&amp;sheet=U0&amp;row=5307&amp;col=6&amp;number=3.3&amp;sourceID=14","3.3")</f>
        <v>3.3</v>
      </c>
      <c r="G5307" s="4" t="str">
        <f>HYPERLINK("http://141.218.60.56/~jnz1568/getInfo.php?workbook=12_05.xlsx&amp;sheet=U0&amp;row=5307&amp;col=7&amp;number=0.000495&amp;sourceID=14","0.000495")</f>
        <v>0.000495</v>
      </c>
    </row>
    <row r="5308" spans="1:7">
      <c r="A5308" s="3"/>
      <c r="B5308" s="3"/>
      <c r="C5308" s="3"/>
      <c r="D5308" s="3"/>
      <c r="E5308" s="3">
        <v>5</v>
      </c>
      <c r="F5308" s="4" t="str">
        <f>HYPERLINK("http://141.218.60.56/~jnz1568/getInfo.php?workbook=12_05.xlsx&amp;sheet=U0&amp;row=5308&amp;col=6&amp;number=3.4&amp;sourceID=14","3.4")</f>
        <v>3.4</v>
      </c>
      <c r="G5308" s="4" t="str">
        <f>HYPERLINK("http://141.218.60.56/~jnz1568/getInfo.php?workbook=12_05.xlsx&amp;sheet=U0&amp;row=5308&amp;col=7&amp;number=0.000495&amp;sourceID=14","0.000495")</f>
        <v>0.000495</v>
      </c>
    </row>
    <row r="5309" spans="1:7">
      <c r="A5309" s="3"/>
      <c r="B5309" s="3"/>
      <c r="C5309" s="3"/>
      <c r="D5309" s="3"/>
      <c r="E5309" s="3">
        <v>6</v>
      </c>
      <c r="F5309" s="4" t="str">
        <f>HYPERLINK("http://141.218.60.56/~jnz1568/getInfo.php?workbook=12_05.xlsx&amp;sheet=U0&amp;row=5309&amp;col=6&amp;number=3.5&amp;sourceID=14","3.5")</f>
        <v>3.5</v>
      </c>
      <c r="G5309" s="4" t="str">
        <f>HYPERLINK("http://141.218.60.56/~jnz1568/getInfo.php?workbook=12_05.xlsx&amp;sheet=U0&amp;row=5309&amp;col=7&amp;number=0.000495&amp;sourceID=14","0.000495")</f>
        <v>0.000495</v>
      </c>
    </row>
    <row r="5310" spans="1:7">
      <c r="A5310" s="3"/>
      <c r="B5310" s="3"/>
      <c r="C5310" s="3"/>
      <c r="D5310" s="3"/>
      <c r="E5310" s="3">
        <v>7</v>
      </c>
      <c r="F5310" s="4" t="str">
        <f>HYPERLINK("http://141.218.60.56/~jnz1568/getInfo.php?workbook=12_05.xlsx&amp;sheet=U0&amp;row=5310&amp;col=6&amp;number=3.6&amp;sourceID=14","3.6")</f>
        <v>3.6</v>
      </c>
      <c r="G5310" s="4" t="str">
        <f>HYPERLINK("http://141.218.60.56/~jnz1568/getInfo.php?workbook=12_05.xlsx&amp;sheet=U0&amp;row=5310&amp;col=7&amp;number=0.000495&amp;sourceID=14","0.000495")</f>
        <v>0.000495</v>
      </c>
    </row>
    <row r="5311" spans="1:7">
      <c r="A5311" s="3"/>
      <c r="B5311" s="3"/>
      <c r="C5311" s="3"/>
      <c r="D5311" s="3"/>
      <c r="E5311" s="3">
        <v>8</v>
      </c>
      <c r="F5311" s="4" t="str">
        <f>HYPERLINK("http://141.218.60.56/~jnz1568/getInfo.php?workbook=12_05.xlsx&amp;sheet=U0&amp;row=5311&amp;col=6&amp;number=3.7&amp;sourceID=14","3.7")</f>
        <v>3.7</v>
      </c>
      <c r="G5311" s="4" t="str">
        <f>HYPERLINK("http://141.218.60.56/~jnz1568/getInfo.php?workbook=12_05.xlsx&amp;sheet=U0&amp;row=5311&amp;col=7&amp;number=0.000495&amp;sourceID=14","0.000495")</f>
        <v>0.000495</v>
      </c>
    </row>
    <row r="5312" spans="1:7">
      <c r="A5312" s="3"/>
      <c r="B5312" s="3"/>
      <c r="C5312" s="3"/>
      <c r="D5312" s="3"/>
      <c r="E5312" s="3">
        <v>9</v>
      </c>
      <c r="F5312" s="4" t="str">
        <f>HYPERLINK("http://141.218.60.56/~jnz1568/getInfo.php?workbook=12_05.xlsx&amp;sheet=U0&amp;row=5312&amp;col=6&amp;number=3.8&amp;sourceID=14","3.8")</f>
        <v>3.8</v>
      </c>
      <c r="G5312" s="4" t="str">
        <f>HYPERLINK("http://141.218.60.56/~jnz1568/getInfo.php?workbook=12_05.xlsx&amp;sheet=U0&amp;row=5312&amp;col=7&amp;number=0.000495&amp;sourceID=14","0.000495")</f>
        <v>0.000495</v>
      </c>
    </row>
    <row r="5313" spans="1:7">
      <c r="A5313" s="3"/>
      <c r="B5313" s="3"/>
      <c r="C5313" s="3"/>
      <c r="D5313" s="3"/>
      <c r="E5313" s="3">
        <v>10</v>
      </c>
      <c r="F5313" s="4" t="str">
        <f>HYPERLINK("http://141.218.60.56/~jnz1568/getInfo.php?workbook=12_05.xlsx&amp;sheet=U0&amp;row=5313&amp;col=6&amp;number=3.9&amp;sourceID=14","3.9")</f>
        <v>3.9</v>
      </c>
      <c r="G5313" s="4" t="str">
        <f>HYPERLINK("http://141.218.60.56/~jnz1568/getInfo.php?workbook=12_05.xlsx&amp;sheet=U0&amp;row=5313&amp;col=7&amp;number=0.000495&amp;sourceID=14","0.000495")</f>
        <v>0.000495</v>
      </c>
    </row>
    <row r="5314" spans="1:7">
      <c r="A5314" s="3"/>
      <c r="B5314" s="3"/>
      <c r="C5314" s="3"/>
      <c r="D5314" s="3"/>
      <c r="E5314" s="3">
        <v>11</v>
      </c>
      <c r="F5314" s="4" t="str">
        <f>HYPERLINK("http://141.218.60.56/~jnz1568/getInfo.php?workbook=12_05.xlsx&amp;sheet=U0&amp;row=5314&amp;col=6&amp;number=4&amp;sourceID=14","4")</f>
        <v>4</v>
      </c>
      <c r="G5314" s="4" t="str">
        <f>HYPERLINK("http://141.218.60.56/~jnz1568/getInfo.php?workbook=12_05.xlsx&amp;sheet=U0&amp;row=5314&amp;col=7&amp;number=0.000495&amp;sourceID=14","0.000495")</f>
        <v>0.000495</v>
      </c>
    </row>
    <row r="5315" spans="1:7">
      <c r="A5315" s="3"/>
      <c r="B5315" s="3"/>
      <c r="C5315" s="3"/>
      <c r="D5315" s="3"/>
      <c r="E5315" s="3">
        <v>12</v>
      </c>
      <c r="F5315" s="4" t="str">
        <f>HYPERLINK("http://141.218.60.56/~jnz1568/getInfo.php?workbook=12_05.xlsx&amp;sheet=U0&amp;row=5315&amp;col=6&amp;number=4.1&amp;sourceID=14","4.1")</f>
        <v>4.1</v>
      </c>
      <c r="G5315" s="4" t="str">
        <f>HYPERLINK("http://141.218.60.56/~jnz1568/getInfo.php?workbook=12_05.xlsx&amp;sheet=U0&amp;row=5315&amp;col=7&amp;number=0.000495&amp;sourceID=14","0.000495")</f>
        <v>0.000495</v>
      </c>
    </row>
    <row r="5316" spans="1:7">
      <c r="A5316" s="3"/>
      <c r="B5316" s="3"/>
      <c r="C5316" s="3"/>
      <c r="D5316" s="3"/>
      <c r="E5316" s="3">
        <v>13</v>
      </c>
      <c r="F5316" s="4" t="str">
        <f>HYPERLINK("http://141.218.60.56/~jnz1568/getInfo.php?workbook=12_05.xlsx&amp;sheet=U0&amp;row=5316&amp;col=6&amp;number=4.2&amp;sourceID=14","4.2")</f>
        <v>4.2</v>
      </c>
      <c r="G5316" s="4" t="str">
        <f>HYPERLINK("http://141.218.60.56/~jnz1568/getInfo.php?workbook=12_05.xlsx&amp;sheet=U0&amp;row=5316&amp;col=7&amp;number=0.000495&amp;sourceID=14","0.000495")</f>
        <v>0.000495</v>
      </c>
    </row>
    <row r="5317" spans="1:7">
      <c r="A5317" s="3"/>
      <c r="B5317" s="3"/>
      <c r="C5317" s="3"/>
      <c r="D5317" s="3"/>
      <c r="E5317" s="3">
        <v>14</v>
      </c>
      <c r="F5317" s="4" t="str">
        <f>HYPERLINK("http://141.218.60.56/~jnz1568/getInfo.php?workbook=12_05.xlsx&amp;sheet=U0&amp;row=5317&amp;col=6&amp;number=4.3&amp;sourceID=14","4.3")</f>
        <v>4.3</v>
      </c>
      <c r="G5317" s="4" t="str">
        <f>HYPERLINK("http://141.218.60.56/~jnz1568/getInfo.php?workbook=12_05.xlsx&amp;sheet=U0&amp;row=5317&amp;col=7&amp;number=0.000496&amp;sourceID=14","0.000496")</f>
        <v>0.000496</v>
      </c>
    </row>
    <row r="5318" spans="1:7">
      <c r="A5318" s="3"/>
      <c r="B5318" s="3"/>
      <c r="C5318" s="3"/>
      <c r="D5318" s="3"/>
      <c r="E5318" s="3">
        <v>15</v>
      </c>
      <c r="F5318" s="4" t="str">
        <f>HYPERLINK("http://141.218.60.56/~jnz1568/getInfo.php?workbook=12_05.xlsx&amp;sheet=U0&amp;row=5318&amp;col=6&amp;number=4.4&amp;sourceID=14","4.4")</f>
        <v>4.4</v>
      </c>
      <c r="G5318" s="4" t="str">
        <f>HYPERLINK("http://141.218.60.56/~jnz1568/getInfo.php?workbook=12_05.xlsx&amp;sheet=U0&amp;row=5318&amp;col=7&amp;number=0.000496&amp;sourceID=14","0.000496")</f>
        <v>0.000496</v>
      </c>
    </row>
    <row r="5319" spans="1:7">
      <c r="A5319" s="3"/>
      <c r="B5319" s="3"/>
      <c r="C5319" s="3"/>
      <c r="D5319" s="3"/>
      <c r="E5319" s="3">
        <v>16</v>
      </c>
      <c r="F5319" s="4" t="str">
        <f>HYPERLINK("http://141.218.60.56/~jnz1568/getInfo.php?workbook=12_05.xlsx&amp;sheet=U0&amp;row=5319&amp;col=6&amp;number=4.5&amp;sourceID=14","4.5")</f>
        <v>4.5</v>
      </c>
      <c r="G5319" s="4" t="str">
        <f>HYPERLINK("http://141.218.60.56/~jnz1568/getInfo.php?workbook=12_05.xlsx&amp;sheet=U0&amp;row=5319&amp;col=7&amp;number=0.000496&amp;sourceID=14","0.000496")</f>
        <v>0.000496</v>
      </c>
    </row>
    <row r="5320" spans="1:7">
      <c r="A5320" s="3"/>
      <c r="B5320" s="3"/>
      <c r="C5320" s="3"/>
      <c r="D5320" s="3"/>
      <c r="E5320" s="3">
        <v>17</v>
      </c>
      <c r="F5320" s="4" t="str">
        <f>HYPERLINK("http://141.218.60.56/~jnz1568/getInfo.php?workbook=12_05.xlsx&amp;sheet=U0&amp;row=5320&amp;col=6&amp;number=4.6&amp;sourceID=14","4.6")</f>
        <v>4.6</v>
      </c>
      <c r="G5320" s="4" t="str">
        <f>HYPERLINK("http://141.218.60.56/~jnz1568/getInfo.php?workbook=12_05.xlsx&amp;sheet=U0&amp;row=5320&amp;col=7&amp;number=0.000497&amp;sourceID=14","0.000497")</f>
        <v>0.000497</v>
      </c>
    </row>
    <row r="5321" spans="1:7">
      <c r="A5321" s="3"/>
      <c r="B5321" s="3"/>
      <c r="C5321" s="3"/>
      <c r="D5321" s="3"/>
      <c r="E5321" s="3">
        <v>18</v>
      </c>
      <c r="F5321" s="4" t="str">
        <f>HYPERLINK("http://141.218.60.56/~jnz1568/getInfo.php?workbook=12_05.xlsx&amp;sheet=U0&amp;row=5321&amp;col=6&amp;number=4.7&amp;sourceID=14","4.7")</f>
        <v>4.7</v>
      </c>
      <c r="G5321" s="4" t="str">
        <f>HYPERLINK("http://141.218.60.56/~jnz1568/getInfo.php?workbook=12_05.xlsx&amp;sheet=U0&amp;row=5321&amp;col=7&amp;number=0.000497&amp;sourceID=14","0.000497")</f>
        <v>0.000497</v>
      </c>
    </row>
    <row r="5322" spans="1:7">
      <c r="A5322" s="3"/>
      <c r="B5322" s="3"/>
      <c r="C5322" s="3"/>
      <c r="D5322" s="3"/>
      <c r="E5322" s="3">
        <v>19</v>
      </c>
      <c r="F5322" s="4" t="str">
        <f>HYPERLINK("http://141.218.60.56/~jnz1568/getInfo.php?workbook=12_05.xlsx&amp;sheet=U0&amp;row=5322&amp;col=6&amp;number=4.8&amp;sourceID=14","4.8")</f>
        <v>4.8</v>
      </c>
      <c r="G5322" s="4" t="str">
        <f>HYPERLINK("http://141.218.60.56/~jnz1568/getInfo.php?workbook=12_05.xlsx&amp;sheet=U0&amp;row=5322&amp;col=7&amp;number=0.000498&amp;sourceID=14","0.000498")</f>
        <v>0.000498</v>
      </c>
    </row>
    <row r="5323" spans="1:7">
      <c r="A5323" s="3"/>
      <c r="B5323" s="3"/>
      <c r="C5323" s="3"/>
      <c r="D5323" s="3"/>
      <c r="E5323" s="3">
        <v>20</v>
      </c>
      <c r="F5323" s="4" t="str">
        <f>HYPERLINK("http://141.218.60.56/~jnz1568/getInfo.php?workbook=12_05.xlsx&amp;sheet=U0&amp;row=5323&amp;col=6&amp;number=4.9&amp;sourceID=14","4.9")</f>
        <v>4.9</v>
      </c>
      <c r="G5323" s="4" t="str">
        <f>HYPERLINK("http://141.218.60.56/~jnz1568/getInfo.php?workbook=12_05.xlsx&amp;sheet=U0&amp;row=5323&amp;col=7&amp;number=0.000499&amp;sourceID=14","0.000499")</f>
        <v>0.000499</v>
      </c>
    </row>
    <row r="5324" spans="1:7">
      <c r="A5324" s="3">
        <v>12</v>
      </c>
      <c r="B5324" s="3">
        <v>5</v>
      </c>
      <c r="C5324" s="3">
        <v>2</v>
      </c>
      <c r="D5324" s="3">
        <v>119</v>
      </c>
      <c r="E5324" s="3">
        <v>1</v>
      </c>
      <c r="F5324" s="4" t="str">
        <f>HYPERLINK("http://141.218.60.56/~jnz1568/getInfo.php?workbook=12_05.xlsx&amp;sheet=U0&amp;row=5324&amp;col=6&amp;number=3&amp;sourceID=14","3")</f>
        <v>3</v>
      </c>
      <c r="G5324" s="4" t="str">
        <f>HYPERLINK("http://141.218.60.56/~jnz1568/getInfo.php?workbook=12_05.xlsx&amp;sheet=U0&amp;row=5324&amp;col=7&amp;number=0.0172&amp;sourceID=14","0.0172")</f>
        <v>0.0172</v>
      </c>
    </row>
    <row r="5325" spans="1:7">
      <c r="A5325" s="3"/>
      <c r="B5325" s="3"/>
      <c r="C5325" s="3"/>
      <c r="D5325" s="3"/>
      <c r="E5325" s="3">
        <v>2</v>
      </c>
      <c r="F5325" s="4" t="str">
        <f>HYPERLINK("http://141.218.60.56/~jnz1568/getInfo.php?workbook=12_05.xlsx&amp;sheet=U0&amp;row=5325&amp;col=6&amp;number=3.1&amp;sourceID=14","3.1")</f>
        <v>3.1</v>
      </c>
      <c r="G5325" s="4" t="str">
        <f>HYPERLINK("http://141.218.60.56/~jnz1568/getInfo.php?workbook=12_05.xlsx&amp;sheet=U0&amp;row=5325&amp;col=7&amp;number=0.0172&amp;sourceID=14","0.0172")</f>
        <v>0.0172</v>
      </c>
    </row>
    <row r="5326" spans="1:7">
      <c r="A5326" s="3"/>
      <c r="B5326" s="3"/>
      <c r="C5326" s="3"/>
      <c r="D5326" s="3"/>
      <c r="E5326" s="3">
        <v>3</v>
      </c>
      <c r="F5326" s="4" t="str">
        <f>HYPERLINK("http://141.218.60.56/~jnz1568/getInfo.php?workbook=12_05.xlsx&amp;sheet=U0&amp;row=5326&amp;col=6&amp;number=3.2&amp;sourceID=14","3.2")</f>
        <v>3.2</v>
      </c>
      <c r="G5326" s="4" t="str">
        <f>HYPERLINK("http://141.218.60.56/~jnz1568/getInfo.php?workbook=12_05.xlsx&amp;sheet=U0&amp;row=5326&amp;col=7&amp;number=0.0172&amp;sourceID=14","0.0172")</f>
        <v>0.0172</v>
      </c>
    </row>
    <row r="5327" spans="1:7">
      <c r="A5327" s="3"/>
      <c r="B5327" s="3"/>
      <c r="C5327" s="3"/>
      <c r="D5327" s="3"/>
      <c r="E5327" s="3">
        <v>4</v>
      </c>
      <c r="F5327" s="4" t="str">
        <f>HYPERLINK("http://141.218.60.56/~jnz1568/getInfo.php?workbook=12_05.xlsx&amp;sheet=U0&amp;row=5327&amp;col=6&amp;number=3.3&amp;sourceID=14","3.3")</f>
        <v>3.3</v>
      </c>
      <c r="G5327" s="4" t="str">
        <f>HYPERLINK("http://141.218.60.56/~jnz1568/getInfo.php?workbook=12_05.xlsx&amp;sheet=U0&amp;row=5327&amp;col=7&amp;number=0.0172&amp;sourceID=14","0.0172")</f>
        <v>0.0172</v>
      </c>
    </row>
    <row r="5328" spans="1:7">
      <c r="A5328" s="3"/>
      <c r="B5328" s="3"/>
      <c r="C5328" s="3"/>
      <c r="D5328" s="3"/>
      <c r="E5328" s="3">
        <v>5</v>
      </c>
      <c r="F5328" s="4" t="str">
        <f>HYPERLINK("http://141.218.60.56/~jnz1568/getInfo.php?workbook=12_05.xlsx&amp;sheet=U0&amp;row=5328&amp;col=6&amp;number=3.4&amp;sourceID=14","3.4")</f>
        <v>3.4</v>
      </c>
      <c r="G5328" s="4" t="str">
        <f>HYPERLINK("http://141.218.60.56/~jnz1568/getInfo.php?workbook=12_05.xlsx&amp;sheet=U0&amp;row=5328&amp;col=7&amp;number=0.0171&amp;sourceID=14","0.0171")</f>
        <v>0.0171</v>
      </c>
    </row>
    <row r="5329" spans="1:7">
      <c r="A5329" s="3"/>
      <c r="B5329" s="3"/>
      <c r="C5329" s="3"/>
      <c r="D5329" s="3"/>
      <c r="E5329" s="3">
        <v>6</v>
      </c>
      <c r="F5329" s="4" t="str">
        <f>HYPERLINK("http://141.218.60.56/~jnz1568/getInfo.php?workbook=12_05.xlsx&amp;sheet=U0&amp;row=5329&amp;col=6&amp;number=3.5&amp;sourceID=14","3.5")</f>
        <v>3.5</v>
      </c>
      <c r="G5329" s="4" t="str">
        <f>HYPERLINK("http://141.218.60.56/~jnz1568/getInfo.php?workbook=12_05.xlsx&amp;sheet=U0&amp;row=5329&amp;col=7&amp;number=0.0171&amp;sourceID=14","0.0171")</f>
        <v>0.0171</v>
      </c>
    </row>
    <row r="5330" spans="1:7">
      <c r="A5330" s="3"/>
      <c r="B5330" s="3"/>
      <c r="C5330" s="3"/>
      <c r="D5330" s="3"/>
      <c r="E5330" s="3">
        <v>7</v>
      </c>
      <c r="F5330" s="4" t="str">
        <f>HYPERLINK("http://141.218.60.56/~jnz1568/getInfo.php?workbook=12_05.xlsx&amp;sheet=U0&amp;row=5330&amp;col=6&amp;number=3.6&amp;sourceID=14","3.6")</f>
        <v>3.6</v>
      </c>
      <c r="G5330" s="4" t="str">
        <f>HYPERLINK("http://141.218.60.56/~jnz1568/getInfo.php?workbook=12_05.xlsx&amp;sheet=U0&amp;row=5330&amp;col=7&amp;number=0.0171&amp;sourceID=14","0.0171")</f>
        <v>0.0171</v>
      </c>
    </row>
    <row r="5331" spans="1:7">
      <c r="A5331" s="3"/>
      <c r="B5331" s="3"/>
      <c r="C5331" s="3"/>
      <c r="D5331" s="3"/>
      <c r="E5331" s="3">
        <v>8</v>
      </c>
      <c r="F5331" s="4" t="str">
        <f>HYPERLINK("http://141.218.60.56/~jnz1568/getInfo.php?workbook=12_05.xlsx&amp;sheet=U0&amp;row=5331&amp;col=6&amp;number=3.7&amp;sourceID=14","3.7")</f>
        <v>3.7</v>
      </c>
      <c r="G5331" s="4" t="str">
        <f>HYPERLINK("http://141.218.60.56/~jnz1568/getInfo.php?workbook=12_05.xlsx&amp;sheet=U0&amp;row=5331&amp;col=7&amp;number=0.0171&amp;sourceID=14","0.0171")</f>
        <v>0.0171</v>
      </c>
    </row>
    <row r="5332" spans="1:7">
      <c r="A5332" s="3"/>
      <c r="B5332" s="3"/>
      <c r="C5332" s="3"/>
      <c r="D5332" s="3"/>
      <c r="E5332" s="3">
        <v>9</v>
      </c>
      <c r="F5332" s="4" t="str">
        <f>HYPERLINK("http://141.218.60.56/~jnz1568/getInfo.php?workbook=12_05.xlsx&amp;sheet=U0&amp;row=5332&amp;col=6&amp;number=3.8&amp;sourceID=14","3.8")</f>
        <v>3.8</v>
      </c>
      <c r="G5332" s="4" t="str">
        <f>HYPERLINK("http://141.218.60.56/~jnz1568/getInfo.php?workbook=12_05.xlsx&amp;sheet=U0&amp;row=5332&amp;col=7&amp;number=0.0171&amp;sourceID=14","0.0171")</f>
        <v>0.0171</v>
      </c>
    </row>
    <row r="5333" spans="1:7">
      <c r="A5333" s="3"/>
      <c r="B5333" s="3"/>
      <c r="C5333" s="3"/>
      <c r="D5333" s="3"/>
      <c r="E5333" s="3">
        <v>10</v>
      </c>
      <c r="F5333" s="4" t="str">
        <f>HYPERLINK("http://141.218.60.56/~jnz1568/getInfo.php?workbook=12_05.xlsx&amp;sheet=U0&amp;row=5333&amp;col=6&amp;number=3.9&amp;sourceID=14","3.9")</f>
        <v>3.9</v>
      </c>
      <c r="G5333" s="4" t="str">
        <f>HYPERLINK("http://141.218.60.56/~jnz1568/getInfo.php?workbook=12_05.xlsx&amp;sheet=U0&amp;row=5333&amp;col=7&amp;number=0.0171&amp;sourceID=14","0.0171")</f>
        <v>0.0171</v>
      </c>
    </row>
    <row r="5334" spans="1:7">
      <c r="A5334" s="3"/>
      <c r="B5334" s="3"/>
      <c r="C5334" s="3"/>
      <c r="D5334" s="3"/>
      <c r="E5334" s="3">
        <v>11</v>
      </c>
      <c r="F5334" s="4" t="str">
        <f>HYPERLINK("http://141.218.60.56/~jnz1568/getInfo.php?workbook=12_05.xlsx&amp;sheet=U0&amp;row=5334&amp;col=6&amp;number=4&amp;sourceID=14","4")</f>
        <v>4</v>
      </c>
      <c r="G5334" s="4" t="str">
        <f>HYPERLINK("http://141.218.60.56/~jnz1568/getInfo.php?workbook=12_05.xlsx&amp;sheet=U0&amp;row=5334&amp;col=7&amp;number=0.017&amp;sourceID=14","0.017")</f>
        <v>0.017</v>
      </c>
    </row>
    <row r="5335" spans="1:7">
      <c r="A5335" s="3"/>
      <c r="B5335" s="3"/>
      <c r="C5335" s="3"/>
      <c r="D5335" s="3"/>
      <c r="E5335" s="3">
        <v>12</v>
      </c>
      <c r="F5335" s="4" t="str">
        <f>HYPERLINK("http://141.218.60.56/~jnz1568/getInfo.php?workbook=12_05.xlsx&amp;sheet=U0&amp;row=5335&amp;col=6&amp;number=4.1&amp;sourceID=14","4.1")</f>
        <v>4.1</v>
      </c>
      <c r="G5335" s="4" t="str">
        <f>HYPERLINK("http://141.218.60.56/~jnz1568/getInfo.php?workbook=12_05.xlsx&amp;sheet=U0&amp;row=5335&amp;col=7&amp;number=0.017&amp;sourceID=14","0.017")</f>
        <v>0.017</v>
      </c>
    </row>
    <row r="5336" spans="1:7">
      <c r="A5336" s="3"/>
      <c r="B5336" s="3"/>
      <c r="C5336" s="3"/>
      <c r="D5336" s="3"/>
      <c r="E5336" s="3">
        <v>13</v>
      </c>
      <c r="F5336" s="4" t="str">
        <f>HYPERLINK("http://141.218.60.56/~jnz1568/getInfo.php?workbook=12_05.xlsx&amp;sheet=U0&amp;row=5336&amp;col=6&amp;number=4.2&amp;sourceID=14","4.2")</f>
        <v>4.2</v>
      </c>
      <c r="G5336" s="4" t="str">
        <f>HYPERLINK("http://141.218.60.56/~jnz1568/getInfo.php?workbook=12_05.xlsx&amp;sheet=U0&amp;row=5336&amp;col=7&amp;number=0.0169&amp;sourceID=14","0.0169")</f>
        <v>0.0169</v>
      </c>
    </row>
    <row r="5337" spans="1:7">
      <c r="A5337" s="3"/>
      <c r="B5337" s="3"/>
      <c r="C5337" s="3"/>
      <c r="D5337" s="3"/>
      <c r="E5337" s="3">
        <v>14</v>
      </c>
      <c r="F5337" s="4" t="str">
        <f>HYPERLINK("http://141.218.60.56/~jnz1568/getInfo.php?workbook=12_05.xlsx&amp;sheet=U0&amp;row=5337&amp;col=6&amp;number=4.3&amp;sourceID=14","4.3")</f>
        <v>4.3</v>
      </c>
      <c r="G5337" s="4" t="str">
        <f>HYPERLINK("http://141.218.60.56/~jnz1568/getInfo.php?workbook=12_05.xlsx&amp;sheet=U0&amp;row=5337&amp;col=7&amp;number=0.0169&amp;sourceID=14","0.0169")</f>
        <v>0.0169</v>
      </c>
    </row>
    <row r="5338" spans="1:7">
      <c r="A5338" s="3"/>
      <c r="B5338" s="3"/>
      <c r="C5338" s="3"/>
      <c r="D5338" s="3"/>
      <c r="E5338" s="3">
        <v>15</v>
      </c>
      <c r="F5338" s="4" t="str">
        <f>HYPERLINK("http://141.218.60.56/~jnz1568/getInfo.php?workbook=12_05.xlsx&amp;sheet=U0&amp;row=5338&amp;col=6&amp;number=4.4&amp;sourceID=14","4.4")</f>
        <v>4.4</v>
      </c>
      <c r="G5338" s="4" t="str">
        <f>HYPERLINK("http://141.218.60.56/~jnz1568/getInfo.php?workbook=12_05.xlsx&amp;sheet=U0&amp;row=5338&amp;col=7&amp;number=0.0168&amp;sourceID=14","0.0168")</f>
        <v>0.0168</v>
      </c>
    </row>
    <row r="5339" spans="1:7">
      <c r="A5339" s="3"/>
      <c r="B5339" s="3"/>
      <c r="C5339" s="3"/>
      <c r="D5339" s="3"/>
      <c r="E5339" s="3">
        <v>16</v>
      </c>
      <c r="F5339" s="4" t="str">
        <f>HYPERLINK("http://141.218.60.56/~jnz1568/getInfo.php?workbook=12_05.xlsx&amp;sheet=U0&amp;row=5339&amp;col=6&amp;number=4.5&amp;sourceID=14","4.5")</f>
        <v>4.5</v>
      </c>
      <c r="G5339" s="4" t="str">
        <f>HYPERLINK("http://141.218.60.56/~jnz1568/getInfo.php?workbook=12_05.xlsx&amp;sheet=U0&amp;row=5339&amp;col=7&amp;number=0.0167&amp;sourceID=14","0.0167")</f>
        <v>0.0167</v>
      </c>
    </row>
    <row r="5340" spans="1:7">
      <c r="A5340" s="3"/>
      <c r="B5340" s="3"/>
      <c r="C5340" s="3"/>
      <c r="D5340" s="3"/>
      <c r="E5340" s="3">
        <v>17</v>
      </c>
      <c r="F5340" s="4" t="str">
        <f>HYPERLINK("http://141.218.60.56/~jnz1568/getInfo.php?workbook=12_05.xlsx&amp;sheet=U0&amp;row=5340&amp;col=6&amp;number=4.6&amp;sourceID=14","4.6")</f>
        <v>4.6</v>
      </c>
      <c r="G5340" s="4" t="str">
        <f>HYPERLINK("http://141.218.60.56/~jnz1568/getInfo.php?workbook=12_05.xlsx&amp;sheet=U0&amp;row=5340&amp;col=7&amp;number=0.0166&amp;sourceID=14","0.0166")</f>
        <v>0.0166</v>
      </c>
    </row>
    <row r="5341" spans="1:7">
      <c r="A5341" s="3"/>
      <c r="B5341" s="3"/>
      <c r="C5341" s="3"/>
      <c r="D5341" s="3"/>
      <c r="E5341" s="3">
        <v>18</v>
      </c>
      <c r="F5341" s="4" t="str">
        <f>HYPERLINK("http://141.218.60.56/~jnz1568/getInfo.php?workbook=12_05.xlsx&amp;sheet=U0&amp;row=5341&amp;col=6&amp;number=4.7&amp;sourceID=14","4.7")</f>
        <v>4.7</v>
      </c>
      <c r="G5341" s="4" t="str">
        <f>HYPERLINK("http://141.218.60.56/~jnz1568/getInfo.php?workbook=12_05.xlsx&amp;sheet=U0&amp;row=5341&amp;col=7&amp;number=0.0164&amp;sourceID=14","0.0164")</f>
        <v>0.0164</v>
      </c>
    </row>
    <row r="5342" spans="1:7">
      <c r="A5342" s="3"/>
      <c r="B5342" s="3"/>
      <c r="C5342" s="3"/>
      <c r="D5342" s="3"/>
      <c r="E5342" s="3">
        <v>19</v>
      </c>
      <c r="F5342" s="4" t="str">
        <f>HYPERLINK("http://141.218.60.56/~jnz1568/getInfo.php?workbook=12_05.xlsx&amp;sheet=U0&amp;row=5342&amp;col=6&amp;number=4.8&amp;sourceID=14","4.8")</f>
        <v>4.8</v>
      </c>
      <c r="G5342" s="4" t="str">
        <f>HYPERLINK("http://141.218.60.56/~jnz1568/getInfo.php?workbook=12_05.xlsx&amp;sheet=U0&amp;row=5342&amp;col=7&amp;number=0.0162&amp;sourceID=14","0.0162")</f>
        <v>0.0162</v>
      </c>
    </row>
    <row r="5343" spans="1:7">
      <c r="A5343" s="3"/>
      <c r="B5343" s="3"/>
      <c r="C5343" s="3"/>
      <c r="D5343" s="3"/>
      <c r="E5343" s="3">
        <v>20</v>
      </c>
      <c r="F5343" s="4" t="str">
        <f>HYPERLINK("http://141.218.60.56/~jnz1568/getInfo.php?workbook=12_05.xlsx&amp;sheet=U0&amp;row=5343&amp;col=6&amp;number=4.9&amp;sourceID=14","4.9")</f>
        <v>4.9</v>
      </c>
      <c r="G5343" s="4" t="str">
        <f>HYPERLINK("http://141.218.60.56/~jnz1568/getInfo.php?workbook=12_05.xlsx&amp;sheet=U0&amp;row=5343&amp;col=7&amp;number=0.016&amp;sourceID=14","0.016")</f>
        <v>0.016</v>
      </c>
    </row>
    <row r="5344" spans="1:7">
      <c r="A5344" s="3">
        <v>12</v>
      </c>
      <c r="B5344" s="3">
        <v>5</v>
      </c>
      <c r="C5344" s="3">
        <v>2</v>
      </c>
      <c r="D5344" s="3">
        <v>120</v>
      </c>
      <c r="E5344" s="3">
        <v>1</v>
      </c>
      <c r="F5344" s="4" t="str">
        <f>HYPERLINK("http://141.218.60.56/~jnz1568/getInfo.php?workbook=12_05.xlsx&amp;sheet=U0&amp;row=5344&amp;col=6&amp;number=3&amp;sourceID=14","3")</f>
        <v>3</v>
      </c>
      <c r="G5344" s="4" t="str">
        <f>HYPERLINK("http://141.218.60.56/~jnz1568/getInfo.php?workbook=12_05.xlsx&amp;sheet=U0&amp;row=5344&amp;col=7&amp;number=0.0221&amp;sourceID=14","0.0221")</f>
        <v>0.0221</v>
      </c>
    </row>
    <row r="5345" spans="1:7">
      <c r="A5345" s="3"/>
      <c r="B5345" s="3"/>
      <c r="C5345" s="3"/>
      <c r="D5345" s="3"/>
      <c r="E5345" s="3">
        <v>2</v>
      </c>
      <c r="F5345" s="4" t="str">
        <f>HYPERLINK("http://141.218.60.56/~jnz1568/getInfo.php?workbook=12_05.xlsx&amp;sheet=U0&amp;row=5345&amp;col=6&amp;number=3.1&amp;sourceID=14","3.1")</f>
        <v>3.1</v>
      </c>
      <c r="G5345" s="4" t="str">
        <f>HYPERLINK("http://141.218.60.56/~jnz1568/getInfo.php?workbook=12_05.xlsx&amp;sheet=U0&amp;row=5345&amp;col=7&amp;number=0.0221&amp;sourceID=14","0.0221")</f>
        <v>0.0221</v>
      </c>
    </row>
    <row r="5346" spans="1:7">
      <c r="A5346" s="3"/>
      <c r="B5346" s="3"/>
      <c r="C5346" s="3"/>
      <c r="D5346" s="3"/>
      <c r="E5346" s="3">
        <v>3</v>
      </c>
      <c r="F5346" s="4" t="str">
        <f>HYPERLINK("http://141.218.60.56/~jnz1568/getInfo.php?workbook=12_05.xlsx&amp;sheet=U0&amp;row=5346&amp;col=6&amp;number=3.2&amp;sourceID=14","3.2")</f>
        <v>3.2</v>
      </c>
      <c r="G5346" s="4" t="str">
        <f>HYPERLINK("http://141.218.60.56/~jnz1568/getInfo.php?workbook=12_05.xlsx&amp;sheet=U0&amp;row=5346&amp;col=7&amp;number=0.0221&amp;sourceID=14","0.0221")</f>
        <v>0.0221</v>
      </c>
    </row>
    <row r="5347" spans="1:7">
      <c r="A5347" s="3"/>
      <c r="B5347" s="3"/>
      <c r="C5347" s="3"/>
      <c r="D5347" s="3"/>
      <c r="E5347" s="3">
        <v>4</v>
      </c>
      <c r="F5347" s="4" t="str">
        <f>HYPERLINK("http://141.218.60.56/~jnz1568/getInfo.php?workbook=12_05.xlsx&amp;sheet=U0&amp;row=5347&amp;col=6&amp;number=3.3&amp;sourceID=14","3.3")</f>
        <v>3.3</v>
      </c>
      <c r="G5347" s="4" t="str">
        <f>HYPERLINK("http://141.218.60.56/~jnz1568/getInfo.php?workbook=12_05.xlsx&amp;sheet=U0&amp;row=5347&amp;col=7&amp;number=0.0221&amp;sourceID=14","0.0221")</f>
        <v>0.0221</v>
      </c>
    </row>
    <row r="5348" spans="1:7">
      <c r="A5348" s="3"/>
      <c r="B5348" s="3"/>
      <c r="C5348" s="3"/>
      <c r="D5348" s="3"/>
      <c r="E5348" s="3">
        <v>5</v>
      </c>
      <c r="F5348" s="4" t="str">
        <f>HYPERLINK("http://141.218.60.56/~jnz1568/getInfo.php?workbook=12_05.xlsx&amp;sheet=U0&amp;row=5348&amp;col=6&amp;number=3.4&amp;sourceID=14","3.4")</f>
        <v>3.4</v>
      </c>
      <c r="G5348" s="4" t="str">
        <f>HYPERLINK("http://141.218.60.56/~jnz1568/getInfo.php?workbook=12_05.xlsx&amp;sheet=U0&amp;row=5348&amp;col=7&amp;number=0.0221&amp;sourceID=14","0.0221")</f>
        <v>0.0221</v>
      </c>
    </row>
    <row r="5349" spans="1:7">
      <c r="A5349" s="3"/>
      <c r="B5349" s="3"/>
      <c r="C5349" s="3"/>
      <c r="D5349" s="3"/>
      <c r="E5349" s="3">
        <v>6</v>
      </c>
      <c r="F5349" s="4" t="str">
        <f>HYPERLINK("http://141.218.60.56/~jnz1568/getInfo.php?workbook=12_05.xlsx&amp;sheet=U0&amp;row=5349&amp;col=6&amp;number=3.5&amp;sourceID=14","3.5")</f>
        <v>3.5</v>
      </c>
      <c r="G5349" s="4" t="str">
        <f>HYPERLINK("http://141.218.60.56/~jnz1568/getInfo.php?workbook=12_05.xlsx&amp;sheet=U0&amp;row=5349&amp;col=7&amp;number=0.0221&amp;sourceID=14","0.0221")</f>
        <v>0.0221</v>
      </c>
    </row>
    <row r="5350" spans="1:7">
      <c r="A5350" s="3"/>
      <c r="B5350" s="3"/>
      <c r="C5350" s="3"/>
      <c r="D5350" s="3"/>
      <c r="E5350" s="3">
        <v>7</v>
      </c>
      <c r="F5350" s="4" t="str">
        <f>HYPERLINK("http://141.218.60.56/~jnz1568/getInfo.php?workbook=12_05.xlsx&amp;sheet=U0&amp;row=5350&amp;col=6&amp;number=3.6&amp;sourceID=14","3.6")</f>
        <v>3.6</v>
      </c>
      <c r="G5350" s="4" t="str">
        <f>HYPERLINK("http://141.218.60.56/~jnz1568/getInfo.php?workbook=12_05.xlsx&amp;sheet=U0&amp;row=5350&amp;col=7&amp;number=0.022&amp;sourceID=14","0.022")</f>
        <v>0.022</v>
      </c>
    </row>
    <row r="5351" spans="1:7">
      <c r="A5351" s="3"/>
      <c r="B5351" s="3"/>
      <c r="C5351" s="3"/>
      <c r="D5351" s="3"/>
      <c r="E5351" s="3">
        <v>8</v>
      </c>
      <c r="F5351" s="4" t="str">
        <f>HYPERLINK("http://141.218.60.56/~jnz1568/getInfo.php?workbook=12_05.xlsx&amp;sheet=U0&amp;row=5351&amp;col=6&amp;number=3.7&amp;sourceID=14","3.7")</f>
        <v>3.7</v>
      </c>
      <c r="G5351" s="4" t="str">
        <f>HYPERLINK("http://141.218.60.56/~jnz1568/getInfo.php?workbook=12_05.xlsx&amp;sheet=U0&amp;row=5351&amp;col=7&amp;number=0.022&amp;sourceID=14","0.022")</f>
        <v>0.022</v>
      </c>
    </row>
    <row r="5352" spans="1:7">
      <c r="A5352" s="3"/>
      <c r="B5352" s="3"/>
      <c r="C5352" s="3"/>
      <c r="D5352" s="3"/>
      <c r="E5352" s="3">
        <v>9</v>
      </c>
      <c r="F5352" s="4" t="str">
        <f>HYPERLINK("http://141.218.60.56/~jnz1568/getInfo.php?workbook=12_05.xlsx&amp;sheet=U0&amp;row=5352&amp;col=6&amp;number=3.8&amp;sourceID=14","3.8")</f>
        <v>3.8</v>
      </c>
      <c r="G5352" s="4" t="str">
        <f>HYPERLINK("http://141.218.60.56/~jnz1568/getInfo.php?workbook=12_05.xlsx&amp;sheet=U0&amp;row=5352&amp;col=7&amp;number=0.022&amp;sourceID=14","0.022")</f>
        <v>0.022</v>
      </c>
    </row>
    <row r="5353" spans="1:7">
      <c r="A5353" s="3"/>
      <c r="B5353" s="3"/>
      <c r="C5353" s="3"/>
      <c r="D5353" s="3"/>
      <c r="E5353" s="3">
        <v>10</v>
      </c>
      <c r="F5353" s="4" t="str">
        <f>HYPERLINK("http://141.218.60.56/~jnz1568/getInfo.php?workbook=12_05.xlsx&amp;sheet=U0&amp;row=5353&amp;col=6&amp;number=3.9&amp;sourceID=14","3.9")</f>
        <v>3.9</v>
      </c>
      <c r="G5353" s="4" t="str">
        <f>HYPERLINK("http://141.218.60.56/~jnz1568/getInfo.php?workbook=12_05.xlsx&amp;sheet=U0&amp;row=5353&amp;col=7&amp;number=0.022&amp;sourceID=14","0.022")</f>
        <v>0.022</v>
      </c>
    </row>
    <row r="5354" spans="1:7">
      <c r="A5354" s="3"/>
      <c r="B5354" s="3"/>
      <c r="C5354" s="3"/>
      <c r="D5354" s="3"/>
      <c r="E5354" s="3">
        <v>11</v>
      </c>
      <c r="F5354" s="4" t="str">
        <f>HYPERLINK("http://141.218.60.56/~jnz1568/getInfo.php?workbook=12_05.xlsx&amp;sheet=U0&amp;row=5354&amp;col=6&amp;number=4&amp;sourceID=14","4")</f>
        <v>4</v>
      </c>
      <c r="G5354" s="4" t="str">
        <f>HYPERLINK("http://141.218.60.56/~jnz1568/getInfo.php?workbook=12_05.xlsx&amp;sheet=U0&amp;row=5354&amp;col=7&amp;number=0.0219&amp;sourceID=14","0.0219")</f>
        <v>0.0219</v>
      </c>
    </row>
    <row r="5355" spans="1:7">
      <c r="A5355" s="3"/>
      <c r="B5355" s="3"/>
      <c r="C5355" s="3"/>
      <c r="D5355" s="3"/>
      <c r="E5355" s="3">
        <v>12</v>
      </c>
      <c r="F5355" s="4" t="str">
        <f>HYPERLINK("http://141.218.60.56/~jnz1568/getInfo.php?workbook=12_05.xlsx&amp;sheet=U0&amp;row=5355&amp;col=6&amp;number=4.1&amp;sourceID=14","4.1")</f>
        <v>4.1</v>
      </c>
      <c r="G5355" s="4" t="str">
        <f>HYPERLINK("http://141.218.60.56/~jnz1568/getInfo.php?workbook=12_05.xlsx&amp;sheet=U0&amp;row=5355&amp;col=7&amp;number=0.0219&amp;sourceID=14","0.0219")</f>
        <v>0.0219</v>
      </c>
    </row>
    <row r="5356" spans="1:7">
      <c r="A5356" s="3"/>
      <c r="B5356" s="3"/>
      <c r="C5356" s="3"/>
      <c r="D5356" s="3"/>
      <c r="E5356" s="3">
        <v>13</v>
      </c>
      <c r="F5356" s="4" t="str">
        <f>HYPERLINK("http://141.218.60.56/~jnz1568/getInfo.php?workbook=12_05.xlsx&amp;sheet=U0&amp;row=5356&amp;col=6&amp;number=4.2&amp;sourceID=14","4.2")</f>
        <v>4.2</v>
      </c>
      <c r="G5356" s="4" t="str">
        <f>HYPERLINK("http://141.218.60.56/~jnz1568/getInfo.php?workbook=12_05.xlsx&amp;sheet=U0&amp;row=5356&amp;col=7&amp;number=0.0218&amp;sourceID=14","0.0218")</f>
        <v>0.0218</v>
      </c>
    </row>
    <row r="5357" spans="1:7">
      <c r="A5357" s="3"/>
      <c r="B5357" s="3"/>
      <c r="C5357" s="3"/>
      <c r="D5357" s="3"/>
      <c r="E5357" s="3">
        <v>14</v>
      </c>
      <c r="F5357" s="4" t="str">
        <f>HYPERLINK("http://141.218.60.56/~jnz1568/getInfo.php?workbook=12_05.xlsx&amp;sheet=U0&amp;row=5357&amp;col=6&amp;number=4.3&amp;sourceID=14","4.3")</f>
        <v>4.3</v>
      </c>
      <c r="G5357" s="4" t="str">
        <f>HYPERLINK("http://141.218.60.56/~jnz1568/getInfo.php?workbook=12_05.xlsx&amp;sheet=U0&amp;row=5357&amp;col=7&amp;number=0.0217&amp;sourceID=14","0.0217")</f>
        <v>0.0217</v>
      </c>
    </row>
    <row r="5358" spans="1:7">
      <c r="A5358" s="3"/>
      <c r="B5358" s="3"/>
      <c r="C5358" s="3"/>
      <c r="D5358" s="3"/>
      <c r="E5358" s="3">
        <v>15</v>
      </c>
      <c r="F5358" s="4" t="str">
        <f>HYPERLINK("http://141.218.60.56/~jnz1568/getInfo.php?workbook=12_05.xlsx&amp;sheet=U0&amp;row=5358&amp;col=6&amp;number=4.4&amp;sourceID=14","4.4")</f>
        <v>4.4</v>
      </c>
      <c r="G5358" s="4" t="str">
        <f>HYPERLINK("http://141.218.60.56/~jnz1568/getInfo.php?workbook=12_05.xlsx&amp;sheet=U0&amp;row=5358&amp;col=7&amp;number=0.0216&amp;sourceID=14","0.0216")</f>
        <v>0.0216</v>
      </c>
    </row>
    <row r="5359" spans="1:7">
      <c r="A5359" s="3"/>
      <c r="B5359" s="3"/>
      <c r="C5359" s="3"/>
      <c r="D5359" s="3"/>
      <c r="E5359" s="3">
        <v>16</v>
      </c>
      <c r="F5359" s="4" t="str">
        <f>HYPERLINK("http://141.218.60.56/~jnz1568/getInfo.php?workbook=12_05.xlsx&amp;sheet=U0&amp;row=5359&amp;col=6&amp;number=4.5&amp;sourceID=14","4.5")</f>
        <v>4.5</v>
      </c>
      <c r="G5359" s="4" t="str">
        <f>HYPERLINK("http://141.218.60.56/~jnz1568/getInfo.php?workbook=12_05.xlsx&amp;sheet=U0&amp;row=5359&amp;col=7&amp;number=0.0215&amp;sourceID=14","0.0215")</f>
        <v>0.0215</v>
      </c>
    </row>
    <row r="5360" spans="1:7">
      <c r="A5360" s="3"/>
      <c r="B5360" s="3"/>
      <c r="C5360" s="3"/>
      <c r="D5360" s="3"/>
      <c r="E5360" s="3">
        <v>17</v>
      </c>
      <c r="F5360" s="4" t="str">
        <f>HYPERLINK("http://141.218.60.56/~jnz1568/getInfo.php?workbook=12_05.xlsx&amp;sheet=U0&amp;row=5360&amp;col=6&amp;number=4.6&amp;sourceID=14","4.6")</f>
        <v>4.6</v>
      </c>
      <c r="G5360" s="4" t="str">
        <f>HYPERLINK("http://141.218.60.56/~jnz1568/getInfo.php?workbook=12_05.xlsx&amp;sheet=U0&amp;row=5360&amp;col=7&amp;number=0.0213&amp;sourceID=14","0.0213")</f>
        <v>0.0213</v>
      </c>
    </row>
    <row r="5361" spans="1:7">
      <c r="A5361" s="3"/>
      <c r="B5361" s="3"/>
      <c r="C5361" s="3"/>
      <c r="D5361" s="3"/>
      <c r="E5361" s="3">
        <v>18</v>
      </c>
      <c r="F5361" s="4" t="str">
        <f>HYPERLINK("http://141.218.60.56/~jnz1568/getInfo.php?workbook=12_05.xlsx&amp;sheet=U0&amp;row=5361&amp;col=6&amp;number=4.7&amp;sourceID=14","4.7")</f>
        <v>4.7</v>
      </c>
      <c r="G5361" s="4" t="str">
        <f>HYPERLINK("http://141.218.60.56/~jnz1568/getInfo.php?workbook=12_05.xlsx&amp;sheet=U0&amp;row=5361&amp;col=7&amp;number=0.0211&amp;sourceID=14","0.0211")</f>
        <v>0.0211</v>
      </c>
    </row>
    <row r="5362" spans="1:7">
      <c r="A5362" s="3"/>
      <c r="B5362" s="3"/>
      <c r="C5362" s="3"/>
      <c r="D5362" s="3"/>
      <c r="E5362" s="3">
        <v>19</v>
      </c>
      <c r="F5362" s="4" t="str">
        <f>HYPERLINK("http://141.218.60.56/~jnz1568/getInfo.php?workbook=12_05.xlsx&amp;sheet=U0&amp;row=5362&amp;col=6&amp;number=4.8&amp;sourceID=14","4.8")</f>
        <v>4.8</v>
      </c>
      <c r="G5362" s="4" t="str">
        <f>HYPERLINK("http://141.218.60.56/~jnz1568/getInfo.php?workbook=12_05.xlsx&amp;sheet=U0&amp;row=5362&amp;col=7&amp;number=0.0209&amp;sourceID=14","0.0209")</f>
        <v>0.0209</v>
      </c>
    </row>
    <row r="5363" spans="1:7">
      <c r="A5363" s="3"/>
      <c r="B5363" s="3"/>
      <c r="C5363" s="3"/>
      <c r="D5363" s="3"/>
      <c r="E5363" s="3">
        <v>20</v>
      </c>
      <c r="F5363" s="4" t="str">
        <f>HYPERLINK("http://141.218.60.56/~jnz1568/getInfo.php?workbook=12_05.xlsx&amp;sheet=U0&amp;row=5363&amp;col=6&amp;number=4.9&amp;sourceID=14","4.9")</f>
        <v>4.9</v>
      </c>
      <c r="G5363" s="4" t="str">
        <f>HYPERLINK("http://141.218.60.56/~jnz1568/getInfo.php?workbook=12_05.xlsx&amp;sheet=U0&amp;row=5363&amp;col=7&amp;number=0.0206&amp;sourceID=14","0.0206")</f>
        <v>0.0206</v>
      </c>
    </row>
    <row r="5364" spans="1:7">
      <c r="A5364" s="3">
        <v>12</v>
      </c>
      <c r="B5364" s="3">
        <v>5</v>
      </c>
      <c r="C5364" s="3">
        <v>2</v>
      </c>
      <c r="D5364" s="3">
        <v>121</v>
      </c>
      <c r="E5364" s="3">
        <v>1</v>
      </c>
      <c r="F5364" s="4" t="str">
        <f>HYPERLINK("http://141.218.60.56/~jnz1568/getInfo.php?workbook=12_05.xlsx&amp;sheet=U0&amp;row=5364&amp;col=6&amp;number=3&amp;sourceID=14","3")</f>
        <v>3</v>
      </c>
      <c r="G5364" s="4" t="str">
        <f>HYPERLINK("http://141.218.60.56/~jnz1568/getInfo.php?workbook=12_05.xlsx&amp;sheet=U0&amp;row=5364&amp;col=7&amp;number=0.0877&amp;sourceID=14","0.0877")</f>
        <v>0.0877</v>
      </c>
    </row>
    <row r="5365" spans="1:7">
      <c r="A5365" s="3"/>
      <c r="B5365" s="3"/>
      <c r="C5365" s="3"/>
      <c r="D5365" s="3"/>
      <c r="E5365" s="3">
        <v>2</v>
      </c>
      <c r="F5365" s="4" t="str">
        <f>HYPERLINK("http://141.218.60.56/~jnz1568/getInfo.php?workbook=12_05.xlsx&amp;sheet=U0&amp;row=5365&amp;col=6&amp;number=3.1&amp;sourceID=14","3.1")</f>
        <v>3.1</v>
      </c>
      <c r="G5365" s="4" t="str">
        <f>HYPERLINK("http://141.218.60.56/~jnz1568/getInfo.php?workbook=12_05.xlsx&amp;sheet=U0&amp;row=5365&amp;col=7&amp;number=0.0878&amp;sourceID=14","0.0878")</f>
        <v>0.0878</v>
      </c>
    </row>
    <row r="5366" spans="1:7">
      <c r="A5366" s="3"/>
      <c r="B5366" s="3"/>
      <c r="C5366" s="3"/>
      <c r="D5366" s="3"/>
      <c r="E5366" s="3">
        <v>3</v>
      </c>
      <c r="F5366" s="4" t="str">
        <f>HYPERLINK("http://141.218.60.56/~jnz1568/getInfo.php?workbook=12_05.xlsx&amp;sheet=U0&amp;row=5366&amp;col=6&amp;number=3.2&amp;sourceID=14","3.2")</f>
        <v>3.2</v>
      </c>
      <c r="G5366" s="4" t="str">
        <f>HYPERLINK("http://141.218.60.56/~jnz1568/getInfo.php?workbook=12_05.xlsx&amp;sheet=U0&amp;row=5366&amp;col=7&amp;number=0.0878&amp;sourceID=14","0.0878")</f>
        <v>0.0878</v>
      </c>
    </row>
    <row r="5367" spans="1:7">
      <c r="A5367" s="3"/>
      <c r="B5367" s="3"/>
      <c r="C5367" s="3"/>
      <c r="D5367" s="3"/>
      <c r="E5367" s="3">
        <v>4</v>
      </c>
      <c r="F5367" s="4" t="str">
        <f>HYPERLINK("http://141.218.60.56/~jnz1568/getInfo.php?workbook=12_05.xlsx&amp;sheet=U0&amp;row=5367&amp;col=6&amp;number=3.3&amp;sourceID=14","3.3")</f>
        <v>3.3</v>
      </c>
      <c r="G5367" s="4" t="str">
        <f>HYPERLINK("http://141.218.60.56/~jnz1568/getInfo.php?workbook=12_05.xlsx&amp;sheet=U0&amp;row=5367&amp;col=7&amp;number=0.0878&amp;sourceID=14","0.0878")</f>
        <v>0.0878</v>
      </c>
    </row>
    <row r="5368" spans="1:7">
      <c r="A5368" s="3"/>
      <c r="B5368" s="3"/>
      <c r="C5368" s="3"/>
      <c r="D5368" s="3"/>
      <c r="E5368" s="3">
        <v>5</v>
      </c>
      <c r="F5368" s="4" t="str">
        <f>HYPERLINK("http://141.218.60.56/~jnz1568/getInfo.php?workbook=12_05.xlsx&amp;sheet=U0&amp;row=5368&amp;col=6&amp;number=3.4&amp;sourceID=14","3.4")</f>
        <v>3.4</v>
      </c>
      <c r="G5368" s="4" t="str">
        <f>HYPERLINK("http://141.218.60.56/~jnz1568/getInfo.php?workbook=12_05.xlsx&amp;sheet=U0&amp;row=5368&amp;col=7&amp;number=0.0879&amp;sourceID=14","0.0879")</f>
        <v>0.0879</v>
      </c>
    </row>
    <row r="5369" spans="1:7">
      <c r="A5369" s="3"/>
      <c r="B5369" s="3"/>
      <c r="C5369" s="3"/>
      <c r="D5369" s="3"/>
      <c r="E5369" s="3">
        <v>6</v>
      </c>
      <c r="F5369" s="4" t="str">
        <f>HYPERLINK("http://141.218.60.56/~jnz1568/getInfo.php?workbook=12_05.xlsx&amp;sheet=U0&amp;row=5369&amp;col=6&amp;number=3.5&amp;sourceID=14","3.5")</f>
        <v>3.5</v>
      </c>
      <c r="G5369" s="4" t="str">
        <f>HYPERLINK("http://141.218.60.56/~jnz1568/getInfo.php?workbook=12_05.xlsx&amp;sheet=U0&amp;row=5369&amp;col=7&amp;number=0.0879&amp;sourceID=14","0.0879")</f>
        <v>0.0879</v>
      </c>
    </row>
    <row r="5370" spans="1:7">
      <c r="A5370" s="3"/>
      <c r="B5370" s="3"/>
      <c r="C5370" s="3"/>
      <c r="D5370" s="3"/>
      <c r="E5370" s="3">
        <v>7</v>
      </c>
      <c r="F5370" s="4" t="str">
        <f>HYPERLINK("http://141.218.60.56/~jnz1568/getInfo.php?workbook=12_05.xlsx&amp;sheet=U0&amp;row=5370&amp;col=6&amp;number=3.6&amp;sourceID=14","3.6")</f>
        <v>3.6</v>
      </c>
      <c r="G5370" s="4" t="str">
        <f>HYPERLINK("http://141.218.60.56/~jnz1568/getInfo.php?workbook=12_05.xlsx&amp;sheet=U0&amp;row=5370&amp;col=7&amp;number=0.088&amp;sourceID=14","0.088")</f>
        <v>0.088</v>
      </c>
    </row>
    <row r="5371" spans="1:7">
      <c r="A5371" s="3"/>
      <c r="B5371" s="3"/>
      <c r="C5371" s="3"/>
      <c r="D5371" s="3"/>
      <c r="E5371" s="3">
        <v>8</v>
      </c>
      <c r="F5371" s="4" t="str">
        <f>HYPERLINK("http://141.218.60.56/~jnz1568/getInfo.php?workbook=12_05.xlsx&amp;sheet=U0&amp;row=5371&amp;col=6&amp;number=3.7&amp;sourceID=14","3.7")</f>
        <v>3.7</v>
      </c>
      <c r="G5371" s="4" t="str">
        <f>HYPERLINK("http://141.218.60.56/~jnz1568/getInfo.php?workbook=12_05.xlsx&amp;sheet=U0&amp;row=5371&amp;col=7&amp;number=0.0881&amp;sourceID=14","0.0881")</f>
        <v>0.0881</v>
      </c>
    </row>
    <row r="5372" spans="1:7">
      <c r="A5372" s="3"/>
      <c r="B5372" s="3"/>
      <c r="C5372" s="3"/>
      <c r="D5372" s="3"/>
      <c r="E5372" s="3">
        <v>9</v>
      </c>
      <c r="F5372" s="4" t="str">
        <f>HYPERLINK("http://141.218.60.56/~jnz1568/getInfo.php?workbook=12_05.xlsx&amp;sheet=U0&amp;row=5372&amp;col=6&amp;number=3.8&amp;sourceID=14","3.8")</f>
        <v>3.8</v>
      </c>
      <c r="G5372" s="4" t="str">
        <f>HYPERLINK("http://141.218.60.56/~jnz1568/getInfo.php?workbook=12_05.xlsx&amp;sheet=U0&amp;row=5372&amp;col=7&amp;number=0.0882&amp;sourceID=14","0.0882")</f>
        <v>0.0882</v>
      </c>
    </row>
    <row r="5373" spans="1:7">
      <c r="A5373" s="3"/>
      <c r="B5373" s="3"/>
      <c r="C5373" s="3"/>
      <c r="D5373" s="3"/>
      <c r="E5373" s="3">
        <v>10</v>
      </c>
      <c r="F5373" s="4" t="str">
        <f>HYPERLINK("http://141.218.60.56/~jnz1568/getInfo.php?workbook=12_05.xlsx&amp;sheet=U0&amp;row=5373&amp;col=6&amp;number=3.9&amp;sourceID=14","3.9")</f>
        <v>3.9</v>
      </c>
      <c r="G5373" s="4" t="str">
        <f>HYPERLINK("http://141.218.60.56/~jnz1568/getInfo.php?workbook=12_05.xlsx&amp;sheet=U0&amp;row=5373&amp;col=7&amp;number=0.0883&amp;sourceID=14","0.0883")</f>
        <v>0.0883</v>
      </c>
    </row>
    <row r="5374" spans="1:7">
      <c r="A5374" s="3"/>
      <c r="B5374" s="3"/>
      <c r="C5374" s="3"/>
      <c r="D5374" s="3"/>
      <c r="E5374" s="3">
        <v>11</v>
      </c>
      <c r="F5374" s="4" t="str">
        <f>HYPERLINK("http://141.218.60.56/~jnz1568/getInfo.php?workbook=12_05.xlsx&amp;sheet=U0&amp;row=5374&amp;col=6&amp;number=4&amp;sourceID=14","4")</f>
        <v>4</v>
      </c>
      <c r="G5374" s="4" t="str">
        <f>HYPERLINK("http://141.218.60.56/~jnz1568/getInfo.php?workbook=12_05.xlsx&amp;sheet=U0&amp;row=5374&amp;col=7&amp;number=0.0884&amp;sourceID=14","0.0884")</f>
        <v>0.0884</v>
      </c>
    </row>
    <row r="5375" spans="1:7">
      <c r="A5375" s="3"/>
      <c r="B5375" s="3"/>
      <c r="C5375" s="3"/>
      <c r="D5375" s="3"/>
      <c r="E5375" s="3">
        <v>12</v>
      </c>
      <c r="F5375" s="4" t="str">
        <f>HYPERLINK("http://141.218.60.56/~jnz1568/getInfo.php?workbook=12_05.xlsx&amp;sheet=U0&amp;row=5375&amp;col=6&amp;number=4.1&amp;sourceID=14","4.1")</f>
        <v>4.1</v>
      </c>
      <c r="G5375" s="4" t="str">
        <f>HYPERLINK("http://141.218.60.56/~jnz1568/getInfo.php?workbook=12_05.xlsx&amp;sheet=U0&amp;row=5375&amp;col=7&amp;number=0.0886&amp;sourceID=14","0.0886")</f>
        <v>0.0886</v>
      </c>
    </row>
    <row r="5376" spans="1:7">
      <c r="A5376" s="3"/>
      <c r="B5376" s="3"/>
      <c r="C5376" s="3"/>
      <c r="D5376" s="3"/>
      <c r="E5376" s="3">
        <v>13</v>
      </c>
      <c r="F5376" s="4" t="str">
        <f>HYPERLINK("http://141.218.60.56/~jnz1568/getInfo.php?workbook=12_05.xlsx&amp;sheet=U0&amp;row=5376&amp;col=6&amp;number=4.2&amp;sourceID=14","4.2")</f>
        <v>4.2</v>
      </c>
      <c r="G5376" s="4" t="str">
        <f>HYPERLINK("http://141.218.60.56/~jnz1568/getInfo.php?workbook=12_05.xlsx&amp;sheet=U0&amp;row=5376&amp;col=7&amp;number=0.0889&amp;sourceID=14","0.0889")</f>
        <v>0.0889</v>
      </c>
    </row>
    <row r="5377" spans="1:7">
      <c r="A5377" s="3"/>
      <c r="B5377" s="3"/>
      <c r="C5377" s="3"/>
      <c r="D5377" s="3"/>
      <c r="E5377" s="3">
        <v>14</v>
      </c>
      <c r="F5377" s="4" t="str">
        <f>HYPERLINK("http://141.218.60.56/~jnz1568/getInfo.php?workbook=12_05.xlsx&amp;sheet=U0&amp;row=5377&amp;col=6&amp;number=4.3&amp;sourceID=14","4.3")</f>
        <v>4.3</v>
      </c>
      <c r="G5377" s="4" t="str">
        <f>HYPERLINK("http://141.218.60.56/~jnz1568/getInfo.php?workbook=12_05.xlsx&amp;sheet=U0&amp;row=5377&amp;col=7&amp;number=0.0892&amp;sourceID=14","0.0892")</f>
        <v>0.0892</v>
      </c>
    </row>
    <row r="5378" spans="1:7">
      <c r="A5378" s="3"/>
      <c r="B5378" s="3"/>
      <c r="C5378" s="3"/>
      <c r="D5378" s="3"/>
      <c r="E5378" s="3">
        <v>15</v>
      </c>
      <c r="F5378" s="4" t="str">
        <f>HYPERLINK("http://141.218.60.56/~jnz1568/getInfo.php?workbook=12_05.xlsx&amp;sheet=U0&amp;row=5378&amp;col=6&amp;number=4.4&amp;sourceID=14","4.4")</f>
        <v>4.4</v>
      </c>
      <c r="G5378" s="4" t="str">
        <f>HYPERLINK("http://141.218.60.56/~jnz1568/getInfo.php?workbook=12_05.xlsx&amp;sheet=U0&amp;row=5378&amp;col=7&amp;number=0.0896&amp;sourceID=14","0.0896")</f>
        <v>0.0896</v>
      </c>
    </row>
    <row r="5379" spans="1:7">
      <c r="A5379" s="3"/>
      <c r="B5379" s="3"/>
      <c r="C5379" s="3"/>
      <c r="D5379" s="3"/>
      <c r="E5379" s="3">
        <v>16</v>
      </c>
      <c r="F5379" s="4" t="str">
        <f>HYPERLINK("http://141.218.60.56/~jnz1568/getInfo.php?workbook=12_05.xlsx&amp;sheet=U0&amp;row=5379&amp;col=6&amp;number=4.5&amp;sourceID=14","4.5")</f>
        <v>4.5</v>
      </c>
      <c r="G5379" s="4" t="str">
        <f>HYPERLINK("http://141.218.60.56/~jnz1568/getInfo.php?workbook=12_05.xlsx&amp;sheet=U0&amp;row=5379&amp;col=7&amp;number=0.0901&amp;sourceID=14","0.0901")</f>
        <v>0.0901</v>
      </c>
    </row>
    <row r="5380" spans="1:7">
      <c r="A5380" s="3"/>
      <c r="B5380" s="3"/>
      <c r="C5380" s="3"/>
      <c r="D5380" s="3"/>
      <c r="E5380" s="3">
        <v>17</v>
      </c>
      <c r="F5380" s="4" t="str">
        <f>HYPERLINK("http://141.218.60.56/~jnz1568/getInfo.php?workbook=12_05.xlsx&amp;sheet=U0&amp;row=5380&amp;col=6&amp;number=4.6&amp;sourceID=14","4.6")</f>
        <v>4.6</v>
      </c>
      <c r="G5380" s="4" t="str">
        <f>HYPERLINK("http://141.218.60.56/~jnz1568/getInfo.php?workbook=12_05.xlsx&amp;sheet=U0&amp;row=5380&amp;col=7&amp;number=0.0907&amp;sourceID=14","0.0907")</f>
        <v>0.0907</v>
      </c>
    </row>
    <row r="5381" spans="1:7">
      <c r="A5381" s="3"/>
      <c r="B5381" s="3"/>
      <c r="C5381" s="3"/>
      <c r="D5381" s="3"/>
      <c r="E5381" s="3">
        <v>18</v>
      </c>
      <c r="F5381" s="4" t="str">
        <f>HYPERLINK("http://141.218.60.56/~jnz1568/getInfo.php?workbook=12_05.xlsx&amp;sheet=U0&amp;row=5381&amp;col=6&amp;number=4.7&amp;sourceID=14","4.7")</f>
        <v>4.7</v>
      </c>
      <c r="G5381" s="4" t="str">
        <f>HYPERLINK("http://141.218.60.56/~jnz1568/getInfo.php?workbook=12_05.xlsx&amp;sheet=U0&amp;row=5381&amp;col=7&amp;number=0.0915&amp;sourceID=14","0.0915")</f>
        <v>0.0915</v>
      </c>
    </row>
    <row r="5382" spans="1:7">
      <c r="A5382" s="3"/>
      <c r="B5382" s="3"/>
      <c r="C5382" s="3"/>
      <c r="D5382" s="3"/>
      <c r="E5382" s="3">
        <v>19</v>
      </c>
      <c r="F5382" s="4" t="str">
        <f>HYPERLINK("http://141.218.60.56/~jnz1568/getInfo.php?workbook=12_05.xlsx&amp;sheet=U0&amp;row=5382&amp;col=6&amp;number=4.8&amp;sourceID=14","4.8")</f>
        <v>4.8</v>
      </c>
      <c r="G5382" s="4" t="str">
        <f>HYPERLINK("http://141.218.60.56/~jnz1568/getInfo.php?workbook=12_05.xlsx&amp;sheet=U0&amp;row=5382&amp;col=7&amp;number=0.0925&amp;sourceID=14","0.0925")</f>
        <v>0.0925</v>
      </c>
    </row>
    <row r="5383" spans="1:7">
      <c r="A5383" s="3"/>
      <c r="B5383" s="3"/>
      <c r="C5383" s="3"/>
      <c r="D5383" s="3"/>
      <c r="E5383" s="3">
        <v>20</v>
      </c>
      <c r="F5383" s="4" t="str">
        <f>HYPERLINK("http://141.218.60.56/~jnz1568/getInfo.php?workbook=12_05.xlsx&amp;sheet=U0&amp;row=5383&amp;col=6&amp;number=4.9&amp;sourceID=14","4.9")</f>
        <v>4.9</v>
      </c>
      <c r="G5383" s="4" t="str">
        <f>HYPERLINK("http://141.218.60.56/~jnz1568/getInfo.php?workbook=12_05.xlsx&amp;sheet=U0&amp;row=5383&amp;col=7&amp;number=0.0937&amp;sourceID=14","0.0937")</f>
        <v>0.0937</v>
      </c>
    </row>
    <row r="5384" spans="1:7">
      <c r="A5384" s="3">
        <v>12</v>
      </c>
      <c r="B5384" s="3">
        <v>5</v>
      </c>
      <c r="C5384" s="3">
        <v>2</v>
      </c>
      <c r="D5384" s="3">
        <v>122</v>
      </c>
      <c r="E5384" s="3">
        <v>1</v>
      </c>
      <c r="F5384" s="4" t="str">
        <f>HYPERLINK("http://141.218.60.56/~jnz1568/getInfo.php?workbook=12_05.xlsx&amp;sheet=U0&amp;row=5384&amp;col=6&amp;number=3&amp;sourceID=14","3")</f>
        <v>3</v>
      </c>
      <c r="G5384" s="4" t="str">
        <f>HYPERLINK("http://141.218.60.56/~jnz1568/getInfo.php?workbook=12_05.xlsx&amp;sheet=U0&amp;row=5384&amp;col=7&amp;number=0.0275&amp;sourceID=14","0.0275")</f>
        <v>0.0275</v>
      </c>
    </row>
    <row r="5385" spans="1:7">
      <c r="A5385" s="3"/>
      <c r="B5385" s="3"/>
      <c r="C5385" s="3"/>
      <c r="D5385" s="3"/>
      <c r="E5385" s="3">
        <v>2</v>
      </c>
      <c r="F5385" s="4" t="str">
        <f>HYPERLINK("http://141.218.60.56/~jnz1568/getInfo.php?workbook=12_05.xlsx&amp;sheet=U0&amp;row=5385&amp;col=6&amp;number=3.1&amp;sourceID=14","3.1")</f>
        <v>3.1</v>
      </c>
      <c r="G5385" s="4" t="str">
        <f>HYPERLINK("http://141.218.60.56/~jnz1568/getInfo.php?workbook=12_05.xlsx&amp;sheet=U0&amp;row=5385&amp;col=7&amp;number=0.0275&amp;sourceID=14","0.0275")</f>
        <v>0.0275</v>
      </c>
    </row>
    <row r="5386" spans="1:7">
      <c r="A5386" s="3"/>
      <c r="B5386" s="3"/>
      <c r="C5386" s="3"/>
      <c r="D5386" s="3"/>
      <c r="E5386" s="3">
        <v>3</v>
      </c>
      <c r="F5386" s="4" t="str">
        <f>HYPERLINK("http://141.218.60.56/~jnz1568/getInfo.php?workbook=12_05.xlsx&amp;sheet=U0&amp;row=5386&amp;col=6&amp;number=3.2&amp;sourceID=14","3.2")</f>
        <v>3.2</v>
      </c>
      <c r="G5386" s="4" t="str">
        <f>HYPERLINK("http://141.218.60.56/~jnz1568/getInfo.php?workbook=12_05.xlsx&amp;sheet=U0&amp;row=5386&amp;col=7&amp;number=0.0275&amp;sourceID=14","0.0275")</f>
        <v>0.0275</v>
      </c>
    </row>
    <row r="5387" spans="1:7">
      <c r="A5387" s="3"/>
      <c r="B5387" s="3"/>
      <c r="C5387" s="3"/>
      <c r="D5387" s="3"/>
      <c r="E5387" s="3">
        <v>4</v>
      </c>
      <c r="F5387" s="4" t="str">
        <f>HYPERLINK("http://141.218.60.56/~jnz1568/getInfo.php?workbook=12_05.xlsx&amp;sheet=U0&amp;row=5387&amp;col=6&amp;number=3.3&amp;sourceID=14","3.3")</f>
        <v>3.3</v>
      </c>
      <c r="G5387" s="4" t="str">
        <f>HYPERLINK("http://141.218.60.56/~jnz1568/getInfo.php?workbook=12_05.xlsx&amp;sheet=U0&amp;row=5387&amp;col=7&amp;number=0.0275&amp;sourceID=14","0.0275")</f>
        <v>0.0275</v>
      </c>
    </row>
    <row r="5388" spans="1:7">
      <c r="A5388" s="3"/>
      <c r="B5388" s="3"/>
      <c r="C5388" s="3"/>
      <c r="D5388" s="3"/>
      <c r="E5388" s="3">
        <v>5</v>
      </c>
      <c r="F5388" s="4" t="str">
        <f>HYPERLINK("http://141.218.60.56/~jnz1568/getInfo.php?workbook=12_05.xlsx&amp;sheet=U0&amp;row=5388&amp;col=6&amp;number=3.4&amp;sourceID=14","3.4")</f>
        <v>3.4</v>
      </c>
      <c r="G5388" s="4" t="str">
        <f>HYPERLINK("http://141.218.60.56/~jnz1568/getInfo.php?workbook=12_05.xlsx&amp;sheet=U0&amp;row=5388&amp;col=7&amp;number=0.0275&amp;sourceID=14","0.0275")</f>
        <v>0.0275</v>
      </c>
    </row>
    <row r="5389" spans="1:7">
      <c r="A5389" s="3"/>
      <c r="B5389" s="3"/>
      <c r="C5389" s="3"/>
      <c r="D5389" s="3"/>
      <c r="E5389" s="3">
        <v>6</v>
      </c>
      <c r="F5389" s="4" t="str">
        <f>HYPERLINK("http://141.218.60.56/~jnz1568/getInfo.php?workbook=12_05.xlsx&amp;sheet=U0&amp;row=5389&amp;col=6&amp;number=3.5&amp;sourceID=14","3.5")</f>
        <v>3.5</v>
      </c>
      <c r="G5389" s="4" t="str">
        <f>HYPERLINK("http://141.218.60.56/~jnz1568/getInfo.php?workbook=12_05.xlsx&amp;sheet=U0&amp;row=5389&amp;col=7&amp;number=0.0275&amp;sourceID=14","0.0275")</f>
        <v>0.0275</v>
      </c>
    </row>
    <row r="5390" spans="1:7">
      <c r="A5390" s="3"/>
      <c r="B5390" s="3"/>
      <c r="C5390" s="3"/>
      <c r="D5390" s="3"/>
      <c r="E5390" s="3">
        <v>7</v>
      </c>
      <c r="F5390" s="4" t="str">
        <f>HYPERLINK("http://141.218.60.56/~jnz1568/getInfo.php?workbook=12_05.xlsx&amp;sheet=U0&amp;row=5390&amp;col=6&amp;number=3.6&amp;sourceID=14","3.6")</f>
        <v>3.6</v>
      </c>
      <c r="G5390" s="4" t="str">
        <f>HYPERLINK("http://141.218.60.56/~jnz1568/getInfo.php?workbook=12_05.xlsx&amp;sheet=U0&amp;row=5390&amp;col=7&amp;number=0.0275&amp;sourceID=14","0.0275")</f>
        <v>0.0275</v>
      </c>
    </row>
    <row r="5391" spans="1:7">
      <c r="A5391" s="3"/>
      <c r="B5391" s="3"/>
      <c r="C5391" s="3"/>
      <c r="D5391" s="3"/>
      <c r="E5391" s="3">
        <v>8</v>
      </c>
      <c r="F5391" s="4" t="str">
        <f>HYPERLINK("http://141.218.60.56/~jnz1568/getInfo.php?workbook=12_05.xlsx&amp;sheet=U0&amp;row=5391&amp;col=6&amp;number=3.7&amp;sourceID=14","3.7")</f>
        <v>3.7</v>
      </c>
      <c r="G5391" s="4" t="str">
        <f>HYPERLINK("http://141.218.60.56/~jnz1568/getInfo.php?workbook=12_05.xlsx&amp;sheet=U0&amp;row=5391&amp;col=7&amp;number=0.0276&amp;sourceID=14","0.0276")</f>
        <v>0.0276</v>
      </c>
    </row>
    <row r="5392" spans="1:7">
      <c r="A5392" s="3"/>
      <c r="B5392" s="3"/>
      <c r="C5392" s="3"/>
      <c r="D5392" s="3"/>
      <c r="E5392" s="3">
        <v>9</v>
      </c>
      <c r="F5392" s="4" t="str">
        <f>HYPERLINK("http://141.218.60.56/~jnz1568/getInfo.php?workbook=12_05.xlsx&amp;sheet=U0&amp;row=5392&amp;col=6&amp;number=3.8&amp;sourceID=14","3.8")</f>
        <v>3.8</v>
      </c>
      <c r="G5392" s="4" t="str">
        <f>HYPERLINK("http://141.218.60.56/~jnz1568/getInfo.php?workbook=12_05.xlsx&amp;sheet=U0&amp;row=5392&amp;col=7&amp;number=0.0276&amp;sourceID=14","0.0276")</f>
        <v>0.0276</v>
      </c>
    </row>
    <row r="5393" spans="1:7">
      <c r="A5393" s="3"/>
      <c r="B5393" s="3"/>
      <c r="C5393" s="3"/>
      <c r="D5393" s="3"/>
      <c r="E5393" s="3">
        <v>10</v>
      </c>
      <c r="F5393" s="4" t="str">
        <f>HYPERLINK("http://141.218.60.56/~jnz1568/getInfo.php?workbook=12_05.xlsx&amp;sheet=U0&amp;row=5393&amp;col=6&amp;number=3.9&amp;sourceID=14","3.9")</f>
        <v>3.9</v>
      </c>
      <c r="G5393" s="4" t="str">
        <f>HYPERLINK("http://141.218.60.56/~jnz1568/getInfo.php?workbook=12_05.xlsx&amp;sheet=U0&amp;row=5393&amp;col=7&amp;number=0.0276&amp;sourceID=14","0.0276")</f>
        <v>0.0276</v>
      </c>
    </row>
    <row r="5394" spans="1:7">
      <c r="A5394" s="3"/>
      <c r="B5394" s="3"/>
      <c r="C5394" s="3"/>
      <c r="D5394" s="3"/>
      <c r="E5394" s="3">
        <v>11</v>
      </c>
      <c r="F5394" s="4" t="str">
        <f>HYPERLINK("http://141.218.60.56/~jnz1568/getInfo.php?workbook=12_05.xlsx&amp;sheet=U0&amp;row=5394&amp;col=6&amp;number=4&amp;sourceID=14","4")</f>
        <v>4</v>
      </c>
      <c r="G5394" s="4" t="str">
        <f>HYPERLINK("http://141.218.60.56/~jnz1568/getInfo.php?workbook=12_05.xlsx&amp;sheet=U0&amp;row=5394&amp;col=7&amp;number=0.0276&amp;sourceID=14","0.0276")</f>
        <v>0.0276</v>
      </c>
    </row>
    <row r="5395" spans="1:7">
      <c r="A5395" s="3"/>
      <c r="B5395" s="3"/>
      <c r="C5395" s="3"/>
      <c r="D5395" s="3"/>
      <c r="E5395" s="3">
        <v>12</v>
      </c>
      <c r="F5395" s="4" t="str">
        <f>HYPERLINK("http://141.218.60.56/~jnz1568/getInfo.php?workbook=12_05.xlsx&amp;sheet=U0&amp;row=5395&amp;col=6&amp;number=4.1&amp;sourceID=14","4.1")</f>
        <v>4.1</v>
      </c>
      <c r="G5395" s="4" t="str">
        <f>HYPERLINK("http://141.218.60.56/~jnz1568/getInfo.php?workbook=12_05.xlsx&amp;sheet=U0&amp;row=5395&amp;col=7&amp;number=0.0276&amp;sourceID=14","0.0276")</f>
        <v>0.0276</v>
      </c>
    </row>
    <row r="5396" spans="1:7">
      <c r="A5396" s="3"/>
      <c r="B5396" s="3"/>
      <c r="C5396" s="3"/>
      <c r="D5396" s="3"/>
      <c r="E5396" s="3">
        <v>13</v>
      </c>
      <c r="F5396" s="4" t="str">
        <f>HYPERLINK("http://141.218.60.56/~jnz1568/getInfo.php?workbook=12_05.xlsx&amp;sheet=U0&amp;row=5396&amp;col=6&amp;number=4.2&amp;sourceID=14","4.2")</f>
        <v>4.2</v>
      </c>
      <c r="G5396" s="4" t="str">
        <f>HYPERLINK("http://141.218.60.56/~jnz1568/getInfo.php?workbook=12_05.xlsx&amp;sheet=U0&amp;row=5396&amp;col=7&amp;number=0.0276&amp;sourceID=14","0.0276")</f>
        <v>0.0276</v>
      </c>
    </row>
    <row r="5397" spans="1:7">
      <c r="A5397" s="3"/>
      <c r="B5397" s="3"/>
      <c r="C5397" s="3"/>
      <c r="D5397" s="3"/>
      <c r="E5397" s="3">
        <v>14</v>
      </c>
      <c r="F5397" s="4" t="str">
        <f>HYPERLINK("http://141.218.60.56/~jnz1568/getInfo.php?workbook=12_05.xlsx&amp;sheet=U0&amp;row=5397&amp;col=6&amp;number=4.3&amp;sourceID=14","4.3")</f>
        <v>4.3</v>
      </c>
      <c r="G5397" s="4" t="str">
        <f>HYPERLINK("http://141.218.60.56/~jnz1568/getInfo.php?workbook=12_05.xlsx&amp;sheet=U0&amp;row=5397&amp;col=7&amp;number=0.0276&amp;sourceID=14","0.0276")</f>
        <v>0.0276</v>
      </c>
    </row>
    <row r="5398" spans="1:7">
      <c r="A5398" s="3"/>
      <c r="B5398" s="3"/>
      <c r="C5398" s="3"/>
      <c r="D5398" s="3"/>
      <c r="E5398" s="3">
        <v>15</v>
      </c>
      <c r="F5398" s="4" t="str">
        <f>HYPERLINK("http://141.218.60.56/~jnz1568/getInfo.php?workbook=12_05.xlsx&amp;sheet=U0&amp;row=5398&amp;col=6&amp;number=4.4&amp;sourceID=14","4.4")</f>
        <v>4.4</v>
      </c>
      <c r="G5398" s="4" t="str">
        <f>HYPERLINK("http://141.218.60.56/~jnz1568/getInfo.php?workbook=12_05.xlsx&amp;sheet=U0&amp;row=5398&amp;col=7&amp;number=0.0277&amp;sourceID=14","0.0277")</f>
        <v>0.0277</v>
      </c>
    </row>
    <row r="5399" spans="1:7">
      <c r="A5399" s="3"/>
      <c r="B5399" s="3"/>
      <c r="C5399" s="3"/>
      <c r="D5399" s="3"/>
      <c r="E5399" s="3">
        <v>16</v>
      </c>
      <c r="F5399" s="4" t="str">
        <f>HYPERLINK("http://141.218.60.56/~jnz1568/getInfo.php?workbook=12_05.xlsx&amp;sheet=U0&amp;row=5399&amp;col=6&amp;number=4.5&amp;sourceID=14","4.5")</f>
        <v>4.5</v>
      </c>
      <c r="G5399" s="4" t="str">
        <f>HYPERLINK("http://141.218.60.56/~jnz1568/getInfo.php?workbook=12_05.xlsx&amp;sheet=U0&amp;row=5399&amp;col=7&amp;number=0.0277&amp;sourceID=14","0.0277")</f>
        <v>0.0277</v>
      </c>
    </row>
    <row r="5400" spans="1:7">
      <c r="A5400" s="3"/>
      <c r="B5400" s="3"/>
      <c r="C5400" s="3"/>
      <c r="D5400" s="3"/>
      <c r="E5400" s="3">
        <v>17</v>
      </c>
      <c r="F5400" s="4" t="str">
        <f>HYPERLINK("http://141.218.60.56/~jnz1568/getInfo.php?workbook=12_05.xlsx&amp;sheet=U0&amp;row=5400&amp;col=6&amp;number=4.6&amp;sourceID=14","4.6")</f>
        <v>4.6</v>
      </c>
      <c r="G5400" s="4" t="str">
        <f>HYPERLINK("http://141.218.60.56/~jnz1568/getInfo.php?workbook=12_05.xlsx&amp;sheet=U0&amp;row=5400&amp;col=7&amp;number=0.0278&amp;sourceID=14","0.0278")</f>
        <v>0.0278</v>
      </c>
    </row>
    <row r="5401" spans="1:7">
      <c r="A5401" s="3"/>
      <c r="B5401" s="3"/>
      <c r="C5401" s="3"/>
      <c r="D5401" s="3"/>
      <c r="E5401" s="3">
        <v>18</v>
      </c>
      <c r="F5401" s="4" t="str">
        <f>HYPERLINK("http://141.218.60.56/~jnz1568/getInfo.php?workbook=12_05.xlsx&amp;sheet=U0&amp;row=5401&amp;col=6&amp;number=4.7&amp;sourceID=14","4.7")</f>
        <v>4.7</v>
      </c>
      <c r="G5401" s="4" t="str">
        <f>HYPERLINK("http://141.218.60.56/~jnz1568/getInfo.php?workbook=12_05.xlsx&amp;sheet=U0&amp;row=5401&amp;col=7&amp;number=0.0278&amp;sourceID=14","0.0278")</f>
        <v>0.0278</v>
      </c>
    </row>
    <row r="5402" spans="1:7">
      <c r="A5402" s="3"/>
      <c r="B5402" s="3"/>
      <c r="C5402" s="3"/>
      <c r="D5402" s="3"/>
      <c r="E5402" s="3">
        <v>19</v>
      </c>
      <c r="F5402" s="4" t="str">
        <f>HYPERLINK("http://141.218.60.56/~jnz1568/getInfo.php?workbook=12_05.xlsx&amp;sheet=U0&amp;row=5402&amp;col=6&amp;number=4.8&amp;sourceID=14","4.8")</f>
        <v>4.8</v>
      </c>
      <c r="G5402" s="4" t="str">
        <f>HYPERLINK("http://141.218.60.56/~jnz1568/getInfo.php?workbook=12_05.xlsx&amp;sheet=U0&amp;row=5402&amp;col=7&amp;number=0.0279&amp;sourceID=14","0.0279")</f>
        <v>0.0279</v>
      </c>
    </row>
    <row r="5403" spans="1:7">
      <c r="A5403" s="3"/>
      <c r="B5403" s="3"/>
      <c r="C5403" s="3"/>
      <c r="D5403" s="3"/>
      <c r="E5403" s="3">
        <v>20</v>
      </c>
      <c r="F5403" s="4" t="str">
        <f>HYPERLINK("http://141.218.60.56/~jnz1568/getInfo.php?workbook=12_05.xlsx&amp;sheet=U0&amp;row=5403&amp;col=6&amp;number=4.9&amp;sourceID=14","4.9")</f>
        <v>4.9</v>
      </c>
      <c r="G5403" s="4" t="str">
        <f>HYPERLINK("http://141.218.60.56/~jnz1568/getInfo.php?workbook=12_05.xlsx&amp;sheet=U0&amp;row=5403&amp;col=7&amp;number=0.028&amp;sourceID=14","0.028")</f>
        <v>0.028</v>
      </c>
    </row>
    <row r="5404" spans="1:7">
      <c r="A5404" s="3">
        <v>12</v>
      </c>
      <c r="B5404" s="3">
        <v>5</v>
      </c>
      <c r="C5404" s="3">
        <v>2</v>
      </c>
      <c r="D5404" s="3">
        <v>123</v>
      </c>
      <c r="E5404" s="3">
        <v>1</v>
      </c>
      <c r="F5404" s="4" t="str">
        <f>HYPERLINK("http://141.218.60.56/~jnz1568/getInfo.php?workbook=12_05.xlsx&amp;sheet=U0&amp;row=5404&amp;col=6&amp;number=3&amp;sourceID=14","3")</f>
        <v>3</v>
      </c>
      <c r="G5404" s="4" t="str">
        <f>HYPERLINK("http://141.218.60.56/~jnz1568/getInfo.php?workbook=12_05.xlsx&amp;sheet=U0&amp;row=5404&amp;col=7&amp;number=0.00087&amp;sourceID=14","0.00087")</f>
        <v>0.00087</v>
      </c>
    </row>
    <row r="5405" spans="1:7">
      <c r="A5405" s="3"/>
      <c r="B5405" s="3"/>
      <c r="C5405" s="3"/>
      <c r="D5405" s="3"/>
      <c r="E5405" s="3">
        <v>2</v>
      </c>
      <c r="F5405" s="4" t="str">
        <f>HYPERLINK("http://141.218.60.56/~jnz1568/getInfo.php?workbook=12_05.xlsx&amp;sheet=U0&amp;row=5405&amp;col=6&amp;number=3.1&amp;sourceID=14","3.1")</f>
        <v>3.1</v>
      </c>
      <c r="G5405" s="4" t="str">
        <f>HYPERLINK("http://141.218.60.56/~jnz1568/getInfo.php?workbook=12_05.xlsx&amp;sheet=U0&amp;row=5405&amp;col=7&amp;number=0.00087&amp;sourceID=14","0.00087")</f>
        <v>0.00087</v>
      </c>
    </row>
    <row r="5406" spans="1:7">
      <c r="A5406" s="3"/>
      <c r="B5406" s="3"/>
      <c r="C5406" s="3"/>
      <c r="D5406" s="3"/>
      <c r="E5406" s="3">
        <v>3</v>
      </c>
      <c r="F5406" s="4" t="str">
        <f>HYPERLINK("http://141.218.60.56/~jnz1568/getInfo.php?workbook=12_05.xlsx&amp;sheet=U0&amp;row=5406&amp;col=6&amp;number=3.2&amp;sourceID=14","3.2")</f>
        <v>3.2</v>
      </c>
      <c r="G5406" s="4" t="str">
        <f>HYPERLINK("http://141.218.60.56/~jnz1568/getInfo.php?workbook=12_05.xlsx&amp;sheet=U0&amp;row=5406&amp;col=7&amp;number=0.00087&amp;sourceID=14","0.00087")</f>
        <v>0.00087</v>
      </c>
    </row>
    <row r="5407" spans="1:7">
      <c r="A5407" s="3"/>
      <c r="B5407" s="3"/>
      <c r="C5407" s="3"/>
      <c r="D5407" s="3"/>
      <c r="E5407" s="3">
        <v>4</v>
      </c>
      <c r="F5407" s="4" t="str">
        <f>HYPERLINK("http://141.218.60.56/~jnz1568/getInfo.php?workbook=12_05.xlsx&amp;sheet=U0&amp;row=5407&amp;col=6&amp;number=3.3&amp;sourceID=14","3.3")</f>
        <v>3.3</v>
      </c>
      <c r="G5407" s="4" t="str">
        <f>HYPERLINK("http://141.218.60.56/~jnz1568/getInfo.php?workbook=12_05.xlsx&amp;sheet=U0&amp;row=5407&amp;col=7&amp;number=0.00087&amp;sourceID=14","0.00087")</f>
        <v>0.00087</v>
      </c>
    </row>
    <row r="5408" spans="1:7">
      <c r="A5408" s="3"/>
      <c r="B5408" s="3"/>
      <c r="C5408" s="3"/>
      <c r="D5408" s="3"/>
      <c r="E5408" s="3">
        <v>5</v>
      </c>
      <c r="F5408" s="4" t="str">
        <f>HYPERLINK("http://141.218.60.56/~jnz1568/getInfo.php?workbook=12_05.xlsx&amp;sheet=U0&amp;row=5408&amp;col=6&amp;number=3.4&amp;sourceID=14","3.4")</f>
        <v>3.4</v>
      </c>
      <c r="G5408" s="4" t="str">
        <f>HYPERLINK("http://141.218.60.56/~jnz1568/getInfo.php?workbook=12_05.xlsx&amp;sheet=U0&amp;row=5408&amp;col=7&amp;number=0.000869&amp;sourceID=14","0.000869")</f>
        <v>0.000869</v>
      </c>
    </row>
    <row r="5409" spans="1:7">
      <c r="A5409" s="3"/>
      <c r="B5409" s="3"/>
      <c r="C5409" s="3"/>
      <c r="D5409" s="3"/>
      <c r="E5409" s="3">
        <v>6</v>
      </c>
      <c r="F5409" s="4" t="str">
        <f>HYPERLINK("http://141.218.60.56/~jnz1568/getInfo.php?workbook=12_05.xlsx&amp;sheet=U0&amp;row=5409&amp;col=6&amp;number=3.5&amp;sourceID=14","3.5")</f>
        <v>3.5</v>
      </c>
      <c r="G5409" s="4" t="str">
        <f>HYPERLINK("http://141.218.60.56/~jnz1568/getInfo.php?workbook=12_05.xlsx&amp;sheet=U0&amp;row=5409&amp;col=7&amp;number=0.000869&amp;sourceID=14","0.000869")</f>
        <v>0.000869</v>
      </c>
    </row>
    <row r="5410" spans="1:7">
      <c r="A5410" s="3"/>
      <c r="B5410" s="3"/>
      <c r="C5410" s="3"/>
      <c r="D5410" s="3"/>
      <c r="E5410" s="3">
        <v>7</v>
      </c>
      <c r="F5410" s="4" t="str">
        <f>HYPERLINK("http://141.218.60.56/~jnz1568/getInfo.php?workbook=12_05.xlsx&amp;sheet=U0&amp;row=5410&amp;col=6&amp;number=3.6&amp;sourceID=14","3.6")</f>
        <v>3.6</v>
      </c>
      <c r="G5410" s="4" t="str">
        <f>HYPERLINK("http://141.218.60.56/~jnz1568/getInfo.php?workbook=12_05.xlsx&amp;sheet=U0&amp;row=5410&amp;col=7&amp;number=0.000868&amp;sourceID=14","0.000868")</f>
        <v>0.000868</v>
      </c>
    </row>
    <row r="5411" spans="1:7">
      <c r="A5411" s="3"/>
      <c r="B5411" s="3"/>
      <c r="C5411" s="3"/>
      <c r="D5411" s="3"/>
      <c r="E5411" s="3">
        <v>8</v>
      </c>
      <c r="F5411" s="4" t="str">
        <f>HYPERLINK("http://141.218.60.56/~jnz1568/getInfo.php?workbook=12_05.xlsx&amp;sheet=U0&amp;row=5411&amp;col=6&amp;number=3.7&amp;sourceID=14","3.7")</f>
        <v>3.7</v>
      </c>
      <c r="G5411" s="4" t="str">
        <f>HYPERLINK("http://141.218.60.56/~jnz1568/getInfo.php?workbook=12_05.xlsx&amp;sheet=U0&amp;row=5411&amp;col=7&amp;number=0.000867&amp;sourceID=14","0.000867")</f>
        <v>0.000867</v>
      </c>
    </row>
    <row r="5412" spans="1:7">
      <c r="A5412" s="3"/>
      <c r="B5412" s="3"/>
      <c r="C5412" s="3"/>
      <c r="D5412" s="3"/>
      <c r="E5412" s="3">
        <v>9</v>
      </c>
      <c r="F5412" s="4" t="str">
        <f>HYPERLINK("http://141.218.60.56/~jnz1568/getInfo.php?workbook=12_05.xlsx&amp;sheet=U0&amp;row=5412&amp;col=6&amp;number=3.8&amp;sourceID=14","3.8")</f>
        <v>3.8</v>
      </c>
      <c r="G5412" s="4" t="str">
        <f>HYPERLINK("http://141.218.60.56/~jnz1568/getInfo.php?workbook=12_05.xlsx&amp;sheet=U0&amp;row=5412&amp;col=7&amp;number=0.000866&amp;sourceID=14","0.000866")</f>
        <v>0.000866</v>
      </c>
    </row>
    <row r="5413" spans="1:7">
      <c r="A5413" s="3"/>
      <c r="B5413" s="3"/>
      <c r="C5413" s="3"/>
      <c r="D5413" s="3"/>
      <c r="E5413" s="3">
        <v>10</v>
      </c>
      <c r="F5413" s="4" t="str">
        <f>HYPERLINK("http://141.218.60.56/~jnz1568/getInfo.php?workbook=12_05.xlsx&amp;sheet=U0&amp;row=5413&amp;col=6&amp;number=3.9&amp;sourceID=14","3.9")</f>
        <v>3.9</v>
      </c>
      <c r="G5413" s="4" t="str">
        <f>HYPERLINK("http://141.218.60.56/~jnz1568/getInfo.php?workbook=12_05.xlsx&amp;sheet=U0&amp;row=5413&amp;col=7&amp;number=0.000865&amp;sourceID=14","0.000865")</f>
        <v>0.000865</v>
      </c>
    </row>
    <row r="5414" spans="1:7">
      <c r="A5414" s="3"/>
      <c r="B5414" s="3"/>
      <c r="C5414" s="3"/>
      <c r="D5414" s="3"/>
      <c r="E5414" s="3">
        <v>11</v>
      </c>
      <c r="F5414" s="4" t="str">
        <f>HYPERLINK("http://141.218.60.56/~jnz1568/getInfo.php?workbook=12_05.xlsx&amp;sheet=U0&amp;row=5414&amp;col=6&amp;number=4&amp;sourceID=14","4")</f>
        <v>4</v>
      </c>
      <c r="G5414" s="4" t="str">
        <f>HYPERLINK("http://141.218.60.56/~jnz1568/getInfo.php?workbook=12_05.xlsx&amp;sheet=U0&amp;row=5414&amp;col=7&amp;number=0.000864&amp;sourceID=14","0.000864")</f>
        <v>0.000864</v>
      </c>
    </row>
    <row r="5415" spans="1:7">
      <c r="A5415" s="3"/>
      <c r="B5415" s="3"/>
      <c r="C5415" s="3"/>
      <c r="D5415" s="3"/>
      <c r="E5415" s="3">
        <v>12</v>
      </c>
      <c r="F5415" s="4" t="str">
        <f>HYPERLINK("http://141.218.60.56/~jnz1568/getInfo.php?workbook=12_05.xlsx&amp;sheet=U0&amp;row=5415&amp;col=6&amp;number=4.1&amp;sourceID=14","4.1")</f>
        <v>4.1</v>
      </c>
      <c r="G5415" s="4" t="str">
        <f>HYPERLINK("http://141.218.60.56/~jnz1568/getInfo.php?workbook=12_05.xlsx&amp;sheet=U0&amp;row=5415&amp;col=7&amp;number=0.000862&amp;sourceID=14","0.000862")</f>
        <v>0.000862</v>
      </c>
    </row>
    <row r="5416" spans="1:7">
      <c r="A5416" s="3"/>
      <c r="B5416" s="3"/>
      <c r="C5416" s="3"/>
      <c r="D5416" s="3"/>
      <c r="E5416" s="3">
        <v>13</v>
      </c>
      <c r="F5416" s="4" t="str">
        <f>HYPERLINK("http://141.218.60.56/~jnz1568/getInfo.php?workbook=12_05.xlsx&amp;sheet=U0&amp;row=5416&amp;col=6&amp;number=4.2&amp;sourceID=14","4.2")</f>
        <v>4.2</v>
      </c>
      <c r="G5416" s="4" t="str">
        <f>HYPERLINK("http://141.218.60.56/~jnz1568/getInfo.php?workbook=12_05.xlsx&amp;sheet=U0&amp;row=5416&amp;col=7&amp;number=0.000859&amp;sourceID=14","0.000859")</f>
        <v>0.000859</v>
      </c>
    </row>
    <row r="5417" spans="1:7">
      <c r="A5417" s="3"/>
      <c r="B5417" s="3"/>
      <c r="C5417" s="3"/>
      <c r="D5417" s="3"/>
      <c r="E5417" s="3">
        <v>14</v>
      </c>
      <c r="F5417" s="4" t="str">
        <f>HYPERLINK("http://141.218.60.56/~jnz1568/getInfo.php?workbook=12_05.xlsx&amp;sheet=U0&amp;row=5417&amp;col=6&amp;number=4.3&amp;sourceID=14","4.3")</f>
        <v>4.3</v>
      </c>
      <c r="G5417" s="4" t="str">
        <f>HYPERLINK("http://141.218.60.56/~jnz1568/getInfo.php?workbook=12_05.xlsx&amp;sheet=U0&amp;row=5417&amp;col=7&amp;number=0.000856&amp;sourceID=14","0.000856")</f>
        <v>0.000856</v>
      </c>
    </row>
    <row r="5418" spans="1:7">
      <c r="A5418" s="3"/>
      <c r="B5418" s="3"/>
      <c r="C5418" s="3"/>
      <c r="D5418" s="3"/>
      <c r="E5418" s="3">
        <v>15</v>
      </c>
      <c r="F5418" s="4" t="str">
        <f>HYPERLINK("http://141.218.60.56/~jnz1568/getInfo.php?workbook=12_05.xlsx&amp;sheet=U0&amp;row=5418&amp;col=6&amp;number=4.4&amp;sourceID=14","4.4")</f>
        <v>4.4</v>
      </c>
      <c r="G5418" s="4" t="str">
        <f>HYPERLINK("http://141.218.60.56/~jnz1568/getInfo.php?workbook=12_05.xlsx&amp;sheet=U0&amp;row=5418&amp;col=7&amp;number=0.000853&amp;sourceID=14","0.000853")</f>
        <v>0.000853</v>
      </c>
    </row>
    <row r="5419" spans="1:7">
      <c r="A5419" s="3"/>
      <c r="B5419" s="3"/>
      <c r="C5419" s="3"/>
      <c r="D5419" s="3"/>
      <c r="E5419" s="3">
        <v>16</v>
      </c>
      <c r="F5419" s="4" t="str">
        <f>HYPERLINK("http://141.218.60.56/~jnz1568/getInfo.php?workbook=12_05.xlsx&amp;sheet=U0&amp;row=5419&amp;col=6&amp;number=4.5&amp;sourceID=14","4.5")</f>
        <v>4.5</v>
      </c>
      <c r="G5419" s="4" t="str">
        <f>HYPERLINK("http://141.218.60.56/~jnz1568/getInfo.php?workbook=12_05.xlsx&amp;sheet=U0&amp;row=5419&amp;col=7&amp;number=0.000848&amp;sourceID=14","0.000848")</f>
        <v>0.000848</v>
      </c>
    </row>
    <row r="5420" spans="1:7">
      <c r="A5420" s="3"/>
      <c r="B5420" s="3"/>
      <c r="C5420" s="3"/>
      <c r="D5420" s="3"/>
      <c r="E5420" s="3">
        <v>17</v>
      </c>
      <c r="F5420" s="4" t="str">
        <f>HYPERLINK("http://141.218.60.56/~jnz1568/getInfo.php?workbook=12_05.xlsx&amp;sheet=U0&amp;row=5420&amp;col=6&amp;number=4.6&amp;sourceID=14","4.6")</f>
        <v>4.6</v>
      </c>
      <c r="G5420" s="4" t="str">
        <f>HYPERLINK("http://141.218.60.56/~jnz1568/getInfo.php?workbook=12_05.xlsx&amp;sheet=U0&amp;row=5420&amp;col=7&amp;number=0.000842&amp;sourceID=14","0.000842")</f>
        <v>0.000842</v>
      </c>
    </row>
    <row r="5421" spans="1:7">
      <c r="A5421" s="3"/>
      <c r="B5421" s="3"/>
      <c r="C5421" s="3"/>
      <c r="D5421" s="3"/>
      <c r="E5421" s="3">
        <v>18</v>
      </c>
      <c r="F5421" s="4" t="str">
        <f>HYPERLINK("http://141.218.60.56/~jnz1568/getInfo.php?workbook=12_05.xlsx&amp;sheet=U0&amp;row=5421&amp;col=6&amp;number=4.7&amp;sourceID=14","4.7")</f>
        <v>4.7</v>
      </c>
      <c r="G5421" s="4" t="str">
        <f>HYPERLINK("http://141.218.60.56/~jnz1568/getInfo.php?workbook=12_05.xlsx&amp;sheet=U0&amp;row=5421&amp;col=7&amp;number=0.000835&amp;sourceID=14","0.000835")</f>
        <v>0.000835</v>
      </c>
    </row>
    <row r="5422" spans="1:7">
      <c r="A5422" s="3"/>
      <c r="B5422" s="3"/>
      <c r="C5422" s="3"/>
      <c r="D5422" s="3"/>
      <c r="E5422" s="3">
        <v>19</v>
      </c>
      <c r="F5422" s="4" t="str">
        <f>HYPERLINK("http://141.218.60.56/~jnz1568/getInfo.php?workbook=12_05.xlsx&amp;sheet=U0&amp;row=5422&amp;col=6&amp;number=4.8&amp;sourceID=14","4.8")</f>
        <v>4.8</v>
      </c>
      <c r="G5422" s="4" t="str">
        <f>HYPERLINK("http://141.218.60.56/~jnz1568/getInfo.php?workbook=12_05.xlsx&amp;sheet=U0&amp;row=5422&amp;col=7&amp;number=0.000826&amp;sourceID=14","0.000826")</f>
        <v>0.000826</v>
      </c>
    </row>
    <row r="5423" spans="1:7">
      <c r="A5423" s="3"/>
      <c r="B5423" s="3"/>
      <c r="C5423" s="3"/>
      <c r="D5423" s="3"/>
      <c r="E5423" s="3">
        <v>20</v>
      </c>
      <c r="F5423" s="4" t="str">
        <f>HYPERLINK("http://141.218.60.56/~jnz1568/getInfo.php?workbook=12_05.xlsx&amp;sheet=U0&amp;row=5423&amp;col=6&amp;number=4.9&amp;sourceID=14","4.9")</f>
        <v>4.9</v>
      </c>
      <c r="G5423" s="4" t="str">
        <f>HYPERLINK("http://141.218.60.56/~jnz1568/getInfo.php?workbook=12_05.xlsx&amp;sheet=U0&amp;row=5423&amp;col=7&amp;number=0.000815&amp;sourceID=14","0.000815")</f>
        <v>0.000815</v>
      </c>
    </row>
    <row r="5424" spans="1:7">
      <c r="A5424" s="3">
        <v>12</v>
      </c>
      <c r="B5424" s="3">
        <v>5</v>
      </c>
      <c r="C5424" s="3">
        <v>2</v>
      </c>
      <c r="D5424" s="3">
        <v>124</v>
      </c>
      <c r="E5424" s="3">
        <v>1</v>
      </c>
      <c r="F5424" s="4" t="str">
        <f>HYPERLINK("http://141.218.60.56/~jnz1568/getInfo.php?workbook=12_05.xlsx&amp;sheet=U0&amp;row=5424&amp;col=6&amp;number=3&amp;sourceID=14","3")</f>
        <v>3</v>
      </c>
      <c r="G5424" s="4" t="str">
        <f>HYPERLINK("http://141.218.60.56/~jnz1568/getInfo.php?workbook=12_05.xlsx&amp;sheet=U0&amp;row=5424&amp;col=7&amp;number=0.00206&amp;sourceID=14","0.00206")</f>
        <v>0.00206</v>
      </c>
    </row>
    <row r="5425" spans="1:7">
      <c r="A5425" s="3"/>
      <c r="B5425" s="3"/>
      <c r="C5425" s="3"/>
      <c r="D5425" s="3"/>
      <c r="E5425" s="3">
        <v>2</v>
      </c>
      <c r="F5425" s="4" t="str">
        <f>HYPERLINK("http://141.218.60.56/~jnz1568/getInfo.php?workbook=12_05.xlsx&amp;sheet=U0&amp;row=5425&amp;col=6&amp;number=3.1&amp;sourceID=14","3.1")</f>
        <v>3.1</v>
      </c>
      <c r="G5425" s="4" t="str">
        <f>HYPERLINK("http://141.218.60.56/~jnz1568/getInfo.php?workbook=12_05.xlsx&amp;sheet=U0&amp;row=5425&amp;col=7&amp;number=0.00206&amp;sourceID=14","0.00206")</f>
        <v>0.00206</v>
      </c>
    </row>
    <row r="5426" spans="1:7">
      <c r="A5426" s="3"/>
      <c r="B5426" s="3"/>
      <c r="C5426" s="3"/>
      <c r="D5426" s="3"/>
      <c r="E5426" s="3">
        <v>3</v>
      </c>
      <c r="F5426" s="4" t="str">
        <f>HYPERLINK("http://141.218.60.56/~jnz1568/getInfo.php?workbook=12_05.xlsx&amp;sheet=U0&amp;row=5426&amp;col=6&amp;number=3.2&amp;sourceID=14","3.2")</f>
        <v>3.2</v>
      </c>
      <c r="G5426" s="4" t="str">
        <f>HYPERLINK("http://141.218.60.56/~jnz1568/getInfo.php?workbook=12_05.xlsx&amp;sheet=U0&amp;row=5426&amp;col=7&amp;number=0.00206&amp;sourceID=14","0.00206")</f>
        <v>0.00206</v>
      </c>
    </row>
    <row r="5427" spans="1:7">
      <c r="A5427" s="3"/>
      <c r="B5427" s="3"/>
      <c r="C5427" s="3"/>
      <c r="D5427" s="3"/>
      <c r="E5427" s="3">
        <v>4</v>
      </c>
      <c r="F5427" s="4" t="str">
        <f>HYPERLINK("http://141.218.60.56/~jnz1568/getInfo.php?workbook=12_05.xlsx&amp;sheet=U0&amp;row=5427&amp;col=6&amp;number=3.3&amp;sourceID=14","3.3")</f>
        <v>3.3</v>
      </c>
      <c r="G5427" s="4" t="str">
        <f>HYPERLINK("http://141.218.60.56/~jnz1568/getInfo.php?workbook=12_05.xlsx&amp;sheet=U0&amp;row=5427&amp;col=7&amp;number=0.00206&amp;sourceID=14","0.00206")</f>
        <v>0.00206</v>
      </c>
    </row>
    <row r="5428" spans="1:7">
      <c r="A5428" s="3"/>
      <c r="B5428" s="3"/>
      <c r="C5428" s="3"/>
      <c r="D5428" s="3"/>
      <c r="E5428" s="3">
        <v>5</v>
      </c>
      <c r="F5428" s="4" t="str">
        <f>HYPERLINK("http://141.218.60.56/~jnz1568/getInfo.php?workbook=12_05.xlsx&amp;sheet=U0&amp;row=5428&amp;col=6&amp;number=3.4&amp;sourceID=14","3.4")</f>
        <v>3.4</v>
      </c>
      <c r="G5428" s="4" t="str">
        <f>HYPERLINK("http://141.218.60.56/~jnz1568/getInfo.php?workbook=12_05.xlsx&amp;sheet=U0&amp;row=5428&amp;col=7&amp;number=0.00206&amp;sourceID=14","0.00206")</f>
        <v>0.00206</v>
      </c>
    </row>
    <row r="5429" spans="1:7">
      <c r="A5429" s="3"/>
      <c r="B5429" s="3"/>
      <c r="C5429" s="3"/>
      <c r="D5429" s="3"/>
      <c r="E5429" s="3">
        <v>6</v>
      </c>
      <c r="F5429" s="4" t="str">
        <f>HYPERLINK("http://141.218.60.56/~jnz1568/getInfo.php?workbook=12_05.xlsx&amp;sheet=U0&amp;row=5429&amp;col=6&amp;number=3.5&amp;sourceID=14","3.5")</f>
        <v>3.5</v>
      </c>
      <c r="G5429" s="4" t="str">
        <f>HYPERLINK("http://141.218.60.56/~jnz1568/getInfo.php?workbook=12_05.xlsx&amp;sheet=U0&amp;row=5429&amp;col=7&amp;number=0.00206&amp;sourceID=14","0.00206")</f>
        <v>0.00206</v>
      </c>
    </row>
    <row r="5430" spans="1:7">
      <c r="A5430" s="3"/>
      <c r="B5430" s="3"/>
      <c r="C5430" s="3"/>
      <c r="D5430" s="3"/>
      <c r="E5430" s="3">
        <v>7</v>
      </c>
      <c r="F5430" s="4" t="str">
        <f>HYPERLINK("http://141.218.60.56/~jnz1568/getInfo.php?workbook=12_05.xlsx&amp;sheet=U0&amp;row=5430&amp;col=6&amp;number=3.6&amp;sourceID=14","3.6")</f>
        <v>3.6</v>
      </c>
      <c r="G5430" s="4" t="str">
        <f>HYPERLINK("http://141.218.60.56/~jnz1568/getInfo.php?workbook=12_05.xlsx&amp;sheet=U0&amp;row=5430&amp;col=7&amp;number=0.00206&amp;sourceID=14","0.00206")</f>
        <v>0.00206</v>
      </c>
    </row>
    <row r="5431" spans="1:7">
      <c r="A5431" s="3"/>
      <c r="B5431" s="3"/>
      <c r="C5431" s="3"/>
      <c r="D5431" s="3"/>
      <c r="E5431" s="3">
        <v>8</v>
      </c>
      <c r="F5431" s="4" t="str">
        <f>HYPERLINK("http://141.218.60.56/~jnz1568/getInfo.php?workbook=12_05.xlsx&amp;sheet=U0&amp;row=5431&amp;col=6&amp;number=3.7&amp;sourceID=14","3.7")</f>
        <v>3.7</v>
      </c>
      <c r="G5431" s="4" t="str">
        <f>HYPERLINK("http://141.218.60.56/~jnz1568/getInfo.php?workbook=12_05.xlsx&amp;sheet=U0&amp;row=5431&amp;col=7&amp;number=0.00206&amp;sourceID=14","0.00206")</f>
        <v>0.00206</v>
      </c>
    </row>
    <row r="5432" spans="1:7">
      <c r="A5432" s="3"/>
      <c r="B5432" s="3"/>
      <c r="C5432" s="3"/>
      <c r="D5432" s="3"/>
      <c r="E5432" s="3">
        <v>9</v>
      </c>
      <c r="F5432" s="4" t="str">
        <f>HYPERLINK("http://141.218.60.56/~jnz1568/getInfo.php?workbook=12_05.xlsx&amp;sheet=U0&amp;row=5432&amp;col=6&amp;number=3.8&amp;sourceID=14","3.8")</f>
        <v>3.8</v>
      </c>
      <c r="G5432" s="4" t="str">
        <f>HYPERLINK("http://141.218.60.56/~jnz1568/getInfo.php?workbook=12_05.xlsx&amp;sheet=U0&amp;row=5432&amp;col=7&amp;number=0.00206&amp;sourceID=14","0.00206")</f>
        <v>0.00206</v>
      </c>
    </row>
    <row r="5433" spans="1:7">
      <c r="A5433" s="3"/>
      <c r="B5433" s="3"/>
      <c r="C5433" s="3"/>
      <c r="D5433" s="3"/>
      <c r="E5433" s="3">
        <v>10</v>
      </c>
      <c r="F5433" s="4" t="str">
        <f>HYPERLINK("http://141.218.60.56/~jnz1568/getInfo.php?workbook=12_05.xlsx&amp;sheet=U0&amp;row=5433&amp;col=6&amp;number=3.9&amp;sourceID=14","3.9")</f>
        <v>3.9</v>
      </c>
      <c r="G5433" s="4" t="str">
        <f>HYPERLINK("http://141.218.60.56/~jnz1568/getInfo.php?workbook=12_05.xlsx&amp;sheet=U0&amp;row=5433&amp;col=7&amp;number=0.00206&amp;sourceID=14","0.00206")</f>
        <v>0.00206</v>
      </c>
    </row>
    <row r="5434" spans="1:7">
      <c r="A5434" s="3"/>
      <c r="B5434" s="3"/>
      <c r="C5434" s="3"/>
      <c r="D5434" s="3"/>
      <c r="E5434" s="3">
        <v>11</v>
      </c>
      <c r="F5434" s="4" t="str">
        <f>HYPERLINK("http://141.218.60.56/~jnz1568/getInfo.php?workbook=12_05.xlsx&amp;sheet=U0&amp;row=5434&amp;col=6&amp;number=4&amp;sourceID=14","4")</f>
        <v>4</v>
      </c>
      <c r="G5434" s="4" t="str">
        <f>HYPERLINK("http://141.218.60.56/~jnz1568/getInfo.php?workbook=12_05.xlsx&amp;sheet=U0&amp;row=5434&amp;col=7&amp;number=0.00206&amp;sourceID=14","0.00206")</f>
        <v>0.00206</v>
      </c>
    </row>
    <row r="5435" spans="1:7">
      <c r="A5435" s="3"/>
      <c r="B5435" s="3"/>
      <c r="C5435" s="3"/>
      <c r="D5435" s="3"/>
      <c r="E5435" s="3">
        <v>12</v>
      </c>
      <c r="F5435" s="4" t="str">
        <f>HYPERLINK("http://141.218.60.56/~jnz1568/getInfo.php?workbook=12_05.xlsx&amp;sheet=U0&amp;row=5435&amp;col=6&amp;number=4.1&amp;sourceID=14","4.1")</f>
        <v>4.1</v>
      </c>
      <c r="G5435" s="4" t="str">
        <f>HYPERLINK("http://141.218.60.56/~jnz1568/getInfo.php?workbook=12_05.xlsx&amp;sheet=U0&amp;row=5435&amp;col=7&amp;number=0.00206&amp;sourceID=14","0.00206")</f>
        <v>0.00206</v>
      </c>
    </row>
    <row r="5436" spans="1:7">
      <c r="A5436" s="3"/>
      <c r="B5436" s="3"/>
      <c r="C5436" s="3"/>
      <c r="D5436" s="3"/>
      <c r="E5436" s="3">
        <v>13</v>
      </c>
      <c r="F5436" s="4" t="str">
        <f>HYPERLINK("http://141.218.60.56/~jnz1568/getInfo.php?workbook=12_05.xlsx&amp;sheet=U0&amp;row=5436&amp;col=6&amp;number=4.2&amp;sourceID=14","4.2")</f>
        <v>4.2</v>
      </c>
      <c r="G5436" s="4" t="str">
        <f>HYPERLINK("http://141.218.60.56/~jnz1568/getInfo.php?workbook=12_05.xlsx&amp;sheet=U0&amp;row=5436&amp;col=7&amp;number=0.00206&amp;sourceID=14","0.00206")</f>
        <v>0.00206</v>
      </c>
    </row>
    <row r="5437" spans="1:7">
      <c r="A5437" s="3"/>
      <c r="B5437" s="3"/>
      <c r="C5437" s="3"/>
      <c r="D5437" s="3"/>
      <c r="E5437" s="3">
        <v>14</v>
      </c>
      <c r="F5437" s="4" t="str">
        <f>HYPERLINK("http://141.218.60.56/~jnz1568/getInfo.php?workbook=12_05.xlsx&amp;sheet=U0&amp;row=5437&amp;col=6&amp;number=4.3&amp;sourceID=14","4.3")</f>
        <v>4.3</v>
      </c>
      <c r="G5437" s="4" t="str">
        <f>HYPERLINK("http://141.218.60.56/~jnz1568/getInfo.php?workbook=12_05.xlsx&amp;sheet=U0&amp;row=5437&amp;col=7&amp;number=0.00206&amp;sourceID=14","0.00206")</f>
        <v>0.00206</v>
      </c>
    </row>
    <row r="5438" spans="1:7">
      <c r="A5438" s="3"/>
      <c r="B5438" s="3"/>
      <c r="C5438" s="3"/>
      <c r="D5438" s="3"/>
      <c r="E5438" s="3">
        <v>15</v>
      </c>
      <c r="F5438" s="4" t="str">
        <f>HYPERLINK("http://141.218.60.56/~jnz1568/getInfo.php?workbook=12_05.xlsx&amp;sheet=U0&amp;row=5438&amp;col=6&amp;number=4.4&amp;sourceID=14","4.4")</f>
        <v>4.4</v>
      </c>
      <c r="G5438" s="4" t="str">
        <f>HYPERLINK("http://141.218.60.56/~jnz1568/getInfo.php?workbook=12_05.xlsx&amp;sheet=U0&amp;row=5438&amp;col=7&amp;number=0.00206&amp;sourceID=14","0.00206")</f>
        <v>0.00206</v>
      </c>
    </row>
    <row r="5439" spans="1:7">
      <c r="A5439" s="3"/>
      <c r="B5439" s="3"/>
      <c r="C5439" s="3"/>
      <c r="D5439" s="3"/>
      <c r="E5439" s="3">
        <v>16</v>
      </c>
      <c r="F5439" s="4" t="str">
        <f>HYPERLINK("http://141.218.60.56/~jnz1568/getInfo.php?workbook=12_05.xlsx&amp;sheet=U0&amp;row=5439&amp;col=6&amp;number=4.5&amp;sourceID=14","4.5")</f>
        <v>4.5</v>
      </c>
      <c r="G5439" s="4" t="str">
        <f>HYPERLINK("http://141.218.60.56/~jnz1568/getInfo.php?workbook=12_05.xlsx&amp;sheet=U0&amp;row=5439&amp;col=7&amp;number=0.00206&amp;sourceID=14","0.00206")</f>
        <v>0.00206</v>
      </c>
    </row>
    <row r="5440" spans="1:7">
      <c r="A5440" s="3"/>
      <c r="B5440" s="3"/>
      <c r="C5440" s="3"/>
      <c r="D5440" s="3"/>
      <c r="E5440" s="3">
        <v>17</v>
      </c>
      <c r="F5440" s="4" t="str">
        <f>HYPERLINK("http://141.218.60.56/~jnz1568/getInfo.php?workbook=12_05.xlsx&amp;sheet=U0&amp;row=5440&amp;col=6&amp;number=4.6&amp;sourceID=14","4.6")</f>
        <v>4.6</v>
      </c>
      <c r="G5440" s="4" t="str">
        <f>HYPERLINK("http://141.218.60.56/~jnz1568/getInfo.php?workbook=12_05.xlsx&amp;sheet=U0&amp;row=5440&amp;col=7&amp;number=0.00206&amp;sourceID=14","0.00206")</f>
        <v>0.00206</v>
      </c>
    </row>
    <row r="5441" spans="1:7">
      <c r="A5441" s="3"/>
      <c r="B5441" s="3"/>
      <c r="C5441" s="3"/>
      <c r="D5441" s="3"/>
      <c r="E5441" s="3">
        <v>18</v>
      </c>
      <c r="F5441" s="4" t="str">
        <f>HYPERLINK("http://141.218.60.56/~jnz1568/getInfo.php?workbook=12_05.xlsx&amp;sheet=U0&amp;row=5441&amp;col=6&amp;number=4.7&amp;sourceID=14","4.7")</f>
        <v>4.7</v>
      </c>
      <c r="G5441" s="4" t="str">
        <f>HYPERLINK("http://141.218.60.56/~jnz1568/getInfo.php?workbook=12_05.xlsx&amp;sheet=U0&amp;row=5441&amp;col=7&amp;number=0.00206&amp;sourceID=14","0.00206")</f>
        <v>0.00206</v>
      </c>
    </row>
    <row r="5442" spans="1:7">
      <c r="A5442" s="3"/>
      <c r="B5442" s="3"/>
      <c r="C5442" s="3"/>
      <c r="D5442" s="3"/>
      <c r="E5442" s="3">
        <v>19</v>
      </c>
      <c r="F5442" s="4" t="str">
        <f>HYPERLINK("http://141.218.60.56/~jnz1568/getInfo.php?workbook=12_05.xlsx&amp;sheet=U0&amp;row=5442&amp;col=6&amp;number=4.8&amp;sourceID=14","4.8")</f>
        <v>4.8</v>
      </c>
      <c r="G5442" s="4" t="str">
        <f>HYPERLINK("http://141.218.60.56/~jnz1568/getInfo.php?workbook=12_05.xlsx&amp;sheet=U0&amp;row=5442&amp;col=7&amp;number=0.00206&amp;sourceID=14","0.00206")</f>
        <v>0.00206</v>
      </c>
    </row>
    <row r="5443" spans="1:7">
      <c r="A5443" s="3"/>
      <c r="B5443" s="3"/>
      <c r="C5443" s="3"/>
      <c r="D5443" s="3"/>
      <c r="E5443" s="3">
        <v>20</v>
      </c>
      <c r="F5443" s="4" t="str">
        <f>HYPERLINK("http://141.218.60.56/~jnz1568/getInfo.php?workbook=12_05.xlsx&amp;sheet=U0&amp;row=5443&amp;col=6&amp;number=4.9&amp;sourceID=14","4.9")</f>
        <v>4.9</v>
      </c>
      <c r="G5443" s="4" t="str">
        <f>HYPERLINK("http://141.218.60.56/~jnz1568/getInfo.php?workbook=12_05.xlsx&amp;sheet=U0&amp;row=5443&amp;col=7&amp;number=0.00206&amp;sourceID=14","0.00206")</f>
        <v>0.00206</v>
      </c>
    </row>
    <row r="5444" spans="1:7">
      <c r="A5444" s="3">
        <v>12</v>
      </c>
      <c r="B5444" s="3">
        <v>5</v>
      </c>
      <c r="C5444" s="3">
        <v>4</v>
      </c>
      <c r="D5444" s="3">
        <v>17</v>
      </c>
      <c r="E5444" s="3">
        <v>1</v>
      </c>
      <c r="F5444" s="4" t="str">
        <f>HYPERLINK("http://141.218.60.56/~jnz1568/getInfo.php?workbook=12_05.xlsx&amp;sheet=U0&amp;row=5444&amp;col=6&amp;number=3&amp;sourceID=14","3")</f>
        <v>3</v>
      </c>
      <c r="G5444" s="4" t="str">
        <f>HYPERLINK("http://141.218.60.56/~jnz1568/getInfo.php?workbook=12_05.xlsx&amp;sheet=U0&amp;row=5444&amp;col=7&amp;number=0.0152&amp;sourceID=14","0.0152")</f>
        <v>0.0152</v>
      </c>
    </row>
    <row r="5445" spans="1:7">
      <c r="A5445" s="3"/>
      <c r="B5445" s="3"/>
      <c r="C5445" s="3"/>
      <c r="D5445" s="3"/>
      <c r="E5445" s="3">
        <v>2</v>
      </c>
      <c r="F5445" s="4" t="str">
        <f>HYPERLINK("http://141.218.60.56/~jnz1568/getInfo.php?workbook=12_05.xlsx&amp;sheet=U0&amp;row=5445&amp;col=6&amp;number=3.1&amp;sourceID=14","3.1")</f>
        <v>3.1</v>
      </c>
      <c r="G5445" s="4" t="str">
        <f>HYPERLINK("http://141.218.60.56/~jnz1568/getInfo.php?workbook=12_05.xlsx&amp;sheet=U0&amp;row=5445&amp;col=7&amp;number=0.0152&amp;sourceID=14","0.0152")</f>
        <v>0.0152</v>
      </c>
    </row>
    <row r="5446" spans="1:7">
      <c r="A5446" s="3"/>
      <c r="B5446" s="3"/>
      <c r="C5446" s="3"/>
      <c r="D5446" s="3"/>
      <c r="E5446" s="3">
        <v>3</v>
      </c>
      <c r="F5446" s="4" t="str">
        <f>HYPERLINK("http://141.218.60.56/~jnz1568/getInfo.php?workbook=12_05.xlsx&amp;sheet=U0&amp;row=5446&amp;col=6&amp;number=3.2&amp;sourceID=14","3.2")</f>
        <v>3.2</v>
      </c>
      <c r="G5446" s="4" t="str">
        <f>HYPERLINK("http://141.218.60.56/~jnz1568/getInfo.php?workbook=12_05.xlsx&amp;sheet=U0&amp;row=5446&amp;col=7&amp;number=0.0152&amp;sourceID=14","0.0152")</f>
        <v>0.0152</v>
      </c>
    </row>
    <row r="5447" spans="1:7">
      <c r="A5447" s="3"/>
      <c r="B5447" s="3"/>
      <c r="C5447" s="3"/>
      <c r="D5447" s="3"/>
      <c r="E5447" s="3">
        <v>4</v>
      </c>
      <c r="F5447" s="4" t="str">
        <f>HYPERLINK("http://141.218.60.56/~jnz1568/getInfo.php?workbook=12_05.xlsx&amp;sheet=U0&amp;row=5447&amp;col=6&amp;number=3.3&amp;sourceID=14","3.3")</f>
        <v>3.3</v>
      </c>
      <c r="G5447" s="4" t="str">
        <f>HYPERLINK("http://141.218.60.56/~jnz1568/getInfo.php?workbook=12_05.xlsx&amp;sheet=U0&amp;row=5447&amp;col=7&amp;number=0.0152&amp;sourceID=14","0.0152")</f>
        <v>0.0152</v>
      </c>
    </row>
    <row r="5448" spans="1:7">
      <c r="A5448" s="3"/>
      <c r="B5448" s="3"/>
      <c r="C5448" s="3"/>
      <c r="D5448" s="3"/>
      <c r="E5448" s="3">
        <v>5</v>
      </c>
      <c r="F5448" s="4" t="str">
        <f>HYPERLINK("http://141.218.60.56/~jnz1568/getInfo.php?workbook=12_05.xlsx&amp;sheet=U0&amp;row=5448&amp;col=6&amp;number=3.4&amp;sourceID=14","3.4")</f>
        <v>3.4</v>
      </c>
      <c r="G5448" s="4" t="str">
        <f>HYPERLINK("http://141.218.60.56/~jnz1568/getInfo.php?workbook=12_05.xlsx&amp;sheet=U0&amp;row=5448&amp;col=7&amp;number=0.0152&amp;sourceID=14","0.0152")</f>
        <v>0.0152</v>
      </c>
    </row>
    <row r="5449" spans="1:7">
      <c r="A5449" s="3"/>
      <c r="B5449" s="3"/>
      <c r="C5449" s="3"/>
      <c r="D5449" s="3"/>
      <c r="E5449" s="3">
        <v>6</v>
      </c>
      <c r="F5449" s="4" t="str">
        <f>HYPERLINK("http://141.218.60.56/~jnz1568/getInfo.php?workbook=12_05.xlsx&amp;sheet=U0&amp;row=5449&amp;col=6&amp;number=3.5&amp;sourceID=14","3.5")</f>
        <v>3.5</v>
      </c>
      <c r="G5449" s="4" t="str">
        <f>HYPERLINK("http://141.218.60.56/~jnz1568/getInfo.php?workbook=12_05.xlsx&amp;sheet=U0&amp;row=5449&amp;col=7&amp;number=0.0152&amp;sourceID=14","0.0152")</f>
        <v>0.0152</v>
      </c>
    </row>
    <row r="5450" spans="1:7">
      <c r="A5450" s="3"/>
      <c r="B5450" s="3"/>
      <c r="C5450" s="3"/>
      <c r="D5450" s="3"/>
      <c r="E5450" s="3">
        <v>7</v>
      </c>
      <c r="F5450" s="4" t="str">
        <f>HYPERLINK("http://141.218.60.56/~jnz1568/getInfo.php?workbook=12_05.xlsx&amp;sheet=U0&amp;row=5450&amp;col=6&amp;number=3.6&amp;sourceID=14","3.6")</f>
        <v>3.6</v>
      </c>
      <c r="G5450" s="4" t="str">
        <f>HYPERLINK("http://141.218.60.56/~jnz1568/getInfo.php?workbook=12_05.xlsx&amp;sheet=U0&amp;row=5450&amp;col=7&amp;number=0.0152&amp;sourceID=14","0.0152")</f>
        <v>0.0152</v>
      </c>
    </row>
    <row r="5451" spans="1:7">
      <c r="A5451" s="3"/>
      <c r="B5451" s="3"/>
      <c r="C5451" s="3"/>
      <c r="D5451" s="3"/>
      <c r="E5451" s="3">
        <v>8</v>
      </c>
      <c r="F5451" s="4" t="str">
        <f>HYPERLINK("http://141.218.60.56/~jnz1568/getInfo.php?workbook=12_05.xlsx&amp;sheet=U0&amp;row=5451&amp;col=6&amp;number=3.7&amp;sourceID=14","3.7")</f>
        <v>3.7</v>
      </c>
      <c r="G5451" s="4" t="str">
        <f>HYPERLINK("http://141.218.60.56/~jnz1568/getInfo.php?workbook=12_05.xlsx&amp;sheet=U0&amp;row=5451&amp;col=7&amp;number=0.0152&amp;sourceID=14","0.0152")</f>
        <v>0.0152</v>
      </c>
    </row>
    <row r="5452" spans="1:7">
      <c r="A5452" s="3"/>
      <c r="B5452" s="3"/>
      <c r="C5452" s="3"/>
      <c r="D5452" s="3"/>
      <c r="E5452" s="3">
        <v>9</v>
      </c>
      <c r="F5452" s="4" t="str">
        <f>HYPERLINK("http://141.218.60.56/~jnz1568/getInfo.php?workbook=12_05.xlsx&amp;sheet=U0&amp;row=5452&amp;col=6&amp;number=3.8&amp;sourceID=14","3.8")</f>
        <v>3.8</v>
      </c>
      <c r="G5452" s="4" t="str">
        <f>HYPERLINK("http://141.218.60.56/~jnz1568/getInfo.php?workbook=12_05.xlsx&amp;sheet=U0&amp;row=5452&amp;col=7&amp;number=0.0152&amp;sourceID=14","0.0152")</f>
        <v>0.0152</v>
      </c>
    </row>
    <row r="5453" spans="1:7">
      <c r="A5453" s="3"/>
      <c r="B5453" s="3"/>
      <c r="C5453" s="3"/>
      <c r="D5453" s="3"/>
      <c r="E5453" s="3">
        <v>10</v>
      </c>
      <c r="F5453" s="4" t="str">
        <f>HYPERLINK("http://141.218.60.56/~jnz1568/getInfo.php?workbook=12_05.xlsx&amp;sheet=U0&amp;row=5453&amp;col=6&amp;number=3.9&amp;sourceID=14","3.9")</f>
        <v>3.9</v>
      </c>
      <c r="G5453" s="4" t="str">
        <f>HYPERLINK("http://141.218.60.56/~jnz1568/getInfo.php?workbook=12_05.xlsx&amp;sheet=U0&amp;row=5453&amp;col=7&amp;number=0.0152&amp;sourceID=14","0.0152")</f>
        <v>0.0152</v>
      </c>
    </row>
    <row r="5454" spans="1:7">
      <c r="A5454" s="3"/>
      <c r="B5454" s="3"/>
      <c r="C5454" s="3"/>
      <c r="D5454" s="3"/>
      <c r="E5454" s="3">
        <v>11</v>
      </c>
      <c r="F5454" s="4" t="str">
        <f>HYPERLINK("http://141.218.60.56/~jnz1568/getInfo.php?workbook=12_05.xlsx&amp;sheet=U0&amp;row=5454&amp;col=6&amp;number=4&amp;sourceID=14","4")</f>
        <v>4</v>
      </c>
      <c r="G5454" s="4" t="str">
        <f>HYPERLINK("http://141.218.60.56/~jnz1568/getInfo.php?workbook=12_05.xlsx&amp;sheet=U0&amp;row=5454&amp;col=7&amp;number=0.0152&amp;sourceID=14","0.0152")</f>
        <v>0.0152</v>
      </c>
    </row>
    <row r="5455" spans="1:7">
      <c r="A5455" s="3"/>
      <c r="B5455" s="3"/>
      <c r="C5455" s="3"/>
      <c r="D5455" s="3"/>
      <c r="E5455" s="3">
        <v>12</v>
      </c>
      <c r="F5455" s="4" t="str">
        <f>HYPERLINK("http://141.218.60.56/~jnz1568/getInfo.php?workbook=12_05.xlsx&amp;sheet=U0&amp;row=5455&amp;col=6&amp;number=4.1&amp;sourceID=14","4.1")</f>
        <v>4.1</v>
      </c>
      <c r="G5455" s="4" t="str">
        <f>HYPERLINK("http://141.218.60.56/~jnz1568/getInfo.php?workbook=12_05.xlsx&amp;sheet=U0&amp;row=5455&amp;col=7&amp;number=0.0151&amp;sourceID=14","0.0151")</f>
        <v>0.0151</v>
      </c>
    </row>
    <row r="5456" spans="1:7">
      <c r="A5456" s="3"/>
      <c r="B5456" s="3"/>
      <c r="C5456" s="3"/>
      <c r="D5456" s="3"/>
      <c r="E5456" s="3">
        <v>13</v>
      </c>
      <c r="F5456" s="4" t="str">
        <f>HYPERLINK("http://141.218.60.56/~jnz1568/getInfo.php?workbook=12_05.xlsx&amp;sheet=U0&amp;row=5456&amp;col=6&amp;number=4.2&amp;sourceID=14","4.2")</f>
        <v>4.2</v>
      </c>
      <c r="G5456" s="4" t="str">
        <f>HYPERLINK("http://141.218.60.56/~jnz1568/getInfo.php?workbook=12_05.xlsx&amp;sheet=U0&amp;row=5456&amp;col=7&amp;number=0.0151&amp;sourceID=14","0.0151")</f>
        <v>0.0151</v>
      </c>
    </row>
    <row r="5457" spans="1:7">
      <c r="A5457" s="3"/>
      <c r="B5457" s="3"/>
      <c r="C5457" s="3"/>
      <c r="D5457" s="3"/>
      <c r="E5457" s="3">
        <v>14</v>
      </c>
      <c r="F5457" s="4" t="str">
        <f>HYPERLINK("http://141.218.60.56/~jnz1568/getInfo.php?workbook=12_05.xlsx&amp;sheet=U0&amp;row=5457&amp;col=6&amp;number=4.3&amp;sourceID=14","4.3")</f>
        <v>4.3</v>
      </c>
      <c r="G5457" s="4" t="str">
        <f>HYPERLINK("http://141.218.60.56/~jnz1568/getInfo.php?workbook=12_05.xlsx&amp;sheet=U0&amp;row=5457&amp;col=7&amp;number=0.0151&amp;sourceID=14","0.0151")</f>
        <v>0.0151</v>
      </c>
    </row>
    <row r="5458" spans="1:7">
      <c r="A5458" s="3"/>
      <c r="B5458" s="3"/>
      <c r="C5458" s="3"/>
      <c r="D5458" s="3"/>
      <c r="E5458" s="3">
        <v>15</v>
      </c>
      <c r="F5458" s="4" t="str">
        <f>HYPERLINK("http://141.218.60.56/~jnz1568/getInfo.php?workbook=12_05.xlsx&amp;sheet=U0&amp;row=5458&amp;col=6&amp;number=4.4&amp;sourceID=14","4.4")</f>
        <v>4.4</v>
      </c>
      <c r="G5458" s="4" t="str">
        <f>HYPERLINK("http://141.218.60.56/~jnz1568/getInfo.php?workbook=12_05.xlsx&amp;sheet=U0&amp;row=5458&amp;col=7&amp;number=0.015&amp;sourceID=14","0.015")</f>
        <v>0.015</v>
      </c>
    </row>
    <row r="5459" spans="1:7">
      <c r="A5459" s="3"/>
      <c r="B5459" s="3"/>
      <c r="C5459" s="3"/>
      <c r="D5459" s="3"/>
      <c r="E5459" s="3">
        <v>16</v>
      </c>
      <c r="F5459" s="4" t="str">
        <f>HYPERLINK("http://141.218.60.56/~jnz1568/getInfo.php?workbook=12_05.xlsx&amp;sheet=U0&amp;row=5459&amp;col=6&amp;number=4.5&amp;sourceID=14","4.5")</f>
        <v>4.5</v>
      </c>
      <c r="G5459" s="4" t="str">
        <f>HYPERLINK("http://141.218.60.56/~jnz1568/getInfo.php?workbook=12_05.xlsx&amp;sheet=U0&amp;row=5459&amp;col=7&amp;number=0.0149&amp;sourceID=14","0.0149")</f>
        <v>0.0149</v>
      </c>
    </row>
    <row r="5460" spans="1:7">
      <c r="A5460" s="3"/>
      <c r="B5460" s="3"/>
      <c r="C5460" s="3"/>
      <c r="D5460" s="3"/>
      <c r="E5460" s="3">
        <v>17</v>
      </c>
      <c r="F5460" s="4" t="str">
        <f>HYPERLINK("http://141.218.60.56/~jnz1568/getInfo.php?workbook=12_05.xlsx&amp;sheet=U0&amp;row=5460&amp;col=6&amp;number=4.6&amp;sourceID=14","4.6")</f>
        <v>4.6</v>
      </c>
      <c r="G5460" s="4" t="str">
        <f>HYPERLINK("http://141.218.60.56/~jnz1568/getInfo.php?workbook=12_05.xlsx&amp;sheet=U0&amp;row=5460&amp;col=7&amp;number=0.0149&amp;sourceID=14","0.0149")</f>
        <v>0.0149</v>
      </c>
    </row>
    <row r="5461" spans="1:7">
      <c r="A5461" s="3"/>
      <c r="B5461" s="3"/>
      <c r="C5461" s="3"/>
      <c r="D5461" s="3"/>
      <c r="E5461" s="3">
        <v>18</v>
      </c>
      <c r="F5461" s="4" t="str">
        <f>HYPERLINK("http://141.218.60.56/~jnz1568/getInfo.php?workbook=12_05.xlsx&amp;sheet=U0&amp;row=5461&amp;col=6&amp;number=4.7&amp;sourceID=14","4.7")</f>
        <v>4.7</v>
      </c>
      <c r="G5461" s="4" t="str">
        <f>HYPERLINK("http://141.218.60.56/~jnz1568/getInfo.php?workbook=12_05.xlsx&amp;sheet=U0&amp;row=5461&amp;col=7&amp;number=0.0148&amp;sourceID=14","0.0148")</f>
        <v>0.0148</v>
      </c>
    </row>
    <row r="5462" spans="1:7">
      <c r="A5462" s="3"/>
      <c r="B5462" s="3"/>
      <c r="C5462" s="3"/>
      <c r="D5462" s="3"/>
      <c r="E5462" s="3">
        <v>19</v>
      </c>
      <c r="F5462" s="4" t="str">
        <f>HYPERLINK("http://141.218.60.56/~jnz1568/getInfo.php?workbook=12_05.xlsx&amp;sheet=U0&amp;row=5462&amp;col=6&amp;number=4.8&amp;sourceID=14","4.8")</f>
        <v>4.8</v>
      </c>
      <c r="G5462" s="4" t="str">
        <f>HYPERLINK("http://141.218.60.56/~jnz1568/getInfo.php?workbook=12_05.xlsx&amp;sheet=U0&amp;row=5462&amp;col=7&amp;number=0.0147&amp;sourceID=14","0.0147")</f>
        <v>0.0147</v>
      </c>
    </row>
    <row r="5463" spans="1:7">
      <c r="A5463" s="3"/>
      <c r="B5463" s="3"/>
      <c r="C5463" s="3"/>
      <c r="D5463" s="3"/>
      <c r="E5463" s="3">
        <v>20</v>
      </c>
      <c r="F5463" s="4" t="str">
        <f>HYPERLINK("http://141.218.60.56/~jnz1568/getInfo.php?workbook=12_05.xlsx&amp;sheet=U0&amp;row=5463&amp;col=6&amp;number=4.9&amp;sourceID=14","4.9")</f>
        <v>4.9</v>
      </c>
      <c r="G5463" s="4" t="str">
        <f>HYPERLINK("http://141.218.60.56/~jnz1568/getInfo.php?workbook=12_05.xlsx&amp;sheet=U0&amp;row=5463&amp;col=7&amp;number=0.0145&amp;sourceID=14","0.0145")</f>
        <v>0.0145</v>
      </c>
    </row>
    <row r="5464" spans="1:7">
      <c r="A5464" s="3">
        <v>12</v>
      </c>
      <c r="B5464" s="3">
        <v>5</v>
      </c>
      <c r="C5464" s="3">
        <v>4</v>
      </c>
      <c r="D5464" s="3">
        <v>18</v>
      </c>
      <c r="E5464" s="3">
        <v>1</v>
      </c>
      <c r="F5464" s="4" t="str">
        <f>HYPERLINK("http://141.218.60.56/~jnz1568/getInfo.php?workbook=12_05.xlsx&amp;sheet=U0&amp;row=5464&amp;col=6&amp;number=3&amp;sourceID=14","3")</f>
        <v>3</v>
      </c>
      <c r="G5464" s="4" t="str">
        <f>HYPERLINK("http://141.218.60.56/~jnz1568/getInfo.php?workbook=12_05.xlsx&amp;sheet=U0&amp;row=5464&amp;col=7&amp;number=0.00882&amp;sourceID=14","0.00882")</f>
        <v>0.00882</v>
      </c>
    </row>
    <row r="5465" spans="1:7">
      <c r="A5465" s="3"/>
      <c r="B5465" s="3"/>
      <c r="C5465" s="3"/>
      <c r="D5465" s="3"/>
      <c r="E5465" s="3">
        <v>2</v>
      </c>
      <c r="F5465" s="4" t="str">
        <f>HYPERLINK("http://141.218.60.56/~jnz1568/getInfo.php?workbook=12_05.xlsx&amp;sheet=U0&amp;row=5465&amp;col=6&amp;number=3.1&amp;sourceID=14","3.1")</f>
        <v>3.1</v>
      </c>
      <c r="G5465" s="4" t="str">
        <f>HYPERLINK("http://141.218.60.56/~jnz1568/getInfo.php?workbook=12_05.xlsx&amp;sheet=U0&amp;row=5465&amp;col=7&amp;number=0.00882&amp;sourceID=14","0.00882")</f>
        <v>0.00882</v>
      </c>
    </row>
    <row r="5466" spans="1:7">
      <c r="A5466" s="3"/>
      <c r="B5466" s="3"/>
      <c r="C5466" s="3"/>
      <c r="D5466" s="3"/>
      <c r="E5466" s="3">
        <v>3</v>
      </c>
      <c r="F5466" s="4" t="str">
        <f>HYPERLINK("http://141.218.60.56/~jnz1568/getInfo.php?workbook=12_05.xlsx&amp;sheet=U0&amp;row=5466&amp;col=6&amp;number=3.2&amp;sourceID=14","3.2")</f>
        <v>3.2</v>
      </c>
      <c r="G5466" s="4" t="str">
        <f>HYPERLINK("http://141.218.60.56/~jnz1568/getInfo.php?workbook=12_05.xlsx&amp;sheet=U0&amp;row=5466&amp;col=7&amp;number=0.00882&amp;sourceID=14","0.00882")</f>
        <v>0.00882</v>
      </c>
    </row>
    <row r="5467" spans="1:7">
      <c r="A5467" s="3"/>
      <c r="B5467" s="3"/>
      <c r="C5467" s="3"/>
      <c r="D5467" s="3"/>
      <c r="E5467" s="3">
        <v>4</v>
      </c>
      <c r="F5467" s="4" t="str">
        <f>HYPERLINK("http://141.218.60.56/~jnz1568/getInfo.php?workbook=12_05.xlsx&amp;sheet=U0&amp;row=5467&amp;col=6&amp;number=3.3&amp;sourceID=14","3.3")</f>
        <v>3.3</v>
      </c>
      <c r="G5467" s="4" t="str">
        <f>HYPERLINK("http://141.218.60.56/~jnz1568/getInfo.php?workbook=12_05.xlsx&amp;sheet=U0&amp;row=5467&amp;col=7&amp;number=0.00882&amp;sourceID=14","0.00882")</f>
        <v>0.00882</v>
      </c>
    </row>
    <row r="5468" spans="1:7">
      <c r="A5468" s="3"/>
      <c r="B5468" s="3"/>
      <c r="C5468" s="3"/>
      <c r="D5468" s="3"/>
      <c r="E5468" s="3">
        <v>5</v>
      </c>
      <c r="F5468" s="4" t="str">
        <f>HYPERLINK("http://141.218.60.56/~jnz1568/getInfo.php?workbook=12_05.xlsx&amp;sheet=U0&amp;row=5468&amp;col=6&amp;number=3.4&amp;sourceID=14","3.4")</f>
        <v>3.4</v>
      </c>
      <c r="G5468" s="4" t="str">
        <f>HYPERLINK("http://141.218.60.56/~jnz1568/getInfo.php?workbook=12_05.xlsx&amp;sheet=U0&amp;row=5468&amp;col=7&amp;number=0.00882&amp;sourceID=14","0.00882")</f>
        <v>0.00882</v>
      </c>
    </row>
    <row r="5469" spans="1:7">
      <c r="A5469" s="3"/>
      <c r="B5469" s="3"/>
      <c r="C5469" s="3"/>
      <c r="D5469" s="3"/>
      <c r="E5469" s="3">
        <v>6</v>
      </c>
      <c r="F5469" s="4" t="str">
        <f>HYPERLINK("http://141.218.60.56/~jnz1568/getInfo.php?workbook=12_05.xlsx&amp;sheet=U0&amp;row=5469&amp;col=6&amp;number=3.5&amp;sourceID=14","3.5")</f>
        <v>3.5</v>
      </c>
      <c r="G5469" s="4" t="str">
        <f>HYPERLINK("http://141.218.60.56/~jnz1568/getInfo.php?workbook=12_05.xlsx&amp;sheet=U0&amp;row=5469&amp;col=7&amp;number=0.00882&amp;sourceID=14","0.00882")</f>
        <v>0.00882</v>
      </c>
    </row>
    <row r="5470" spans="1:7">
      <c r="A5470" s="3"/>
      <c r="B5470" s="3"/>
      <c r="C5470" s="3"/>
      <c r="D5470" s="3"/>
      <c r="E5470" s="3">
        <v>7</v>
      </c>
      <c r="F5470" s="4" t="str">
        <f>HYPERLINK("http://141.218.60.56/~jnz1568/getInfo.php?workbook=12_05.xlsx&amp;sheet=U0&amp;row=5470&amp;col=6&amp;number=3.6&amp;sourceID=14","3.6")</f>
        <v>3.6</v>
      </c>
      <c r="G5470" s="4" t="str">
        <f>HYPERLINK("http://141.218.60.56/~jnz1568/getInfo.php?workbook=12_05.xlsx&amp;sheet=U0&amp;row=5470&amp;col=7&amp;number=0.00882&amp;sourceID=14","0.00882")</f>
        <v>0.00882</v>
      </c>
    </row>
    <row r="5471" spans="1:7">
      <c r="A5471" s="3"/>
      <c r="B5471" s="3"/>
      <c r="C5471" s="3"/>
      <c r="D5471" s="3"/>
      <c r="E5471" s="3">
        <v>8</v>
      </c>
      <c r="F5471" s="4" t="str">
        <f>HYPERLINK("http://141.218.60.56/~jnz1568/getInfo.php?workbook=12_05.xlsx&amp;sheet=U0&amp;row=5471&amp;col=6&amp;number=3.7&amp;sourceID=14","3.7")</f>
        <v>3.7</v>
      </c>
      <c r="G5471" s="4" t="str">
        <f>HYPERLINK("http://141.218.60.56/~jnz1568/getInfo.php?workbook=12_05.xlsx&amp;sheet=U0&amp;row=5471&amp;col=7&amp;number=0.00882&amp;sourceID=14","0.00882")</f>
        <v>0.00882</v>
      </c>
    </row>
    <row r="5472" spans="1:7">
      <c r="A5472" s="3"/>
      <c r="B5472" s="3"/>
      <c r="C5472" s="3"/>
      <c r="D5472" s="3"/>
      <c r="E5472" s="3">
        <v>9</v>
      </c>
      <c r="F5472" s="4" t="str">
        <f>HYPERLINK("http://141.218.60.56/~jnz1568/getInfo.php?workbook=12_05.xlsx&amp;sheet=U0&amp;row=5472&amp;col=6&amp;number=3.8&amp;sourceID=14","3.8")</f>
        <v>3.8</v>
      </c>
      <c r="G5472" s="4" t="str">
        <f>HYPERLINK("http://141.218.60.56/~jnz1568/getInfo.php?workbook=12_05.xlsx&amp;sheet=U0&amp;row=5472&amp;col=7&amp;number=0.00882&amp;sourceID=14","0.00882")</f>
        <v>0.00882</v>
      </c>
    </row>
    <row r="5473" spans="1:7">
      <c r="A5473" s="3"/>
      <c r="B5473" s="3"/>
      <c r="C5473" s="3"/>
      <c r="D5473" s="3"/>
      <c r="E5473" s="3">
        <v>10</v>
      </c>
      <c r="F5473" s="4" t="str">
        <f>HYPERLINK("http://141.218.60.56/~jnz1568/getInfo.php?workbook=12_05.xlsx&amp;sheet=U0&amp;row=5473&amp;col=6&amp;number=3.9&amp;sourceID=14","3.9")</f>
        <v>3.9</v>
      </c>
      <c r="G5473" s="4" t="str">
        <f>HYPERLINK("http://141.218.60.56/~jnz1568/getInfo.php?workbook=12_05.xlsx&amp;sheet=U0&amp;row=5473&amp;col=7&amp;number=0.00882&amp;sourceID=14","0.00882")</f>
        <v>0.00882</v>
      </c>
    </row>
    <row r="5474" spans="1:7">
      <c r="A5474" s="3"/>
      <c r="B5474" s="3"/>
      <c r="C5474" s="3"/>
      <c r="D5474" s="3"/>
      <c r="E5474" s="3">
        <v>11</v>
      </c>
      <c r="F5474" s="4" t="str">
        <f>HYPERLINK("http://141.218.60.56/~jnz1568/getInfo.php?workbook=12_05.xlsx&amp;sheet=U0&amp;row=5474&amp;col=6&amp;number=4&amp;sourceID=14","4")</f>
        <v>4</v>
      </c>
      <c r="G5474" s="4" t="str">
        <f>HYPERLINK("http://141.218.60.56/~jnz1568/getInfo.php?workbook=12_05.xlsx&amp;sheet=U0&amp;row=5474&amp;col=7&amp;number=0.00882&amp;sourceID=14","0.00882")</f>
        <v>0.00882</v>
      </c>
    </row>
    <row r="5475" spans="1:7">
      <c r="A5475" s="3"/>
      <c r="B5475" s="3"/>
      <c r="C5475" s="3"/>
      <c r="D5475" s="3"/>
      <c r="E5475" s="3">
        <v>12</v>
      </c>
      <c r="F5475" s="4" t="str">
        <f>HYPERLINK("http://141.218.60.56/~jnz1568/getInfo.php?workbook=12_05.xlsx&amp;sheet=U0&amp;row=5475&amp;col=6&amp;number=4.1&amp;sourceID=14","4.1")</f>
        <v>4.1</v>
      </c>
      <c r="G5475" s="4" t="str">
        <f>HYPERLINK("http://141.218.60.56/~jnz1568/getInfo.php?workbook=12_05.xlsx&amp;sheet=U0&amp;row=5475&amp;col=7&amp;number=0.00882&amp;sourceID=14","0.00882")</f>
        <v>0.00882</v>
      </c>
    </row>
    <row r="5476" spans="1:7">
      <c r="A5476" s="3"/>
      <c r="B5476" s="3"/>
      <c r="C5476" s="3"/>
      <c r="D5476" s="3"/>
      <c r="E5476" s="3">
        <v>13</v>
      </c>
      <c r="F5476" s="4" t="str">
        <f>HYPERLINK("http://141.218.60.56/~jnz1568/getInfo.php?workbook=12_05.xlsx&amp;sheet=U0&amp;row=5476&amp;col=6&amp;number=4.2&amp;sourceID=14","4.2")</f>
        <v>4.2</v>
      </c>
      <c r="G5476" s="4" t="str">
        <f>HYPERLINK("http://141.218.60.56/~jnz1568/getInfo.php?workbook=12_05.xlsx&amp;sheet=U0&amp;row=5476&amp;col=7&amp;number=0.00882&amp;sourceID=14","0.00882")</f>
        <v>0.00882</v>
      </c>
    </row>
    <row r="5477" spans="1:7">
      <c r="A5477" s="3"/>
      <c r="B5477" s="3"/>
      <c r="C5477" s="3"/>
      <c r="D5477" s="3"/>
      <c r="E5477" s="3">
        <v>14</v>
      </c>
      <c r="F5477" s="4" t="str">
        <f>HYPERLINK("http://141.218.60.56/~jnz1568/getInfo.php?workbook=12_05.xlsx&amp;sheet=U0&amp;row=5477&amp;col=6&amp;number=4.3&amp;sourceID=14","4.3")</f>
        <v>4.3</v>
      </c>
      <c r="G5477" s="4" t="str">
        <f>HYPERLINK("http://141.218.60.56/~jnz1568/getInfo.php?workbook=12_05.xlsx&amp;sheet=U0&amp;row=5477&amp;col=7&amp;number=0.00882&amp;sourceID=14","0.00882")</f>
        <v>0.00882</v>
      </c>
    </row>
    <row r="5478" spans="1:7">
      <c r="A5478" s="3"/>
      <c r="B5478" s="3"/>
      <c r="C5478" s="3"/>
      <c r="D5478" s="3"/>
      <c r="E5478" s="3">
        <v>15</v>
      </c>
      <c r="F5478" s="4" t="str">
        <f>HYPERLINK("http://141.218.60.56/~jnz1568/getInfo.php?workbook=12_05.xlsx&amp;sheet=U0&amp;row=5478&amp;col=6&amp;number=4.4&amp;sourceID=14","4.4")</f>
        <v>4.4</v>
      </c>
      <c r="G5478" s="4" t="str">
        <f>HYPERLINK("http://141.218.60.56/~jnz1568/getInfo.php?workbook=12_05.xlsx&amp;sheet=U0&amp;row=5478&amp;col=7&amp;number=0.00883&amp;sourceID=14","0.00883")</f>
        <v>0.00883</v>
      </c>
    </row>
    <row r="5479" spans="1:7">
      <c r="A5479" s="3"/>
      <c r="B5479" s="3"/>
      <c r="C5479" s="3"/>
      <c r="D5479" s="3"/>
      <c r="E5479" s="3">
        <v>16</v>
      </c>
      <c r="F5479" s="4" t="str">
        <f>HYPERLINK("http://141.218.60.56/~jnz1568/getInfo.php?workbook=12_05.xlsx&amp;sheet=U0&amp;row=5479&amp;col=6&amp;number=4.5&amp;sourceID=14","4.5")</f>
        <v>4.5</v>
      </c>
      <c r="G5479" s="4" t="str">
        <f>HYPERLINK("http://141.218.60.56/~jnz1568/getInfo.php?workbook=12_05.xlsx&amp;sheet=U0&amp;row=5479&amp;col=7&amp;number=0.00883&amp;sourceID=14","0.00883")</f>
        <v>0.00883</v>
      </c>
    </row>
    <row r="5480" spans="1:7">
      <c r="A5480" s="3"/>
      <c r="B5480" s="3"/>
      <c r="C5480" s="3"/>
      <c r="D5480" s="3"/>
      <c r="E5480" s="3">
        <v>17</v>
      </c>
      <c r="F5480" s="4" t="str">
        <f>HYPERLINK("http://141.218.60.56/~jnz1568/getInfo.php?workbook=12_05.xlsx&amp;sheet=U0&amp;row=5480&amp;col=6&amp;number=4.6&amp;sourceID=14","4.6")</f>
        <v>4.6</v>
      </c>
      <c r="G5480" s="4" t="str">
        <f>HYPERLINK("http://141.218.60.56/~jnz1568/getInfo.php?workbook=12_05.xlsx&amp;sheet=U0&amp;row=5480&amp;col=7&amp;number=0.00883&amp;sourceID=14","0.00883")</f>
        <v>0.00883</v>
      </c>
    </row>
    <row r="5481" spans="1:7">
      <c r="A5481" s="3"/>
      <c r="B5481" s="3"/>
      <c r="C5481" s="3"/>
      <c r="D5481" s="3"/>
      <c r="E5481" s="3">
        <v>18</v>
      </c>
      <c r="F5481" s="4" t="str">
        <f>HYPERLINK("http://141.218.60.56/~jnz1568/getInfo.php?workbook=12_05.xlsx&amp;sheet=U0&amp;row=5481&amp;col=6&amp;number=4.7&amp;sourceID=14","4.7")</f>
        <v>4.7</v>
      </c>
      <c r="G5481" s="4" t="str">
        <f>HYPERLINK("http://141.218.60.56/~jnz1568/getInfo.php?workbook=12_05.xlsx&amp;sheet=U0&amp;row=5481&amp;col=7&amp;number=0.00883&amp;sourceID=14","0.00883")</f>
        <v>0.00883</v>
      </c>
    </row>
    <row r="5482" spans="1:7">
      <c r="A5482" s="3"/>
      <c r="B5482" s="3"/>
      <c r="C5482" s="3"/>
      <c r="D5482" s="3"/>
      <c r="E5482" s="3">
        <v>19</v>
      </c>
      <c r="F5482" s="4" t="str">
        <f>HYPERLINK("http://141.218.60.56/~jnz1568/getInfo.php?workbook=12_05.xlsx&amp;sheet=U0&amp;row=5482&amp;col=6&amp;number=4.8&amp;sourceID=14","4.8")</f>
        <v>4.8</v>
      </c>
      <c r="G5482" s="4" t="str">
        <f>HYPERLINK("http://141.218.60.56/~jnz1568/getInfo.php?workbook=12_05.xlsx&amp;sheet=U0&amp;row=5482&amp;col=7&amp;number=0.00884&amp;sourceID=14","0.00884")</f>
        <v>0.00884</v>
      </c>
    </row>
    <row r="5483" spans="1:7">
      <c r="A5483" s="3"/>
      <c r="B5483" s="3"/>
      <c r="C5483" s="3"/>
      <c r="D5483" s="3"/>
      <c r="E5483" s="3">
        <v>20</v>
      </c>
      <c r="F5483" s="4" t="str">
        <f>HYPERLINK("http://141.218.60.56/~jnz1568/getInfo.php?workbook=12_05.xlsx&amp;sheet=U0&amp;row=5483&amp;col=6&amp;number=4.9&amp;sourceID=14","4.9")</f>
        <v>4.9</v>
      </c>
      <c r="G5483" s="4" t="str">
        <f>HYPERLINK("http://141.218.60.56/~jnz1568/getInfo.php?workbook=12_05.xlsx&amp;sheet=U0&amp;row=5483&amp;col=7&amp;number=0.00884&amp;sourceID=14","0.00884")</f>
        <v>0.00884</v>
      </c>
    </row>
    <row r="5484" spans="1:7">
      <c r="A5484" s="3">
        <v>12</v>
      </c>
      <c r="B5484" s="3">
        <v>5</v>
      </c>
      <c r="C5484" s="3">
        <v>4</v>
      </c>
      <c r="D5484" s="3">
        <v>19</v>
      </c>
      <c r="E5484" s="3">
        <v>1</v>
      </c>
      <c r="F5484" s="4" t="str">
        <f>HYPERLINK("http://141.218.60.56/~jnz1568/getInfo.php?workbook=12_05.xlsx&amp;sheet=U0&amp;row=5484&amp;col=6&amp;number=3&amp;sourceID=14","3")</f>
        <v>3</v>
      </c>
      <c r="G5484" s="4" t="str">
        <f>HYPERLINK("http://141.218.60.56/~jnz1568/getInfo.php?workbook=12_05.xlsx&amp;sheet=U0&amp;row=5484&amp;col=7&amp;number=0.0073&amp;sourceID=14","0.0073")</f>
        <v>0.0073</v>
      </c>
    </row>
    <row r="5485" spans="1:7">
      <c r="A5485" s="3"/>
      <c r="B5485" s="3"/>
      <c r="C5485" s="3"/>
      <c r="D5485" s="3"/>
      <c r="E5485" s="3">
        <v>2</v>
      </c>
      <c r="F5485" s="4" t="str">
        <f>HYPERLINK("http://141.218.60.56/~jnz1568/getInfo.php?workbook=12_05.xlsx&amp;sheet=U0&amp;row=5485&amp;col=6&amp;number=3.1&amp;sourceID=14","3.1")</f>
        <v>3.1</v>
      </c>
      <c r="G5485" s="4" t="str">
        <f>HYPERLINK("http://141.218.60.56/~jnz1568/getInfo.php?workbook=12_05.xlsx&amp;sheet=U0&amp;row=5485&amp;col=7&amp;number=0.0073&amp;sourceID=14","0.0073")</f>
        <v>0.0073</v>
      </c>
    </row>
    <row r="5486" spans="1:7">
      <c r="A5486" s="3"/>
      <c r="B5486" s="3"/>
      <c r="C5486" s="3"/>
      <c r="D5486" s="3"/>
      <c r="E5486" s="3">
        <v>3</v>
      </c>
      <c r="F5486" s="4" t="str">
        <f>HYPERLINK("http://141.218.60.56/~jnz1568/getInfo.php?workbook=12_05.xlsx&amp;sheet=U0&amp;row=5486&amp;col=6&amp;number=3.2&amp;sourceID=14","3.2")</f>
        <v>3.2</v>
      </c>
      <c r="G5486" s="4" t="str">
        <f>HYPERLINK("http://141.218.60.56/~jnz1568/getInfo.php?workbook=12_05.xlsx&amp;sheet=U0&amp;row=5486&amp;col=7&amp;number=0.0073&amp;sourceID=14","0.0073")</f>
        <v>0.0073</v>
      </c>
    </row>
    <row r="5487" spans="1:7">
      <c r="A5487" s="3"/>
      <c r="B5487" s="3"/>
      <c r="C5487" s="3"/>
      <c r="D5487" s="3"/>
      <c r="E5487" s="3">
        <v>4</v>
      </c>
      <c r="F5487" s="4" t="str">
        <f>HYPERLINK("http://141.218.60.56/~jnz1568/getInfo.php?workbook=12_05.xlsx&amp;sheet=U0&amp;row=5487&amp;col=6&amp;number=3.3&amp;sourceID=14","3.3")</f>
        <v>3.3</v>
      </c>
      <c r="G5487" s="4" t="str">
        <f>HYPERLINK("http://141.218.60.56/~jnz1568/getInfo.php?workbook=12_05.xlsx&amp;sheet=U0&amp;row=5487&amp;col=7&amp;number=0.0073&amp;sourceID=14","0.0073")</f>
        <v>0.0073</v>
      </c>
    </row>
    <row r="5488" spans="1:7">
      <c r="A5488" s="3"/>
      <c r="B5488" s="3"/>
      <c r="C5488" s="3"/>
      <c r="D5488" s="3"/>
      <c r="E5488" s="3">
        <v>5</v>
      </c>
      <c r="F5488" s="4" t="str">
        <f>HYPERLINK("http://141.218.60.56/~jnz1568/getInfo.php?workbook=12_05.xlsx&amp;sheet=U0&amp;row=5488&amp;col=6&amp;number=3.4&amp;sourceID=14","3.4")</f>
        <v>3.4</v>
      </c>
      <c r="G5488" s="4" t="str">
        <f>HYPERLINK("http://141.218.60.56/~jnz1568/getInfo.php?workbook=12_05.xlsx&amp;sheet=U0&amp;row=5488&amp;col=7&amp;number=0.0073&amp;sourceID=14","0.0073")</f>
        <v>0.0073</v>
      </c>
    </row>
    <row r="5489" spans="1:7">
      <c r="A5489" s="3"/>
      <c r="B5489" s="3"/>
      <c r="C5489" s="3"/>
      <c r="D5489" s="3"/>
      <c r="E5489" s="3">
        <v>6</v>
      </c>
      <c r="F5489" s="4" t="str">
        <f>HYPERLINK("http://141.218.60.56/~jnz1568/getInfo.php?workbook=12_05.xlsx&amp;sheet=U0&amp;row=5489&amp;col=6&amp;number=3.5&amp;sourceID=14","3.5")</f>
        <v>3.5</v>
      </c>
      <c r="G5489" s="4" t="str">
        <f>HYPERLINK("http://141.218.60.56/~jnz1568/getInfo.php?workbook=12_05.xlsx&amp;sheet=U0&amp;row=5489&amp;col=7&amp;number=0.00729&amp;sourceID=14","0.00729")</f>
        <v>0.00729</v>
      </c>
    </row>
    <row r="5490" spans="1:7">
      <c r="A5490" s="3"/>
      <c r="B5490" s="3"/>
      <c r="C5490" s="3"/>
      <c r="D5490" s="3"/>
      <c r="E5490" s="3">
        <v>7</v>
      </c>
      <c r="F5490" s="4" t="str">
        <f>HYPERLINK("http://141.218.60.56/~jnz1568/getInfo.php?workbook=12_05.xlsx&amp;sheet=U0&amp;row=5490&amp;col=6&amp;number=3.6&amp;sourceID=14","3.6")</f>
        <v>3.6</v>
      </c>
      <c r="G5490" s="4" t="str">
        <f>HYPERLINK("http://141.218.60.56/~jnz1568/getInfo.php?workbook=12_05.xlsx&amp;sheet=U0&amp;row=5490&amp;col=7&amp;number=0.00729&amp;sourceID=14","0.00729")</f>
        <v>0.00729</v>
      </c>
    </row>
    <row r="5491" spans="1:7">
      <c r="A5491" s="3"/>
      <c r="B5491" s="3"/>
      <c r="C5491" s="3"/>
      <c r="D5491" s="3"/>
      <c r="E5491" s="3">
        <v>8</v>
      </c>
      <c r="F5491" s="4" t="str">
        <f>HYPERLINK("http://141.218.60.56/~jnz1568/getInfo.php?workbook=12_05.xlsx&amp;sheet=U0&amp;row=5491&amp;col=6&amp;number=3.7&amp;sourceID=14","3.7")</f>
        <v>3.7</v>
      </c>
      <c r="G5491" s="4" t="str">
        <f>HYPERLINK("http://141.218.60.56/~jnz1568/getInfo.php?workbook=12_05.xlsx&amp;sheet=U0&amp;row=5491&amp;col=7&amp;number=0.00728&amp;sourceID=14","0.00728")</f>
        <v>0.00728</v>
      </c>
    </row>
    <row r="5492" spans="1:7">
      <c r="A5492" s="3"/>
      <c r="B5492" s="3"/>
      <c r="C5492" s="3"/>
      <c r="D5492" s="3"/>
      <c r="E5492" s="3">
        <v>9</v>
      </c>
      <c r="F5492" s="4" t="str">
        <f>HYPERLINK("http://141.218.60.56/~jnz1568/getInfo.php?workbook=12_05.xlsx&amp;sheet=U0&amp;row=5492&amp;col=6&amp;number=3.8&amp;sourceID=14","3.8")</f>
        <v>3.8</v>
      </c>
      <c r="G5492" s="4" t="str">
        <f>HYPERLINK("http://141.218.60.56/~jnz1568/getInfo.php?workbook=12_05.xlsx&amp;sheet=U0&amp;row=5492&amp;col=7&amp;number=0.00728&amp;sourceID=14","0.00728")</f>
        <v>0.00728</v>
      </c>
    </row>
    <row r="5493" spans="1:7">
      <c r="A5493" s="3"/>
      <c r="B5493" s="3"/>
      <c r="C5493" s="3"/>
      <c r="D5493" s="3"/>
      <c r="E5493" s="3">
        <v>10</v>
      </c>
      <c r="F5493" s="4" t="str">
        <f>HYPERLINK("http://141.218.60.56/~jnz1568/getInfo.php?workbook=12_05.xlsx&amp;sheet=U0&amp;row=5493&amp;col=6&amp;number=3.9&amp;sourceID=14","3.9")</f>
        <v>3.9</v>
      </c>
      <c r="G5493" s="4" t="str">
        <f>HYPERLINK("http://141.218.60.56/~jnz1568/getInfo.php?workbook=12_05.xlsx&amp;sheet=U0&amp;row=5493&amp;col=7&amp;number=0.00727&amp;sourceID=14","0.00727")</f>
        <v>0.00727</v>
      </c>
    </row>
    <row r="5494" spans="1:7">
      <c r="A5494" s="3"/>
      <c r="B5494" s="3"/>
      <c r="C5494" s="3"/>
      <c r="D5494" s="3"/>
      <c r="E5494" s="3">
        <v>11</v>
      </c>
      <c r="F5494" s="4" t="str">
        <f>HYPERLINK("http://141.218.60.56/~jnz1568/getInfo.php?workbook=12_05.xlsx&amp;sheet=U0&amp;row=5494&amp;col=6&amp;number=4&amp;sourceID=14","4")</f>
        <v>4</v>
      </c>
      <c r="G5494" s="4" t="str">
        <f>HYPERLINK("http://141.218.60.56/~jnz1568/getInfo.php?workbook=12_05.xlsx&amp;sheet=U0&amp;row=5494&amp;col=7&amp;number=0.00726&amp;sourceID=14","0.00726")</f>
        <v>0.00726</v>
      </c>
    </row>
    <row r="5495" spans="1:7">
      <c r="A5495" s="3"/>
      <c r="B5495" s="3"/>
      <c r="C5495" s="3"/>
      <c r="D5495" s="3"/>
      <c r="E5495" s="3">
        <v>12</v>
      </c>
      <c r="F5495" s="4" t="str">
        <f>HYPERLINK("http://141.218.60.56/~jnz1568/getInfo.php?workbook=12_05.xlsx&amp;sheet=U0&amp;row=5495&amp;col=6&amp;number=4.1&amp;sourceID=14","4.1")</f>
        <v>4.1</v>
      </c>
      <c r="G5495" s="4" t="str">
        <f>HYPERLINK("http://141.218.60.56/~jnz1568/getInfo.php?workbook=12_05.xlsx&amp;sheet=U0&amp;row=5495&amp;col=7&amp;number=0.00724&amp;sourceID=14","0.00724")</f>
        <v>0.00724</v>
      </c>
    </row>
    <row r="5496" spans="1:7">
      <c r="A5496" s="3"/>
      <c r="B5496" s="3"/>
      <c r="C5496" s="3"/>
      <c r="D5496" s="3"/>
      <c r="E5496" s="3">
        <v>13</v>
      </c>
      <c r="F5496" s="4" t="str">
        <f>HYPERLINK("http://141.218.60.56/~jnz1568/getInfo.php?workbook=12_05.xlsx&amp;sheet=U0&amp;row=5496&amp;col=6&amp;number=4.2&amp;sourceID=14","4.2")</f>
        <v>4.2</v>
      </c>
      <c r="G5496" s="4" t="str">
        <f>HYPERLINK("http://141.218.60.56/~jnz1568/getInfo.php?workbook=12_05.xlsx&amp;sheet=U0&amp;row=5496&amp;col=7&amp;number=0.00722&amp;sourceID=14","0.00722")</f>
        <v>0.00722</v>
      </c>
    </row>
    <row r="5497" spans="1:7">
      <c r="A5497" s="3"/>
      <c r="B5497" s="3"/>
      <c r="C5497" s="3"/>
      <c r="D5497" s="3"/>
      <c r="E5497" s="3">
        <v>14</v>
      </c>
      <c r="F5497" s="4" t="str">
        <f>HYPERLINK("http://141.218.60.56/~jnz1568/getInfo.php?workbook=12_05.xlsx&amp;sheet=U0&amp;row=5497&amp;col=6&amp;number=4.3&amp;sourceID=14","4.3")</f>
        <v>4.3</v>
      </c>
      <c r="G5497" s="4" t="str">
        <f>HYPERLINK("http://141.218.60.56/~jnz1568/getInfo.php?workbook=12_05.xlsx&amp;sheet=U0&amp;row=5497&amp;col=7&amp;number=0.0072&amp;sourceID=14","0.0072")</f>
        <v>0.0072</v>
      </c>
    </row>
    <row r="5498" spans="1:7">
      <c r="A5498" s="3"/>
      <c r="B5498" s="3"/>
      <c r="C5498" s="3"/>
      <c r="D5498" s="3"/>
      <c r="E5498" s="3">
        <v>15</v>
      </c>
      <c r="F5498" s="4" t="str">
        <f>HYPERLINK("http://141.218.60.56/~jnz1568/getInfo.php?workbook=12_05.xlsx&amp;sheet=U0&amp;row=5498&amp;col=6&amp;number=4.4&amp;sourceID=14","4.4")</f>
        <v>4.4</v>
      </c>
      <c r="G5498" s="4" t="str">
        <f>HYPERLINK("http://141.218.60.56/~jnz1568/getInfo.php?workbook=12_05.xlsx&amp;sheet=U0&amp;row=5498&amp;col=7&amp;number=0.00717&amp;sourceID=14","0.00717")</f>
        <v>0.00717</v>
      </c>
    </row>
    <row r="5499" spans="1:7">
      <c r="A5499" s="3"/>
      <c r="B5499" s="3"/>
      <c r="C5499" s="3"/>
      <c r="D5499" s="3"/>
      <c r="E5499" s="3">
        <v>16</v>
      </c>
      <c r="F5499" s="4" t="str">
        <f>HYPERLINK("http://141.218.60.56/~jnz1568/getInfo.php?workbook=12_05.xlsx&amp;sheet=U0&amp;row=5499&amp;col=6&amp;number=4.5&amp;sourceID=14","4.5")</f>
        <v>4.5</v>
      </c>
      <c r="G5499" s="4" t="str">
        <f>HYPERLINK("http://141.218.60.56/~jnz1568/getInfo.php?workbook=12_05.xlsx&amp;sheet=U0&amp;row=5499&amp;col=7&amp;number=0.00714&amp;sourceID=14","0.00714")</f>
        <v>0.00714</v>
      </c>
    </row>
    <row r="5500" spans="1:7">
      <c r="A5500" s="3"/>
      <c r="B5500" s="3"/>
      <c r="C5500" s="3"/>
      <c r="D5500" s="3"/>
      <c r="E5500" s="3">
        <v>17</v>
      </c>
      <c r="F5500" s="4" t="str">
        <f>HYPERLINK("http://141.218.60.56/~jnz1568/getInfo.php?workbook=12_05.xlsx&amp;sheet=U0&amp;row=5500&amp;col=6&amp;number=4.6&amp;sourceID=14","4.6")</f>
        <v>4.6</v>
      </c>
      <c r="G5500" s="4" t="str">
        <f>HYPERLINK("http://141.218.60.56/~jnz1568/getInfo.php?workbook=12_05.xlsx&amp;sheet=U0&amp;row=5500&amp;col=7&amp;number=0.0071&amp;sourceID=14","0.0071")</f>
        <v>0.0071</v>
      </c>
    </row>
    <row r="5501" spans="1:7">
      <c r="A5501" s="3"/>
      <c r="B5501" s="3"/>
      <c r="C5501" s="3"/>
      <c r="D5501" s="3"/>
      <c r="E5501" s="3">
        <v>18</v>
      </c>
      <c r="F5501" s="4" t="str">
        <f>HYPERLINK("http://141.218.60.56/~jnz1568/getInfo.php?workbook=12_05.xlsx&amp;sheet=U0&amp;row=5501&amp;col=6&amp;number=4.7&amp;sourceID=14","4.7")</f>
        <v>4.7</v>
      </c>
      <c r="G5501" s="4" t="str">
        <f>HYPERLINK("http://141.218.60.56/~jnz1568/getInfo.php?workbook=12_05.xlsx&amp;sheet=U0&amp;row=5501&amp;col=7&amp;number=0.00704&amp;sourceID=14","0.00704")</f>
        <v>0.00704</v>
      </c>
    </row>
    <row r="5502" spans="1:7">
      <c r="A5502" s="3"/>
      <c r="B5502" s="3"/>
      <c r="C5502" s="3"/>
      <c r="D5502" s="3"/>
      <c r="E5502" s="3">
        <v>19</v>
      </c>
      <c r="F5502" s="4" t="str">
        <f>HYPERLINK("http://141.218.60.56/~jnz1568/getInfo.php?workbook=12_05.xlsx&amp;sheet=U0&amp;row=5502&amp;col=6&amp;number=4.8&amp;sourceID=14","4.8")</f>
        <v>4.8</v>
      </c>
      <c r="G5502" s="4" t="str">
        <f>HYPERLINK("http://141.218.60.56/~jnz1568/getInfo.php?workbook=12_05.xlsx&amp;sheet=U0&amp;row=5502&amp;col=7&amp;number=0.00698&amp;sourceID=14","0.00698")</f>
        <v>0.00698</v>
      </c>
    </row>
    <row r="5503" spans="1:7">
      <c r="A5503" s="3"/>
      <c r="B5503" s="3"/>
      <c r="C5503" s="3"/>
      <c r="D5503" s="3"/>
      <c r="E5503" s="3">
        <v>20</v>
      </c>
      <c r="F5503" s="4" t="str">
        <f>HYPERLINK("http://141.218.60.56/~jnz1568/getInfo.php?workbook=12_05.xlsx&amp;sheet=U0&amp;row=5503&amp;col=6&amp;number=4.9&amp;sourceID=14","4.9")</f>
        <v>4.9</v>
      </c>
      <c r="G5503" s="4" t="str">
        <f>HYPERLINK("http://141.218.60.56/~jnz1568/getInfo.php?workbook=12_05.xlsx&amp;sheet=U0&amp;row=5503&amp;col=7&amp;number=0.00689&amp;sourceID=14","0.00689")</f>
        <v>0.00689</v>
      </c>
    </row>
    <row r="5504" spans="1:7">
      <c r="A5504" s="3">
        <v>12</v>
      </c>
      <c r="B5504" s="3">
        <v>5</v>
      </c>
      <c r="C5504" s="3">
        <v>4</v>
      </c>
      <c r="D5504" s="3">
        <v>20</v>
      </c>
      <c r="E5504" s="3">
        <v>1</v>
      </c>
      <c r="F5504" s="4" t="str">
        <f>HYPERLINK("http://141.218.60.56/~jnz1568/getInfo.php?workbook=12_05.xlsx&amp;sheet=U0&amp;row=5504&amp;col=6&amp;number=3&amp;sourceID=14","3")</f>
        <v>3</v>
      </c>
      <c r="G5504" s="4" t="str">
        <f>HYPERLINK("http://141.218.60.56/~jnz1568/getInfo.php?workbook=12_05.xlsx&amp;sheet=U0&amp;row=5504&amp;col=7&amp;number=0.00375&amp;sourceID=14","0.00375")</f>
        <v>0.00375</v>
      </c>
    </row>
    <row r="5505" spans="1:7">
      <c r="A5505" s="3"/>
      <c r="B5505" s="3"/>
      <c r="C5505" s="3"/>
      <c r="D5505" s="3"/>
      <c r="E5505" s="3">
        <v>2</v>
      </c>
      <c r="F5505" s="4" t="str">
        <f>HYPERLINK("http://141.218.60.56/~jnz1568/getInfo.php?workbook=12_05.xlsx&amp;sheet=U0&amp;row=5505&amp;col=6&amp;number=3.1&amp;sourceID=14","3.1")</f>
        <v>3.1</v>
      </c>
      <c r="G5505" s="4" t="str">
        <f>HYPERLINK("http://141.218.60.56/~jnz1568/getInfo.php?workbook=12_05.xlsx&amp;sheet=U0&amp;row=5505&amp;col=7&amp;number=0.00374&amp;sourceID=14","0.00374")</f>
        <v>0.00374</v>
      </c>
    </row>
    <row r="5506" spans="1:7">
      <c r="A5506" s="3"/>
      <c r="B5506" s="3"/>
      <c r="C5506" s="3"/>
      <c r="D5506" s="3"/>
      <c r="E5506" s="3">
        <v>3</v>
      </c>
      <c r="F5506" s="4" t="str">
        <f>HYPERLINK("http://141.218.60.56/~jnz1568/getInfo.php?workbook=12_05.xlsx&amp;sheet=U0&amp;row=5506&amp;col=6&amp;number=3.2&amp;sourceID=14","3.2")</f>
        <v>3.2</v>
      </c>
      <c r="G5506" s="4" t="str">
        <f>HYPERLINK("http://141.218.60.56/~jnz1568/getInfo.php?workbook=12_05.xlsx&amp;sheet=U0&amp;row=5506&amp;col=7&amp;number=0.00374&amp;sourceID=14","0.00374")</f>
        <v>0.00374</v>
      </c>
    </row>
    <row r="5507" spans="1:7">
      <c r="A5507" s="3"/>
      <c r="B5507" s="3"/>
      <c r="C5507" s="3"/>
      <c r="D5507" s="3"/>
      <c r="E5507" s="3">
        <v>4</v>
      </c>
      <c r="F5507" s="4" t="str">
        <f>HYPERLINK("http://141.218.60.56/~jnz1568/getInfo.php?workbook=12_05.xlsx&amp;sheet=U0&amp;row=5507&amp;col=6&amp;number=3.3&amp;sourceID=14","3.3")</f>
        <v>3.3</v>
      </c>
      <c r="G5507" s="4" t="str">
        <f>HYPERLINK("http://141.218.60.56/~jnz1568/getInfo.php?workbook=12_05.xlsx&amp;sheet=U0&amp;row=5507&amp;col=7&amp;number=0.00374&amp;sourceID=14","0.00374")</f>
        <v>0.00374</v>
      </c>
    </row>
    <row r="5508" spans="1:7">
      <c r="A5508" s="3"/>
      <c r="B5508" s="3"/>
      <c r="C5508" s="3"/>
      <c r="D5508" s="3"/>
      <c r="E5508" s="3">
        <v>5</v>
      </c>
      <c r="F5508" s="4" t="str">
        <f>HYPERLINK("http://141.218.60.56/~jnz1568/getInfo.php?workbook=12_05.xlsx&amp;sheet=U0&amp;row=5508&amp;col=6&amp;number=3.4&amp;sourceID=14","3.4")</f>
        <v>3.4</v>
      </c>
      <c r="G5508" s="4" t="str">
        <f>HYPERLINK("http://141.218.60.56/~jnz1568/getInfo.php?workbook=12_05.xlsx&amp;sheet=U0&amp;row=5508&amp;col=7&amp;number=0.00374&amp;sourceID=14","0.00374")</f>
        <v>0.00374</v>
      </c>
    </row>
    <row r="5509" spans="1:7">
      <c r="A5509" s="3"/>
      <c r="B5509" s="3"/>
      <c r="C5509" s="3"/>
      <c r="D5509" s="3"/>
      <c r="E5509" s="3">
        <v>6</v>
      </c>
      <c r="F5509" s="4" t="str">
        <f>HYPERLINK("http://141.218.60.56/~jnz1568/getInfo.php?workbook=12_05.xlsx&amp;sheet=U0&amp;row=5509&amp;col=6&amp;number=3.5&amp;sourceID=14","3.5")</f>
        <v>3.5</v>
      </c>
      <c r="G5509" s="4" t="str">
        <f>HYPERLINK("http://141.218.60.56/~jnz1568/getInfo.php?workbook=12_05.xlsx&amp;sheet=U0&amp;row=5509&amp;col=7&amp;number=0.00374&amp;sourceID=14","0.00374")</f>
        <v>0.00374</v>
      </c>
    </row>
    <row r="5510" spans="1:7">
      <c r="A5510" s="3"/>
      <c r="B5510" s="3"/>
      <c r="C5510" s="3"/>
      <c r="D5510" s="3"/>
      <c r="E5510" s="3">
        <v>7</v>
      </c>
      <c r="F5510" s="4" t="str">
        <f>HYPERLINK("http://141.218.60.56/~jnz1568/getInfo.php?workbook=12_05.xlsx&amp;sheet=U0&amp;row=5510&amp;col=6&amp;number=3.6&amp;sourceID=14","3.6")</f>
        <v>3.6</v>
      </c>
      <c r="G5510" s="4" t="str">
        <f>HYPERLINK("http://141.218.60.56/~jnz1568/getInfo.php?workbook=12_05.xlsx&amp;sheet=U0&amp;row=5510&amp;col=7&amp;number=0.00373&amp;sourceID=14","0.00373")</f>
        <v>0.00373</v>
      </c>
    </row>
    <row r="5511" spans="1:7">
      <c r="A5511" s="3"/>
      <c r="B5511" s="3"/>
      <c r="C5511" s="3"/>
      <c r="D5511" s="3"/>
      <c r="E5511" s="3">
        <v>8</v>
      </c>
      <c r="F5511" s="4" t="str">
        <f>HYPERLINK("http://141.218.60.56/~jnz1568/getInfo.php?workbook=12_05.xlsx&amp;sheet=U0&amp;row=5511&amp;col=6&amp;number=3.7&amp;sourceID=14","3.7")</f>
        <v>3.7</v>
      </c>
      <c r="G5511" s="4" t="str">
        <f>HYPERLINK("http://141.218.60.56/~jnz1568/getInfo.php?workbook=12_05.xlsx&amp;sheet=U0&amp;row=5511&amp;col=7&amp;number=0.00373&amp;sourceID=14","0.00373")</f>
        <v>0.00373</v>
      </c>
    </row>
    <row r="5512" spans="1:7">
      <c r="A5512" s="3"/>
      <c r="B5512" s="3"/>
      <c r="C5512" s="3"/>
      <c r="D5512" s="3"/>
      <c r="E5512" s="3">
        <v>9</v>
      </c>
      <c r="F5512" s="4" t="str">
        <f>HYPERLINK("http://141.218.60.56/~jnz1568/getInfo.php?workbook=12_05.xlsx&amp;sheet=U0&amp;row=5512&amp;col=6&amp;number=3.8&amp;sourceID=14","3.8")</f>
        <v>3.8</v>
      </c>
      <c r="G5512" s="4" t="str">
        <f>HYPERLINK("http://141.218.60.56/~jnz1568/getInfo.php?workbook=12_05.xlsx&amp;sheet=U0&amp;row=5512&amp;col=7&amp;number=0.00373&amp;sourceID=14","0.00373")</f>
        <v>0.00373</v>
      </c>
    </row>
    <row r="5513" spans="1:7">
      <c r="A5513" s="3"/>
      <c r="B5513" s="3"/>
      <c r="C5513" s="3"/>
      <c r="D5513" s="3"/>
      <c r="E5513" s="3">
        <v>10</v>
      </c>
      <c r="F5513" s="4" t="str">
        <f>HYPERLINK("http://141.218.60.56/~jnz1568/getInfo.php?workbook=12_05.xlsx&amp;sheet=U0&amp;row=5513&amp;col=6&amp;number=3.9&amp;sourceID=14","3.9")</f>
        <v>3.9</v>
      </c>
      <c r="G5513" s="4" t="str">
        <f>HYPERLINK("http://141.218.60.56/~jnz1568/getInfo.php?workbook=12_05.xlsx&amp;sheet=U0&amp;row=5513&amp;col=7&amp;number=0.00372&amp;sourceID=14","0.00372")</f>
        <v>0.00372</v>
      </c>
    </row>
    <row r="5514" spans="1:7">
      <c r="A5514" s="3"/>
      <c r="B5514" s="3"/>
      <c r="C5514" s="3"/>
      <c r="D5514" s="3"/>
      <c r="E5514" s="3">
        <v>11</v>
      </c>
      <c r="F5514" s="4" t="str">
        <f>HYPERLINK("http://141.218.60.56/~jnz1568/getInfo.php?workbook=12_05.xlsx&amp;sheet=U0&amp;row=5514&amp;col=6&amp;number=4&amp;sourceID=14","4")</f>
        <v>4</v>
      </c>
      <c r="G5514" s="4" t="str">
        <f>HYPERLINK("http://141.218.60.56/~jnz1568/getInfo.php?workbook=12_05.xlsx&amp;sheet=U0&amp;row=5514&amp;col=7&amp;number=0.00371&amp;sourceID=14","0.00371")</f>
        <v>0.00371</v>
      </c>
    </row>
    <row r="5515" spans="1:7">
      <c r="A5515" s="3"/>
      <c r="B5515" s="3"/>
      <c r="C5515" s="3"/>
      <c r="D5515" s="3"/>
      <c r="E5515" s="3">
        <v>12</v>
      </c>
      <c r="F5515" s="4" t="str">
        <f>HYPERLINK("http://141.218.60.56/~jnz1568/getInfo.php?workbook=12_05.xlsx&amp;sheet=U0&amp;row=5515&amp;col=6&amp;number=4.1&amp;sourceID=14","4.1")</f>
        <v>4.1</v>
      </c>
      <c r="G5515" s="4" t="str">
        <f>HYPERLINK("http://141.218.60.56/~jnz1568/getInfo.php?workbook=12_05.xlsx&amp;sheet=U0&amp;row=5515&amp;col=7&amp;number=0.0037&amp;sourceID=14","0.0037")</f>
        <v>0.0037</v>
      </c>
    </row>
    <row r="5516" spans="1:7">
      <c r="A5516" s="3"/>
      <c r="B5516" s="3"/>
      <c r="C5516" s="3"/>
      <c r="D5516" s="3"/>
      <c r="E5516" s="3">
        <v>13</v>
      </c>
      <c r="F5516" s="4" t="str">
        <f>HYPERLINK("http://141.218.60.56/~jnz1568/getInfo.php?workbook=12_05.xlsx&amp;sheet=U0&amp;row=5516&amp;col=6&amp;number=4.2&amp;sourceID=14","4.2")</f>
        <v>4.2</v>
      </c>
      <c r="G5516" s="4" t="str">
        <f>HYPERLINK("http://141.218.60.56/~jnz1568/getInfo.php?workbook=12_05.xlsx&amp;sheet=U0&amp;row=5516&amp;col=7&amp;number=0.00369&amp;sourceID=14","0.00369")</f>
        <v>0.00369</v>
      </c>
    </row>
    <row r="5517" spans="1:7">
      <c r="A5517" s="3"/>
      <c r="B5517" s="3"/>
      <c r="C5517" s="3"/>
      <c r="D5517" s="3"/>
      <c r="E5517" s="3">
        <v>14</v>
      </c>
      <c r="F5517" s="4" t="str">
        <f>HYPERLINK("http://141.218.60.56/~jnz1568/getInfo.php?workbook=12_05.xlsx&amp;sheet=U0&amp;row=5517&amp;col=6&amp;number=4.3&amp;sourceID=14","4.3")</f>
        <v>4.3</v>
      </c>
      <c r="G5517" s="4" t="str">
        <f>HYPERLINK("http://141.218.60.56/~jnz1568/getInfo.php?workbook=12_05.xlsx&amp;sheet=U0&amp;row=5517&amp;col=7&amp;number=0.00368&amp;sourceID=14","0.00368")</f>
        <v>0.00368</v>
      </c>
    </row>
    <row r="5518" spans="1:7">
      <c r="A5518" s="3"/>
      <c r="B5518" s="3"/>
      <c r="C5518" s="3"/>
      <c r="D5518" s="3"/>
      <c r="E5518" s="3">
        <v>15</v>
      </c>
      <c r="F5518" s="4" t="str">
        <f>HYPERLINK("http://141.218.60.56/~jnz1568/getInfo.php?workbook=12_05.xlsx&amp;sheet=U0&amp;row=5518&amp;col=6&amp;number=4.4&amp;sourceID=14","4.4")</f>
        <v>4.4</v>
      </c>
      <c r="G5518" s="4" t="str">
        <f>HYPERLINK("http://141.218.60.56/~jnz1568/getInfo.php?workbook=12_05.xlsx&amp;sheet=U0&amp;row=5518&amp;col=7&amp;number=0.00366&amp;sourceID=14","0.00366")</f>
        <v>0.00366</v>
      </c>
    </row>
    <row r="5519" spans="1:7">
      <c r="A5519" s="3"/>
      <c r="B5519" s="3"/>
      <c r="C5519" s="3"/>
      <c r="D5519" s="3"/>
      <c r="E5519" s="3">
        <v>16</v>
      </c>
      <c r="F5519" s="4" t="str">
        <f>HYPERLINK("http://141.218.60.56/~jnz1568/getInfo.php?workbook=12_05.xlsx&amp;sheet=U0&amp;row=5519&amp;col=6&amp;number=4.5&amp;sourceID=14","4.5")</f>
        <v>4.5</v>
      </c>
      <c r="G5519" s="4" t="str">
        <f>HYPERLINK("http://141.218.60.56/~jnz1568/getInfo.php?workbook=12_05.xlsx&amp;sheet=U0&amp;row=5519&amp;col=7&amp;number=0.00364&amp;sourceID=14","0.00364")</f>
        <v>0.00364</v>
      </c>
    </row>
    <row r="5520" spans="1:7">
      <c r="A5520" s="3"/>
      <c r="B5520" s="3"/>
      <c r="C5520" s="3"/>
      <c r="D5520" s="3"/>
      <c r="E5520" s="3">
        <v>17</v>
      </c>
      <c r="F5520" s="4" t="str">
        <f>HYPERLINK("http://141.218.60.56/~jnz1568/getInfo.php?workbook=12_05.xlsx&amp;sheet=U0&amp;row=5520&amp;col=6&amp;number=4.6&amp;sourceID=14","4.6")</f>
        <v>4.6</v>
      </c>
      <c r="G5520" s="4" t="str">
        <f>HYPERLINK("http://141.218.60.56/~jnz1568/getInfo.php?workbook=12_05.xlsx&amp;sheet=U0&amp;row=5520&amp;col=7&amp;number=0.00361&amp;sourceID=14","0.00361")</f>
        <v>0.00361</v>
      </c>
    </row>
    <row r="5521" spans="1:7">
      <c r="A5521" s="3"/>
      <c r="B5521" s="3"/>
      <c r="C5521" s="3"/>
      <c r="D5521" s="3"/>
      <c r="E5521" s="3">
        <v>18</v>
      </c>
      <c r="F5521" s="4" t="str">
        <f>HYPERLINK("http://141.218.60.56/~jnz1568/getInfo.php?workbook=12_05.xlsx&amp;sheet=U0&amp;row=5521&amp;col=6&amp;number=4.7&amp;sourceID=14","4.7")</f>
        <v>4.7</v>
      </c>
      <c r="G5521" s="4" t="str">
        <f>HYPERLINK("http://141.218.60.56/~jnz1568/getInfo.php?workbook=12_05.xlsx&amp;sheet=U0&amp;row=5521&amp;col=7&amp;number=0.00358&amp;sourceID=14","0.00358")</f>
        <v>0.00358</v>
      </c>
    </row>
    <row r="5522" spans="1:7">
      <c r="A5522" s="3"/>
      <c r="B5522" s="3"/>
      <c r="C5522" s="3"/>
      <c r="D5522" s="3"/>
      <c r="E5522" s="3">
        <v>19</v>
      </c>
      <c r="F5522" s="4" t="str">
        <f>HYPERLINK("http://141.218.60.56/~jnz1568/getInfo.php?workbook=12_05.xlsx&amp;sheet=U0&amp;row=5522&amp;col=6&amp;number=4.8&amp;sourceID=14","4.8")</f>
        <v>4.8</v>
      </c>
      <c r="G5522" s="4" t="str">
        <f>HYPERLINK("http://141.218.60.56/~jnz1568/getInfo.php?workbook=12_05.xlsx&amp;sheet=U0&amp;row=5522&amp;col=7&amp;number=0.00353&amp;sourceID=14","0.00353")</f>
        <v>0.00353</v>
      </c>
    </row>
    <row r="5523" spans="1:7">
      <c r="A5523" s="3"/>
      <c r="B5523" s="3"/>
      <c r="C5523" s="3"/>
      <c r="D5523" s="3"/>
      <c r="E5523" s="3">
        <v>20</v>
      </c>
      <c r="F5523" s="4" t="str">
        <f>HYPERLINK("http://141.218.60.56/~jnz1568/getInfo.php?workbook=12_05.xlsx&amp;sheet=U0&amp;row=5523&amp;col=6&amp;number=4.9&amp;sourceID=14","4.9")</f>
        <v>4.9</v>
      </c>
      <c r="G5523" s="4" t="str">
        <f>HYPERLINK("http://141.218.60.56/~jnz1568/getInfo.php?workbook=12_05.xlsx&amp;sheet=U0&amp;row=5523&amp;col=7&amp;number=0.00348&amp;sourceID=14","0.00348")</f>
        <v>0.00348</v>
      </c>
    </row>
    <row r="5524" spans="1:7">
      <c r="A5524" s="3">
        <v>12</v>
      </c>
      <c r="B5524" s="3">
        <v>5</v>
      </c>
      <c r="C5524" s="3">
        <v>4</v>
      </c>
      <c r="D5524" s="3">
        <v>21</v>
      </c>
      <c r="E5524" s="3">
        <v>1</v>
      </c>
      <c r="F5524" s="4" t="str">
        <f>HYPERLINK("http://141.218.60.56/~jnz1568/getInfo.php?workbook=12_05.xlsx&amp;sheet=U0&amp;row=5524&amp;col=6&amp;number=3&amp;sourceID=14","3")</f>
        <v>3</v>
      </c>
      <c r="G5524" s="4" t="str">
        <f>HYPERLINK("http://141.218.60.56/~jnz1568/getInfo.php?workbook=12_05.xlsx&amp;sheet=U0&amp;row=5524&amp;col=7&amp;number=0.000418&amp;sourceID=14","0.000418")</f>
        <v>0.000418</v>
      </c>
    </row>
    <row r="5525" spans="1:7">
      <c r="A5525" s="3"/>
      <c r="B5525" s="3"/>
      <c r="C5525" s="3"/>
      <c r="D5525" s="3"/>
      <c r="E5525" s="3">
        <v>2</v>
      </c>
      <c r="F5525" s="4" t="str">
        <f>HYPERLINK("http://141.218.60.56/~jnz1568/getInfo.php?workbook=12_05.xlsx&amp;sheet=U0&amp;row=5525&amp;col=6&amp;number=3.1&amp;sourceID=14","3.1")</f>
        <v>3.1</v>
      </c>
      <c r="G5525" s="4" t="str">
        <f>HYPERLINK("http://141.218.60.56/~jnz1568/getInfo.php?workbook=12_05.xlsx&amp;sheet=U0&amp;row=5525&amp;col=7&amp;number=0.000418&amp;sourceID=14","0.000418")</f>
        <v>0.000418</v>
      </c>
    </row>
    <row r="5526" spans="1:7">
      <c r="A5526" s="3"/>
      <c r="B5526" s="3"/>
      <c r="C5526" s="3"/>
      <c r="D5526" s="3"/>
      <c r="E5526" s="3">
        <v>3</v>
      </c>
      <c r="F5526" s="4" t="str">
        <f>HYPERLINK("http://141.218.60.56/~jnz1568/getInfo.php?workbook=12_05.xlsx&amp;sheet=U0&amp;row=5526&amp;col=6&amp;number=3.2&amp;sourceID=14","3.2")</f>
        <v>3.2</v>
      </c>
      <c r="G5526" s="4" t="str">
        <f>HYPERLINK("http://141.218.60.56/~jnz1568/getInfo.php?workbook=12_05.xlsx&amp;sheet=U0&amp;row=5526&amp;col=7&amp;number=0.000418&amp;sourceID=14","0.000418")</f>
        <v>0.000418</v>
      </c>
    </row>
    <row r="5527" spans="1:7">
      <c r="A5527" s="3"/>
      <c r="B5527" s="3"/>
      <c r="C5527" s="3"/>
      <c r="D5527" s="3"/>
      <c r="E5527" s="3">
        <v>4</v>
      </c>
      <c r="F5527" s="4" t="str">
        <f>HYPERLINK("http://141.218.60.56/~jnz1568/getInfo.php?workbook=12_05.xlsx&amp;sheet=U0&amp;row=5527&amp;col=6&amp;number=3.3&amp;sourceID=14","3.3")</f>
        <v>3.3</v>
      </c>
      <c r="G5527" s="4" t="str">
        <f>HYPERLINK("http://141.218.60.56/~jnz1568/getInfo.php?workbook=12_05.xlsx&amp;sheet=U0&amp;row=5527&amp;col=7&amp;number=0.000418&amp;sourceID=14","0.000418")</f>
        <v>0.000418</v>
      </c>
    </row>
    <row r="5528" spans="1:7">
      <c r="A5528" s="3"/>
      <c r="B5528" s="3"/>
      <c r="C5528" s="3"/>
      <c r="D5528" s="3"/>
      <c r="E5528" s="3">
        <v>5</v>
      </c>
      <c r="F5528" s="4" t="str">
        <f>HYPERLINK("http://141.218.60.56/~jnz1568/getInfo.php?workbook=12_05.xlsx&amp;sheet=U0&amp;row=5528&amp;col=6&amp;number=3.4&amp;sourceID=14","3.4")</f>
        <v>3.4</v>
      </c>
      <c r="G5528" s="4" t="str">
        <f>HYPERLINK("http://141.218.60.56/~jnz1568/getInfo.php?workbook=12_05.xlsx&amp;sheet=U0&amp;row=5528&amp;col=7&amp;number=0.000418&amp;sourceID=14","0.000418")</f>
        <v>0.000418</v>
      </c>
    </row>
    <row r="5529" spans="1:7">
      <c r="A5529" s="3"/>
      <c r="B5529" s="3"/>
      <c r="C5529" s="3"/>
      <c r="D5529" s="3"/>
      <c r="E5529" s="3">
        <v>6</v>
      </c>
      <c r="F5529" s="4" t="str">
        <f>HYPERLINK("http://141.218.60.56/~jnz1568/getInfo.php?workbook=12_05.xlsx&amp;sheet=U0&amp;row=5529&amp;col=6&amp;number=3.5&amp;sourceID=14","3.5")</f>
        <v>3.5</v>
      </c>
      <c r="G5529" s="4" t="str">
        <f>HYPERLINK("http://141.218.60.56/~jnz1568/getInfo.php?workbook=12_05.xlsx&amp;sheet=U0&amp;row=5529&amp;col=7&amp;number=0.000417&amp;sourceID=14","0.000417")</f>
        <v>0.000417</v>
      </c>
    </row>
    <row r="5530" spans="1:7">
      <c r="A5530" s="3"/>
      <c r="B5530" s="3"/>
      <c r="C5530" s="3"/>
      <c r="D5530" s="3"/>
      <c r="E5530" s="3">
        <v>7</v>
      </c>
      <c r="F5530" s="4" t="str">
        <f>HYPERLINK("http://141.218.60.56/~jnz1568/getInfo.php?workbook=12_05.xlsx&amp;sheet=U0&amp;row=5530&amp;col=6&amp;number=3.6&amp;sourceID=14","3.6")</f>
        <v>3.6</v>
      </c>
      <c r="G5530" s="4" t="str">
        <f>HYPERLINK("http://141.218.60.56/~jnz1568/getInfo.php?workbook=12_05.xlsx&amp;sheet=U0&amp;row=5530&amp;col=7&amp;number=0.000417&amp;sourceID=14","0.000417")</f>
        <v>0.000417</v>
      </c>
    </row>
    <row r="5531" spans="1:7">
      <c r="A5531" s="3"/>
      <c r="B5531" s="3"/>
      <c r="C5531" s="3"/>
      <c r="D5531" s="3"/>
      <c r="E5531" s="3">
        <v>8</v>
      </c>
      <c r="F5531" s="4" t="str">
        <f>HYPERLINK("http://141.218.60.56/~jnz1568/getInfo.php?workbook=12_05.xlsx&amp;sheet=U0&amp;row=5531&amp;col=6&amp;number=3.7&amp;sourceID=14","3.7")</f>
        <v>3.7</v>
      </c>
      <c r="G5531" s="4" t="str">
        <f>HYPERLINK("http://141.218.60.56/~jnz1568/getInfo.php?workbook=12_05.xlsx&amp;sheet=U0&amp;row=5531&amp;col=7&amp;number=0.000417&amp;sourceID=14","0.000417")</f>
        <v>0.000417</v>
      </c>
    </row>
    <row r="5532" spans="1:7">
      <c r="A5532" s="3"/>
      <c r="B5532" s="3"/>
      <c r="C5532" s="3"/>
      <c r="D5532" s="3"/>
      <c r="E5532" s="3">
        <v>9</v>
      </c>
      <c r="F5532" s="4" t="str">
        <f>HYPERLINK("http://141.218.60.56/~jnz1568/getInfo.php?workbook=12_05.xlsx&amp;sheet=U0&amp;row=5532&amp;col=6&amp;number=3.8&amp;sourceID=14","3.8")</f>
        <v>3.8</v>
      </c>
      <c r="G5532" s="4" t="str">
        <f>HYPERLINK("http://141.218.60.56/~jnz1568/getInfo.php?workbook=12_05.xlsx&amp;sheet=U0&amp;row=5532&amp;col=7&amp;number=0.000416&amp;sourceID=14","0.000416")</f>
        <v>0.000416</v>
      </c>
    </row>
    <row r="5533" spans="1:7">
      <c r="A5533" s="3"/>
      <c r="B5533" s="3"/>
      <c r="C5533" s="3"/>
      <c r="D5533" s="3"/>
      <c r="E5533" s="3">
        <v>10</v>
      </c>
      <c r="F5533" s="4" t="str">
        <f>HYPERLINK("http://141.218.60.56/~jnz1568/getInfo.php?workbook=12_05.xlsx&amp;sheet=U0&amp;row=5533&amp;col=6&amp;number=3.9&amp;sourceID=14","3.9")</f>
        <v>3.9</v>
      </c>
      <c r="G5533" s="4" t="str">
        <f>HYPERLINK("http://141.218.60.56/~jnz1568/getInfo.php?workbook=12_05.xlsx&amp;sheet=U0&amp;row=5533&amp;col=7&amp;number=0.000416&amp;sourceID=14","0.000416")</f>
        <v>0.000416</v>
      </c>
    </row>
    <row r="5534" spans="1:7">
      <c r="A5534" s="3"/>
      <c r="B5534" s="3"/>
      <c r="C5534" s="3"/>
      <c r="D5534" s="3"/>
      <c r="E5534" s="3">
        <v>11</v>
      </c>
      <c r="F5534" s="4" t="str">
        <f>HYPERLINK("http://141.218.60.56/~jnz1568/getInfo.php?workbook=12_05.xlsx&amp;sheet=U0&amp;row=5534&amp;col=6&amp;number=4&amp;sourceID=14","4")</f>
        <v>4</v>
      </c>
      <c r="G5534" s="4" t="str">
        <f>HYPERLINK("http://141.218.60.56/~jnz1568/getInfo.php?workbook=12_05.xlsx&amp;sheet=U0&amp;row=5534&amp;col=7&amp;number=0.000415&amp;sourceID=14","0.000415")</f>
        <v>0.000415</v>
      </c>
    </row>
    <row r="5535" spans="1:7">
      <c r="A5535" s="3"/>
      <c r="B5535" s="3"/>
      <c r="C5535" s="3"/>
      <c r="D5535" s="3"/>
      <c r="E5535" s="3">
        <v>12</v>
      </c>
      <c r="F5535" s="4" t="str">
        <f>HYPERLINK("http://141.218.60.56/~jnz1568/getInfo.php?workbook=12_05.xlsx&amp;sheet=U0&amp;row=5535&amp;col=6&amp;number=4.1&amp;sourceID=14","4.1")</f>
        <v>4.1</v>
      </c>
      <c r="G5535" s="4" t="str">
        <f>HYPERLINK("http://141.218.60.56/~jnz1568/getInfo.php?workbook=12_05.xlsx&amp;sheet=U0&amp;row=5535&amp;col=7&amp;number=0.000414&amp;sourceID=14","0.000414")</f>
        <v>0.000414</v>
      </c>
    </row>
    <row r="5536" spans="1:7">
      <c r="A5536" s="3"/>
      <c r="B5536" s="3"/>
      <c r="C5536" s="3"/>
      <c r="D5536" s="3"/>
      <c r="E5536" s="3">
        <v>13</v>
      </c>
      <c r="F5536" s="4" t="str">
        <f>HYPERLINK("http://141.218.60.56/~jnz1568/getInfo.php?workbook=12_05.xlsx&amp;sheet=U0&amp;row=5536&amp;col=6&amp;number=4.2&amp;sourceID=14","4.2")</f>
        <v>4.2</v>
      </c>
      <c r="G5536" s="4" t="str">
        <f>HYPERLINK("http://141.218.60.56/~jnz1568/getInfo.php?workbook=12_05.xlsx&amp;sheet=U0&amp;row=5536&amp;col=7&amp;number=0.000413&amp;sourceID=14","0.000413")</f>
        <v>0.000413</v>
      </c>
    </row>
    <row r="5537" spans="1:7">
      <c r="A5537" s="3"/>
      <c r="B5537" s="3"/>
      <c r="C5537" s="3"/>
      <c r="D5537" s="3"/>
      <c r="E5537" s="3">
        <v>14</v>
      </c>
      <c r="F5537" s="4" t="str">
        <f>HYPERLINK("http://141.218.60.56/~jnz1568/getInfo.php?workbook=12_05.xlsx&amp;sheet=U0&amp;row=5537&amp;col=6&amp;number=4.3&amp;sourceID=14","4.3")</f>
        <v>4.3</v>
      </c>
      <c r="G5537" s="4" t="str">
        <f>HYPERLINK("http://141.218.60.56/~jnz1568/getInfo.php?workbook=12_05.xlsx&amp;sheet=U0&amp;row=5537&amp;col=7&amp;number=0.000411&amp;sourceID=14","0.000411")</f>
        <v>0.000411</v>
      </c>
    </row>
    <row r="5538" spans="1:7">
      <c r="A5538" s="3"/>
      <c r="B5538" s="3"/>
      <c r="C5538" s="3"/>
      <c r="D5538" s="3"/>
      <c r="E5538" s="3">
        <v>15</v>
      </c>
      <c r="F5538" s="4" t="str">
        <f>HYPERLINK("http://141.218.60.56/~jnz1568/getInfo.php?workbook=12_05.xlsx&amp;sheet=U0&amp;row=5538&amp;col=6&amp;number=4.4&amp;sourceID=14","4.4")</f>
        <v>4.4</v>
      </c>
      <c r="G5538" s="4" t="str">
        <f>HYPERLINK("http://141.218.60.56/~jnz1568/getInfo.php?workbook=12_05.xlsx&amp;sheet=U0&amp;row=5538&amp;col=7&amp;number=0.000409&amp;sourceID=14","0.000409")</f>
        <v>0.000409</v>
      </c>
    </row>
    <row r="5539" spans="1:7">
      <c r="A5539" s="3"/>
      <c r="B5539" s="3"/>
      <c r="C5539" s="3"/>
      <c r="D5539" s="3"/>
      <c r="E5539" s="3">
        <v>16</v>
      </c>
      <c r="F5539" s="4" t="str">
        <f>HYPERLINK("http://141.218.60.56/~jnz1568/getInfo.php?workbook=12_05.xlsx&amp;sheet=U0&amp;row=5539&amp;col=6&amp;number=4.5&amp;sourceID=14","4.5")</f>
        <v>4.5</v>
      </c>
      <c r="G5539" s="4" t="str">
        <f>HYPERLINK("http://141.218.60.56/~jnz1568/getInfo.php?workbook=12_05.xlsx&amp;sheet=U0&amp;row=5539&amp;col=7&amp;number=0.000407&amp;sourceID=14","0.000407")</f>
        <v>0.000407</v>
      </c>
    </row>
    <row r="5540" spans="1:7">
      <c r="A5540" s="3"/>
      <c r="B5540" s="3"/>
      <c r="C5540" s="3"/>
      <c r="D5540" s="3"/>
      <c r="E5540" s="3">
        <v>17</v>
      </c>
      <c r="F5540" s="4" t="str">
        <f>HYPERLINK("http://141.218.60.56/~jnz1568/getInfo.php?workbook=12_05.xlsx&amp;sheet=U0&amp;row=5540&amp;col=6&amp;number=4.6&amp;sourceID=14","4.6")</f>
        <v>4.6</v>
      </c>
      <c r="G5540" s="4" t="str">
        <f>HYPERLINK("http://141.218.60.56/~jnz1568/getInfo.php?workbook=12_05.xlsx&amp;sheet=U0&amp;row=5540&amp;col=7&amp;number=0.000404&amp;sourceID=14","0.000404")</f>
        <v>0.000404</v>
      </c>
    </row>
    <row r="5541" spans="1:7">
      <c r="A5541" s="3"/>
      <c r="B5541" s="3"/>
      <c r="C5541" s="3"/>
      <c r="D5541" s="3"/>
      <c r="E5541" s="3">
        <v>18</v>
      </c>
      <c r="F5541" s="4" t="str">
        <f>HYPERLINK("http://141.218.60.56/~jnz1568/getInfo.php?workbook=12_05.xlsx&amp;sheet=U0&amp;row=5541&amp;col=6&amp;number=4.7&amp;sourceID=14","4.7")</f>
        <v>4.7</v>
      </c>
      <c r="G5541" s="4" t="str">
        <f>HYPERLINK("http://141.218.60.56/~jnz1568/getInfo.php?workbook=12_05.xlsx&amp;sheet=U0&amp;row=5541&amp;col=7&amp;number=0.0004&amp;sourceID=14","0.0004")</f>
        <v>0.0004</v>
      </c>
    </row>
    <row r="5542" spans="1:7">
      <c r="A5542" s="3"/>
      <c r="B5542" s="3"/>
      <c r="C5542" s="3"/>
      <c r="D5542" s="3"/>
      <c r="E5542" s="3">
        <v>19</v>
      </c>
      <c r="F5542" s="4" t="str">
        <f>HYPERLINK("http://141.218.60.56/~jnz1568/getInfo.php?workbook=12_05.xlsx&amp;sheet=U0&amp;row=5542&amp;col=6&amp;number=4.8&amp;sourceID=14","4.8")</f>
        <v>4.8</v>
      </c>
      <c r="G5542" s="4" t="str">
        <f>HYPERLINK("http://141.218.60.56/~jnz1568/getInfo.php?workbook=12_05.xlsx&amp;sheet=U0&amp;row=5542&amp;col=7&amp;number=0.000395&amp;sourceID=14","0.000395")</f>
        <v>0.000395</v>
      </c>
    </row>
    <row r="5543" spans="1:7">
      <c r="A5543" s="3"/>
      <c r="B5543" s="3"/>
      <c r="C5543" s="3"/>
      <c r="D5543" s="3"/>
      <c r="E5543" s="3">
        <v>20</v>
      </c>
      <c r="F5543" s="4" t="str">
        <f>HYPERLINK("http://141.218.60.56/~jnz1568/getInfo.php?workbook=12_05.xlsx&amp;sheet=U0&amp;row=5543&amp;col=6&amp;number=4.9&amp;sourceID=14","4.9")</f>
        <v>4.9</v>
      </c>
      <c r="G5543" s="4" t="str">
        <f>HYPERLINK("http://141.218.60.56/~jnz1568/getInfo.php?workbook=12_05.xlsx&amp;sheet=U0&amp;row=5543&amp;col=7&amp;number=0.00039&amp;sourceID=14","0.00039")</f>
        <v>0.00039</v>
      </c>
    </row>
    <row r="5544" spans="1:7">
      <c r="A5544" s="3">
        <v>12</v>
      </c>
      <c r="B5544" s="3">
        <v>5</v>
      </c>
      <c r="C5544" s="3">
        <v>4</v>
      </c>
      <c r="D5544" s="3">
        <v>22</v>
      </c>
      <c r="E5544" s="3">
        <v>1</v>
      </c>
      <c r="F5544" s="4" t="str">
        <f>HYPERLINK("http://141.218.60.56/~jnz1568/getInfo.php?workbook=12_05.xlsx&amp;sheet=U0&amp;row=5544&amp;col=6&amp;number=3&amp;sourceID=14","3")</f>
        <v>3</v>
      </c>
      <c r="G5544" s="4" t="str">
        <f>HYPERLINK("http://141.218.60.56/~jnz1568/getInfo.php?workbook=12_05.xlsx&amp;sheet=U0&amp;row=5544&amp;col=7&amp;number=0.000133&amp;sourceID=14","0.000133")</f>
        <v>0.000133</v>
      </c>
    </row>
    <row r="5545" spans="1:7">
      <c r="A5545" s="3"/>
      <c r="B5545" s="3"/>
      <c r="C5545" s="3"/>
      <c r="D5545" s="3"/>
      <c r="E5545" s="3">
        <v>2</v>
      </c>
      <c r="F5545" s="4" t="str">
        <f>HYPERLINK("http://141.218.60.56/~jnz1568/getInfo.php?workbook=12_05.xlsx&amp;sheet=U0&amp;row=5545&amp;col=6&amp;number=3.1&amp;sourceID=14","3.1")</f>
        <v>3.1</v>
      </c>
      <c r="G5545" s="4" t="str">
        <f>HYPERLINK("http://141.218.60.56/~jnz1568/getInfo.php?workbook=12_05.xlsx&amp;sheet=U0&amp;row=5545&amp;col=7&amp;number=0.000133&amp;sourceID=14","0.000133")</f>
        <v>0.000133</v>
      </c>
    </row>
    <row r="5546" spans="1:7">
      <c r="A5546" s="3"/>
      <c r="B5546" s="3"/>
      <c r="C5546" s="3"/>
      <c r="D5546" s="3"/>
      <c r="E5546" s="3">
        <v>3</v>
      </c>
      <c r="F5546" s="4" t="str">
        <f>HYPERLINK("http://141.218.60.56/~jnz1568/getInfo.php?workbook=12_05.xlsx&amp;sheet=U0&amp;row=5546&amp;col=6&amp;number=3.2&amp;sourceID=14","3.2")</f>
        <v>3.2</v>
      </c>
      <c r="G5546" s="4" t="str">
        <f>HYPERLINK("http://141.218.60.56/~jnz1568/getInfo.php?workbook=12_05.xlsx&amp;sheet=U0&amp;row=5546&amp;col=7&amp;number=0.000133&amp;sourceID=14","0.000133")</f>
        <v>0.000133</v>
      </c>
    </row>
    <row r="5547" spans="1:7">
      <c r="A5547" s="3"/>
      <c r="B5547" s="3"/>
      <c r="C5547" s="3"/>
      <c r="D5547" s="3"/>
      <c r="E5547" s="3">
        <v>4</v>
      </c>
      <c r="F5547" s="4" t="str">
        <f>HYPERLINK("http://141.218.60.56/~jnz1568/getInfo.php?workbook=12_05.xlsx&amp;sheet=U0&amp;row=5547&amp;col=6&amp;number=3.3&amp;sourceID=14","3.3")</f>
        <v>3.3</v>
      </c>
      <c r="G5547" s="4" t="str">
        <f>HYPERLINK("http://141.218.60.56/~jnz1568/getInfo.php?workbook=12_05.xlsx&amp;sheet=U0&amp;row=5547&amp;col=7&amp;number=0.000133&amp;sourceID=14","0.000133")</f>
        <v>0.000133</v>
      </c>
    </row>
    <row r="5548" spans="1:7">
      <c r="A5548" s="3"/>
      <c r="B5548" s="3"/>
      <c r="C5548" s="3"/>
      <c r="D5548" s="3"/>
      <c r="E5548" s="3">
        <v>5</v>
      </c>
      <c r="F5548" s="4" t="str">
        <f>HYPERLINK("http://141.218.60.56/~jnz1568/getInfo.php?workbook=12_05.xlsx&amp;sheet=U0&amp;row=5548&amp;col=6&amp;number=3.4&amp;sourceID=14","3.4")</f>
        <v>3.4</v>
      </c>
      <c r="G5548" s="4" t="str">
        <f>HYPERLINK("http://141.218.60.56/~jnz1568/getInfo.php?workbook=12_05.xlsx&amp;sheet=U0&amp;row=5548&amp;col=7&amp;number=0.000133&amp;sourceID=14","0.000133")</f>
        <v>0.000133</v>
      </c>
    </row>
    <row r="5549" spans="1:7">
      <c r="A5549" s="3"/>
      <c r="B5549" s="3"/>
      <c r="C5549" s="3"/>
      <c r="D5549" s="3"/>
      <c r="E5549" s="3">
        <v>6</v>
      </c>
      <c r="F5549" s="4" t="str">
        <f>HYPERLINK("http://141.218.60.56/~jnz1568/getInfo.php?workbook=12_05.xlsx&amp;sheet=U0&amp;row=5549&amp;col=6&amp;number=3.5&amp;sourceID=14","3.5")</f>
        <v>3.5</v>
      </c>
      <c r="G5549" s="4" t="str">
        <f>HYPERLINK("http://141.218.60.56/~jnz1568/getInfo.php?workbook=12_05.xlsx&amp;sheet=U0&amp;row=5549&amp;col=7&amp;number=0.000132&amp;sourceID=14","0.000132")</f>
        <v>0.000132</v>
      </c>
    </row>
    <row r="5550" spans="1:7">
      <c r="A5550" s="3"/>
      <c r="B5550" s="3"/>
      <c r="C5550" s="3"/>
      <c r="D5550" s="3"/>
      <c r="E5550" s="3">
        <v>7</v>
      </c>
      <c r="F5550" s="4" t="str">
        <f>HYPERLINK("http://141.218.60.56/~jnz1568/getInfo.php?workbook=12_05.xlsx&amp;sheet=U0&amp;row=5550&amp;col=6&amp;number=3.6&amp;sourceID=14","3.6")</f>
        <v>3.6</v>
      </c>
      <c r="G5550" s="4" t="str">
        <f>HYPERLINK("http://141.218.60.56/~jnz1568/getInfo.php?workbook=12_05.xlsx&amp;sheet=U0&amp;row=5550&amp;col=7&amp;number=0.000132&amp;sourceID=14","0.000132")</f>
        <v>0.000132</v>
      </c>
    </row>
    <row r="5551" spans="1:7">
      <c r="A5551" s="3"/>
      <c r="B5551" s="3"/>
      <c r="C5551" s="3"/>
      <c r="D5551" s="3"/>
      <c r="E5551" s="3">
        <v>8</v>
      </c>
      <c r="F5551" s="4" t="str">
        <f>HYPERLINK("http://141.218.60.56/~jnz1568/getInfo.php?workbook=12_05.xlsx&amp;sheet=U0&amp;row=5551&amp;col=6&amp;number=3.7&amp;sourceID=14","3.7")</f>
        <v>3.7</v>
      </c>
      <c r="G5551" s="4" t="str">
        <f>HYPERLINK("http://141.218.60.56/~jnz1568/getInfo.php?workbook=12_05.xlsx&amp;sheet=U0&amp;row=5551&amp;col=7&amp;number=0.000132&amp;sourceID=14","0.000132")</f>
        <v>0.000132</v>
      </c>
    </row>
    <row r="5552" spans="1:7">
      <c r="A5552" s="3"/>
      <c r="B5552" s="3"/>
      <c r="C5552" s="3"/>
      <c r="D5552" s="3"/>
      <c r="E5552" s="3">
        <v>9</v>
      </c>
      <c r="F5552" s="4" t="str">
        <f>HYPERLINK("http://141.218.60.56/~jnz1568/getInfo.php?workbook=12_05.xlsx&amp;sheet=U0&amp;row=5552&amp;col=6&amp;number=3.8&amp;sourceID=14","3.8")</f>
        <v>3.8</v>
      </c>
      <c r="G5552" s="4" t="str">
        <f>HYPERLINK("http://141.218.60.56/~jnz1568/getInfo.php?workbook=12_05.xlsx&amp;sheet=U0&amp;row=5552&amp;col=7&amp;number=0.000132&amp;sourceID=14","0.000132")</f>
        <v>0.000132</v>
      </c>
    </row>
    <row r="5553" spans="1:7">
      <c r="A5553" s="3"/>
      <c r="B5553" s="3"/>
      <c r="C5553" s="3"/>
      <c r="D5553" s="3"/>
      <c r="E5553" s="3">
        <v>10</v>
      </c>
      <c r="F5553" s="4" t="str">
        <f>HYPERLINK("http://141.218.60.56/~jnz1568/getInfo.php?workbook=12_05.xlsx&amp;sheet=U0&amp;row=5553&amp;col=6&amp;number=3.9&amp;sourceID=14","3.9")</f>
        <v>3.9</v>
      </c>
      <c r="G5553" s="4" t="str">
        <f>HYPERLINK("http://141.218.60.56/~jnz1568/getInfo.php?workbook=12_05.xlsx&amp;sheet=U0&amp;row=5553&amp;col=7&amp;number=0.000132&amp;sourceID=14","0.000132")</f>
        <v>0.000132</v>
      </c>
    </row>
    <row r="5554" spans="1:7">
      <c r="A5554" s="3"/>
      <c r="B5554" s="3"/>
      <c r="C5554" s="3"/>
      <c r="D5554" s="3"/>
      <c r="E5554" s="3">
        <v>11</v>
      </c>
      <c r="F5554" s="4" t="str">
        <f>HYPERLINK("http://141.218.60.56/~jnz1568/getInfo.php?workbook=12_05.xlsx&amp;sheet=U0&amp;row=5554&amp;col=6&amp;number=4&amp;sourceID=14","4")</f>
        <v>4</v>
      </c>
      <c r="G5554" s="4" t="str">
        <f>HYPERLINK("http://141.218.60.56/~jnz1568/getInfo.php?workbook=12_05.xlsx&amp;sheet=U0&amp;row=5554&amp;col=7&amp;number=0.000132&amp;sourceID=14","0.000132")</f>
        <v>0.000132</v>
      </c>
    </row>
    <row r="5555" spans="1:7">
      <c r="A5555" s="3"/>
      <c r="B5555" s="3"/>
      <c r="C5555" s="3"/>
      <c r="D5555" s="3"/>
      <c r="E5555" s="3">
        <v>12</v>
      </c>
      <c r="F5555" s="4" t="str">
        <f>HYPERLINK("http://141.218.60.56/~jnz1568/getInfo.php?workbook=12_05.xlsx&amp;sheet=U0&amp;row=5555&amp;col=6&amp;number=4.1&amp;sourceID=14","4.1")</f>
        <v>4.1</v>
      </c>
      <c r="G5555" s="4" t="str">
        <f>HYPERLINK("http://141.218.60.56/~jnz1568/getInfo.php?workbook=12_05.xlsx&amp;sheet=U0&amp;row=5555&amp;col=7&amp;number=0.000131&amp;sourceID=14","0.000131")</f>
        <v>0.000131</v>
      </c>
    </row>
    <row r="5556" spans="1:7">
      <c r="A5556" s="3"/>
      <c r="B5556" s="3"/>
      <c r="C5556" s="3"/>
      <c r="D5556" s="3"/>
      <c r="E5556" s="3">
        <v>13</v>
      </c>
      <c r="F5556" s="4" t="str">
        <f>HYPERLINK("http://141.218.60.56/~jnz1568/getInfo.php?workbook=12_05.xlsx&amp;sheet=U0&amp;row=5556&amp;col=6&amp;number=4.2&amp;sourceID=14","4.2")</f>
        <v>4.2</v>
      </c>
      <c r="G5556" s="4" t="str">
        <f>HYPERLINK("http://141.218.60.56/~jnz1568/getInfo.php?workbook=12_05.xlsx&amp;sheet=U0&amp;row=5556&amp;col=7&amp;number=0.000131&amp;sourceID=14","0.000131")</f>
        <v>0.000131</v>
      </c>
    </row>
    <row r="5557" spans="1:7">
      <c r="A5557" s="3"/>
      <c r="B5557" s="3"/>
      <c r="C5557" s="3"/>
      <c r="D5557" s="3"/>
      <c r="E5557" s="3">
        <v>14</v>
      </c>
      <c r="F5557" s="4" t="str">
        <f>HYPERLINK("http://141.218.60.56/~jnz1568/getInfo.php?workbook=12_05.xlsx&amp;sheet=U0&amp;row=5557&amp;col=6&amp;number=4.3&amp;sourceID=14","4.3")</f>
        <v>4.3</v>
      </c>
      <c r="G5557" s="4" t="str">
        <f>HYPERLINK("http://141.218.60.56/~jnz1568/getInfo.php?workbook=12_05.xlsx&amp;sheet=U0&amp;row=5557&amp;col=7&amp;number=0.00013&amp;sourceID=14","0.00013")</f>
        <v>0.00013</v>
      </c>
    </row>
    <row r="5558" spans="1:7">
      <c r="A5558" s="3"/>
      <c r="B5558" s="3"/>
      <c r="C5558" s="3"/>
      <c r="D5558" s="3"/>
      <c r="E5558" s="3">
        <v>15</v>
      </c>
      <c r="F5558" s="4" t="str">
        <f>HYPERLINK("http://141.218.60.56/~jnz1568/getInfo.php?workbook=12_05.xlsx&amp;sheet=U0&amp;row=5558&amp;col=6&amp;number=4.4&amp;sourceID=14","4.4")</f>
        <v>4.4</v>
      </c>
      <c r="G5558" s="4" t="str">
        <f>HYPERLINK("http://141.218.60.56/~jnz1568/getInfo.php?workbook=12_05.xlsx&amp;sheet=U0&amp;row=5558&amp;col=7&amp;number=0.00013&amp;sourceID=14","0.00013")</f>
        <v>0.00013</v>
      </c>
    </row>
    <row r="5559" spans="1:7">
      <c r="A5559" s="3"/>
      <c r="B5559" s="3"/>
      <c r="C5559" s="3"/>
      <c r="D5559" s="3"/>
      <c r="E5559" s="3">
        <v>16</v>
      </c>
      <c r="F5559" s="4" t="str">
        <f>HYPERLINK("http://141.218.60.56/~jnz1568/getInfo.php?workbook=12_05.xlsx&amp;sheet=U0&amp;row=5559&amp;col=6&amp;number=4.5&amp;sourceID=14","4.5")</f>
        <v>4.5</v>
      </c>
      <c r="G5559" s="4" t="str">
        <f>HYPERLINK("http://141.218.60.56/~jnz1568/getInfo.php?workbook=12_05.xlsx&amp;sheet=U0&amp;row=5559&amp;col=7&amp;number=0.000129&amp;sourceID=14","0.000129")</f>
        <v>0.000129</v>
      </c>
    </row>
    <row r="5560" spans="1:7">
      <c r="A5560" s="3"/>
      <c r="B5560" s="3"/>
      <c r="C5560" s="3"/>
      <c r="D5560" s="3"/>
      <c r="E5560" s="3">
        <v>17</v>
      </c>
      <c r="F5560" s="4" t="str">
        <f>HYPERLINK("http://141.218.60.56/~jnz1568/getInfo.php?workbook=12_05.xlsx&amp;sheet=U0&amp;row=5560&amp;col=6&amp;number=4.6&amp;sourceID=14","4.6")</f>
        <v>4.6</v>
      </c>
      <c r="G5560" s="4" t="str">
        <f>HYPERLINK("http://141.218.60.56/~jnz1568/getInfo.php?workbook=12_05.xlsx&amp;sheet=U0&amp;row=5560&amp;col=7&amp;number=0.000128&amp;sourceID=14","0.000128")</f>
        <v>0.000128</v>
      </c>
    </row>
    <row r="5561" spans="1:7">
      <c r="A5561" s="3"/>
      <c r="B5561" s="3"/>
      <c r="C5561" s="3"/>
      <c r="D5561" s="3"/>
      <c r="E5561" s="3">
        <v>18</v>
      </c>
      <c r="F5561" s="4" t="str">
        <f>HYPERLINK("http://141.218.60.56/~jnz1568/getInfo.php?workbook=12_05.xlsx&amp;sheet=U0&amp;row=5561&amp;col=6&amp;number=4.7&amp;sourceID=14","4.7")</f>
        <v>4.7</v>
      </c>
      <c r="G5561" s="4" t="str">
        <f>HYPERLINK("http://141.218.60.56/~jnz1568/getInfo.php?workbook=12_05.xlsx&amp;sheet=U0&amp;row=5561&amp;col=7&amp;number=0.000127&amp;sourceID=14","0.000127")</f>
        <v>0.000127</v>
      </c>
    </row>
    <row r="5562" spans="1:7">
      <c r="A5562" s="3"/>
      <c r="B5562" s="3"/>
      <c r="C5562" s="3"/>
      <c r="D5562" s="3"/>
      <c r="E5562" s="3">
        <v>19</v>
      </c>
      <c r="F5562" s="4" t="str">
        <f>HYPERLINK("http://141.218.60.56/~jnz1568/getInfo.php?workbook=12_05.xlsx&amp;sheet=U0&amp;row=5562&amp;col=6&amp;number=4.8&amp;sourceID=14","4.8")</f>
        <v>4.8</v>
      </c>
      <c r="G5562" s="4" t="str">
        <f>HYPERLINK("http://141.218.60.56/~jnz1568/getInfo.php?workbook=12_05.xlsx&amp;sheet=U0&amp;row=5562&amp;col=7&amp;number=0.000125&amp;sourceID=14","0.000125")</f>
        <v>0.000125</v>
      </c>
    </row>
    <row r="5563" spans="1:7">
      <c r="A5563" s="3"/>
      <c r="B5563" s="3"/>
      <c r="C5563" s="3"/>
      <c r="D5563" s="3"/>
      <c r="E5563" s="3">
        <v>20</v>
      </c>
      <c r="F5563" s="4" t="str">
        <f>HYPERLINK("http://141.218.60.56/~jnz1568/getInfo.php?workbook=12_05.xlsx&amp;sheet=U0&amp;row=5563&amp;col=6&amp;number=4.9&amp;sourceID=14","4.9")</f>
        <v>4.9</v>
      </c>
      <c r="G5563" s="4" t="str">
        <f>HYPERLINK("http://141.218.60.56/~jnz1568/getInfo.php?workbook=12_05.xlsx&amp;sheet=U0&amp;row=5563&amp;col=7&amp;number=0.000123&amp;sourceID=14","0.000123")</f>
        <v>0.000123</v>
      </c>
    </row>
    <row r="5564" spans="1:7">
      <c r="A5564" s="3">
        <v>12</v>
      </c>
      <c r="B5564" s="3">
        <v>5</v>
      </c>
      <c r="C5564" s="3">
        <v>4</v>
      </c>
      <c r="D5564" s="3">
        <v>23</v>
      </c>
      <c r="E5564" s="3">
        <v>1</v>
      </c>
      <c r="F5564" s="4" t="str">
        <f>HYPERLINK("http://141.218.60.56/~jnz1568/getInfo.php?workbook=12_05.xlsx&amp;sheet=U0&amp;row=5564&amp;col=6&amp;number=3&amp;sourceID=14","3")</f>
        <v>3</v>
      </c>
      <c r="G5564" s="4" t="str">
        <f>HYPERLINK("http://141.218.60.56/~jnz1568/getInfo.php?workbook=12_05.xlsx&amp;sheet=U0&amp;row=5564&amp;col=7&amp;number=0.00159&amp;sourceID=14","0.00159")</f>
        <v>0.00159</v>
      </c>
    </row>
    <row r="5565" spans="1:7">
      <c r="A5565" s="3"/>
      <c r="B5565" s="3"/>
      <c r="C5565" s="3"/>
      <c r="D5565" s="3"/>
      <c r="E5565" s="3">
        <v>2</v>
      </c>
      <c r="F5565" s="4" t="str">
        <f>HYPERLINK("http://141.218.60.56/~jnz1568/getInfo.php?workbook=12_05.xlsx&amp;sheet=U0&amp;row=5565&amp;col=6&amp;number=3.1&amp;sourceID=14","3.1")</f>
        <v>3.1</v>
      </c>
      <c r="G5565" s="4" t="str">
        <f>HYPERLINK("http://141.218.60.56/~jnz1568/getInfo.php?workbook=12_05.xlsx&amp;sheet=U0&amp;row=5565&amp;col=7&amp;number=0.00159&amp;sourceID=14","0.00159")</f>
        <v>0.00159</v>
      </c>
    </row>
    <row r="5566" spans="1:7">
      <c r="A5566" s="3"/>
      <c r="B5566" s="3"/>
      <c r="C5566" s="3"/>
      <c r="D5566" s="3"/>
      <c r="E5566" s="3">
        <v>3</v>
      </c>
      <c r="F5566" s="4" t="str">
        <f>HYPERLINK("http://141.218.60.56/~jnz1568/getInfo.php?workbook=12_05.xlsx&amp;sheet=U0&amp;row=5566&amp;col=6&amp;number=3.2&amp;sourceID=14","3.2")</f>
        <v>3.2</v>
      </c>
      <c r="G5566" s="4" t="str">
        <f>HYPERLINK("http://141.218.60.56/~jnz1568/getInfo.php?workbook=12_05.xlsx&amp;sheet=U0&amp;row=5566&amp;col=7&amp;number=0.00159&amp;sourceID=14","0.00159")</f>
        <v>0.00159</v>
      </c>
    </row>
    <row r="5567" spans="1:7">
      <c r="A5567" s="3"/>
      <c r="B5567" s="3"/>
      <c r="C5567" s="3"/>
      <c r="D5567" s="3"/>
      <c r="E5567" s="3">
        <v>4</v>
      </c>
      <c r="F5567" s="4" t="str">
        <f>HYPERLINK("http://141.218.60.56/~jnz1568/getInfo.php?workbook=12_05.xlsx&amp;sheet=U0&amp;row=5567&amp;col=6&amp;number=3.3&amp;sourceID=14","3.3")</f>
        <v>3.3</v>
      </c>
      <c r="G5567" s="4" t="str">
        <f>HYPERLINK("http://141.218.60.56/~jnz1568/getInfo.php?workbook=12_05.xlsx&amp;sheet=U0&amp;row=5567&amp;col=7&amp;number=0.00159&amp;sourceID=14","0.00159")</f>
        <v>0.00159</v>
      </c>
    </row>
    <row r="5568" spans="1:7">
      <c r="A5568" s="3"/>
      <c r="B5568" s="3"/>
      <c r="C5568" s="3"/>
      <c r="D5568" s="3"/>
      <c r="E5568" s="3">
        <v>5</v>
      </c>
      <c r="F5568" s="4" t="str">
        <f>HYPERLINK("http://141.218.60.56/~jnz1568/getInfo.php?workbook=12_05.xlsx&amp;sheet=U0&amp;row=5568&amp;col=6&amp;number=3.4&amp;sourceID=14","3.4")</f>
        <v>3.4</v>
      </c>
      <c r="G5568" s="4" t="str">
        <f>HYPERLINK("http://141.218.60.56/~jnz1568/getInfo.php?workbook=12_05.xlsx&amp;sheet=U0&amp;row=5568&amp;col=7&amp;number=0.00159&amp;sourceID=14","0.00159")</f>
        <v>0.00159</v>
      </c>
    </row>
    <row r="5569" spans="1:7">
      <c r="A5569" s="3"/>
      <c r="B5569" s="3"/>
      <c r="C5569" s="3"/>
      <c r="D5569" s="3"/>
      <c r="E5569" s="3">
        <v>6</v>
      </c>
      <c r="F5569" s="4" t="str">
        <f>HYPERLINK("http://141.218.60.56/~jnz1568/getInfo.php?workbook=12_05.xlsx&amp;sheet=U0&amp;row=5569&amp;col=6&amp;number=3.5&amp;sourceID=14","3.5")</f>
        <v>3.5</v>
      </c>
      <c r="G5569" s="4" t="str">
        <f>HYPERLINK("http://141.218.60.56/~jnz1568/getInfo.php?workbook=12_05.xlsx&amp;sheet=U0&amp;row=5569&amp;col=7&amp;number=0.00159&amp;sourceID=14","0.00159")</f>
        <v>0.00159</v>
      </c>
    </row>
    <row r="5570" spans="1:7">
      <c r="A5570" s="3"/>
      <c r="B5570" s="3"/>
      <c r="C5570" s="3"/>
      <c r="D5570" s="3"/>
      <c r="E5570" s="3">
        <v>7</v>
      </c>
      <c r="F5570" s="4" t="str">
        <f>HYPERLINK("http://141.218.60.56/~jnz1568/getInfo.php?workbook=12_05.xlsx&amp;sheet=U0&amp;row=5570&amp;col=6&amp;number=3.6&amp;sourceID=14","3.6")</f>
        <v>3.6</v>
      </c>
      <c r="G5570" s="4" t="str">
        <f>HYPERLINK("http://141.218.60.56/~jnz1568/getInfo.php?workbook=12_05.xlsx&amp;sheet=U0&amp;row=5570&amp;col=7&amp;number=0.00159&amp;sourceID=14","0.00159")</f>
        <v>0.00159</v>
      </c>
    </row>
    <row r="5571" spans="1:7">
      <c r="A5571" s="3"/>
      <c r="B5571" s="3"/>
      <c r="C5571" s="3"/>
      <c r="D5571" s="3"/>
      <c r="E5571" s="3">
        <v>8</v>
      </c>
      <c r="F5571" s="4" t="str">
        <f>HYPERLINK("http://141.218.60.56/~jnz1568/getInfo.php?workbook=12_05.xlsx&amp;sheet=U0&amp;row=5571&amp;col=6&amp;number=3.7&amp;sourceID=14","3.7")</f>
        <v>3.7</v>
      </c>
      <c r="G5571" s="4" t="str">
        <f>HYPERLINK("http://141.218.60.56/~jnz1568/getInfo.php?workbook=12_05.xlsx&amp;sheet=U0&amp;row=5571&amp;col=7&amp;number=0.00158&amp;sourceID=14","0.00158")</f>
        <v>0.00158</v>
      </c>
    </row>
    <row r="5572" spans="1:7">
      <c r="A5572" s="3"/>
      <c r="B5572" s="3"/>
      <c r="C5572" s="3"/>
      <c r="D5572" s="3"/>
      <c r="E5572" s="3">
        <v>9</v>
      </c>
      <c r="F5572" s="4" t="str">
        <f>HYPERLINK("http://141.218.60.56/~jnz1568/getInfo.php?workbook=12_05.xlsx&amp;sheet=U0&amp;row=5572&amp;col=6&amp;number=3.8&amp;sourceID=14","3.8")</f>
        <v>3.8</v>
      </c>
      <c r="G5572" s="4" t="str">
        <f>HYPERLINK("http://141.218.60.56/~jnz1568/getInfo.php?workbook=12_05.xlsx&amp;sheet=U0&amp;row=5572&amp;col=7&amp;number=0.00158&amp;sourceID=14","0.00158")</f>
        <v>0.00158</v>
      </c>
    </row>
    <row r="5573" spans="1:7">
      <c r="A5573" s="3"/>
      <c r="B5573" s="3"/>
      <c r="C5573" s="3"/>
      <c r="D5573" s="3"/>
      <c r="E5573" s="3">
        <v>10</v>
      </c>
      <c r="F5573" s="4" t="str">
        <f>HYPERLINK("http://141.218.60.56/~jnz1568/getInfo.php?workbook=12_05.xlsx&amp;sheet=U0&amp;row=5573&amp;col=6&amp;number=3.9&amp;sourceID=14","3.9")</f>
        <v>3.9</v>
      </c>
      <c r="G5573" s="4" t="str">
        <f>HYPERLINK("http://141.218.60.56/~jnz1568/getInfo.php?workbook=12_05.xlsx&amp;sheet=U0&amp;row=5573&amp;col=7&amp;number=0.00158&amp;sourceID=14","0.00158")</f>
        <v>0.00158</v>
      </c>
    </row>
    <row r="5574" spans="1:7">
      <c r="A5574" s="3"/>
      <c r="B5574" s="3"/>
      <c r="C5574" s="3"/>
      <c r="D5574" s="3"/>
      <c r="E5574" s="3">
        <v>11</v>
      </c>
      <c r="F5574" s="4" t="str">
        <f>HYPERLINK("http://141.218.60.56/~jnz1568/getInfo.php?workbook=12_05.xlsx&amp;sheet=U0&amp;row=5574&amp;col=6&amp;number=4&amp;sourceID=14","4")</f>
        <v>4</v>
      </c>
      <c r="G5574" s="4" t="str">
        <f>HYPERLINK("http://141.218.60.56/~jnz1568/getInfo.php?workbook=12_05.xlsx&amp;sheet=U0&amp;row=5574&amp;col=7&amp;number=0.00158&amp;sourceID=14","0.00158")</f>
        <v>0.00158</v>
      </c>
    </row>
    <row r="5575" spans="1:7">
      <c r="A5575" s="3"/>
      <c r="B5575" s="3"/>
      <c r="C5575" s="3"/>
      <c r="D5575" s="3"/>
      <c r="E5575" s="3">
        <v>12</v>
      </c>
      <c r="F5575" s="4" t="str">
        <f>HYPERLINK("http://141.218.60.56/~jnz1568/getInfo.php?workbook=12_05.xlsx&amp;sheet=U0&amp;row=5575&amp;col=6&amp;number=4.1&amp;sourceID=14","4.1")</f>
        <v>4.1</v>
      </c>
      <c r="G5575" s="4" t="str">
        <f>HYPERLINK("http://141.218.60.56/~jnz1568/getInfo.php?workbook=12_05.xlsx&amp;sheet=U0&amp;row=5575&amp;col=7&amp;number=0.00157&amp;sourceID=14","0.00157")</f>
        <v>0.00157</v>
      </c>
    </row>
    <row r="5576" spans="1:7">
      <c r="A5576" s="3"/>
      <c r="B5576" s="3"/>
      <c r="C5576" s="3"/>
      <c r="D5576" s="3"/>
      <c r="E5576" s="3">
        <v>13</v>
      </c>
      <c r="F5576" s="4" t="str">
        <f>HYPERLINK("http://141.218.60.56/~jnz1568/getInfo.php?workbook=12_05.xlsx&amp;sheet=U0&amp;row=5576&amp;col=6&amp;number=4.2&amp;sourceID=14","4.2")</f>
        <v>4.2</v>
      </c>
      <c r="G5576" s="4" t="str">
        <f>HYPERLINK("http://141.218.60.56/~jnz1568/getInfo.php?workbook=12_05.xlsx&amp;sheet=U0&amp;row=5576&amp;col=7&amp;number=0.00157&amp;sourceID=14","0.00157")</f>
        <v>0.00157</v>
      </c>
    </row>
    <row r="5577" spans="1:7">
      <c r="A5577" s="3"/>
      <c r="B5577" s="3"/>
      <c r="C5577" s="3"/>
      <c r="D5577" s="3"/>
      <c r="E5577" s="3">
        <v>14</v>
      </c>
      <c r="F5577" s="4" t="str">
        <f>HYPERLINK("http://141.218.60.56/~jnz1568/getInfo.php?workbook=12_05.xlsx&amp;sheet=U0&amp;row=5577&amp;col=6&amp;number=4.3&amp;sourceID=14","4.3")</f>
        <v>4.3</v>
      </c>
      <c r="G5577" s="4" t="str">
        <f>HYPERLINK("http://141.218.60.56/~jnz1568/getInfo.php?workbook=12_05.xlsx&amp;sheet=U0&amp;row=5577&amp;col=7&amp;number=0.00156&amp;sourceID=14","0.00156")</f>
        <v>0.00156</v>
      </c>
    </row>
    <row r="5578" spans="1:7">
      <c r="A5578" s="3"/>
      <c r="B5578" s="3"/>
      <c r="C5578" s="3"/>
      <c r="D5578" s="3"/>
      <c r="E5578" s="3">
        <v>15</v>
      </c>
      <c r="F5578" s="4" t="str">
        <f>HYPERLINK("http://141.218.60.56/~jnz1568/getInfo.php?workbook=12_05.xlsx&amp;sheet=U0&amp;row=5578&amp;col=6&amp;number=4.4&amp;sourceID=14","4.4")</f>
        <v>4.4</v>
      </c>
      <c r="G5578" s="4" t="str">
        <f>HYPERLINK("http://141.218.60.56/~jnz1568/getInfo.php?workbook=12_05.xlsx&amp;sheet=U0&amp;row=5578&amp;col=7&amp;number=0.00156&amp;sourceID=14","0.00156")</f>
        <v>0.00156</v>
      </c>
    </row>
    <row r="5579" spans="1:7">
      <c r="A5579" s="3"/>
      <c r="B5579" s="3"/>
      <c r="C5579" s="3"/>
      <c r="D5579" s="3"/>
      <c r="E5579" s="3">
        <v>16</v>
      </c>
      <c r="F5579" s="4" t="str">
        <f>HYPERLINK("http://141.218.60.56/~jnz1568/getInfo.php?workbook=12_05.xlsx&amp;sheet=U0&amp;row=5579&amp;col=6&amp;number=4.5&amp;sourceID=14","4.5")</f>
        <v>4.5</v>
      </c>
      <c r="G5579" s="4" t="str">
        <f>HYPERLINK("http://141.218.60.56/~jnz1568/getInfo.php?workbook=12_05.xlsx&amp;sheet=U0&amp;row=5579&amp;col=7&amp;number=0.00155&amp;sourceID=14","0.00155")</f>
        <v>0.00155</v>
      </c>
    </row>
    <row r="5580" spans="1:7">
      <c r="A5580" s="3"/>
      <c r="B5580" s="3"/>
      <c r="C5580" s="3"/>
      <c r="D5580" s="3"/>
      <c r="E5580" s="3">
        <v>17</v>
      </c>
      <c r="F5580" s="4" t="str">
        <f>HYPERLINK("http://141.218.60.56/~jnz1568/getInfo.php?workbook=12_05.xlsx&amp;sheet=U0&amp;row=5580&amp;col=6&amp;number=4.6&amp;sourceID=14","4.6")</f>
        <v>4.6</v>
      </c>
      <c r="G5580" s="4" t="str">
        <f>HYPERLINK("http://141.218.60.56/~jnz1568/getInfo.php?workbook=12_05.xlsx&amp;sheet=U0&amp;row=5580&amp;col=7&amp;number=0.00154&amp;sourceID=14","0.00154")</f>
        <v>0.00154</v>
      </c>
    </row>
    <row r="5581" spans="1:7">
      <c r="A5581" s="3"/>
      <c r="B5581" s="3"/>
      <c r="C5581" s="3"/>
      <c r="D5581" s="3"/>
      <c r="E5581" s="3">
        <v>18</v>
      </c>
      <c r="F5581" s="4" t="str">
        <f>HYPERLINK("http://141.218.60.56/~jnz1568/getInfo.php?workbook=12_05.xlsx&amp;sheet=U0&amp;row=5581&amp;col=6&amp;number=4.7&amp;sourceID=14","4.7")</f>
        <v>4.7</v>
      </c>
      <c r="G5581" s="4" t="str">
        <f>HYPERLINK("http://141.218.60.56/~jnz1568/getInfo.php?workbook=12_05.xlsx&amp;sheet=U0&amp;row=5581&amp;col=7&amp;number=0.00152&amp;sourceID=14","0.00152")</f>
        <v>0.00152</v>
      </c>
    </row>
    <row r="5582" spans="1:7">
      <c r="A5582" s="3"/>
      <c r="B5582" s="3"/>
      <c r="C5582" s="3"/>
      <c r="D5582" s="3"/>
      <c r="E5582" s="3">
        <v>19</v>
      </c>
      <c r="F5582" s="4" t="str">
        <f>HYPERLINK("http://141.218.60.56/~jnz1568/getInfo.php?workbook=12_05.xlsx&amp;sheet=U0&amp;row=5582&amp;col=6&amp;number=4.8&amp;sourceID=14","4.8")</f>
        <v>4.8</v>
      </c>
      <c r="G5582" s="4" t="str">
        <f>HYPERLINK("http://141.218.60.56/~jnz1568/getInfo.php?workbook=12_05.xlsx&amp;sheet=U0&amp;row=5582&amp;col=7&amp;number=0.0015&amp;sourceID=14","0.0015")</f>
        <v>0.0015</v>
      </c>
    </row>
    <row r="5583" spans="1:7">
      <c r="A5583" s="3"/>
      <c r="B5583" s="3"/>
      <c r="C5583" s="3"/>
      <c r="D5583" s="3"/>
      <c r="E5583" s="3">
        <v>20</v>
      </c>
      <c r="F5583" s="4" t="str">
        <f>HYPERLINK("http://141.218.60.56/~jnz1568/getInfo.php?workbook=12_05.xlsx&amp;sheet=U0&amp;row=5583&amp;col=6&amp;number=4.9&amp;sourceID=14","4.9")</f>
        <v>4.9</v>
      </c>
      <c r="G5583" s="4" t="str">
        <f>HYPERLINK("http://141.218.60.56/~jnz1568/getInfo.php?workbook=12_05.xlsx&amp;sheet=U0&amp;row=5583&amp;col=7&amp;number=0.00148&amp;sourceID=14","0.00148")</f>
        <v>0.00148</v>
      </c>
    </row>
    <row r="5584" spans="1:7">
      <c r="A5584" s="3">
        <v>12</v>
      </c>
      <c r="B5584" s="3">
        <v>5</v>
      </c>
      <c r="C5584" s="3">
        <v>4</v>
      </c>
      <c r="D5584" s="3">
        <v>24</v>
      </c>
      <c r="E5584" s="3">
        <v>1</v>
      </c>
      <c r="F5584" s="4" t="str">
        <f>HYPERLINK("http://141.218.60.56/~jnz1568/getInfo.php?workbook=12_05.xlsx&amp;sheet=U0&amp;row=5584&amp;col=6&amp;number=3&amp;sourceID=14","3")</f>
        <v>3</v>
      </c>
      <c r="G5584" s="4" t="str">
        <f>HYPERLINK("http://141.218.60.56/~jnz1568/getInfo.php?workbook=12_05.xlsx&amp;sheet=U0&amp;row=5584&amp;col=7&amp;number=0.00191&amp;sourceID=14","0.00191")</f>
        <v>0.00191</v>
      </c>
    </row>
    <row r="5585" spans="1:7">
      <c r="A5585" s="3"/>
      <c r="B5585" s="3"/>
      <c r="C5585" s="3"/>
      <c r="D5585" s="3"/>
      <c r="E5585" s="3">
        <v>2</v>
      </c>
      <c r="F5585" s="4" t="str">
        <f>HYPERLINK("http://141.218.60.56/~jnz1568/getInfo.php?workbook=12_05.xlsx&amp;sheet=U0&amp;row=5585&amp;col=6&amp;number=3.1&amp;sourceID=14","3.1")</f>
        <v>3.1</v>
      </c>
      <c r="G5585" s="4" t="str">
        <f>HYPERLINK("http://141.218.60.56/~jnz1568/getInfo.php?workbook=12_05.xlsx&amp;sheet=U0&amp;row=5585&amp;col=7&amp;number=0.0019&amp;sourceID=14","0.0019")</f>
        <v>0.0019</v>
      </c>
    </row>
    <row r="5586" spans="1:7">
      <c r="A5586" s="3"/>
      <c r="B5586" s="3"/>
      <c r="C5586" s="3"/>
      <c r="D5586" s="3"/>
      <c r="E5586" s="3">
        <v>3</v>
      </c>
      <c r="F5586" s="4" t="str">
        <f>HYPERLINK("http://141.218.60.56/~jnz1568/getInfo.php?workbook=12_05.xlsx&amp;sheet=U0&amp;row=5586&amp;col=6&amp;number=3.2&amp;sourceID=14","3.2")</f>
        <v>3.2</v>
      </c>
      <c r="G5586" s="4" t="str">
        <f>HYPERLINK("http://141.218.60.56/~jnz1568/getInfo.php?workbook=12_05.xlsx&amp;sheet=U0&amp;row=5586&amp;col=7&amp;number=0.0019&amp;sourceID=14","0.0019")</f>
        <v>0.0019</v>
      </c>
    </row>
    <row r="5587" spans="1:7">
      <c r="A5587" s="3"/>
      <c r="B5587" s="3"/>
      <c r="C5587" s="3"/>
      <c r="D5587" s="3"/>
      <c r="E5587" s="3">
        <v>4</v>
      </c>
      <c r="F5587" s="4" t="str">
        <f>HYPERLINK("http://141.218.60.56/~jnz1568/getInfo.php?workbook=12_05.xlsx&amp;sheet=U0&amp;row=5587&amp;col=6&amp;number=3.3&amp;sourceID=14","3.3")</f>
        <v>3.3</v>
      </c>
      <c r="G5587" s="4" t="str">
        <f>HYPERLINK("http://141.218.60.56/~jnz1568/getInfo.php?workbook=12_05.xlsx&amp;sheet=U0&amp;row=5587&amp;col=7&amp;number=0.0019&amp;sourceID=14","0.0019")</f>
        <v>0.0019</v>
      </c>
    </row>
    <row r="5588" spans="1:7">
      <c r="A5588" s="3"/>
      <c r="B5588" s="3"/>
      <c r="C5588" s="3"/>
      <c r="D5588" s="3"/>
      <c r="E5588" s="3">
        <v>5</v>
      </c>
      <c r="F5588" s="4" t="str">
        <f>HYPERLINK("http://141.218.60.56/~jnz1568/getInfo.php?workbook=12_05.xlsx&amp;sheet=U0&amp;row=5588&amp;col=6&amp;number=3.4&amp;sourceID=14","3.4")</f>
        <v>3.4</v>
      </c>
      <c r="G5588" s="4" t="str">
        <f>HYPERLINK("http://141.218.60.56/~jnz1568/getInfo.php?workbook=12_05.xlsx&amp;sheet=U0&amp;row=5588&amp;col=7&amp;number=0.0019&amp;sourceID=14","0.0019")</f>
        <v>0.0019</v>
      </c>
    </row>
    <row r="5589" spans="1:7">
      <c r="A5589" s="3"/>
      <c r="B5589" s="3"/>
      <c r="C5589" s="3"/>
      <c r="D5589" s="3"/>
      <c r="E5589" s="3">
        <v>6</v>
      </c>
      <c r="F5589" s="4" t="str">
        <f>HYPERLINK("http://141.218.60.56/~jnz1568/getInfo.php?workbook=12_05.xlsx&amp;sheet=U0&amp;row=5589&amp;col=6&amp;number=3.5&amp;sourceID=14","3.5")</f>
        <v>3.5</v>
      </c>
      <c r="G5589" s="4" t="str">
        <f>HYPERLINK("http://141.218.60.56/~jnz1568/getInfo.php?workbook=12_05.xlsx&amp;sheet=U0&amp;row=5589&amp;col=7&amp;number=0.0019&amp;sourceID=14","0.0019")</f>
        <v>0.0019</v>
      </c>
    </row>
    <row r="5590" spans="1:7">
      <c r="A5590" s="3"/>
      <c r="B5590" s="3"/>
      <c r="C5590" s="3"/>
      <c r="D5590" s="3"/>
      <c r="E5590" s="3">
        <v>7</v>
      </c>
      <c r="F5590" s="4" t="str">
        <f>HYPERLINK("http://141.218.60.56/~jnz1568/getInfo.php?workbook=12_05.xlsx&amp;sheet=U0&amp;row=5590&amp;col=6&amp;number=3.6&amp;sourceID=14","3.6")</f>
        <v>3.6</v>
      </c>
      <c r="G5590" s="4" t="str">
        <f>HYPERLINK("http://141.218.60.56/~jnz1568/getInfo.php?workbook=12_05.xlsx&amp;sheet=U0&amp;row=5590&amp;col=7&amp;number=0.0019&amp;sourceID=14","0.0019")</f>
        <v>0.0019</v>
      </c>
    </row>
    <row r="5591" spans="1:7">
      <c r="A5591" s="3"/>
      <c r="B5591" s="3"/>
      <c r="C5591" s="3"/>
      <c r="D5591" s="3"/>
      <c r="E5591" s="3">
        <v>8</v>
      </c>
      <c r="F5591" s="4" t="str">
        <f>HYPERLINK("http://141.218.60.56/~jnz1568/getInfo.php?workbook=12_05.xlsx&amp;sheet=U0&amp;row=5591&amp;col=6&amp;number=3.7&amp;sourceID=14","3.7")</f>
        <v>3.7</v>
      </c>
      <c r="G5591" s="4" t="str">
        <f>HYPERLINK("http://141.218.60.56/~jnz1568/getInfo.php?workbook=12_05.xlsx&amp;sheet=U0&amp;row=5591&amp;col=7&amp;number=0.0019&amp;sourceID=14","0.0019")</f>
        <v>0.0019</v>
      </c>
    </row>
    <row r="5592" spans="1:7">
      <c r="A5592" s="3"/>
      <c r="B5592" s="3"/>
      <c r="C5592" s="3"/>
      <c r="D5592" s="3"/>
      <c r="E5592" s="3">
        <v>9</v>
      </c>
      <c r="F5592" s="4" t="str">
        <f>HYPERLINK("http://141.218.60.56/~jnz1568/getInfo.php?workbook=12_05.xlsx&amp;sheet=U0&amp;row=5592&amp;col=6&amp;number=3.8&amp;sourceID=14","3.8")</f>
        <v>3.8</v>
      </c>
      <c r="G5592" s="4" t="str">
        <f>HYPERLINK("http://141.218.60.56/~jnz1568/getInfo.php?workbook=12_05.xlsx&amp;sheet=U0&amp;row=5592&amp;col=7&amp;number=0.0019&amp;sourceID=14","0.0019")</f>
        <v>0.0019</v>
      </c>
    </row>
    <row r="5593" spans="1:7">
      <c r="A5593" s="3"/>
      <c r="B5593" s="3"/>
      <c r="C5593" s="3"/>
      <c r="D5593" s="3"/>
      <c r="E5593" s="3">
        <v>10</v>
      </c>
      <c r="F5593" s="4" t="str">
        <f>HYPERLINK("http://141.218.60.56/~jnz1568/getInfo.php?workbook=12_05.xlsx&amp;sheet=U0&amp;row=5593&amp;col=6&amp;number=3.9&amp;sourceID=14","3.9")</f>
        <v>3.9</v>
      </c>
      <c r="G5593" s="4" t="str">
        <f>HYPERLINK("http://141.218.60.56/~jnz1568/getInfo.php?workbook=12_05.xlsx&amp;sheet=U0&amp;row=5593&amp;col=7&amp;number=0.00189&amp;sourceID=14","0.00189")</f>
        <v>0.00189</v>
      </c>
    </row>
    <row r="5594" spans="1:7">
      <c r="A5594" s="3"/>
      <c r="B5594" s="3"/>
      <c r="C5594" s="3"/>
      <c r="D5594" s="3"/>
      <c r="E5594" s="3">
        <v>11</v>
      </c>
      <c r="F5594" s="4" t="str">
        <f>HYPERLINK("http://141.218.60.56/~jnz1568/getInfo.php?workbook=12_05.xlsx&amp;sheet=U0&amp;row=5594&amp;col=6&amp;number=4&amp;sourceID=14","4")</f>
        <v>4</v>
      </c>
      <c r="G5594" s="4" t="str">
        <f>HYPERLINK("http://141.218.60.56/~jnz1568/getInfo.php?workbook=12_05.xlsx&amp;sheet=U0&amp;row=5594&amp;col=7&amp;number=0.00189&amp;sourceID=14","0.00189")</f>
        <v>0.00189</v>
      </c>
    </row>
    <row r="5595" spans="1:7">
      <c r="A5595" s="3"/>
      <c r="B5595" s="3"/>
      <c r="C5595" s="3"/>
      <c r="D5595" s="3"/>
      <c r="E5595" s="3">
        <v>12</v>
      </c>
      <c r="F5595" s="4" t="str">
        <f>HYPERLINK("http://141.218.60.56/~jnz1568/getInfo.php?workbook=12_05.xlsx&amp;sheet=U0&amp;row=5595&amp;col=6&amp;number=4.1&amp;sourceID=14","4.1")</f>
        <v>4.1</v>
      </c>
      <c r="G5595" s="4" t="str">
        <f>HYPERLINK("http://141.218.60.56/~jnz1568/getInfo.php?workbook=12_05.xlsx&amp;sheet=U0&amp;row=5595&amp;col=7&amp;number=0.00188&amp;sourceID=14","0.00188")</f>
        <v>0.00188</v>
      </c>
    </row>
    <row r="5596" spans="1:7">
      <c r="A5596" s="3"/>
      <c r="B5596" s="3"/>
      <c r="C5596" s="3"/>
      <c r="D5596" s="3"/>
      <c r="E5596" s="3">
        <v>13</v>
      </c>
      <c r="F5596" s="4" t="str">
        <f>HYPERLINK("http://141.218.60.56/~jnz1568/getInfo.php?workbook=12_05.xlsx&amp;sheet=U0&amp;row=5596&amp;col=6&amp;number=4.2&amp;sourceID=14","4.2")</f>
        <v>4.2</v>
      </c>
      <c r="G5596" s="4" t="str">
        <f>HYPERLINK("http://141.218.60.56/~jnz1568/getInfo.php?workbook=12_05.xlsx&amp;sheet=U0&amp;row=5596&amp;col=7&amp;number=0.00188&amp;sourceID=14","0.00188")</f>
        <v>0.00188</v>
      </c>
    </row>
    <row r="5597" spans="1:7">
      <c r="A5597" s="3"/>
      <c r="B5597" s="3"/>
      <c r="C5597" s="3"/>
      <c r="D5597" s="3"/>
      <c r="E5597" s="3">
        <v>14</v>
      </c>
      <c r="F5597" s="4" t="str">
        <f>HYPERLINK("http://141.218.60.56/~jnz1568/getInfo.php?workbook=12_05.xlsx&amp;sheet=U0&amp;row=5597&amp;col=6&amp;number=4.3&amp;sourceID=14","4.3")</f>
        <v>4.3</v>
      </c>
      <c r="G5597" s="4" t="str">
        <f>HYPERLINK("http://141.218.60.56/~jnz1568/getInfo.php?workbook=12_05.xlsx&amp;sheet=U0&amp;row=5597&amp;col=7&amp;number=0.00187&amp;sourceID=14","0.00187")</f>
        <v>0.00187</v>
      </c>
    </row>
    <row r="5598" spans="1:7">
      <c r="A5598" s="3"/>
      <c r="B5598" s="3"/>
      <c r="C5598" s="3"/>
      <c r="D5598" s="3"/>
      <c r="E5598" s="3">
        <v>15</v>
      </c>
      <c r="F5598" s="4" t="str">
        <f>HYPERLINK("http://141.218.60.56/~jnz1568/getInfo.php?workbook=12_05.xlsx&amp;sheet=U0&amp;row=5598&amp;col=6&amp;number=4.4&amp;sourceID=14","4.4")</f>
        <v>4.4</v>
      </c>
      <c r="G5598" s="4" t="str">
        <f>HYPERLINK("http://141.218.60.56/~jnz1568/getInfo.php?workbook=12_05.xlsx&amp;sheet=U0&amp;row=5598&amp;col=7&amp;number=0.00186&amp;sourceID=14","0.00186")</f>
        <v>0.00186</v>
      </c>
    </row>
    <row r="5599" spans="1:7">
      <c r="A5599" s="3"/>
      <c r="B5599" s="3"/>
      <c r="C5599" s="3"/>
      <c r="D5599" s="3"/>
      <c r="E5599" s="3">
        <v>16</v>
      </c>
      <c r="F5599" s="4" t="str">
        <f>HYPERLINK("http://141.218.60.56/~jnz1568/getInfo.php?workbook=12_05.xlsx&amp;sheet=U0&amp;row=5599&amp;col=6&amp;number=4.5&amp;sourceID=14","4.5")</f>
        <v>4.5</v>
      </c>
      <c r="G5599" s="4" t="str">
        <f>HYPERLINK("http://141.218.60.56/~jnz1568/getInfo.php?workbook=12_05.xlsx&amp;sheet=U0&amp;row=5599&amp;col=7&amp;number=0.00185&amp;sourceID=14","0.00185")</f>
        <v>0.00185</v>
      </c>
    </row>
    <row r="5600" spans="1:7">
      <c r="A5600" s="3"/>
      <c r="B5600" s="3"/>
      <c r="C5600" s="3"/>
      <c r="D5600" s="3"/>
      <c r="E5600" s="3">
        <v>17</v>
      </c>
      <c r="F5600" s="4" t="str">
        <f>HYPERLINK("http://141.218.60.56/~jnz1568/getInfo.php?workbook=12_05.xlsx&amp;sheet=U0&amp;row=5600&amp;col=6&amp;number=4.6&amp;sourceID=14","4.6")</f>
        <v>4.6</v>
      </c>
      <c r="G5600" s="4" t="str">
        <f>HYPERLINK("http://141.218.60.56/~jnz1568/getInfo.php?workbook=12_05.xlsx&amp;sheet=U0&amp;row=5600&amp;col=7&amp;number=0.00183&amp;sourceID=14","0.00183")</f>
        <v>0.00183</v>
      </c>
    </row>
    <row r="5601" spans="1:7">
      <c r="A5601" s="3"/>
      <c r="B5601" s="3"/>
      <c r="C5601" s="3"/>
      <c r="D5601" s="3"/>
      <c r="E5601" s="3">
        <v>18</v>
      </c>
      <c r="F5601" s="4" t="str">
        <f>HYPERLINK("http://141.218.60.56/~jnz1568/getInfo.php?workbook=12_05.xlsx&amp;sheet=U0&amp;row=5601&amp;col=6&amp;number=4.7&amp;sourceID=14","4.7")</f>
        <v>4.7</v>
      </c>
      <c r="G5601" s="4" t="str">
        <f>HYPERLINK("http://141.218.60.56/~jnz1568/getInfo.php?workbook=12_05.xlsx&amp;sheet=U0&amp;row=5601&amp;col=7&amp;number=0.00182&amp;sourceID=14","0.00182")</f>
        <v>0.00182</v>
      </c>
    </row>
    <row r="5602" spans="1:7">
      <c r="A5602" s="3"/>
      <c r="B5602" s="3"/>
      <c r="C5602" s="3"/>
      <c r="D5602" s="3"/>
      <c r="E5602" s="3">
        <v>19</v>
      </c>
      <c r="F5602" s="4" t="str">
        <f>HYPERLINK("http://141.218.60.56/~jnz1568/getInfo.php?workbook=12_05.xlsx&amp;sheet=U0&amp;row=5602&amp;col=6&amp;number=4.8&amp;sourceID=14","4.8")</f>
        <v>4.8</v>
      </c>
      <c r="G5602" s="4" t="str">
        <f>HYPERLINK("http://141.218.60.56/~jnz1568/getInfo.php?workbook=12_05.xlsx&amp;sheet=U0&amp;row=5602&amp;col=7&amp;number=0.00179&amp;sourceID=14","0.00179")</f>
        <v>0.00179</v>
      </c>
    </row>
    <row r="5603" spans="1:7">
      <c r="A5603" s="3"/>
      <c r="B5603" s="3"/>
      <c r="C5603" s="3"/>
      <c r="D5603" s="3"/>
      <c r="E5603" s="3">
        <v>20</v>
      </c>
      <c r="F5603" s="4" t="str">
        <f>HYPERLINK("http://141.218.60.56/~jnz1568/getInfo.php?workbook=12_05.xlsx&amp;sheet=U0&amp;row=5603&amp;col=6&amp;number=4.9&amp;sourceID=14","4.9")</f>
        <v>4.9</v>
      </c>
      <c r="G5603" s="4" t="str">
        <f>HYPERLINK("http://141.218.60.56/~jnz1568/getInfo.php?workbook=12_05.xlsx&amp;sheet=U0&amp;row=5603&amp;col=7&amp;number=0.00177&amp;sourceID=14","0.00177")</f>
        <v>0.00177</v>
      </c>
    </row>
    <row r="5604" spans="1:7">
      <c r="A5604" s="3">
        <v>12</v>
      </c>
      <c r="B5604" s="3">
        <v>5</v>
      </c>
      <c r="C5604" s="3">
        <v>4</v>
      </c>
      <c r="D5604" s="3">
        <v>25</v>
      </c>
      <c r="E5604" s="3">
        <v>1</v>
      </c>
      <c r="F5604" s="4" t="str">
        <f>HYPERLINK("http://141.218.60.56/~jnz1568/getInfo.php?workbook=12_05.xlsx&amp;sheet=U0&amp;row=5604&amp;col=6&amp;number=3&amp;sourceID=14","3")</f>
        <v>3</v>
      </c>
      <c r="G5604" s="4" t="str">
        <f>HYPERLINK("http://141.218.60.56/~jnz1568/getInfo.php?workbook=12_05.xlsx&amp;sheet=U0&amp;row=5604&amp;col=7&amp;number=0.0125&amp;sourceID=14","0.0125")</f>
        <v>0.0125</v>
      </c>
    </row>
    <row r="5605" spans="1:7">
      <c r="A5605" s="3"/>
      <c r="B5605" s="3"/>
      <c r="C5605" s="3"/>
      <c r="D5605" s="3"/>
      <c r="E5605" s="3">
        <v>2</v>
      </c>
      <c r="F5605" s="4" t="str">
        <f>HYPERLINK("http://141.218.60.56/~jnz1568/getInfo.php?workbook=12_05.xlsx&amp;sheet=U0&amp;row=5605&amp;col=6&amp;number=3.1&amp;sourceID=14","3.1")</f>
        <v>3.1</v>
      </c>
      <c r="G5605" s="4" t="str">
        <f>HYPERLINK("http://141.218.60.56/~jnz1568/getInfo.php?workbook=12_05.xlsx&amp;sheet=U0&amp;row=5605&amp;col=7&amp;number=0.0125&amp;sourceID=14","0.0125")</f>
        <v>0.0125</v>
      </c>
    </row>
    <row r="5606" spans="1:7">
      <c r="A5606" s="3"/>
      <c r="B5606" s="3"/>
      <c r="C5606" s="3"/>
      <c r="D5606" s="3"/>
      <c r="E5606" s="3">
        <v>3</v>
      </c>
      <c r="F5606" s="4" t="str">
        <f>HYPERLINK("http://141.218.60.56/~jnz1568/getInfo.php?workbook=12_05.xlsx&amp;sheet=U0&amp;row=5606&amp;col=6&amp;number=3.2&amp;sourceID=14","3.2")</f>
        <v>3.2</v>
      </c>
      <c r="G5606" s="4" t="str">
        <f>HYPERLINK("http://141.218.60.56/~jnz1568/getInfo.php?workbook=12_05.xlsx&amp;sheet=U0&amp;row=5606&amp;col=7&amp;number=0.0125&amp;sourceID=14","0.0125")</f>
        <v>0.0125</v>
      </c>
    </row>
    <row r="5607" spans="1:7">
      <c r="A5607" s="3"/>
      <c r="B5607" s="3"/>
      <c r="C5607" s="3"/>
      <c r="D5607" s="3"/>
      <c r="E5607" s="3">
        <v>4</v>
      </c>
      <c r="F5607" s="4" t="str">
        <f>HYPERLINK("http://141.218.60.56/~jnz1568/getInfo.php?workbook=12_05.xlsx&amp;sheet=U0&amp;row=5607&amp;col=6&amp;number=3.3&amp;sourceID=14","3.3")</f>
        <v>3.3</v>
      </c>
      <c r="G5607" s="4" t="str">
        <f>HYPERLINK("http://141.218.60.56/~jnz1568/getInfo.php?workbook=12_05.xlsx&amp;sheet=U0&amp;row=5607&amp;col=7&amp;number=0.0125&amp;sourceID=14","0.0125")</f>
        <v>0.0125</v>
      </c>
    </row>
    <row r="5608" spans="1:7">
      <c r="A5608" s="3"/>
      <c r="B5608" s="3"/>
      <c r="C5608" s="3"/>
      <c r="D5608" s="3"/>
      <c r="E5608" s="3">
        <v>5</v>
      </c>
      <c r="F5608" s="4" t="str">
        <f>HYPERLINK("http://141.218.60.56/~jnz1568/getInfo.php?workbook=12_05.xlsx&amp;sheet=U0&amp;row=5608&amp;col=6&amp;number=3.4&amp;sourceID=14","3.4")</f>
        <v>3.4</v>
      </c>
      <c r="G5608" s="4" t="str">
        <f>HYPERLINK("http://141.218.60.56/~jnz1568/getInfo.php?workbook=12_05.xlsx&amp;sheet=U0&amp;row=5608&amp;col=7&amp;number=0.0125&amp;sourceID=14","0.0125")</f>
        <v>0.0125</v>
      </c>
    </row>
    <row r="5609" spans="1:7">
      <c r="A5609" s="3"/>
      <c r="B5609" s="3"/>
      <c r="C5609" s="3"/>
      <c r="D5609" s="3"/>
      <c r="E5609" s="3">
        <v>6</v>
      </c>
      <c r="F5609" s="4" t="str">
        <f>HYPERLINK("http://141.218.60.56/~jnz1568/getInfo.php?workbook=12_05.xlsx&amp;sheet=U0&amp;row=5609&amp;col=6&amp;number=3.5&amp;sourceID=14","3.5")</f>
        <v>3.5</v>
      </c>
      <c r="G5609" s="4" t="str">
        <f>HYPERLINK("http://141.218.60.56/~jnz1568/getInfo.php?workbook=12_05.xlsx&amp;sheet=U0&amp;row=5609&amp;col=7&amp;number=0.0125&amp;sourceID=14","0.0125")</f>
        <v>0.0125</v>
      </c>
    </row>
    <row r="5610" spans="1:7">
      <c r="A5610" s="3"/>
      <c r="B5610" s="3"/>
      <c r="C5610" s="3"/>
      <c r="D5610" s="3"/>
      <c r="E5610" s="3">
        <v>7</v>
      </c>
      <c r="F5610" s="4" t="str">
        <f>HYPERLINK("http://141.218.60.56/~jnz1568/getInfo.php?workbook=12_05.xlsx&amp;sheet=U0&amp;row=5610&amp;col=6&amp;number=3.6&amp;sourceID=14","3.6")</f>
        <v>3.6</v>
      </c>
      <c r="G5610" s="4" t="str">
        <f>HYPERLINK("http://141.218.60.56/~jnz1568/getInfo.php?workbook=12_05.xlsx&amp;sheet=U0&amp;row=5610&amp;col=7&amp;number=0.0125&amp;sourceID=14","0.0125")</f>
        <v>0.0125</v>
      </c>
    </row>
    <row r="5611" spans="1:7">
      <c r="A5611" s="3"/>
      <c r="B5611" s="3"/>
      <c r="C5611" s="3"/>
      <c r="D5611" s="3"/>
      <c r="E5611" s="3">
        <v>8</v>
      </c>
      <c r="F5611" s="4" t="str">
        <f>HYPERLINK("http://141.218.60.56/~jnz1568/getInfo.php?workbook=12_05.xlsx&amp;sheet=U0&amp;row=5611&amp;col=6&amp;number=3.7&amp;sourceID=14","3.7")</f>
        <v>3.7</v>
      </c>
      <c r="G5611" s="4" t="str">
        <f>HYPERLINK("http://141.218.60.56/~jnz1568/getInfo.php?workbook=12_05.xlsx&amp;sheet=U0&amp;row=5611&amp;col=7&amp;number=0.0125&amp;sourceID=14","0.0125")</f>
        <v>0.0125</v>
      </c>
    </row>
    <row r="5612" spans="1:7">
      <c r="A5612" s="3"/>
      <c r="B5612" s="3"/>
      <c r="C5612" s="3"/>
      <c r="D5612" s="3"/>
      <c r="E5612" s="3">
        <v>9</v>
      </c>
      <c r="F5612" s="4" t="str">
        <f>HYPERLINK("http://141.218.60.56/~jnz1568/getInfo.php?workbook=12_05.xlsx&amp;sheet=U0&amp;row=5612&amp;col=6&amp;number=3.8&amp;sourceID=14","3.8")</f>
        <v>3.8</v>
      </c>
      <c r="G5612" s="4" t="str">
        <f>HYPERLINK("http://141.218.60.56/~jnz1568/getInfo.php?workbook=12_05.xlsx&amp;sheet=U0&amp;row=5612&amp;col=7&amp;number=0.0125&amp;sourceID=14","0.0125")</f>
        <v>0.0125</v>
      </c>
    </row>
    <row r="5613" spans="1:7">
      <c r="A5613" s="3"/>
      <c r="B5613" s="3"/>
      <c r="C5613" s="3"/>
      <c r="D5613" s="3"/>
      <c r="E5613" s="3">
        <v>10</v>
      </c>
      <c r="F5613" s="4" t="str">
        <f>HYPERLINK("http://141.218.60.56/~jnz1568/getInfo.php?workbook=12_05.xlsx&amp;sheet=U0&amp;row=5613&amp;col=6&amp;number=3.9&amp;sourceID=14","3.9")</f>
        <v>3.9</v>
      </c>
      <c r="G5613" s="4" t="str">
        <f>HYPERLINK("http://141.218.60.56/~jnz1568/getInfo.php?workbook=12_05.xlsx&amp;sheet=U0&amp;row=5613&amp;col=7&amp;number=0.0126&amp;sourceID=14","0.0126")</f>
        <v>0.0126</v>
      </c>
    </row>
    <row r="5614" spans="1:7">
      <c r="A5614" s="3"/>
      <c r="B5614" s="3"/>
      <c r="C5614" s="3"/>
      <c r="D5614" s="3"/>
      <c r="E5614" s="3">
        <v>11</v>
      </c>
      <c r="F5614" s="4" t="str">
        <f>HYPERLINK("http://141.218.60.56/~jnz1568/getInfo.php?workbook=12_05.xlsx&amp;sheet=U0&amp;row=5614&amp;col=6&amp;number=4&amp;sourceID=14","4")</f>
        <v>4</v>
      </c>
      <c r="G5614" s="4" t="str">
        <f>HYPERLINK("http://141.218.60.56/~jnz1568/getInfo.php?workbook=12_05.xlsx&amp;sheet=U0&amp;row=5614&amp;col=7&amp;number=0.0126&amp;sourceID=14","0.0126")</f>
        <v>0.0126</v>
      </c>
    </row>
    <row r="5615" spans="1:7">
      <c r="A5615" s="3"/>
      <c r="B5615" s="3"/>
      <c r="C5615" s="3"/>
      <c r="D5615" s="3"/>
      <c r="E5615" s="3">
        <v>12</v>
      </c>
      <c r="F5615" s="4" t="str">
        <f>HYPERLINK("http://141.218.60.56/~jnz1568/getInfo.php?workbook=12_05.xlsx&amp;sheet=U0&amp;row=5615&amp;col=6&amp;number=4.1&amp;sourceID=14","4.1")</f>
        <v>4.1</v>
      </c>
      <c r="G5615" s="4" t="str">
        <f>HYPERLINK("http://141.218.60.56/~jnz1568/getInfo.php?workbook=12_05.xlsx&amp;sheet=U0&amp;row=5615&amp;col=7&amp;number=0.0126&amp;sourceID=14","0.0126")</f>
        <v>0.0126</v>
      </c>
    </row>
    <row r="5616" spans="1:7">
      <c r="A5616" s="3"/>
      <c r="B5616" s="3"/>
      <c r="C5616" s="3"/>
      <c r="D5616" s="3"/>
      <c r="E5616" s="3">
        <v>13</v>
      </c>
      <c r="F5616" s="4" t="str">
        <f>HYPERLINK("http://141.218.60.56/~jnz1568/getInfo.php?workbook=12_05.xlsx&amp;sheet=U0&amp;row=5616&amp;col=6&amp;number=4.2&amp;sourceID=14","4.2")</f>
        <v>4.2</v>
      </c>
      <c r="G5616" s="4" t="str">
        <f>HYPERLINK("http://141.218.60.56/~jnz1568/getInfo.php?workbook=12_05.xlsx&amp;sheet=U0&amp;row=5616&amp;col=7&amp;number=0.0126&amp;sourceID=14","0.0126")</f>
        <v>0.0126</v>
      </c>
    </row>
    <row r="5617" spans="1:7">
      <c r="A5617" s="3"/>
      <c r="B5617" s="3"/>
      <c r="C5617" s="3"/>
      <c r="D5617" s="3"/>
      <c r="E5617" s="3">
        <v>14</v>
      </c>
      <c r="F5617" s="4" t="str">
        <f>HYPERLINK("http://141.218.60.56/~jnz1568/getInfo.php?workbook=12_05.xlsx&amp;sheet=U0&amp;row=5617&amp;col=6&amp;number=4.3&amp;sourceID=14","4.3")</f>
        <v>4.3</v>
      </c>
      <c r="G5617" s="4" t="str">
        <f>HYPERLINK("http://141.218.60.56/~jnz1568/getInfo.php?workbook=12_05.xlsx&amp;sheet=U0&amp;row=5617&amp;col=7&amp;number=0.0126&amp;sourceID=14","0.0126")</f>
        <v>0.0126</v>
      </c>
    </row>
    <row r="5618" spans="1:7">
      <c r="A5618" s="3"/>
      <c r="B5618" s="3"/>
      <c r="C5618" s="3"/>
      <c r="D5618" s="3"/>
      <c r="E5618" s="3">
        <v>15</v>
      </c>
      <c r="F5618" s="4" t="str">
        <f>HYPERLINK("http://141.218.60.56/~jnz1568/getInfo.php?workbook=12_05.xlsx&amp;sheet=U0&amp;row=5618&amp;col=6&amp;number=4.4&amp;sourceID=14","4.4")</f>
        <v>4.4</v>
      </c>
      <c r="G5618" s="4" t="str">
        <f>HYPERLINK("http://141.218.60.56/~jnz1568/getInfo.php?workbook=12_05.xlsx&amp;sheet=U0&amp;row=5618&amp;col=7&amp;number=0.0126&amp;sourceID=14","0.0126")</f>
        <v>0.0126</v>
      </c>
    </row>
    <row r="5619" spans="1:7">
      <c r="A5619" s="3"/>
      <c r="B5619" s="3"/>
      <c r="C5619" s="3"/>
      <c r="D5619" s="3"/>
      <c r="E5619" s="3">
        <v>16</v>
      </c>
      <c r="F5619" s="4" t="str">
        <f>HYPERLINK("http://141.218.60.56/~jnz1568/getInfo.php?workbook=12_05.xlsx&amp;sheet=U0&amp;row=5619&amp;col=6&amp;number=4.5&amp;sourceID=14","4.5")</f>
        <v>4.5</v>
      </c>
      <c r="G5619" s="4" t="str">
        <f>HYPERLINK("http://141.218.60.56/~jnz1568/getInfo.php?workbook=12_05.xlsx&amp;sheet=U0&amp;row=5619&amp;col=7&amp;number=0.0126&amp;sourceID=14","0.0126")</f>
        <v>0.0126</v>
      </c>
    </row>
    <row r="5620" spans="1:7">
      <c r="A5620" s="3"/>
      <c r="B5620" s="3"/>
      <c r="C5620" s="3"/>
      <c r="D5620" s="3"/>
      <c r="E5620" s="3">
        <v>17</v>
      </c>
      <c r="F5620" s="4" t="str">
        <f>HYPERLINK("http://141.218.60.56/~jnz1568/getInfo.php?workbook=12_05.xlsx&amp;sheet=U0&amp;row=5620&amp;col=6&amp;number=4.6&amp;sourceID=14","4.6")</f>
        <v>4.6</v>
      </c>
      <c r="G5620" s="4" t="str">
        <f>HYPERLINK("http://141.218.60.56/~jnz1568/getInfo.php?workbook=12_05.xlsx&amp;sheet=U0&amp;row=5620&amp;col=7&amp;number=0.0127&amp;sourceID=14","0.0127")</f>
        <v>0.0127</v>
      </c>
    </row>
    <row r="5621" spans="1:7">
      <c r="A5621" s="3"/>
      <c r="B5621" s="3"/>
      <c r="C5621" s="3"/>
      <c r="D5621" s="3"/>
      <c r="E5621" s="3">
        <v>18</v>
      </c>
      <c r="F5621" s="4" t="str">
        <f>HYPERLINK("http://141.218.60.56/~jnz1568/getInfo.php?workbook=12_05.xlsx&amp;sheet=U0&amp;row=5621&amp;col=6&amp;number=4.7&amp;sourceID=14","4.7")</f>
        <v>4.7</v>
      </c>
      <c r="G5621" s="4" t="str">
        <f>HYPERLINK("http://141.218.60.56/~jnz1568/getInfo.php?workbook=12_05.xlsx&amp;sheet=U0&amp;row=5621&amp;col=7&amp;number=0.0127&amp;sourceID=14","0.0127")</f>
        <v>0.0127</v>
      </c>
    </row>
    <row r="5622" spans="1:7">
      <c r="A5622" s="3"/>
      <c r="B5622" s="3"/>
      <c r="C5622" s="3"/>
      <c r="D5622" s="3"/>
      <c r="E5622" s="3">
        <v>19</v>
      </c>
      <c r="F5622" s="4" t="str">
        <f>HYPERLINK("http://141.218.60.56/~jnz1568/getInfo.php?workbook=12_05.xlsx&amp;sheet=U0&amp;row=5622&amp;col=6&amp;number=4.8&amp;sourceID=14","4.8")</f>
        <v>4.8</v>
      </c>
      <c r="G5622" s="4" t="str">
        <f>HYPERLINK("http://141.218.60.56/~jnz1568/getInfo.php?workbook=12_05.xlsx&amp;sheet=U0&amp;row=5622&amp;col=7&amp;number=0.0128&amp;sourceID=14","0.0128")</f>
        <v>0.0128</v>
      </c>
    </row>
    <row r="5623" spans="1:7">
      <c r="A5623" s="3"/>
      <c r="B5623" s="3"/>
      <c r="C5623" s="3"/>
      <c r="D5623" s="3"/>
      <c r="E5623" s="3">
        <v>20</v>
      </c>
      <c r="F5623" s="4" t="str">
        <f>HYPERLINK("http://141.218.60.56/~jnz1568/getInfo.php?workbook=12_05.xlsx&amp;sheet=U0&amp;row=5623&amp;col=6&amp;number=4.9&amp;sourceID=14","4.9")</f>
        <v>4.9</v>
      </c>
      <c r="G5623" s="4" t="str">
        <f>HYPERLINK("http://141.218.60.56/~jnz1568/getInfo.php?workbook=12_05.xlsx&amp;sheet=U0&amp;row=5623&amp;col=7&amp;number=0.0128&amp;sourceID=14","0.0128")</f>
        <v>0.0128</v>
      </c>
    </row>
    <row r="5624" spans="1:7">
      <c r="A5624" s="3">
        <v>12</v>
      </c>
      <c r="B5624" s="3">
        <v>5</v>
      </c>
      <c r="C5624" s="3">
        <v>4</v>
      </c>
      <c r="D5624" s="3">
        <v>26</v>
      </c>
      <c r="E5624" s="3">
        <v>1</v>
      </c>
      <c r="F5624" s="4" t="str">
        <f>HYPERLINK("http://141.218.60.56/~jnz1568/getInfo.php?workbook=12_05.xlsx&amp;sheet=U0&amp;row=5624&amp;col=6&amp;number=3&amp;sourceID=14","3")</f>
        <v>3</v>
      </c>
      <c r="G5624" s="4" t="str">
        <f>HYPERLINK("http://141.218.60.56/~jnz1568/getInfo.php?workbook=12_05.xlsx&amp;sheet=U0&amp;row=5624&amp;col=7&amp;number=0.00317&amp;sourceID=14","0.00317")</f>
        <v>0.00317</v>
      </c>
    </row>
    <row r="5625" spans="1:7">
      <c r="A5625" s="3"/>
      <c r="B5625" s="3"/>
      <c r="C5625" s="3"/>
      <c r="D5625" s="3"/>
      <c r="E5625" s="3">
        <v>2</v>
      </c>
      <c r="F5625" s="4" t="str">
        <f>HYPERLINK("http://141.218.60.56/~jnz1568/getInfo.php?workbook=12_05.xlsx&amp;sheet=U0&amp;row=5625&amp;col=6&amp;number=3.1&amp;sourceID=14","3.1")</f>
        <v>3.1</v>
      </c>
      <c r="G5625" s="4" t="str">
        <f>HYPERLINK("http://141.218.60.56/~jnz1568/getInfo.php?workbook=12_05.xlsx&amp;sheet=U0&amp;row=5625&amp;col=7&amp;number=0.00317&amp;sourceID=14","0.00317")</f>
        <v>0.00317</v>
      </c>
    </row>
    <row r="5626" spans="1:7">
      <c r="A5626" s="3"/>
      <c r="B5626" s="3"/>
      <c r="C5626" s="3"/>
      <c r="D5626" s="3"/>
      <c r="E5626" s="3">
        <v>3</v>
      </c>
      <c r="F5626" s="4" t="str">
        <f>HYPERLINK("http://141.218.60.56/~jnz1568/getInfo.php?workbook=12_05.xlsx&amp;sheet=U0&amp;row=5626&amp;col=6&amp;number=3.2&amp;sourceID=14","3.2")</f>
        <v>3.2</v>
      </c>
      <c r="G5626" s="4" t="str">
        <f>HYPERLINK("http://141.218.60.56/~jnz1568/getInfo.php?workbook=12_05.xlsx&amp;sheet=U0&amp;row=5626&amp;col=7&amp;number=0.00317&amp;sourceID=14","0.00317")</f>
        <v>0.00317</v>
      </c>
    </row>
    <row r="5627" spans="1:7">
      <c r="A5627" s="3"/>
      <c r="B5627" s="3"/>
      <c r="C5627" s="3"/>
      <c r="D5627" s="3"/>
      <c r="E5627" s="3">
        <v>4</v>
      </c>
      <c r="F5627" s="4" t="str">
        <f>HYPERLINK("http://141.218.60.56/~jnz1568/getInfo.php?workbook=12_05.xlsx&amp;sheet=U0&amp;row=5627&amp;col=6&amp;number=3.3&amp;sourceID=14","3.3")</f>
        <v>3.3</v>
      </c>
      <c r="G5627" s="4" t="str">
        <f>HYPERLINK("http://141.218.60.56/~jnz1568/getInfo.php?workbook=12_05.xlsx&amp;sheet=U0&amp;row=5627&amp;col=7&amp;number=0.00317&amp;sourceID=14","0.00317")</f>
        <v>0.00317</v>
      </c>
    </row>
    <row r="5628" spans="1:7">
      <c r="A5628" s="3"/>
      <c r="B5628" s="3"/>
      <c r="C5628" s="3"/>
      <c r="D5628" s="3"/>
      <c r="E5628" s="3">
        <v>5</v>
      </c>
      <c r="F5628" s="4" t="str">
        <f>HYPERLINK("http://141.218.60.56/~jnz1568/getInfo.php?workbook=12_05.xlsx&amp;sheet=U0&amp;row=5628&amp;col=6&amp;number=3.4&amp;sourceID=14","3.4")</f>
        <v>3.4</v>
      </c>
      <c r="G5628" s="4" t="str">
        <f>HYPERLINK("http://141.218.60.56/~jnz1568/getInfo.php?workbook=12_05.xlsx&amp;sheet=U0&amp;row=5628&amp;col=7&amp;number=0.00318&amp;sourceID=14","0.00318")</f>
        <v>0.00318</v>
      </c>
    </row>
    <row r="5629" spans="1:7">
      <c r="A5629" s="3"/>
      <c r="B5629" s="3"/>
      <c r="C5629" s="3"/>
      <c r="D5629" s="3"/>
      <c r="E5629" s="3">
        <v>6</v>
      </c>
      <c r="F5629" s="4" t="str">
        <f>HYPERLINK("http://141.218.60.56/~jnz1568/getInfo.php?workbook=12_05.xlsx&amp;sheet=U0&amp;row=5629&amp;col=6&amp;number=3.5&amp;sourceID=14","3.5")</f>
        <v>3.5</v>
      </c>
      <c r="G5629" s="4" t="str">
        <f>HYPERLINK("http://141.218.60.56/~jnz1568/getInfo.php?workbook=12_05.xlsx&amp;sheet=U0&amp;row=5629&amp;col=7&amp;number=0.00318&amp;sourceID=14","0.00318")</f>
        <v>0.00318</v>
      </c>
    </row>
    <row r="5630" spans="1:7">
      <c r="A5630" s="3"/>
      <c r="B5630" s="3"/>
      <c r="C5630" s="3"/>
      <c r="D5630" s="3"/>
      <c r="E5630" s="3">
        <v>7</v>
      </c>
      <c r="F5630" s="4" t="str">
        <f>HYPERLINK("http://141.218.60.56/~jnz1568/getInfo.php?workbook=12_05.xlsx&amp;sheet=U0&amp;row=5630&amp;col=6&amp;number=3.6&amp;sourceID=14","3.6")</f>
        <v>3.6</v>
      </c>
      <c r="G5630" s="4" t="str">
        <f>HYPERLINK("http://141.218.60.56/~jnz1568/getInfo.php?workbook=12_05.xlsx&amp;sheet=U0&amp;row=5630&amp;col=7&amp;number=0.00318&amp;sourceID=14","0.00318")</f>
        <v>0.00318</v>
      </c>
    </row>
    <row r="5631" spans="1:7">
      <c r="A5631" s="3"/>
      <c r="B5631" s="3"/>
      <c r="C5631" s="3"/>
      <c r="D5631" s="3"/>
      <c r="E5631" s="3">
        <v>8</v>
      </c>
      <c r="F5631" s="4" t="str">
        <f>HYPERLINK("http://141.218.60.56/~jnz1568/getInfo.php?workbook=12_05.xlsx&amp;sheet=U0&amp;row=5631&amp;col=6&amp;number=3.7&amp;sourceID=14","3.7")</f>
        <v>3.7</v>
      </c>
      <c r="G5631" s="4" t="str">
        <f>HYPERLINK("http://141.218.60.56/~jnz1568/getInfo.php?workbook=12_05.xlsx&amp;sheet=U0&amp;row=5631&amp;col=7&amp;number=0.00318&amp;sourceID=14","0.00318")</f>
        <v>0.00318</v>
      </c>
    </row>
    <row r="5632" spans="1:7">
      <c r="A5632" s="3"/>
      <c r="B5632" s="3"/>
      <c r="C5632" s="3"/>
      <c r="D5632" s="3"/>
      <c r="E5632" s="3">
        <v>9</v>
      </c>
      <c r="F5632" s="4" t="str">
        <f>HYPERLINK("http://141.218.60.56/~jnz1568/getInfo.php?workbook=12_05.xlsx&amp;sheet=U0&amp;row=5632&amp;col=6&amp;number=3.8&amp;sourceID=14","3.8")</f>
        <v>3.8</v>
      </c>
      <c r="G5632" s="4" t="str">
        <f>HYPERLINK("http://141.218.60.56/~jnz1568/getInfo.php?workbook=12_05.xlsx&amp;sheet=U0&amp;row=5632&amp;col=7&amp;number=0.00319&amp;sourceID=14","0.00319")</f>
        <v>0.00319</v>
      </c>
    </row>
    <row r="5633" spans="1:7">
      <c r="A5633" s="3"/>
      <c r="B5633" s="3"/>
      <c r="C5633" s="3"/>
      <c r="D5633" s="3"/>
      <c r="E5633" s="3">
        <v>10</v>
      </c>
      <c r="F5633" s="4" t="str">
        <f>HYPERLINK("http://141.218.60.56/~jnz1568/getInfo.php?workbook=12_05.xlsx&amp;sheet=U0&amp;row=5633&amp;col=6&amp;number=3.9&amp;sourceID=14","3.9")</f>
        <v>3.9</v>
      </c>
      <c r="G5633" s="4" t="str">
        <f>HYPERLINK("http://141.218.60.56/~jnz1568/getInfo.php?workbook=12_05.xlsx&amp;sheet=U0&amp;row=5633&amp;col=7&amp;number=0.00319&amp;sourceID=14","0.00319")</f>
        <v>0.00319</v>
      </c>
    </row>
    <row r="5634" spans="1:7">
      <c r="A5634" s="3"/>
      <c r="B5634" s="3"/>
      <c r="C5634" s="3"/>
      <c r="D5634" s="3"/>
      <c r="E5634" s="3">
        <v>11</v>
      </c>
      <c r="F5634" s="4" t="str">
        <f>HYPERLINK("http://141.218.60.56/~jnz1568/getInfo.php?workbook=12_05.xlsx&amp;sheet=U0&amp;row=5634&amp;col=6&amp;number=4&amp;sourceID=14","4")</f>
        <v>4</v>
      </c>
      <c r="G5634" s="4" t="str">
        <f>HYPERLINK("http://141.218.60.56/~jnz1568/getInfo.php?workbook=12_05.xlsx&amp;sheet=U0&amp;row=5634&amp;col=7&amp;number=0.0032&amp;sourceID=14","0.0032")</f>
        <v>0.0032</v>
      </c>
    </row>
    <row r="5635" spans="1:7">
      <c r="A5635" s="3"/>
      <c r="B5635" s="3"/>
      <c r="C5635" s="3"/>
      <c r="D5635" s="3"/>
      <c r="E5635" s="3">
        <v>12</v>
      </c>
      <c r="F5635" s="4" t="str">
        <f>HYPERLINK("http://141.218.60.56/~jnz1568/getInfo.php?workbook=12_05.xlsx&amp;sheet=U0&amp;row=5635&amp;col=6&amp;number=4.1&amp;sourceID=14","4.1")</f>
        <v>4.1</v>
      </c>
      <c r="G5635" s="4" t="str">
        <f>HYPERLINK("http://141.218.60.56/~jnz1568/getInfo.php?workbook=12_05.xlsx&amp;sheet=U0&amp;row=5635&amp;col=7&amp;number=0.0032&amp;sourceID=14","0.0032")</f>
        <v>0.0032</v>
      </c>
    </row>
    <row r="5636" spans="1:7">
      <c r="A5636" s="3"/>
      <c r="B5636" s="3"/>
      <c r="C5636" s="3"/>
      <c r="D5636" s="3"/>
      <c r="E5636" s="3">
        <v>13</v>
      </c>
      <c r="F5636" s="4" t="str">
        <f>HYPERLINK("http://141.218.60.56/~jnz1568/getInfo.php?workbook=12_05.xlsx&amp;sheet=U0&amp;row=5636&amp;col=6&amp;number=4.2&amp;sourceID=14","4.2")</f>
        <v>4.2</v>
      </c>
      <c r="G5636" s="4" t="str">
        <f>HYPERLINK("http://141.218.60.56/~jnz1568/getInfo.php?workbook=12_05.xlsx&amp;sheet=U0&amp;row=5636&amp;col=7&amp;number=0.00321&amp;sourceID=14","0.00321")</f>
        <v>0.00321</v>
      </c>
    </row>
    <row r="5637" spans="1:7">
      <c r="A5637" s="3"/>
      <c r="B5637" s="3"/>
      <c r="C5637" s="3"/>
      <c r="D5637" s="3"/>
      <c r="E5637" s="3">
        <v>14</v>
      </c>
      <c r="F5637" s="4" t="str">
        <f>HYPERLINK("http://141.218.60.56/~jnz1568/getInfo.php?workbook=12_05.xlsx&amp;sheet=U0&amp;row=5637&amp;col=6&amp;number=4.3&amp;sourceID=14","4.3")</f>
        <v>4.3</v>
      </c>
      <c r="G5637" s="4" t="str">
        <f>HYPERLINK("http://141.218.60.56/~jnz1568/getInfo.php?workbook=12_05.xlsx&amp;sheet=U0&amp;row=5637&amp;col=7&amp;number=0.00323&amp;sourceID=14","0.00323")</f>
        <v>0.00323</v>
      </c>
    </row>
    <row r="5638" spans="1:7">
      <c r="A5638" s="3"/>
      <c r="B5638" s="3"/>
      <c r="C5638" s="3"/>
      <c r="D5638" s="3"/>
      <c r="E5638" s="3">
        <v>15</v>
      </c>
      <c r="F5638" s="4" t="str">
        <f>HYPERLINK("http://141.218.60.56/~jnz1568/getInfo.php?workbook=12_05.xlsx&amp;sheet=U0&amp;row=5638&amp;col=6&amp;number=4.4&amp;sourceID=14","4.4")</f>
        <v>4.4</v>
      </c>
      <c r="G5638" s="4" t="str">
        <f>HYPERLINK("http://141.218.60.56/~jnz1568/getInfo.php?workbook=12_05.xlsx&amp;sheet=U0&amp;row=5638&amp;col=7&amp;number=0.00324&amp;sourceID=14","0.00324")</f>
        <v>0.00324</v>
      </c>
    </row>
    <row r="5639" spans="1:7">
      <c r="A5639" s="3"/>
      <c r="B5639" s="3"/>
      <c r="C5639" s="3"/>
      <c r="D5639" s="3"/>
      <c r="E5639" s="3">
        <v>16</v>
      </c>
      <c r="F5639" s="4" t="str">
        <f>HYPERLINK("http://141.218.60.56/~jnz1568/getInfo.php?workbook=12_05.xlsx&amp;sheet=U0&amp;row=5639&amp;col=6&amp;number=4.5&amp;sourceID=14","4.5")</f>
        <v>4.5</v>
      </c>
      <c r="G5639" s="4" t="str">
        <f>HYPERLINK("http://141.218.60.56/~jnz1568/getInfo.php?workbook=12_05.xlsx&amp;sheet=U0&amp;row=5639&amp;col=7&amp;number=0.00326&amp;sourceID=14","0.00326")</f>
        <v>0.00326</v>
      </c>
    </row>
    <row r="5640" spans="1:7">
      <c r="A5640" s="3"/>
      <c r="B5640" s="3"/>
      <c r="C5640" s="3"/>
      <c r="D5640" s="3"/>
      <c r="E5640" s="3">
        <v>17</v>
      </c>
      <c r="F5640" s="4" t="str">
        <f>HYPERLINK("http://141.218.60.56/~jnz1568/getInfo.php?workbook=12_05.xlsx&amp;sheet=U0&amp;row=5640&amp;col=6&amp;number=4.6&amp;sourceID=14","4.6")</f>
        <v>4.6</v>
      </c>
      <c r="G5640" s="4" t="str">
        <f>HYPERLINK("http://141.218.60.56/~jnz1568/getInfo.php?workbook=12_05.xlsx&amp;sheet=U0&amp;row=5640&amp;col=7&amp;number=0.00328&amp;sourceID=14","0.00328")</f>
        <v>0.00328</v>
      </c>
    </row>
    <row r="5641" spans="1:7">
      <c r="A5641" s="3"/>
      <c r="B5641" s="3"/>
      <c r="C5641" s="3"/>
      <c r="D5641" s="3"/>
      <c r="E5641" s="3">
        <v>18</v>
      </c>
      <c r="F5641" s="4" t="str">
        <f>HYPERLINK("http://141.218.60.56/~jnz1568/getInfo.php?workbook=12_05.xlsx&amp;sheet=U0&amp;row=5641&amp;col=6&amp;number=4.7&amp;sourceID=14","4.7")</f>
        <v>4.7</v>
      </c>
      <c r="G5641" s="4" t="str">
        <f>HYPERLINK("http://141.218.60.56/~jnz1568/getInfo.php?workbook=12_05.xlsx&amp;sheet=U0&amp;row=5641&amp;col=7&amp;number=0.00331&amp;sourceID=14","0.00331")</f>
        <v>0.00331</v>
      </c>
    </row>
    <row r="5642" spans="1:7">
      <c r="A5642" s="3"/>
      <c r="B5642" s="3"/>
      <c r="C5642" s="3"/>
      <c r="D5642" s="3"/>
      <c r="E5642" s="3">
        <v>19</v>
      </c>
      <c r="F5642" s="4" t="str">
        <f>HYPERLINK("http://141.218.60.56/~jnz1568/getInfo.php?workbook=12_05.xlsx&amp;sheet=U0&amp;row=5642&amp;col=6&amp;number=4.8&amp;sourceID=14","4.8")</f>
        <v>4.8</v>
      </c>
      <c r="G5642" s="4" t="str">
        <f>HYPERLINK("http://141.218.60.56/~jnz1568/getInfo.php?workbook=12_05.xlsx&amp;sheet=U0&amp;row=5642&amp;col=7&amp;number=0.00335&amp;sourceID=14","0.00335")</f>
        <v>0.00335</v>
      </c>
    </row>
    <row r="5643" spans="1:7">
      <c r="A5643" s="3"/>
      <c r="B5643" s="3"/>
      <c r="C5643" s="3"/>
      <c r="D5643" s="3"/>
      <c r="E5643" s="3">
        <v>20</v>
      </c>
      <c r="F5643" s="4" t="str">
        <f>HYPERLINK("http://141.218.60.56/~jnz1568/getInfo.php?workbook=12_05.xlsx&amp;sheet=U0&amp;row=5643&amp;col=6&amp;number=4.9&amp;sourceID=14","4.9")</f>
        <v>4.9</v>
      </c>
      <c r="G5643" s="4" t="str">
        <f>HYPERLINK("http://141.218.60.56/~jnz1568/getInfo.php?workbook=12_05.xlsx&amp;sheet=U0&amp;row=5643&amp;col=7&amp;number=0.0034&amp;sourceID=14","0.0034")</f>
        <v>0.0034</v>
      </c>
    </row>
    <row r="5644" spans="1:7">
      <c r="A5644" s="3">
        <v>12</v>
      </c>
      <c r="B5644" s="3">
        <v>5</v>
      </c>
      <c r="C5644" s="3">
        <v>4</v>
      </c>
      <c r="D5644" s="3">
        <v>27</v>
      </c>
      <c r="E5644" s="3">
        <v>1</v>
      </c>
      <c r="F5644" s="4" t="str">
        <f>HYPERLINK("http://141.218.60.56/~jnz1568/getInfo.php?workbook=12_05.xlsx&amp;sheet=U0&amp;row=5644&amp;col=6&amp;number=3&amp;sourceID=14","3")</f>
        <v>3</v>
      </c>
      <c r="G5644" s="4" t="str">
        <f>HYPERLINK("http://141.218.60.56/~jnz1568/getInfo.php?workbook=12_05.xlsx&amp;sheet=U0&amp;row=5644&amp;col=7&amp;number=0.00199&amp;sourceID=14","0.00199")</f>
        <v>0.00199</v>
      </c>
    </row>
    <row r="5645" spans="1:7">
      <c r="A5645" s="3"/>
      <c r="B5645" s="3"/>
      <c r="C5645" s="3"/>
      <c r="D5645" s="3"/>
      <c r="E5645" s="3">
        <v>2</v>
      </c>
      <c r="F5645" s="4" t="str">
        <f>HYPERLINK("http://141.218.60.56/~jnz1568/getInfo.php?workbook=12_05.xlsx&amp;sheet=U0&amp;row=5645&amp;col=6&amp;number=3.1&amp;sourceID=14","3.1")</f>
        <v>3.1</v>
      </c>
      <c r="G5645" s="4" t="str">
        <f>HYPERLINK("http://141.218.60.56/~jnz1568/getInfo.php?workbook=12_05.xlsx&amp;sheet=U0&amp;row=5645&amp;col=7&amp;number=0.00199&amp;sourceID=14","0.00199")</f>
        <v>0.00199</v>
      </c>
    </row>
    <row r="5646" spans="1:7">
      <c r="A5646" s="3"/>
      <c r="B5646" s="3"/>
      <c r="C5646" s="3"/>
      <c r="D5646" s="3"/>
      <c r="E5646" s="3">
        <v>3</v>
      </c>
      <c r="F5646" s="4" t="str">
        <f>HYPERLINK("http://141.218.60.56/~jnz1568/getInfo.php?workbook=12_05.xlsx&amp;sheet=U0&amp;row=5646&amp;col=6&amp;number=3.2&amp;sourceID=14","3.2")</f>
        <v>3.2</v>
      </c>
      <c r="G5646" s="4" t="str">
        <f>HYPERLINK("http://141.218.60.56/~jnz1568/getInfo.php?workbook=12_05.xlsx&amp;sheet=U0&amp;row=5646&amp;col=7&amp;number=0.00199&amp;sourceID=14","0.00199")</f>
        <v>0.00199</v>
      </c>
    </row>
    <row r="5647" spans="1:7">
      <c r="A5647" s="3"/>
      <c r="B5647" s="3"/>
      <c r="C5647" s="3"/>
      <c r="D5647" s="3"/>
      <c r="E5647" s="3">
        <v>4</v>
      </c>
      <c r="F5647" s="4" t="str">
        <f>HYPERLINK("http://141.218.60.56/~jnz1568/getInfo.php?workbook=12_05.xlsx&amp;sheet=U0&amp;row=5647&amp;col=6&amp;number=3.3&amp;sourceID=14","3.3")</f>
        <v>3.3</v>
      </c>
      <c r="G5647" s="4" t="str">
        <f>HYPERLINK("http://141.218.60.56/~jnz1568/getInfo.php?workbook=12_05.xlsx&amp;sheet=U0&amp;row=5647&amp;col=7&amp;number=0.00199&amp;sourceID=14","0.00199")</f>
        <v>0.00199</v>
      </c>
    </row>
    <row r="5648" spans="1:7">
      <c r="A5648" s="3"/>
      <c r="B5648" s="3"/>
      <c r="C5648" s="3"/>
      <c r="D5648" s="3"/>
      <c r="E5648" s="3">
        <v>5</v>
      </c>
      <c r="F5648" s="4" t="str">
        <f>HYPERLINK("http://141.218.60.56/~jnz1568/getInfo.php?workbook=12_05.xlsx&amp;sheet=U0&amp;row=5648&amp;col=6&amp;number=3.4&amp;sourceID=14","3.4")</f>
        <v>3.4</v>
      </c>
      <c r="G5648" s="4" t="str">
        <f>HYPERLINK("http://141.218.60.56/~jnz1568/getInfo.php?workbook=12_05.xlsx&amp;sheet=U0&amp;row=5648&amp;col=7&amp;number=0.00199&amp;sourceID=14","0.00199")</f>
        <v>0.00199</v>
      </c>
    </row>
    <row r="5649" spans="1:7">
      <c r="A5649" s="3"/>
      <c r="B5649" s="3"/>
      <c r="C5649" s="3"/>
      <c r="D5649" s="3"/>
      <c r="E5649" s="3">
        <v>6</v>
      </c>
      <c r="F5649" s="4" t="str">
        <f>HYPERLINK("http://141.218.60.56/~jnz1568/getInfo.php?workbook=12_05.xlsx&amp;sheet=U0&amp;row=5649&amp;col=6&amp;number=3.5&amp;sourceID=14","3.5")</f>
        <v>3.5</v>
      </c>
      <c r="G5649" s="4" t="str">
        <f>HYPERLINK("http://141.218.60.56/~jnz1568/getInfo.php?workbook=12_05.xlsx&amp;sheet=U0&amp;row=5649&amp;col=7&amp;number=0.00199&amp;sourceID=14","0.00199")</f>
        <v>0.00199</v>
      </c>
    </row>
    <row r="5650" spans="1:7">
      <c r="A5650" s="3"/>
      <c r="B5650" s="3"/>
      <c r="C5650" s="3"/>
      <c r="D5650" s="3"/>
      <c r="E5650" s="3">
        <v>7</v>
      </c>
      <c r="F5650" s="4" t="str">
        <f>HYPERLINK("http://141.218.60.56/~jnz1568/getInfo.php?workbook=12_05.xlsx&amp;sheet=U0&amp;row=5650&amp;col=6&amp;number=3.6&amp;sourceID=14","3.6")</f>
        <v>3.6</v>
      </c>
      <c r="G5650" s="4" t="str">
        <f>HYPERLINK("http://141.218.60.56/~jnz1568/getInfo.php?workbook=12_05.xlsx&amp;sheet=U0&amp;row=5650&amp;col=7&amp;number=0.00199&amp;sourceID=14","0.00199")</f>
        <v>0.00199</v>
      </c>
    </row>
    <row r="5651" spans="1:7">
      <c r="A5651" s="3"/>
      <c r="B5651" s="3"/>
      <c r="C5651" s="3"/>
      <c r="D5651" s="3"/>
      <c r="E5651" s="3">
        <v>8</v>
      </c>
      <c r="F5651" s="4" t="str">
        <f>HYPERLINK("http://141.218.60.56/~jnz1568/getInfo.php?workbook=12_05.xlsx&amp;sheet=U0&amp;row=5651&amp;col=6&amp;number=3.7&amp;sourceID=14","3.7")</f>
        <v>3.7</v>
      </c>
      <c r="G5651" s="4" t="str">
        <f>HYPERLINK("http://141.218.60.56/~jnz1568/getInfo.php?workbook=12_05.xlsx&amp;sheet=U0&amp;row=5651&amp;col=7&amp;number=0.00199&amp;sourceID=14","0.00199")</f>
        <v>0.00199</v>
      </c>
    </row>
    <row r="5652" spans="1:7">
      <c r="A5652" s="3"/>
      <c r="B5652" s="3"/>
      <c r="C5652" s="3"/>
      <c r="D5652" s="3"/>
      <c r="E5652" s="3">
        <v>9</v>
      </c>
      <c r="F5652" s="4" t="str">
        <f>HYPERLINK("http://141.218.60.56/~jnz1568/getInfo.php?workbook=12_05.xlsx&amp;sheet=U0&amp;row=5652&amp;col=6&amp;number=3.8&amp;sourceID=14","3.8")</f>
        <v>3.8</v>
      </c>
      <c r="G5652" s="4" t="str">
        <f>HYPERLINK("http://141.218.60.56/~jnz1568/getInfo.php?workbook=12_05.xlsx&amp;sheet=U0&amp;row=5652&amp;col=7&amp;number=0.00199&amp;sourceID=14","0.00199")</f>
        <v>0.00199</v>
      </c>
    </row>
    <row r="5653" spans="1:7">
      <c r="A5653" s="3"/>
      <c r="B5653" s="3"/>
      <c r="C5653" s="3"/>
      <c r="D5653" s="3"/>
      <c r="E5653" s="3">
        <v>10</v>
      </c>
      <c r="F5653" s="4" t="str">
        <f>HYPERLINK("http://141.218.60.56/~jnz1568/getInfo.php?workbook=12_05.xlsx&amp;sheet=U0&amp;row=5653&amp;col=6&amp;number=3.9&amp;sourceID=14","3.9")</f>
        <v>3.9</v>
      </c>
      <c r="G5653" s="4" t="str">
        <f>HYPERLINK("http://141.218.60.56/~jnz1568/getInfo.php?workbook=12_05.xlsx&amp;sheet=U0&amp;row=5653&amp;col=7&amp;number=0.00199&amp;sourceID=14","0.00199")</f>
        <v>0.00199</v>
      </c>
    </row>
    <row r="5654" spans="1:7">
      <c r="A5654" s="3"/>
      <c r="B5654" s="3"/>
      <c r="C5654" s="3"/>
      <c r="D5654" s="3"/>
      <c r="E5654" s="3">
        <v>11</v>
      </c>
      <c r="F5654" s="4" t="str">
        <f>HYPERLINK("http://141.218.60.56/~jnz1568/getInfo.php?workbook=12_05.xlsx&amp;sheet=U0&amp;row=5654&amp;col=6&amp;number=4&amp;sourceID=14","4")</f>
        <v>4</v>
      </c>
      <c r="G5654" s="4" t="str">
        <f>HYPERLINK("http://141.218.60.56/~jnz1568/getInfo.php?workbook=12_05.xlsx&amp;sheet=U0&amp;row=5654&amp;col=7&amp;number=0.00199&amp;sourceID=14","0.00199")</f>
        <v>0.00199</v>
      </c>
    </row>
    <row r="5655" spans="1:7">
      <c r="A5655" s="3"/>
      <c r="B5655" s="3"/>
      <c r="C5655" s="3"/>
      <c r="D5655" s="3"/>
      <c r="E5655" s="3">
        <v>12</v>
      </c>
      <c r="F5655" s="4" t="str">
        <f>HYPERLINK("http://141.218.60.56/~jnz1568/getInfo.php?workbook=12_05.xlsx&amp;sheet=U0&amp;row=5655&amp;col=6&amp;number=4.1&amp;sourceID=14","4.1")</f>
        <v>4.1</v>
      </c>
      <c r="G5655" s="4" t="str">
        <f>HYPERLINK("http://141.218.60.56/~jnz1568/getInfo.php?workbook=12_05.xlsx&amp;sheet=U0&amp;row=5655&amp;col=7&amp;number=0.00199&amp;sourceID=14","0.00199")</f>
        <v>0.00199</v>
      </c>
    </row>
    <row r="5656" spans="1:7">
      <c r="A5656" s="3"/>
      <c r="B5656" s="3"/>
      <c r="C5656" s="3"/>
      <c r="D5656" s="3"/>
      <c r="E5656" s="3">
        <v>13</v>
      </c>
      <c r="F5656" s="4" t="str">
        <f>HYPERLINK("http://141.218.60.56/~jnz1568/getInfo.php?workbook=12_05.xlsx&amp;sheet=U0&amp;row=5656&amp;col=6&amp;number=4.2&amp;sourceID=14","4.2")</f>
        <v>4.2</v>
      </c>
      <c r="G5656" s="4" t="str">
        <f>HYPERLINK("http://141.218.60.56/~jnz1568/getInfo.php?workbook=12_05.xlsx&amp;sheet=U0&amp;row=5656&amp;col=7&amp;number=0.00199&amp;sourceID=14","0.00199")</f>
        <v>0.00199</v>
      </c>
    </row>
    <row r="5657" spans="1:7">
      <c r="A5657" s="3"/>
      <c r="B5657" s="3"/>
      <c r="C5657" s="3"/>
      <c r="D5657" s="3"/>
      <c r="E5657" s="3">
        <v>14</v>
      </c>
      <c r="F5657" s="4" t="str">
        <f>HYPERLINK("http://141.218.60.56/~jnz1568/getInfo.php?workbook=12_05.xlsx&amp;sheet=U0&amp;row=5657&amp;col=6&amp;number=4.3&amp;sourceID=14","4.3")</f>
        <v>4.3</v>
      </c>
      <c r="G5657" s="4" t="str">
        <f>HYPERLINK("http://141.218.60.56/~jnz1568/getInfo.php?workbook=12_05.xlsx&amp;sheet=U0&amp;row=5657&amp;col=7&amp;number=0.00199&amp;sourceID=14","0.00199")</f>
        <v>0.00199</v>
      </c>
    </row>
    <row r="5658" spans="1:7">
      <c r="A5658" s="3"/>
      <c r="B5658" s="3"/>
      <c r="C5658" s="3"/>
      <c r="D5658" s="3"/>
      <c r="E5658" s="3">
        <v>15</v>
      </c>
      <c r="F5658" s="4" t="str">
        <f>HYPERLINK("http://141.218.60.56/~jnz1568/getInfo.php?workbook=12_05.xlsx&amp;sheet=U0&amp;row=5658&amp;col=6&amp;number=4.4&amp;sourceID=14","4.4")</f>
        <v>4.4</v>
      </c>
      <c r="G5658" s="4" t="str">
        <f>HYPERLINK("http://141.218.60.56/~jnz1568/getInfo.php?workbook=12_05.xlsx&amp;sheet=U0&amp;row=5658&amp;col=7&amp;number=0.00199&amp;sourceID=14","0.00199")</f>
        <v>0.00199</v>
      </c>
    </row>
    <row r="5659" spans="1:7">
      <c r="A5659" s="3"/>
      <c r="B5659" s="3"/>
      <c r="C5659" s="3"/>
      <c r="D5659" s="3"/>
      <c r="E5659" s="3">
        <v>16</v>
      </c>
      <c r="F5659" s="4" t="str">
        <f>HYPERLINK("http://141.218.60.56/~jnz1568/getInfo.php?workbook=12_05.xlsx&amp;sheet=U0&amp;row=5659&amp;col=6&amp;number=4.5&amp;sourceID=14","4.5")</f>
        <v>4.5</v>
      </c>
      <c r="G5659" s="4" t="str">
        <f>HYPERLINK("http://141.218.60.56/~jnz1568/getInfo.php?workbook=12_05.xlsx&amp;sheet=U0&amp;row=5659&amp;col=7&amp;number=0.00199&amp;sourceID=14","0.00199")</f>
        <v>0.00199</v>
      </c>
    </row>
    <row r="5660" spans="1:7">
      <c r="A5660" s="3"/>
      <c r="B5660" s="3"/>
      <c r="C5660" s="3"/>
      <c r="D5660" s="3"/>
      <c r="E5660" s="3">
        <v>17</v>
      </c>
      <c r="F5660" s="4" t="str">
        <f>HYPERLINK("http://141.218.60.56/~jnz1568/getInfo.php?workbook=12_05.xlsx&amp;sheet=U0&amp;row=5660&amp;col=6&amp;number=4.6&amp;sourceID=14","4.6")</f>
        <v>4.6</v>
      </c>
      <c r="G5660" s="4" t="str">
        <f>HYPERLINK("http://141.218.60.56/~jnz1568/getInfo.php?workbook=12_05.xlsx&amp;sheet=U0&amp;row=5660&amp;col=7&amp;number=0.00199&amp;sourceID=14","0.00199")</f>
        <v>0.00199</v>
      </c>
    </row>
    <row r="5661" spans="1:7">
      <c r="A5661" s="3"/>
      <c r="B5661" s="3"/>
      <c r="C5661" s="3"/>
      <c r="D5661" s="3"/>
      <c r="E5661" s="3">
        <v>18</v>
      </c>
      <c r="F5661" s="4" t="str">
        <f>HYPERLINK("http://141.218.60.56/~jnz1568/getInfo.php?workbook=12_05.xlsx&amp;sheet=U0&amp;row=5661&amp;col=6&amp;number=4.7&amp;sourceID=14","4.7")</f>
        <v>4.7</v>
      </c>
      <c r="G5661" s="4" t="str">
        <f>HYPERLINK("http://141.218.60.56/~jnz1568/getInfo.php?workbook=12_05.xlsx&amp;sheet=U0&amp;row=5661&amp;col=7&amp;number=0.00199&amp;sourceID=14","0.00199")</f>
        <v>0.00199</v>
      </c>
    </row>
    <row r="5662" spans="1:7">
      <c r="A5662" s="3"/>
      <c r="B5662" s="3"/>
      <c r="C5662" s="3"/>
      <c r="D5662" s="3"/>
      <c r="E5662" s="3">
        <v>19</v>
      </c>
      <c r="F5662" s="4" t="str">
        <f>HYPERLINK("http://141.218.60.56/~jnz1568/getInfo.php?workbook=12_05.xlsx&amp;sheet=U0&amp;row=5662&amp;col=6&amp;number=4.8&amp;sourceID=14","4.8")</f>
        <v>4.8</v>
      </c>
      <c r="G5662" s="4" t="str">
        <f>HYPERLINK("http://141.218.60.56/~jnz1568/getInfo.php?workbook=12_05.xlsx&amp;sheet=U0&amp;row=5662&amp;col=7&amp;number=0.00199&amp;sourceID=14","0.00199")</f>
        <v>0.00199</v>
      </c>
    </row>
    <row r="5663" spans="1:7">
      <c r="A5663" s="3"/>
      <c r="B5663" s="3"/>
      <c r="C5663" s="3"/>
      <c r="D5663" s="3"/>
      <c r="E5663" s="3">
        <v>20</v>
      </c>
      <c r="F5663" s="4" t="str">
        <f>HYPERLINK("http://141.218.60.56/~jnz1568/getInfo.php?workbook=12_05.xlsx&amp;sheet=U0&amp;row=5663&amp;col=6&amp;number=4.9&amp;sourceID=14","4.9")</f>
        <v>4.9</v>
      </c>
      <c r="G5663" s="4" t="str">
        <f>HYPERLINK("http://141.218.60.56/~jnz1568/getInfo.php?workbook=12_05.xlsx&amp;sheet=U0&amp;row=5663&amp;col=7&amp;number=0.00199&amp;sourceID=14","0.00199")</f>
        <v>0.00199</v>
      </c>
    </row>
    <row r="5664" spans="1:7">
      <c r="A5664" s="3">
        <v>12</v>
      </c>
      <c r="B5664" s="3">
        <v>5</v>
      </c>
      <c r="C5664" s="3">
        <v>4</v>
      </c>
      <c r="D5664" s="3">
        <v>32</v>
      </c>
      <c r="E5664" s="3">
        <v>1</v>
      </c>
      <c r="F5664" s="4" t="str">
        <f>HYPERLINK("http://141.218.60.56/~jnz1568/getInfo.php?workbook=12_05.xlsx&amp;sheet=U0&amp;row=5664&amp;col=6&amp;number=3&amp;sourceID=14","3")</f>
        <v>3</v>
      </c>
      <c r="G5664" s="4" t="str">
        <f>HYPERLINK("http://141.218.60.56/~jnz1568/getInfo.php?workbook=12_05.xlsx&amp;sheet=U0&amp;row=5664&amp;col=7&amp;number=0.0131&amp;sourceID=14","0.0131")</f>
        <v>0.0131</v>
      </c>
    </row>
    <row r="5665" spans="1:7">
      <c r="A5665" s="3"/>
      <c r="B5665" s="3"/>
      <c r="C5665" s="3"/>
      <c r="D5665" s="3"/>
      <c r="E5665" s="3">
        <v>2</v>
      </c>
      <c r="F5665" s="4" t="str">
        <f>HYPERLINK("http://141.218.60.56/~jnz1568/getInfo.php?workbook=12_05.xlsx&amp;sheet=U0&amp;row=5665&amp;col=6&amp;number=3.1&amp;sourceID=14","3.1")</f>
        <v>3.1</v>
      </c>
      <c r="G5665" s="4" t="str">
        <f>HYPERLINK("http://141.218.60.56/~jnz1568/getInfo.php?workbook=12_05.xlsx&amp;sheet=U0&amp;row=5665&amp;col=7&amp;number=0.013&amp;sourceID=14","0.013")</f>
        <v>0.013</v>
      </c>
    </row>
    <row r="5666" spans="1:7">
      <c r="A5666" s="3"/>
      <c r="B5666" s="3"/>
      <c r="C5666" s="3"/>
      <c r="D5666" s="3"/>
      <c r="E5666" s="3">
        <v>3</v>
      </c>
      <c r="F5666" s="4" t="str">
        <f>HYPERLINK("http://141.218.60.56/~jnz1568/getInfo.php?workbook=12_05.xlsx&amp;sheet=U0&amp;row=5666&amp;col=6&amp;number=3.2&amp;sourceID=14","3.2")</f>
        <v>3.2</v>
      </c>
      <c r="G5666" s="4" t="str">
        <f>HYPERLINK("http://141.218.60.56/~jnz1568/getInfo.php?workbook=12_05.xlsx&amp;sheet=U0&amp;row=5666&amp;col=7&amp;number=0.013&amp;sourceID=14","0.013")</f>
        <v>0.013</v>
      </c>
    </row>
    <row r="5667" spans="1:7">
      <c r="A5667" s="3"/>
      <c r="B5667" s="3"/>
      <c r="C5667" s="3"/>
      <c r="D5667" s="3"/>
      <c r="E5667" s="3">
        <v>4</v>
      </c>
      <c r="F5667" s="4" t="str">
        <f>HYPERLINK("http://141.218.60.56/~jnz1568/getInfo.php?workbook=12_05.xlsx&amp;sheet=U0&amp;row=5667&amp;col=6&amp;number=3.3&amp;sourceID=14","3.3")</f>
        <v>3.3</v>
      </c>
      <c r="G5667" s="4" t="str">
        <f>HYPERLINK("http://141.218.60.56/~jnz1568/getInfo.php?workbook=12_05.xlsx&amp;sheet=U0&amp;row=5667&amp;col=7&amp;number=0.013&amp;sourceID=14","0.013")</f>
        <v>0.013</v>
      </c>
    </row>
    <row r="5668" spans="1:7">
      <c r="A5668" s="3"/>
      <c r="B5668" s="3"/>
      <c r="C5668" s="3"/>
      <c r="D5668" s="3"/>
      <c r="E5668" s="3">
        <v>5</v>
      </c>
      <c r="F5668" s="4" t="str">
        <f>HYPERLINK("http://141.218.60.56/~jnz1568/getInfo.php?workbook=12_05.xlsx&amp;sheet=U0&amp;row=5668&amp;col=6&amp;number=3.4&amp;sourceID=14","3.4")</f>
        <v>3.4</v>
      </c>
      <c r="G5668" s="4" t="str">
        <f>HYPERLINK("http://141.218.60.56/~jnz1568/getInfo.php?workbook=12_05.xlsx&amp;sheet=U0&amp;row=5668&amp;col=7&amp;number=0.013&amp;sourceID=14","0.013")</f>
        <v>0.013</v>
      </c>
    </row>
    <row r="5669" spans="1:7">
      <c r="A5669" s="3"/>
      <c r="B5669" s="3"/>
      <c r="C5669" s="3"/>
      <c r="D5669" s="3"/>
      <c r="E5669" s="3">
        <v>6</v>
      </c>
      <c r="F5669" s="4" t="str">
        <f>HYPERLINK("http://141.218.60.56/~jnz1568/getInfo.php?workbook=12_05.xlsx&amp;sheet=U0&amp;row=5669&amp;col=6&amp;number=3.5&amp;sourceID=14","3.5")</f>
        <v>3.5</v>
      </c>
      <c r="G5669" s="4" t="str">
        <f>HYPERLINK("http://141.218.60.56/~jnz1568/getInfo.php?workbook=12_05.xlsx&amp;sheet=U0&amp;row=5669&amp;col=7&amp;number=0.013&amp;sourceID=14","0.013")</f>
        <v>0.013</v>
      </c>
    </row>
    <row r="5670" spans="1:7">
      <c r="A5670" s="3"/>
      <c r="B5670" s="3"/>
      <c r="C5670" s="3"/>
      <c r="D5670" s="3"/>
      <c r="E5670" s="3">
        <v>7</v>
      </c>
      <c r="F5670" s="4" t="str">
        <f>HYPERLINK("http://141.218.60.56/~jnz1568/getInfo.php?workbook=12_05.xlsx&amp;sheet=U0&amp;row=5670&amp;col=6&amp;number=3.6&amp;sourceID=14","3.6")</f>
        <v>3.6</v>
      </c>
      <c r="G5670" s="4" t="str">
        <f>HYPERLINK("http://141.218.60.56/~jnz1568/getInfo.php?workbook=12_05.xlsx&amp;sheet=U0&amp;row=5670&amp;col=7&amp;number=0.013&amp;sourceID=14","0.013")</f>
        <v>0.013</v>
      </c>
    </row>
    <row r="5671" spans="1:7">
      <c r="A5671" s="3"/>
      <c r="B5671" s="3"/>
      <c r="C5671" s="3"/>
      <c r="D5671" s="3"/>
      <c r="E5671" s="3">
        <v>8</v>
      </c>
      <c r="F5671" s="4" t="str">
        <f>HYPERLINK("http://141.218.60.56/~jnz1568/getInfo.php?workbook=12_05.xlsx&amp;sheet=U0&amp;row=5671&amp;col=6&amp;number=3.7&amp;sourceID=14","3.7")</f>
        <v>3.7</v>
      </c>
      <c r="G5671" s="4" t="str">
        <f>HYPERLINK("http://141.218.60.56/~jnz1568/getInfo.php?workbook=12_05.xlsx&amp;sheet=U0&amp;row=5671&amp;col=7&amp;number=0.013&amp;sourceID=14","0.013")</f>
        <v>0.013</v>
      </c>
    </row>
    <row r="5672" spans="1:7">
      <c r="A5672" s="3"/>
      <c r="B5672" s="3"/>
      <c r="C5672" s="3"/>
      <c r="D5672" s="3"/>
      <c r="E5672" s="3">
        <v>9</v>
      </c>
      <c r="F5672" s="4" t="str">
        <f>HYPERLINK("http://141.218.60.56/~jnz1568/getInfo.php?workbook=12_05.xlsx&amp;sheet=U0&amp;row=5672&amp;col=6&amp;number=3.8&amp;sourceID=14","3.8")</f>
        <v>3.8</v>
      </c>
      <c r="G5672" s="4" t="str">
        <f>HYPERLINK("http://141.218.60.56/~jnz1568/getInfo.php?workbook=12_05.xlsx&amp;sheet=U0&amp;row=5672&amp;col=7&amp;number=0.013&amp;sourceID=14","0.013")</f>
        <v>0.013</v>
      </c>
    </row>
    <row r="5673" spans="1:7">
      <c r="A5673" s="3"/>
      <c r="B5673" s="3"/>
      <c r="C5673" s="3"/>
      <c r="D5673" s="3"/>
      <c r="E5673" s="3">
        <v>10</v>
      </c>
      <c r="F5673" s="4" t="str">
        <f>HYPERLINK("http://141.218.60.56/~jnz1568/getInfo.php?workbook=12_05.xlsx&amp;sheet=U0&amp;row=5673&amp;col=6&amp;number=3.9&amp;sourceID=14","3.9")</f>
        <v>3.9</v>
      </c>
      <c r="G5673" s="4" t="str">
        <f>HYPERLINK("http://141.218.60.56/~jnz1568/getInfo.php?workbook=12_05.xlsx&amp;sheet=U0&amp;row=5673&amp;col=7&amp;number=0.013&amp;sourceID=14","0.013")</f>
        <v>0.013</v>
      </c>
    </row>
    <row r="5674" spans="1:7">
      <c r="A5674" s="3"/>
      <c r="B5674" s="3"/>
      <c r="C5674" s="3"/>
      <c r="D5674" s="3"/>
      <c r="E5674" s="3">
        <v>11</v>
      </c>
      <c r="F5674" s="4" t="str">
        <f>HYPERLINK("http://141.218.60.56/~jnz1568/getInfo.php?workbook=12_05.xlsx&amp;sheet=U0&amp;row=5674&amp;col=6&amp;number=4&amp;sourceID=14","4")</f>
        <v>4</v>
      </c>
      <c r="G5674" s="4" t="str">
        <f>HYPERLINK("http://141.218.60.56/~jnz1568/getInfo.php?workbook=12_05.xlsx&amp;sheet=U0&amp;row=5674&amp;col=7&amp;number=0.013&amp;sourceID=14","0.013")</f>
        <v>0.013</v>
      </c>
    </row>
    <row r="5675" spans="1:7">
      <c r="A5675" s="3"/>
      <c r="B5675" s="3"/>
      <c r="C5675" s="3"/>
      <c r="D5675" s="3"/>
      <c r="E5675" s="3">
        <v>12</v>
      </c>
      <c r="F5675" s="4" t="str">
        <f>HYPERLINK("http://141.218.60.56/~jnz1568/getInfo.php?workbook=12_05.xlsx&amp;sheet=U0&amp;row=5675&amp;col=6&amp;number=4.1&amp;sourceID=14","4.1")</f>
        <v>4.1</v>
      </c>
      <c r="G5675" s="4" t="str">
        <f>HYPERLINK("http://141.218.60.56/~jnz1568/getInfo.php?workbook=12_05.xlsx&amp;sheet=U0&amp;row=5675&amp;col=7&amp;number=0.0129&amp;sourceID=14","0.0129")</f>
        <v>0.0129</v>
      </c>
    </row>
    <row r="5676" spans="1:7">
      <c r="A5676" s="3"/>
      <c r="B5676" s="3"/>
      <c r="C5676" s="3"/>
      <c r="D5676" s="3"/>
      <c r="E5676" s="3">
        <v>13</v>
      </c>
      <c r="F5676" s="4" t="str">
        <f>HYPERLINK("http://141.218.60.56/~jnz1568/getInfo.php?workbook=12_05.xlsx&amp;sheet=U0&amp;row=5676&amp;col=6&amp;number=4.2&amp;sourceID=14","4.2")</f>
        <v>4.2</v>
      </c>
      <c r="G5676" s="4" t="str">
        <f>HYPERLINK("http://141.218.60.56/~jnz1568/getInfo.php?workbook=12_05.xlsx&amp;sheet=U0&amp;row=5676&amp;col=7&amp;number=0.0129&amp;sourceID=14","0.0129")</f>
        <v>0.0129</v>
      </c>
    </row>
    <row r="5677" spans="1:7">
      <c r="A5677" s="3"/>
      <c r="B5677" s="3"/>
      <c r="C5677" s="3"/>
      <c r="D5677" s="3"/>
      <c r="E5677" s="3">
        <v>14</v>
      </c>
      <c r="F5677" s="4" t="str">
        <f>HYPERLINK("http://141.218.60.56/~jnz1568/getInfo.php?workbook=12_05.xlsx&amp;sheet=U0&amp;row=5677&amp;col=6&amp;number=4.3&amp;sourceID=14","4.3")</f>
        <v>4.3</v>
      </c>
      <c r="G5677" s="4" t="str">
        <f>HYPERLINK("http://141.218.60.56/~jnz1568/getInfo.php?workbook=12_05.xlsx&amp;sheet=U0&amp;row=5677&amp;col=7&amp;number=0.0129&amp;sourceID=14","0.0129")</f>
        <v>0.0129</v>
      </c>
    </row>
    <row r="5678" spans="1:7">
      <c r="A5678" s="3"/>
      <c r="B5678" s="3"/>
      <c r="C5678" s="3"/>
      <c r="D5678" s="3"/>
      <c r="E5678" s="3">
        <v>15</v>
      </c>
      <c r="F5678" s="4" t="str">
        <f>HYPERLINK("http://141.218.60.56/~jnz1568/getInfo.php?workbook=12_05.xlsx&amp;sheet=U0&amp;row=5678&amp;col=6&amp;number=4.4&amp;sourceID=14","4.4")</f>
        <v>4.4</v>
      </c>
      <c r="G5678" s="4" t="str">
        <f>HYPERLINK("http://141.218.60.56/~jnz1568/getInfo.php?workbook=12_05.xlsx&amp;sheet=U0&amp;row=5678&amp;col=7&amp;number=0.0128&amp;sourceID=14","0.0128")</f>
        <v>0.0128</v>
      </c>
    </row>
    <row r="5679" spans="1:7">
      <c r="A5679" s="3"/>
      <c r="B5679" s="3"/>
      <c r="C5679" s="3"/>
      <c r="D5679" s="3"/>
      <c r="E5679" s="3">
        <v>16</v>
      </c>
      <c r="F5679" s="4" t="str">
        <f>HYPERLINK("http://141.218.60.56/~jnz1568/getInfo.php?workbook=12_05.xlsx&amp;sheet=U0&amp;row=5679&amp;col=6&amp;number=4.5&amp;sourceID=14","4.5")</f>
        <v>4.5</v>
      </c>
      <c r="G5679" s="4" t="str">
        <f>HYPERLINK("http://141.218.60.56/~jnz1568/getInfo.php?workbook=12_05.xlsx&amp;sheet=U0&amp;row=5679&amp;col=7&amp;number=0.0128&amp;sourceID=14","0.0128")</f>
        <v>0.0128</v>
      </c>
    </row>
    <row r="5680" spans="1:7">
      <c r="A5680" s="3"/>
      <c r="B5680" s="3"/>
      <c r="C5680" s="3"/>
      <c r="D5680" s="3"/>
      <c r="E5680" s="3">
        <v>17</v>
      </c>
      <c r="F5680" s="4" t="str">
        <f>HYPERLINK("http://141.218.60.56/~jnz1568/getInfo.php?workbook=12_05.xlsx&amp;sheet=U0&amp;row=5680&amp;col=6&amp;number=4.6&amp;sourceID=14","4.6")</f>
        <v>4.6</v>
      </c>
      <c r="G5680" s="4" t="str">
        <f>HYPERLINK("http://141.218.60.56/~jnz1568/getInfo.php?workbook=12_05.xlsx&amp;sheet=U0&amp;row=5680&amp;col=7&amp;number=0.0127&amp;sourceID=14","0.0127")</f>
        <v>0.0127</v>
      </c>
    </row>
    <row r="5681" spans="1:7">
      <c r="A5681" s="3"/>
      <c r="B5681" s="3"/>
      <c r="C5681" s="3"/>
      <c r="D5681" s="3"/>
      <c r="E5681" s="3">
        <v>18</v>
      </c>
      <c r="F5681" s="4" t="str">
        <f>HYPERLINK("http://141.218.60.56/~jnz1568/getInfo.php?workbook=12_05.xlsx&amp;sheet=U0&amp;row=5681&amp;col=6&amp;number=4.7&amp;sourceID=14","4.7")</f>
        <v>4.7</v>
      </c>
      <c r="G5681" s="4" t="str">
        <f>HYPERLINK("http://141.218.60.56/~jnz1568/getInfo.php?workbook=12_05.xlsx&amp;sheet=U0&amp;row=5681&amp;col=7&amp;number=0.0126&amp;sourceID=14","0.0126")</f>
        <v>0.0126</v>
      </c>
    </row>
    <row r="5682" spans="1:7">
      <c r="A5682" s="3"/>
      <c r="B5682" s="3"/>
      <c r="C5682" s="3"/>
      <c r="D5682" s="3"/>
      <c r="E5682" s="3">
        <v>19</v>
      </c>
      <c r="F5682" s="4" t="str">
        <f>HYPERLINK("http://141.218.60.56/~jnz1568/getInfo.php?workbook=12_05.xlsx&amp;sheet=U0&amp;row=5682&amp;col=6&amp;number=4.8&amp;sourceID=14","4.8")</f>
        <v>4.8</v>
      </c>
      <c r="G5682" s="4" t="str">
        <f>HYPERLINK("http://141.218.60.56/~jnz1568/getInfo.php?workbook=12_05.xlsx&amp;sheet=U0&amp;row=5682&amp;col=7&amp;number=0.0125&amp;sourceID=14","0.0125")</f>
        <v>0.0125</v>
      </c>
    </row>
    <row r="5683" spans="1:7">
      <c r="A5683" s="3"/>
      <c r="B5683" s="3"/>
      <c r="C5683" s="3"/>
      <c r="D5683" s="3"/>
      <c r="E5683" s="3">
        <v>20</v>
      </c>
      <c r="F5683" s="4" t="str">
        <f>HYPERLINK("http://141.218.60.56/~jnz1568/getInfo.php?workbook=12_05.xlsx&amp;sheet=U0&amp;row=5683&amp;col=6&amp;number=4.9&amp;sourceID=14","4.9")</f>
        <v>4.9</v>
      </c>
      <c r="G5683" s="4" t="str">
        <f>HYPERLINK("http://141.218.60.56/~jnz1568/getInfo.php?workbook=12_05.xlsx&amp;sheet=U0&amp;row=5683&amp;col=7&amp;number=0.0124&amp;sourceID=14","0.0124")</f>
        <v>0.0124</v>
      </c>
    </row>
    <row r="5684" spans="1:7">
      <c r="A5684" s="3">
        <v>12</v>
      </c>
      <c r="B5684" s="3">
        <v>5</v>
      </c>
      <c r="C5684" s="3">
        <v>4</v>
      </c>
      <c r="D5684" s="3">
        <v>33</v>
      </c>
      <c r="E5684" s="3">
        <v>1</v>
      </c>
      <c r="F5684" s="4" t="str">
        <f>HYPERLINK("http://141.218.60.56/~jnz1568/getInfo.php?workbook=12_05.xlsx&amp;sheet=U0&amp;row=5684&amp;col=6&amp;number=3&amp;sourceID=14","3")</f>
        <v>3</v>
      </c>
      <c r="G5684" s="4" t="str">
        <f>HYPERLINK("http://141.218.60.56/~jnz1568/getInfo.php?workbook=12_05.xlsx&amp;sheet=U0&amp;row=5684&amp;col=7&amp;number=0.0187&amp;sourceID=14","0.0187")</f>
        <v>0.0187</v>
      </c>
    </row>
    <row r="5685" spans="1:7">
      <c r="A5685" s="3"/>
      <c r="B5685" s="3"/>
      <c r="C5685" s="3"/>
      <c r="D5685" s="3"/>
      <c r="E5685" s="3">
        <v>2</v>
      </c>
      <c r="F5685" s="4" t="str">
        <f>HYPERLINK("http://141.218.60.56/~jnz1568/getInfo.php?workbook=12_05.xlsx&amp;sheet=U0&amp;row=5685&amp;col=6&amp;number=3.1&amp;sourceID=14","3.1")</f>
        <v>3.1</v>
      </c>
      <c r="G5685" s="4" t="str">
        <f>HYPERLINK("http://141.218.60.56/~jnz1568/getInfo.php?workbook=12_05.xlsx&amp;sheet=U0&amp;row=5685&amp;col=7&amp;number=0.0187&amp;sourceID=14","0.0187")</f>
        <v>0.0187</v>
      </c>
    </row>
    <row r="5686" spans="1:7">
      <c r="A5686" s="3"/>
      <c r="B5686" s="3"/>
      <c r="C5686" s="3"/>
      <c r="D5686" s="3"/>
      <c r="E5686" s="3">
        <v>3</v>
      </c>
      <c r="F5686" s="4" t="str">
        <f>HYPERLINK("http://141.218.60.56/~jnz1568/getInfo.php?workbook=12_05.xlsx&amp;sheet=U0&amp;row=5686&amp;col=6&amp;number=3.2&amp;sourceID=14","3.2")</f>
        <v>3.2</v>
      </c>
      <c r="G5686" s="4" t="str">
        <f>HYPERLINK("http://141.218.60.56/~jnz1568/getInfo.php?workbook=12_05.xlsx&amp;sheet=U0&amp;row=5686&amp;col=7&amp;number=0.0187&amp;sourceID=14","0.0187")</f>
        <v>0.0187</v>
      </c>
    </row>
    <row r="5687" spans="1:7">
      <c r="A5687" s="3"/>
      <c r="B5687" s="3"/>
      <c r="C5687" s="3"/>
      <c r="D5687" s="3"/>
      <c r="E5687" s="3">
        <v>4</v>
      </c>
      <c r="F5687" s="4" t="str">
        <f>HYPERLINK("http://141.218.60.56/~jnz1568/getInfo.php?workbook=12_05.xlsx&amp;sheet=U0&amp;row=5687&amp;col=6&amp;number=3.3&amp;sourceID=14","3.3")</f>
        <v>3.3</v>
      </c>
      <c r="G5687" s="4" t="str">
        <f>HYPERLINK("http://141.218.60.56/~jnz1568/getInfo.php?workbook=12_05.xlsx&amp;sheet=U0&amp;row=5687&amp;col=7&amp;number=0.0187&amp;sourceID=14","0.0187")</f>
        <v>0.0187</v>
      </c>
    </row>
    <row r="5688" spans="1:7">
      <c r="A5688" s="3"/>
      <c r="B5688" s="3"/>
      <c r="C5688" s="3"/>
      <c r="D5688" s="3"/>
      <c r="E5688" s="3">
        <v>5</v>
      </c>
      <c r="F5688" s="4" t="str">
        <f>HYPERLINK("http://141.218.60.56/~jnz1568/getInfo.php?workbook=12_05.xlsx&amp;sheet=U0&amp;row=5688&amp;col=6&amp;number=3.4&amp;sourceID=14","3.4")</f>
        <v>3.4</v>
      </c>
      <c r="G5688" s="4" t="str">
        <f>HYPERLINK("http://141.218.60.56/~jnz1568/getInfo.php?workbook=12_05.xlsx&amp;sheet=U0&amp;row=5688&amp;col=7&amp;number=0.0186&amp;sourceID=14","0.0186")</f>
        <v>0.0186</v>
      </c>
    </row>
    <row r="5689" spans="1:7">
      <c r="A5689" s="3"/>
      <c r="B5689" s="3"/>
      <c r="C5689" s="3"/>
      <c r="D5689" s="3"/>
      <c r="E5689" s="3">
        <v>6</v>
      </c>
      <c r="F5689" s="4" t="str">
        <f>HYPERLINK("http://141.218.60.56/~jnz1568/getInfo.php?workbook=12_05.xlsx&amp;sheet=U0&amp;row=5689&amp;col=6&amp;number=3.5&amp;sourceID=14","3.5")</f>
        <v>3.5</v>
      </c>
      <c r="G5689" s="4" t="str">
        <f>HYPERLINK("http://141.218.60.56/~jnz1568/getInfo.php?workbook=12_05.xlsx&amp;sheet=U0&amp;row=5689&amp;col=7&amp;number=0.0186&amp;sourceID=14","0.0186")</f>
        <v>0.0186</v>
      </c>
    </row>
    <row r="5690" spans="1:7">
      <c r="A5690" s="3"/>
      <c r="B5690" s="3"/>
      <c r="C5690" s="3"/>
      <c r="D5690" s="3"/>
      <c r="E5690" s="3">
        <v>7</v>
      </c>
      <c r="F5690" s="4" t="str">
        <f>HYPERLINK("http://141.218.60.56/~jnz1568/getInfo.php?workbook=12_05.xlsx&amp;sheet=U0&amp;row=5690&amp;col=6&amp;number=3.6&amp;sourceID=14","3.6")</f>
        <v>3.6</v>
      </c>
      <c r="G5690" s="4" t="str">
        <f>HYPERLINK("http://141.218.60.56/~jnz1568/getInfo.php?workbook=12_05.xlsx&amp;sheet=U0&amp;row=5690&amp;col=7&amp;number=0.0186&amp;sourceID=14","0.0186")</f>
        <v>0.0186</v>
      </c>
    </row>
    <row r="5691" spans="1:7">
      <c r="A5691" s="3"/>
      <c r="B5691" s="3"/>
      <c r="C5691" s="3"/>
      <c r="D5691" s="3"/>
      <c r="E5691" s="3">
        <v>8</v>
      </c>
      <c r="F5691" s="4" t="str">
        <f>HYPERLINK("http://141.218.60.56/~jnz1568/getInfo.php?workbook=12_05.xlsx&amp;sheet=U0&amp;row=5691&amp;col=6&amp;number=3.7&amp;sourceID=14","3.7")</f>
        <v>3.7</v>
      </c>
      <c r="G5691" s="4" t="str">
        <f>HYPERLINK("http://141.218.60.56/~jnz1568/getInfo.php?workbook=12_05.xlsx&amp;sheet=U0&amp;row=5691&amp;col=7&amp;number=0.0186&amp;sourceID=14","0.0186")</f>
        <v>0.0186</v>
      </c>
    </row>
    <row r="5692" spans="1:7">
      <c r="A5692" s="3"/>
      <c r="B5692" s="3"/>
      <c r="C5692" s="3"/>
      <c r="D5692" s="3"/>
      <c r="E5692" s="3">
        <v>9</v>
      </c>
      <c r="F5692" s="4" t="str">
        <f>HYPERLINK("http://141.218.60.56/~jnz1568/getInfo.php?workbook=12_05.xlsx&amp;sheet=U0&amp;row=5692&amp;col=6&amp;number=3.8&amp;sourceID=14","3.8")</f>
        <v>3.8</v>
      </c>
      <c r="G5692" s="4" t="str">
        <f>HYPERLINK("http://141.218.60.56/~jnz1568/getInfo.php?workbook=12_05.xlsx&amp;sheet=U0&amp;row=5692&amp;col=7&amp;number=0.0186&amp;sourceID=14","0.0186")</f>
        <v>0.0186</v>
      </c>
    </row>
    <row r="5693" spans="1:7">
      <c r="A5693" s="3"/>
      <c r="B5693" s="3"/>
      <c r="C5693" s="3"/>
      <c r="D5693" s="3"/>
      <c r="E5693" s="3">
        <v>10</v>
      </c>
      <c r="F5693" s="4" t="str">
        <f>HYPERLINK("http://141.218.60.56/~jnz1568/getInfo.php?workbook=12_05.xlsx&amp;sheet=U0&amp;row=5693&amp;col=6&amp;number=3.9&amp;sourceID=14","3.9")</f>
        <v>3.9</v>
      </c>
      <c r="G5693" s="4" t="str">
        <f>HYPERLINK("http://141.218.60.56/~jnz1568/getInfo.php?workbook=12_05.xlsx&amp;sheet=U0&amp;row=5693&amp;col=7&amp;number=0.0186&amp;sourceID=14","0.0186")</f>
        <v>0.0186</v>
      </c>
    </row>
    <row r="5694" spans="1:7">
      <c r="A5694" s="3"/>
      <c r="B5694" s="3"/>
      <c r="C5694" s="3"/>
      <c r="D5694" s="3"/>
      <c r="E5694" s="3">
        <v>11</v>
      </c>
      <c r="F5694" s="4" t="str">
        <f>HYPERLINK("http://141.218.60.56/~jnz1568/getInfo.php?workbook=12_05.xlsx&amp;sheet=U0&amp;row=5694&amp;col=6&amp;number=4&amp;sourceID=14","4")</f>
        <v>4</v>
      </c>
      <c r="G5694" s="4" t="str">
        <f>HYPERLINK("http://141.218.60.56/~jnz1568/getInfo.php?workbook=12_05.xlsx&amp;sheet=U0&amp;row=5694&amp;col=7&amp;number=0.0186&amp;sourceID=14","0.0186")</f>
        <v>0.0186</v>
      </c>
    </row>
    <row r="5695" spans="1:7">
      <c r="A5695" s="3"/>
      <c r="B5695" s="3"/>
      <c r="C5695" s="3"/>
      <c r="D5695" s="3"/>
      <c r="E5695" s="3">
        <v>12</v>
      </c>
      <c r="F5695" s="4" t="str">
        <f>HYPERLINK("http://141.218.60.56/~jnz1568/getInfo.php?workbook=12_05.xlsx&amp;sheet=U0&amp;row=5695&amp;col=6&amp;number=4.1&amp;sourceID=14","4.1")</f>
        <v>4.1</v>
      </c>
      <c r="G5695" s="4" t="str">
        <f>HYPERLINK("http://141.218.60.56/~jnz1568/getInfo.php?workbook=12_05.xlsx&amp;sheet=U0&amp;row=5695&amp;col=7&amp;number=0.0186&amp;sourceID=14","0.0186")</f>
        <v>0.0186</v>
      </c>
    </row>
    <row r="5696" spans="1:7">
      <c r="A5696" s="3"/>
      <c r="B5696" s="3"/>
      <c r="C5696" s="3"/>
      <c r="D5696" s="3"/>
      <c r="E5696" s="3">
        <v>13</v>
      </c>
      <c r="F5696" s="4" t="str">
        <f>HYPERLINK("http://141.218.60.56/~jnz1568/getInfo.php?workbook=12_05.xlsx&amp;sheet=U0&amp;row=5696&amp;col=6&amp;number=4.2&amp;sourceID=14","4.2")</f>
        <v>4.2</v>
      </c>
      <c r="G5696" s="4" t="str">
        <f>HYPERLINK("http://141.218.60.56/~jnz1568/getInfo.php?workbook=12_05.xlsx&amp;sheet=U0&amp;row=5696&amp;col=7&amp;number=0.0185&amp;sourceID=14","0.0185")</f>
        <v>0.0185</v>
      </c>
    </row>
    <row r="5697" spans="1:7">
      <c r="A5697" s="3"/>
      <c r="B5697" s="3"/>
      <c r="C5697" s="3"/>
      <c r="D5697" s="3"/>
      <c r="E5697" s="3">
        <v>14</v>
      </c>
      <c r="F5697" s="4" t="str">
        <f>HYPERLINK("http://141.218.60.56/~jnz1568/getInfo.php?workbook=12_05.xlsx&amp;sheet=U0&amp;row=5697&amp;col=6&amp;number=4.3&amp;sourceID=14","4.3")</f>
        <v>4.3</v>
      </c>
      <c r="G5697" s="4" t="str">
        <f>HYPERLINK("http://141.218.60.56/~jnz1568/getInfo.php?workbook=12_05.xlsx&amp;sheet=U0&amp;row=5697&amp;col=7&amp;number=0.0185&amp;sourceID=14","0.0185")</f>
        <v>0.0185</v>
      </c>
    </row>
    <row r="5698" spans="1:7">
      <c r="A5698" s="3"/>
      <c r="B5698" s="3"/>
      <c r="C5698" s="3"/>
      <c r="D5698" s="3"/>
      <c r="E5698" s="3">
        <v>15</v>
      </c>
      <c r="F5698" s="4" t="str">
        <f>HYPERLINK("http://141.218.60.56/~jnz1568/getInfo.php?workbook=12_05.xlsx&amp;sheet=U0&amp;row=5698&amp;col=6&amp;number=4.4&amp;sourceID=14","4.4")</f>
        <v>4.4</v>
      </c>
      <c r="G5698" s="4" t="str">
        <f>HYPERLINK("http://141.218.60.56/~jnz1568/getInfo.php?workbook=12_05.xlsx&amp;sheet=U0&amp;row=5698&amp;col=7&amp;number=0.0184&amp;sourceID=14","0.0184")</f>
        <v>0.0184</v>
      </c>
    </row>
    <row r="5699" spans="1:7">
      <c r="A5699" s="3"/>
      <c r="B5699" s="3"/>
      <c r="C5699" s="3"/>
      <c r="D5699" s="3"/>
      <c r="E5699" s="3">
        <v>16</v>
      </c>
      <c r="F5699" s="4" t="str">
        <f>HYPERLINK("http://141.218.60.56/~jnz1568/getInfo.php?workbook=12_05.xlsx&amp;sheet=U0&amp;row=5699&amp;col=6&amp;number=4.5&amp;sourceID=14","4.5")</f>
        <v>4.5</v>
      </c>
      <c r="G5699" s="4" t="str">
        <f>HYPERLINK("http://141.218.60.56/~jnz1568/getInfo.php?workbook=12_05.xlsx&amp;sheet=U0&amp;row=5699&amp;col=7&amp;number=0.0184&amp;sourceID=14","0.0184")</f>
        <v>0.0184</v>
      </c>
    </row>
    <row r="5700" spans="1:7">
      <c r="A5700" s="3"/>
      <c r="B5700" s="3"/>
      <c r="C5700" s="3"/>
      <c r="D5700" s="3"/>
      <c r="E5700" s="3">
        <v>17</v>
      </c>
      <c r="F5700" s="4" t="str">
        <f>HYPERLINK("http://141.218.60.56/~jnz1568/getInfo.php?workbook=12_05.xlsx&amp;sheet=U0&amp;row=5700&amp;col=6&amp;number=4.6&amp;sourceID=14","4.6")</f>
        <v>4.6</v>
      </c>
      <c r="G5700" s="4" t="str">
        <f>HYPERLINK("http://141.218.60.56/~jnz1568/getInfo.php?workbook=12_05.xlsx&amp;sheet=U0&amp;row=5700&amp;col=7&amp;number=0.0183&amp;sourceID=14","0.0183")</f>
        <v>0.0183</v>
      </c>
    </row>
    <row r="5701" spans="1:7">
      <c r="A5701" s="3"/>
      <c r="B5701" s="3"/>
      <c r="C5701" s="3"/>
      <c r="D5701" s="3"/>
      <c r="E5701" s="3">
        <v>18</v>
      </c>
      <c r="F5701" s="4" t="str">
        <f>HYPERLINK("http://141.218.60.56/~jnz1568/getInfo.php?workbook=12_05.xlsx&amp;sheet=U0&amp;row=5701&amp;col=6&amp;number=4.7&amp;sourceID=14","4.7")</f>
        <v>4.7</v>
      </c>
      <c r="G5701" s="4" t="str">
        <f>HYPERLINK("http://141.218.60.56/~jnz1568/getInfo.php?workbook=12_05.xlsx&amp;sheet=U0&amp;row=5701&amp;col=7&amp;number=0.0182&amp;sourceID=14","0.0182")</f>
        <v>0.0182</v>
      </c>
    </row>
    <row r="5702" spans="1:7">
      <c r="A5702" s="3"/>
      <c r="B5702" s="3"/>
      <c r="C5702" s="3"/>
      <c r="D5702" s="3"/>
      <c r="E5702" s="3">
        <v>19</v>
      </c>
      <c r="F5702" s="4" t="str">
        <f>HYPERLINK("http://141.218.60.56/~jnz1568/getInfo.php?workbook=12_05.xlsx&amp;sheet=U0&amp;row=5702&amp;col=6&amp;number=4.8&amp;sourceID=14","4.8")</f>
        <v>4.8</v>
      </c>
      <c r="G5702" s="4" t="str">
        <f>HYPERLINK("http://141.218.60.56/~jnz1568/getInfo.php?workbook=12_05.xlsx&amp;sheet=U0&amp;row=5702&amp;col=7&amp;number=0.0181&amp;sourceID=14","0.0181")</f>
        <v>0.0181</v>
      </c>
    </row>
    <row r="5703" spans="1:7">
      <c r="A5703" s="3"/>
      <c r="B5703" s="3"/>
      <c r="C5703" s="3"/>
      <c r="D5703" s="3"/>
      <c r="E5703" s="3">
        <v>20</v>
      </c>
      <c r="F5703" s="4" t="str">
        <f>HYPERLINK("http://141.218.60.56/~jnz1568/getInfo.php?workbook=12_05.xlsx&amp;sheet=U0&amp;row=5703&amp;col=6&amp;number=4.9&amp;sourceID=14","4.9")</f>
        <v>4.9</v>
      </c>
      <c r="G5703" s="4" t="str">
        <f>HYPERLINK("http://141.218.60.56/~jnz1568/getInfo.php?workbook=12_05.xlsx&amp;sheet=U0&amp;row=5703&amp;col=7&amp;number=0.018&amp;sourceID=14","0.018")</f>
        <v>0.018</v>
      </c>
    </row>
    <row r="5704" spans="1:7">
      <c r="A5704" s="3">
        <v>12</v>
      </c>
      <c r="B5704" s="3">
        <v>5</v>
      </c>
      <c r="C5704" s="3">
        <v>4</v>
      </c>
      <c r="D5704" s="3">
        <v>34</v>
      </c>
      <c r="E5704" s="3">
        <v>1</v>
      </c>
      <c r="F5704" s="4" t="str">
        <f>HYPERLINK("http://141.218.60.56/~jnz1568/getInfo.php?workbook=12_05.xlsx&amp;sheet=U0&amp;row=5704&amp;col=6&amp;number=3&amp;sourceID=14","3")</f>
        <v>3</v>
      </c>
      <c r="G5704" s="4" t="str">
        <f>HYPERLINK("http://141.218.60.56/~jnz1568/getInfo.php?workbook=12_05.xlsx&amp;sheet=U0&amp;row=5704&amp;col=7&amp;number=0.0124&amp;sourceID=14","0.0124")</f>
        <v>0.0124</v>
      </c>
    </row>
    <row r="5705" spans="1:7">
      <c r="A5705" s="3"/>
      <c r="B5705" s="3"/>
      <c r="C5705" s="3"/>
      <c r="D5705" s="3"/>
      <c r="E5705" s="3">
        <v>2</v>
      </c>
      <c r="F5705" s="4" t="str">
        <f>HYPERLINK("http://141.218.60.56/~jnz1568/getInfo.php?workbook=12_05.xlsx&amp;sheet=U0&amp;row=5705&amp;col=6&amp;number=3.1&amp;sourceID=14","3.1")</f>
        <v>3.1</v>
      </c>
      <c r="G5705" s="4" t="str">
        <f>HYPERLINK("http://141.218.60.56/~jnz1568/getInfo.php?workbook=12_05.xlsx&amp;sheet=U0&amp;row=5705&amp;col=7&amp;number=0.0124&amp;sourceID=14","0.0124")</f>
        <v>0.0124</v>
      </c>
    </row>
    <row r="5706" spans="1:7">
      <c r="A5706" s="3"/>
      <c r="B5706" s="3"/>
      <c r="C5706" s="3"/>
      <c r="D5706" s="3"/>
      <c r="E5706" s="3">
        <v>3</v>
      </c>
      <c r="F5706" s="4" t="str">
        <f>HYPERLINK("http://141.218.60.56/~jnz1568/getInfo.php?workbook=12_05.xlsx&amp;sheet=U0&amp;row=5706&amp;col=6&amp;number=3.2&amp;sourceID=14","3.2")</f>
        <v>3.2</v>
      </c>
      <c r="G5706" s="4" t="str">
        <f>HYPERLINK("http://141.218.60.56/~jnz1568/getInfo.php?workbook=12_05.xlsx&amp;sheet=U0&amp;row=5706&amp;col=7&amp;number=0.0124&amp;sourceID=14","0.0124")</f>
        <v>0.0124</v>
      </c>
    </row>
    <row r="5707" spans="1:7">
      <c r="A5707" s="3"/>
      <c r="B5707" s="3"/>
      <c r="C5707" s="3"/>
      <c r="D5707" s="3"/>
      <c r="E5707" s="3">
        <v>4</v>
      </c>
      <c r="F5707" s="4" t="str">
        <f>HYPERLINK("http://141.218.60.56/~jnz1568/getInfo.php?workbook=12_05.xlsx&amp;sheet=U0&amp;row=5707&amp;col=6&amp;number=3.3&amp;sourceID=14","3.3")</f>
        <v>3.3</v>
      </c>
      <c r="G5707" s="4" t="str">
        <f>HYPERLINK("http://141.218.60.56/~jnz1568/getInfo.php?workbook=12_05.xlsx&amp;sheet=U0&amp;row=5707&amp;col=7&amp;number=0.0124&amp;sourceID=14","0.0124")</f>
        <v>0.0124</v>
      </c>
    </row>
    <row r="5708" spans="1:7">
      <c r="A5708" s="3"/>
      <c r="B5708" s="3"/>
      <c r="C5708" s="3"/>
      <c r="D5708" s="3"/>
      <c r="E5708" s="3">
        <v>5</v>
      </c>
      <c r="F5708" s="4" t="str">
        <f>HYPERLINK("http://141.218.60.56/~jnz1568/getInfo.php?workbook=12_05.xlsx&amp;sheet=U0&amp;row=5708&amp;col=6&amp;number=3.4&amp;sourceID=14","3.4")</f>
        <v>3.4</v>
      </c>
      <c r="G5708" s="4" t="str">
        <f>HYPERLINK("http://141.218.60.56/~jnz1568/getInfo.php?workbook=12_05.xlsx&amp;sheet=U0&amp;row=5708&amp;col=7&amp;number=0.0124&amp;sourceID=14","0.0124")</f>
        <v>0.0124</v>
      </c>
    </row>
    <row r="5709" spans="1:7">
      <c r="A5709" s="3"/>
      <c r="B5709" s="3"/>
      <c r="C5709" s="3"/>
      <c r="D5709" s="3"/>
      <c r="E5709" s="3">
        <v>6</v>
      </c>
      <c r="F5709" s="4" t="str">
        <f>HYPERLINK("http://141.218.60.56/~jnz1568/getInfo.php?workbook=12_05.xlsx&amp;sheet=U0&amp;row=5709&amp;col=6&amp;number=3.5&amp;sourceID=14","3.5")</f>
        <v>3.5</v>
      </c>
      <c r="G5709" s="4" t="str">
        <f>HYPERLINK("http://141.218.60.56/~jnz1568/getInfo.php?workbook=12_05.xlsx&amp;sheet=U0&amp;row=5709&amp;col=7&amp;number=0.0124&amp;sourceID=14","0.0124")</f>
        <v>0.0124</v>
      </c>
    </row>
    <row r="5710" spans="1:7">
      <c r="A5710" s="3"/>
      <c r="B5710" s="3"/>
      <c r="C5710" s="3"/>
      <c r="D5710" s="3"/>
      <c r="E5710" s="3">
        <v>7</v>
      </c>
      <c r="F5710" s="4" t="str">
        <f>HYPERLINK("http://141.218.60.56/~jnz1568/getInfo.php?workbook=12_05.xlsx&amp;sheet=U0&amp;row=5710&amp;col=6&amp;number=3.6&amp;sourceID=14","3.6")</f>
        <v>3.6</v>
      </c>
      <c r="G5710" s="4" t="str">
        <f>HYPERLINK("http://141.218.60.56/~jnz1568/getInfo.php?workbook=12_05.xlsx&amp;sheet=U0&amp;row=5710&amp;col=7&amp;number=0.0124&amp;sourceID=14","0.0124")</f>
        <v>0.0124</v>
      </c>
    </row>
    <row r="5711" spans="1:7">
      <c r="A5711" s="3"/>
      <c r="B5711" s="3"/>
      <c r="C5711" s="3"/>
      <c r="D5711" s="3"/>
      <c r="E5711" s="3">
        <v>8</v>
      </c>
      <c r="F5711" s="4" t="str">
        <f>HYPERLINK("http://141.218.60.56/~jnz1568/getInfo.php?workbook=12_05.xlsx&amp;sheet=U0&amp;row=5711&amp;col=6&amp;number=3.7&amp;sourceID=14","3.7")</f>
        <v>3.7</v>
      </c>
      <c r="G5711" s="4" t="str">
        <f>HYPERLINK("http://141.218.60.56/~jnz1568/getInfo.php?workbook=12_05.xlsx&amp;sheet=U0&amp;row=5711&amp;col=7&amp;number=0.0123&amp;sourceID=14","0.0123")</f>
        <v>0.0123</v>
      </c>
    </row>
    <row r="5712" spans="1:7">
      <c r="A5712" s="3"/>
      <c r="B5712" s="3"/>
      <c r="C5712" s="3"/>
      <c r="D5712" s="3"/>
      <c r="E5712" s="3">
        <v>9</v>
      </c>
      <c r="F5712" s="4" t="str">
        <f>HYPERLINK("http://141.218.60.56/~jnz1568/getInfo.php?workbook=12_05.xlsx&amp;sheet=U0&amp;row=5712&amp;col=6&amp;number=3.8&amp;sourceID=14","3.8")</f>
        <v>3.8</v>
      </c>
      <c r="G5712" s="4" t="str">
        <f>HYPERLINK("http://141.218.60.56/~jnz1568/getInfo.php?workbook=12_05.xlsx&amp;sheet=U0&amp;row=5712&amp;col=7&amp;number=0.0123&amp;sourceID=14","0.0123")</f>
        <v>0.0123</v>
      </c>
    </row>
    <row r="5713" spans="1:7">
      <c r="A5713" s="3"/>
      <c r="B5713" s="3"/>
      <c r="C5713" s="3"/>
      <c r="D5713" s="3"/>
      <c r="E5713" s="3">
        <v>10</v>
      </c>
      <c r="F5713" s="4" t="str">
        <f>HYPERLINK("http://141.218.60.56/~jnz1568/getInfo.php?workbook=12_05.xlsx&amp;sheet=U0&amp;row=5713&amp;col=6&amp;number=3.9&amp;sourceID=14","3.9")</f>
        <v>3.9</v>
      </c>
      <c r="G5713" s="4" t="str">
        <f>HYPERLINK("http://141.218.60.56/~jnz1568/getInfo.php?workbook=12_05.xlsx&amp;sheet=U0&amp;row=5713&amp;col=7&amp;number=0.0123&amp;sourceID=14","0.0123")</f>
        <v>0.0123</v>
      </c>
    </row>
    <row r="5714" spans="1:7">
      <c r="A5714" s="3"/>
      <c r="B5714" s="3"/>
      <c r="C5714" s="3"/>
      <c r="D5714" s="3"/>
      <c r="E5714" s="3">
        <v>11</v>
      </c>
      <c r="F5714" s="4" t="str">
        <f>HYPERLINK("http://141.218.60.56/~jnz1568/getInfo.php?workbook=12_05.xlsx&amp;sheet=U0&amp;row=5714&amp;col=6&amp;number=4&amp;sourceID=14","4")</f>
        <v>4</v>
      </c>
      <c r="G5714" s="4" t="str">
        <f>HYPERLINK("http://141.218.60.56/~jnz1568/getInfo.php?workbook=12_05.xlsx&amp;sheet=U0&amp;row=5714&amp;col=7&amp;number=0.0123&amp;sourceID=14","0.0123")</f>
        <v>0.0123</v>
      </c>
    </row>
    <row r="5715" spans="1:7">
      <c r="A5715" s="3"/>
      <c r="B5715" s="3"/>
      <c r="C5715" s="3"/>
      <c r="D5715" s="3"/>
      <c r="E5715" s="3">
        <v>12</v>
      </c>
      <c r="F5715" s="4" t="str">
        <f>HYPERLINK("http://141.218.60.56/~jnz1568/getInfo.php?workbook=12_05.xlsx&amp;sheet=U0&amp;row=5715&amp;col=6&amp;number=4.1&amp;sourceID=14","4.1")</f>
        <v>4.1</v>
      </c>
      <c r="G5715" s="4" t="str">
        <f>HYPERLINK("http://141.218.60.56/~jnz1568/getInfo.php?workbook=12_05.xlsx&amp;sheet=U0&amp;row=5715&amp;col=7&amp;number=0.0123&amp;sourceID=14","0.0123")</f>
        <v>0.0123</v>
      </c>
    </row>
    <row r="5716" spans="1:7">
      <c r="A5716" s="3"/>
      <c r="B5716" s="3"/>
      <c r="C5716" s="3"/>
      <c r="D5716" s="3"/>
      <c r="E5716" s="3">
        <v>13</v>
      </c>
      <c r="F5716" s="4" t="str">
        <f>HYPERLINK("http://141.218.60.56/~jnz1568/getInfo.php?workbook=12_05.xlsx&amp;sheet=U0&amp;row=5716&amp;col=6&amp;number=4.2&amp;sourceID=14","4.2")</f>
        <v>4.2</v>
      </c>
      <c r="G5716" s="4" t="str">
        <f>HYPERLINK("http://141.218.60.56/~jnz1568/getInfo.php?workbook=12_05.xlsx&amp;sheet=U0&amp;row=5716&amp;col=7&amp;number=0.0123&amp;sourceID=14","0.0123")</f>
        <v>0.0123</v>
      </c>
    </row>
    <row r="5717" spans="1:7">
      <c r="A5717" s="3"/>
      <c r="B5717" s="3"/>
      <c r="C5717" s="3"/>
      <c r="D5717" s="3"/>
      <c r="E5717" s="3">
        <v>14</v>
      </c>
      <c r="F5717" s="4" t="str">
        <f>HYPERLINK("http://141.218.60.56/~jnz1568/getInfo.php?workbook=12_05.xlsx&amp;sheet=U0&amp;row=5717&amp;col=6&amp;number=4.3&amp;sourceID=14","4.3")</f>
        <v>4.3</v>
      </c>
      <c r="G5717" s="4" t="str">
        <f>HYPERLINK("http://141.218.60.56/~jnz1568/getInfo.php?workbook=12_05.xlsx&amp;sheet=U0&amp;row=5717&amp;col=7&amp;number=0.0122&amp;sourceID=14","0.0122")</f>
        <v>0.0122</v>
      </c>
    </row>
    <row r="5718" spans="1:7">
      <c r="A5718" s="3"/>
      <c r="B5718" s="3"/>
      <c r="C5718" s="3"/>
      <c r="D5718" s="3"/>
      <c r="E5718" s="3">
        <v>15</v>
      </c>
      <c r="F5718" s="4" t="str">
        <f>HYPERLINK("http://141.218.60.56/~jnz1568/getInfo.php?workbook=12_05.xlsx&amp;sheet=U0&amp;row=5718&amp;col=6&amp;number=4.4&amp;sourceID=14","4.4")</f>
        <v>4.4</v>
      </c>
      <c r="G5718" s="4" t="str">
        <f>HYPERLINK("http://141.218.60.56/~jnz1568/getInfo.php?workbook=12_05.xlsx&amp;sheet=U0&amp;row=5718&amp;col=7&amp;number=0.0122&amp;sourceID=14","0.0122")</f>
        <v>0.0122</v>
      </c>
    </row>
    <row r="5719" spans="1:7">
      <c r="A5719" s="3"/>
      <c r="B5719" s="3"/>
      <c r="C5719" s="3"/>
      <c r="D5719" s="3"/>
      <c r="E5719" s="3">
        <v>16</v>
      </c>
      <c r="F5719" s="4" t="str">
        <f>HYPERLINK("http://141.218.60.56/~jnz1568/getInfo.php?workbook=12_05.xlsx&amp;sheet=U0&amp;row=5719&amp;col=6&amp;number=4.5&amp;sourceID=14","4.5")</f>
        <v>4.5</v>
      </c>
      <c r="G5719" s="4" t="str">
        <f>HYPERLINK("http://141.218.60.56/~jnz1568/getInfo.php?workbook=12_05.xlsx&amp;sheet=U0&amp;row=5719&amp;col=7&amp;number=0.0122&amp;sourceID=14","0.0122")</f>
        <v>0.0122</v>
      </c>
    </row>
    <row r="5720" spans="1:7">
      <c r="A5720" s="3"/>
      <c r="B5720" s="3"/>
      <c r="C5720" s="3"/>
      <c r="D5720" s="3"/>
      <c r="E5720" s="3">
        <v>17</v>
      </c>
      <c r="F5720" s="4" t="str">
        <f>HYPERLINK("http://141.218.60.56/~jnz1568/getInfo.php?workbook=12_05.xlsx&amp;sheet=U0&amp;row=5720&amp;col=6&amp;number=4.6&amp;sourceID=14","4.6")</f>
        <v>4.6</v>
      </c>
      <c r="G5720" s="4" t="str">
        <f>HYPERLINK("http://141.218.60.56/~jnz1568/getInfo.php?workbook=12_05.xlsx&amp;sheet=U0&amp;row=5720&amp;col=7&amp;number=0.0121&amp;sourceID=14","0.0121")</f>
        <v>0.0121</v>
      </c>
    </row>
    <row r="5721" spans="1:7">
      <c r="A5721" s="3"/>
      <c r="B5721" s="3"/>
      <c r="C5721" s="3"/>
      <c r="D5721" s="3"/>
      <c r="E5721" s="3">
        <v>18</v>
      </c>
      <c r="F5721" s="4" t="str">
        <f>HYPERLINK("http://141.218.60.56/~jnz1568/getInfo.php?workbook=12_05.xlsx&amp;sheet=U0&amp;row=5721&amp;col=6&amp;number=4.7&amp;sourceID=14","4.7")</f>
        <v>4.7</v>
      </c>
      <c r="G5721" s="4" t="str">
        <f>HYPERLINK("http://141.218.60.56/~jnz1568/getInfo.php?workbook=12_05.xlsx&amp;sheet=U0&amp;row=5721&amp;col=7&amp;number=0.0121&amp;sourceID=14","0.0121")</f>
        <v>0.0121</v>
      </c>
    </row>
    <row r="5722" spans="1:7">
      <c r="A5722" s="3"/>
      <c r="B5722" s="3"/>
      <c r="C5722" s="3"/>
      <c r="D5722" s="3"/>
      <c r="E5722" s="3">
        <v>19</v>
      </c>
      <c r="F5722" s="4" t="str">
        <f>HYPERLINK("http://141.218.60.56/~jnz1568/getInfo.php?workbook=12_05.xlsx&amp;sheet=U0&amp;row=5722&amp;col=6&amp;number=4.8&amp;sourceID=14","4.8")</f>
        <v>4.8</v>
      </c>
      <c r="G5722" s="4" t="str">
        <f>HYPERLINK("http://141.218.60.56/~jnz1568/getInfo.php?workbook=12_05.xlsx&amp;sheet=U0&amp;row=5722&amp;col=7&amp;number=0.012&amp;sourceID=14","0.012")</f>
        <v>0.012</v>
      </c>
    </row>
    <row r="5723" spans="1:7">
      <c r="A5723" s="3"/>
      <c r="B5723" s="3"/>
      <c r="C5723" s="3"/>
      <c r="D5723" s="3"/>
      <c r="E5723" s="3">
        <v>20</v>
      </c>
      <c r="F5723" s="4" t="str">
        <f>HYPERLINK("http://141.218.60.56/~jnz1568/getInfo.php?workbook=12_05.xlsx&amp;sheet=U0&amp;row=5723&amp;col=6&amp;number=4.9&amp;sourceID=14","4.9")</f>
        <v>4.9</v>
      </c>
      <c r="G5723" s="4" t="str">
        <f>HYPERLINK("http://141.218.60.56/~jnz1568/getInfo.php?workbook=12_05.xlsx&amp;sheet=U0&amp;row=5723&amp;col=7&amp;number=0.0119&amp;sourceID=14","0.0119")</f>
        <v>0.0119</v>
      </c>
    </row>
    <row r="5724" spans="1:7">
      <c r="A5724" s="3">
        <v>12</v>
      </c>
      <c r="B5724" s="3">
        <v>5</v>
      </c>
      <c r="C5724" s="3">
        <v>4</v>
      </c>
      <c r="D5724" s="3">
        <v>35</v>
      </c>
      <c r="E5724" s="3">
        <v>1</v>
      </c>
      <c r="F5724" s="4" t="str">
        <f>HYPERLINK("http://141.218.60.56/~jnz1568/getInfo.php?workbook=12_05.xlsx&amp;sheet=U0&amp;row=5724&amp;col=6&amp;number=3&amp;sourceID=14","3")</f>
        <v>3</v>
      </c>
      <c r="G5724" s="4" t="str">
        <f>HYPERLINK("http://141.218.60.56/~jnz1568/getInfo.php?workbook=12_05.xlsx&amp;sheet=U0&amp;row=5724&amp;col=7&amp;number=0.349&amp;sourceID=14","0.349")</f>
        <v>0.349</v>
      </c>
    </row>
    <row r="5725" spans="1:7">
      <c r="A5725" s="3"/>
      <c r="B5725" s="3"/>
      <c r="C5725" s="3"/>
      <c r="D5725" s="3"/>
      <c r="E5725" s="3">
        <v>2</v>
      </c>
      <c r="F5725" s="4" t="str">
        <f>HYPERLINK("http://141.218.60.56/~jnz1568/getInfo.php?workbook=12_05.xlsx&amp;sheet=U0&amp;row=5725&amp;col=6&amp;number=3.1&amp;sourceID=14","3.1")</f>
        <v>3.1</v>
      </c>
      <c r="G5725" s="4" t="str">
        <f>HYPERLINK("http://141.218.60.56/~jnz1568/getInfo.php?workbook=12_05.xlsx&amp;sheet=U0&amp;row=5725&amp;col=7&amp;number=0.349&amp;sourceID=14","0.349")</f>
        <v>0.349</v>
      </c>
    </row>
    <row r="5726" spans="1:7">
      <c r="A5726" s="3"/>
      <c r="B5726" s="3"/>
      <c r="C5726" s="3"/>
      <c r="D5726" s="3"/>
      <c r="E5726" s="3">
        <v>3</v>
      </c>
      <c r="F5726" s="4" t="str">
        <f>HYPERLINK("http://141.218.60.56/~jnz1568/getInfo.php?workbook=12_05.xlsx&amp;sheet=U0&amp;row=5726&amp;col=6&amp;number=3.2&amp;sourceID=14","3.2")</f>
        <v>3.2</v>
      </c>
      <c r="G5726" s="4" t="str">
        <f>HYPERLINK("http://141.218.60.56/~jnz1568/getInfo.php?workbook=12_05.xlsx&amp;sheet=U0&amp;row=5726&amp;col=7&amp;number=0.349&amp;sourceID=14","0.349")</f>
        <v>0.349</v>
      </c>
    </row>
    <row r="5727" spans="1:7">
      <c r="A5727" s="3"/>
      <c r="B5727" s="3"/>
      <c r="C5727" s="3"/>
      <c r="D5727" s="3"/>
      <c r="E5727" s="3">
        <v>4</v>
      </c>
      <c r="F5727" s="4" t="str">
        <f>HYPERLINK("http://141.218.60.56/~jnz1568/getInfo.php?workbook=12_05.xlsx&amp;sheet=U0&amp;row=5727&amp;col=6&amp;number=3.3&amp;sourceID=14","3.3")</f>
        <v>3.3</v>
      </c>
      <c r="G5727" s="4" t="str">
        <f>HYPERLINK("http://141.218.60.56/~jnz1568/getInfo.php?workbook=12_05.xlsx&amp;sheet=U0&amp;row=5727&amp;col=7&amp;number=0.349&amp;sourceID=14","0.349")</f>
        <v>0.349</v>
      </c>
    </row>
    <row r="5728" spans="1:7">
      <c r="A5728" s="3"/>
      <c r="B5728" s="3"/>
      <c r="C5728" s="3"/>
      <c r="D5728" s="3"/>
      <c r="E5728" s="3">
        <v>5</v>
      </c>
      <c r="F5728" s="4" t="str">
        <f>HYPERLINK("http://141.218.60.56/~jnz1568/getInfo.php?workbook=12_05.xlsx&amp;sheet=U0&amp;row=5728&amp;col=6&amp;number=3.4&amp;sourceID=14","3.4")</f>
        <v>3.4</v>
      </c>
      <c r="G5728" s="4" t="str">
        <f>HYPERLINK("http://141.218.60.56/~jnz1568/getInfo.php?workbook=12_05.xlsx&amp;sheet=U0&amp;row=5728&amp;col=7&amp;number=0.349&amp;sourceID=14","0.349")</f>
        <v>0.349</v>
      </c>
    </row>
    <row r="5729" spans="1:7">
      <c r="A5729" s="3"/>
      <c r="B5729" s="3"/>
      <c r="C5729" s="3"/>
      <c r="D5729" s="3"/>
      <c r="E5729" s="3">
        <v>6</v>
      </c>
      <c r="F5729" s="4" t="str">
        <f>HYPERLINK("http://141.218.60.56/~jnz1568/getInfo.php?workbook=12_05.xlsx&amp;sheet=U0&amp;row=5729&amp;col=6&amp;number=3.5&amp;sourceID=14","3.5")</f>
        <v>3.5</v>
      </c>
      <c r="G5729" s="4" t="str">
        <f>HYPERLINK("http://141.218.60.56/~jnz1568/getInfo.php?workbook=12_05.xlsx&amp;sheet=U0&amp;row=5729&amp;col=7&amp;number=0.349&amp;sourceID=14","0.349")</f>
        <v>0.349</v>
      </c>
    </row>
    <row r="5730" spans="1:7">
      <c r="A5730" s="3"/>
      <c r="B5730" s="3"/>
      <c r="C5730" s="3"/>
      <c r="D5730" s="3"/>
      <c r="E5730" s="3">
        <v>7</v>
      </c>
      <c r="F5730" s="4" t="str">
        <f>HYPERLINK("http://141.218.60.56/~jnz1568/getInfo.php?workbook=12_05.xlsx&amp;sheet=U0&amp;row=5730&amp;col=6&amp;number=3.6&amp;sourceID=14","3.6")</f>
        <v>3.6</v>
      </c>
      <c r="G5730" s="4" t="str">
        <f>HYPERLINK("http://141.218.60.56/~jnz1568/getInfo.php?workbook=12_05.xlsx&amp;sheet=U0&amp;row=5730&amp;col=7&amp;number=0.349&amp;sourceID=14","0.349")</f>
        <v>0.349</v>
      </c>
    </row>
    <row r="5731" spans="1:7">
      <c r="A5731" s="3"/>
      <c r="B5731" s="3"/>
      <c r="C5731" s="3"/>
      <c r="D5731" s="3"/>
      <c r="E5731" s="3">
        <v>8</v>
      </c>
      <c r="F5731" s="4" t="str">
        <f>HYPERLINK("http://141.218.60.56/~jnz1568/getInfo.php?workbook=12_05.xlsx&amp;sheet=U0&amp;row=5731&amp;col=6&amp;number=3.7&amp;sourceID=14","3.7")</f>
        <v>3.7</v>
      </c>
      <c r="G5731" s="4" t="str">
        <f>HYPERLINK("http://141.218.60.56/~jnz1568/getInfo.php?workbook=12_05.xlsx&amp;sheet=U0&amp;row=5731&amp;col=7&amp;number=0.349&amp;sourceID=14","0.349")</f>
        <v>0.349</v>
      </c>
    </row>
    <row r="5732" spans="1:7">
      <c r="A5732" s="3"/>
      <c r="B5732" s="3"/>
      <c r="C5732" s="3"/>
      <c r="D5732" s="3"/>
      <c r="E5732" s="3">
        <v>9</v>
      </c>
      <c r="F5732" s="4" t="str">
        <f>HYPERLINK("http://141.218.60.56/~jnz1568/getInfo.php?workbook=12_05.xlsx&amp;sheet=U0&amp;row=5732&amp;col=6&amp;number=3.8&amp;sourceID=14","3.8")</f>
        <v>3.8</v>
      </c>
      <c r="G5732" s="4" t="str">
        <f>HYPERLINK("http://141.218.60.56/~jnz1568/getInfo.php?workbook=12_05.xlsx&amp;sheet=U0&amp;row=5732&amp;col=7&amp;number=0.349&amp;sourceID=14","0.349")</f>
        <v>0.349</v>
      </c>
    </row>
    <row r="5733" spans="1:7">
      <c r="A5733" s="3"/>
      <c r="B5733" s="3"/>
      <c r="C5733" s="3"/>
      <c r="D5733" s="3"/>
      <c r="E5733" s="3">
        <v>10</v>
      </c>
      <c r="F5733" s="4" t="str">
        <f>HYPERLINK("http://141.218.60.56/~jnz1568/getInfo.php?workbook=12_05.xlsx&amp;sheet=U0&amp;row=5733&amp;col=6&amp;number=3.9&amp;sourceID=14","3.9")</f>
        <v>3.9</v>
      </c>
      <c r="G5733" s="4" t="str">
        <f>HYPERLINK("http://141.218.60.56/~jnz1568/getInfo.php?workbook=12_05.xlsx&amp;sheet=U0&amp;row=5733&amp;col=7&amp;number=0.349&amp;sourceID=14","0.349")</f>
        <v>0.349</v>
      </c>
    </row>
    <row r="5734" spans="1:7">
      <c r="A5734" s="3"/>
      <c r="B5734" s="3"/>
      <c r="C5734" s="3"/>
      <c r="D5734" s="3"/>
      <c r="E5734" s="3">
        <v>11</v>
      </c>
      <c r="F5734" s="4" t="str">
        <f>HYPERLINK("http://141.218.60.56/~jnz1568/getInfo.php?workbook=12_05.xlsx&amp;sheet=U0&amp;row=5734&amp;col=6&amp;number=4&amp;sourceID=14","4")</f>
        <v>4</v>
      </c>
      <c r="G5734" s="4" t="str">
        <f>HYPERLINK("http://141.218.60.56/~jnz1568/getInfo.php?workbook=12_05.xlsx&amp;sheet=U0&amp;row=5734&amp;col=7&amp;number=0.349&amp;sourceID=14","0.349")</f>
        <v>0.349</v>
      </c>
    </row>
    <row r="5735" spans="1:7">
      <c r="A5735" s="3"/>
      <c r="B5735" s="3"/>
      <c r="C5735" s="3"/>
      <c r="D5735" s="3"/>
      <c r="E5735" s="3">
        <v>12</v>
      </c>
      <c r="F5735" s="4" t="str">
        <f>HYPERLINK("http://141.218.60.56/~jnz1568/getInfo.php?workbook=12_05.xlsx&amp;sheet=U0&amp;row=5735&amp;col=6&amp;number=4.1&amp;sourceID=14","4.1")</f>
        <v>4.1</v>
      </c>
      <c r="G5735" s="4" t="str">
        <f>HYPERLINK("http://141.218.60.56/~jnz1568/getInfo.php?workbook=12_05.xlsx&amp;sheet=U0&amp;row=5735&amp;col=7&amp;number=0.349&amp;sourceID=14","0.349")</f>
        <v>0.349</v>
      </c>
    </row>
    <row r="5736" spans="1:7">
      <c r="A5736" s="3"/>
      <c r="B5736" s="3"/>
      <c r="C5736" s="3"/>
      <c r="D5736" s="3"/>
      <c r="E5736" s="3">
        <v>13</v>
      </c>
      <c r="F5736" s="4" t="str">
        <f>HYPERLINK("http://141.218.60.56/~jnz1568/getInfo.php?workbook=12_05.xlsx&amp;sheet=U0&amp;row=5736&amp;col=6&amp;number=4.2&amp;sourceID=14","4.2")</f>
        <v>4.2</v>
      </c>
      <c r="G5736" s="4" t="str">
        <f>HYPERLINK("http://141.218.60.56/~jnz1568/getInfo.php?workbook=12_05.xlsx&amp;sheet=U0&amp;row=5736&amp;col=7&amp;number=0.349&amp;sourceID=14","0.349")</f>
        <v>0.349</v>
      </c>
    </row>
    <row r="5737" spans="1:7">
      <c r="A5737" s="3"/>
      <c r="B5737" s="3"/>
      <c r="C5737" s="3"/>
      <c r="D5737" s="3"/>
      <c r="E5737" s="3">
        <v>14</v>
      </c>
      <c r="F5737" s="4" t="str">
        <f>HYPERLINK("http://141.218.60.56/~jnz1568/getInfo.php?workbook=12_05.xlsx&amp;sheet=U0&amp;row=5737&amp;col=6&amp;number=4.3&amp;sourceID=14","4.3")</f>
        <v>4.3</v>
      </c>
      <c r="G5737" s="4" t="str">
        <f>HYPERLINK("http://141.218.60.56/~jnz1568/getInfo.php?workbook=12_05.xlsx&amp;sheet=U0&amp;row=5737&amp;col=7&amp;number=0.35&amp;sourceID=14","0.35")</f>
        <v>0.35</v>
      </c>
    </row>
    <row r="5738" spans="1:7">
      <c r="A5738" s="3"/>
      <c r="B5738" s="3"/>
      <c r="C5738" s="3"/>
      <c r="D5738" s="3"/>
      <c r="E5738" s="3">
        <v>15</v>
      </c>
      <c r="F5738" s="4" t="str">
        <f>HYPERLINK("http://141.218.60.56/~jnz1568/getInfo.php?workbook=12_05.xlsx&amp;sheet=U0&amp;row=5738&amp;col=6&amp;number=4.4&amp;sourceID=14","4.4")</f>
        <v>4.4</v>
      </c>
      <c r="G5738" s="4" t="str">
        <f>HYPERLINK("http://141.218.60.56/~jnz1568/getInfo.php?workbook=12_05.xlsx&amp;sheet=U0&amp;row=5738&amp;col=7&amp;number=0.35&amp;sourceID=14","0.35")</f>
        <v>0.35</v>
      </c>
    </row>
    <row r="5739" spans="1:7">
      <c r="A5739" s="3"/>
      <c r="B5739" s="3"/>
      <c r="C5739" s="3"/>
      <c r="D5739" s="3"/>
      <c r="E5739" s="3">
        <v>16</v>
      </c>
      <c r="F5739" s="4" t="str">
        <f>HYPERLINK("http://141.218.60.56/~jnz1568/getInfo.php?workbook=12_05.xlsx&amp;sheet=U0&amp;row=5739&amp;col=6&amp;number=4.5&amp;sourceID=14","4.5")</f>
        <v>4.5</v>
      </c>
      <c r="G5739" s="4" t="str">
        <f>HYPERLINK("http://141.218.60.56/~jnz1568/getInfo.php?workbook=12_05.xlsx&amp;sheet=U0&amp;row=5739&amp;col=7&amp;number=0.35&amp;sourceID=14","0.35")</f>
        <v>0.35</v>
      </c>
    </row>
    <row r="5740" spans="1:7">
      <c r="A5740" s="3"/>
      <c r="B5740" s="3"/>
      <c r="C5740" s="3"/>
      <c r="D5740" s="3"/>
      <c r="E5740" s="3">
        <v>17</v>
      </c>
      <c r="F5740" s="4" t="str">
        <f>HYPERLINK("http://141.218.60.56/~jnz1568/getInfo.php?workbook=12_05.xlsx&amp;sheet=U0&amp;row=5740&amp;col=6&amp;number=4.6&amp;sourceID=14","4.6")</f>
        <v>4.6</v>
      </c>
      <c r="G5740" s="4" t="str">
        <f>HYPERLINK("http://141.218.60.56/~jnz1568/getInfo.php?workbook=12_05.xlsx&amp;sheet=U0&amp;row=5740&amp;col=7&amp;number=0.35&amp;sourceID=14","0.35")</f>
        <v>0.35</v>
      </c>
    </row>
    <row r="5741" spans="1:7">
      <c r="A5741" s="3"/>
      <c r="B5741" s="3"/>
      <c r="C5741" s="3"/>
      <c r="D5741" s="3"/>
      <c r="E5741" s="3">
        <v>18</v>
      </c>
      <c r="F5741" s="4" t="str">
        <f>HYPERLINK("http://141.218.60.56/~jnz1568/getInfo.php?workbook=12_05.xlsx&amp;sheet=U0&amp;row=5741&amp;col=6&amp;number=4.7&amp;sourceID=14","4.7")</f>
        <v>4.7</v>
      </c>
      <c r="G5741" s="4" t="str">
        <f>HYPERLINK("http://141.218.60.56/~jnz1568/getInfo.php?workbook=12_05.xlsx&amp;sheet=U0&amp;row=5741&amp;col=7&amp;number=0.351&amp;sourceID=14","0.351")</f>
        <v>0.351</v>
      </c>
    </row>
    <row r="5742" spans="1:7">
      <c r="A5742" s="3"/>
      <c r="B5742" s="3"/>
      <c r="C5742" s="3"/>
      <c r="D5742" s="3"/>
      <c r="E5742" s="3">
        <v>19</v>
      </c>
      <c r="F5742" s="4" t="str">
        <f>HYPERLINK("http://141.218.60.56/~jnz1568/getInfo.php?workbook=12_05.xlsx&amp;sheet=U0&amp;row=5742&amp;col=6&amp;number=4.8&amp;sourceID=14","4.8")</f>
        <v>4.8</v>
      </c>
      <c r="G5742" s="4" t="str">
        <f>HYPERLINK("http://141.218.60.56/~jnz1568/getInfo.php?workbook=12_05.xlsx&amp;sheet=U0&amp;row=5742&amp;col=7&amp;number=0.351&amp;sourceID=14","0.351")</f>
        <v>0.351</v>
      </c>
    </row>
    <row r="5743" spans="1:7">
      <c r="A5743" s="3"/>
      <c r="B5743" s="3"/>
      <c r="C5743" s="3"/>
      <c r="D5743" s="3"/>
      <c r="E5743" s="3">
        <v>20</v>
      </c>
      <c r="F5743" s="4" t="str">
        <f>HYPERLINK("http://141.218.60.56/~jnz1568/getInfo.php?workbook=12_05.xlsx&amp;sheet=U0&amp;row=5743&amp;col=6&amp;number=4.9&amp;sourceID=14","4.9")</f>
        <v>4.9</v>
      </c>
      <c r="G5743" s="4" t="str">
        <f>HYPERLINK("http://141.218.60.56/~jnz1568/getInfo.php?workbook=12_05.xlsx&amp;sheet=U0&amp;row=5743&amp;col=7&amp;number=0.352&amp;sourceID=14","0.352")</f>
        <v>0.352</v>
      </c>
    </row>
    <row r="5744" spans="1:7">
      <c r="A5744" s="3">
        <v>12</v>
      </c>
      <c r="B5744" s="3">
        <v>5</v>
      </c>
      <c r="C5744" s="3">
        <v>4</v>
      </c>
      <c r="D5744" s="3">
        <v>36</v>
      </c>
      <c r="E5744" s="3">
        <v>1</v>
      </c>
      <c r="F5744" s="4" t="str">
        <f>HYPERLINK("http://141.218.60.56/~jnz1568/getInfo.php?workbook=12_05.xlsx&amp;sheet=U0&amp;row=5744&amp;col=6&amp;number=3&amp;sourceID=14","3")</f>
        <v>3</v>
      </c>
      <c r="G5744" s="4" t="str">
        <f>HYPERLINK("http://141.218.60.56/~jnz1568/getInfo.php?workbook=12_05.xlsx&amp;sheet=U0&amp;row=5744&amp;col=7&amp;number=0.0134&amp;sourceID=14","0.0134")</f>
        <v>0.0134</v>
      </c>
    </row>
    <row r="5745" spans="1:7">
      <c r="A5745" s="3"/>
      <c r="B5745" s="3"/>
      <c r="C5745" s="3"/>
      <c r="D5745" s="3"/>
      <c r="E5745" s="3">
        <v>2</v>
      </c>
      <c r="F5745" s="4" t="str">
        <f>HYPERLINK("http://141.218.60.56/~jnz1568/getInfo.php?workbook=12_05.xlsx&amp;sheet=U0&amp;row=5745&amp;col=6&amp;number=3.1&amp;sourceID=14","3.1")</f>
        <v>3.1</v>
      </c>
      <c r="G5745" s="4" t="str">
        <f>HYPERLINK("http://141.218.60.56/~jnz1568/getInfo.php?workbook=12_05.xlsx&amp;sheet=U0&amp;row=5745&amp;col=7&amp;number=0.0134&amp;sourceID=14","0.0134")</f>
        <v>0.0134</v>
      </c>
    </row>
    <row r="5746" spans="1:7">
      <c r="A5746" s="3"/>
      <c r="B5746" s="3"/>
      <c r="C5746" s="3"/>
      <c r="D5746" s="3"/>
      <c r="E5746" s="3">
        <v>3</v>
      </c>
      <c r="F5746" s="4" t="str">
        <f>HYPERLINK("http://141.218.60.56/~jnz1568/getInfo.php?workbook=12_05.xlsx&amp;sheet=U0&amp;row=5746&amp;col=6&amp;number=3.2&amp;sourceID=14","3.2")</f>
        <v>3.2</v>
      </c>
      <c r="G5746" s="4" t="str">
        <f>HYPERLINK("http://141.218.60.56/~jnz1568/getInfo.php?workbook=12_05.xlsx&amp;sheet=U0&amp;row=5746&amp;col=7&amp;number=0.0134&amp;sourceID=14","0.0134")</f>
        <v>0.0134</v>
      </c>
    </row>
    <row r="5747" spans="1:7">
      <c r="A5747" s="3"/>
      <c r="B5747" s="3"/>
      <c r="C5747" s="3"/>
      <c r="D5747" s="3"/>
      <c r="E5747" s="3">
        <v>4</v>
      </c>
      <c r="F5747" s="4" t="str">
        <f>HYPERLINK("http://141.218.60.56/~jnz1568/getInfo.php?workbook=12_05.xlsx&amp;sheet=U0&amp;row=5747&amp;col=6&amp;number=3.3&amp;sourceID=14","3.3")</f>
        <v>3.3</v>
      </c>
      <c r="G5747" s="4" t="str">
        <f>HYPERLINK("http://141.218.60.56/~jnz1568/getInfo.php?workbook=12_05.xlsx&amp;sheet=U0&amp;row=5747&amp;col=7&amp;number=0.0134&amp;sourceID=14","0.0134")</f>
        <v>0.0134</v>
      </c>
    </row>
    <row r="5748" spans="1:7">
      <c r="A5748" s="3"/>
      <c r="B5748" s="3"/>
      <c r="C5748" s="3"/>
      <c r="D5748" s="3"/>
      <c r="E5748" s="3">
        <v>5</v>
      </c>
      <c r="F5748" s="4" t="str">
        <f>HYPERLINK("http://141.218.60.56/~jnz1568/getInfo.php?workbook=12_05.xlsx&amp;sheet=U0&amp;row=5748&amp;col=6&amp;number=3.4&amp;sourceID=14","3.4")</f>
        <v>3.4</v>
      </c>
      <c r="G5748" s="4" t="str">
        <f>HYPERLINK("http://141.218.60.56/~jnz1568/getInfo.php?workbook=12_05.xlsx&amp;sheet=U0&amp;row=5748&amp;col=7&amp;number=0.0134&amp;sourceID=14","0.0134")</f>
        <v>0.0134</v>
      </c>
    </row>
    <row r="5749" spans="1:7">
      <c r="A5749" s="3"/>
      <c r="B5749" s="3"/>
      <c r="C5749" s="3"/>
      <c r="D5749" s="3"/>
      <c r="E5749" s="3">
        <v>6</v>
      </c>
      <c r="F5749" s="4" t="str">
        <f>HYPERLINK("http://141.218.60.56/~jnz1568/getInfo.php?workbook=12_05.xlsx&amp;sheet=U0&amp;row=5749&amp;col=6&amp;number=3.5&amp;sourceID=14","3.5")</f>
        <v>3.5</v>
      </c>
      <c r="G5749" s="4" t="str">
        <f>HYPERLINK("http://141.218.60.56/~jnz1568/getInfo.php?workbook=12_05.xlsx&amp;sheet=U0&amp;row=5749&amp;col=7&amp;number=0.0134&amp;sourceID=14","0.0134")</f>
        <v>0.0134</v>
      </c>
    </row>
    <row r="5750" spans="1:7">
      <c r="A5750" s="3"/>
      <c r="B5750" s="3"/>
      <c r="C5750" s="3"/>
      <c r="D5750" s="3"/>
      <c r="E5750" s="3">
        <v>7</v>
      </c>
      <c r="F5750" s="4" t="str">
        <f>HYPERLINK("http://141.218.60.56/~jnz1568/getInfo.php?workbook=12_05.xlsx&amp;sheet=U0&amp;row=5750&amp;col=6&amp;number=3.6&amp;sourceID=14","3.6")</f>
        <v>3.6</v>
      </c>
      <c r="G5750" s="4" t="str">
        <f>HYPERLINK("http://141.218.60.56/~jnz1568/getInfo.php?workbook=12_05.xlsx&amp;sheet=U0&amp;row=5750&amp;col=7&amp;number=0.0134&amp;sourceID=14","0.0134")</f>
        <v>0.0134</v>
      </c>
    </row>
    <row r="5751" spans="1:7">
      <c r="A5751" s="3"/>
      <c r="B5751" s="3"/>
      <c r="C5751" s="3"/>
      <c r="D5751" s="3"/>
      <c r="E5751" s="3">
        <v>8</v>
      </c>
      <c r="F5751" s="4" t="str">
        <f>HYPERLINK("http://141.218.60.56/~jnz1568/getInfo.php?workbook=12_05.xlsx&amp;sheet=U0&amp;row=5751&amp;col=6&amp;number=3.7&amp;sourceID=14","3.7")</f>
        <v>3.7</v>
      </c>
      <c r="G5751" s="4" t="str">
        <f>HYPERLINK("http://141.218.60.56/~jnz1568/getInfo.php?workbook=12_05.xlsx&amp;sheet=U0&amp;row=5751&amp;col=7&amp;number=0.0134&amp;sourceID=14","0.0134")</f>
        <v>0.0134</v>
      </c>
    </row>
    <row r="5752" spans="1:7">
      <c r="A5752" s="3"/>
      <c r="B5752" s="3"/>
      <c r="C5752" s="3"/>
      <c r="D5752" s="3"/>
      <c r="E5752" s="3">
        <v>9</v>
      </c>
      <c r="F5752" s="4" t="str">
        <f>HYPERLINK("http://141.218.60.56/~jnz1568/getInfo.php?workbook=12_05.xlsx&amp;sheet=U0&amp;row=5752&amp;col=6&amp;number=3.8&amp;sourceID=14","3.8")</f>
        <v>3.8</v>
      </c>
      <c r="G5752" s="4" t="str">
        <f>HYPERLINK("http://141.218.60.56/~jnz1568/getInfo.php?workbook=12_05.xlsx&amp;sheet=U0&amp;row=5752&amp;col=7&amp;number=0.0134&amp;sourceID=14","0.0134")</f>
        <v>0.0134</v>
      </c>
    </row>
    <row r="5753" spans="1:7">
      <c r="A5753" s="3"/>
      <c r="B5753" s="3"/>
      <c r="C5753" s="3"/>
      <c r="D5753" s="3"/>
      <c r="E5753" s="3">
        <v>10</v>
      </c>
      <c r="F5753" s="4" t="str">
        <f>HYPERLINK("http://141.218.60.56/~jnz1568/getInfo.php?workbook=12_05.xlsx&amp;sheet=U0&amp;row=5753&amp;col=6&amp;number=3.9&amp;sourceID=14","3.9")</f>
        <v>3.9</v>
      </c>
      <c r="G5753" s="4" t="str">
        <f>HYPERLINK("http://141.218.60.56/~jnz1568/getInfo.php?workbook=12_05.xlsx&amp;sheet=U0&amp;row=5753&amp;col=7&amp;number=0.0133&amp;sourceID=14","0.0133")</f>
        <v>0.0133</v>
      </c>
    </row>
    <row r="5754" spans="1:7">
      <c r="A5754" s="3"/>
      <c r="B5754" s="3"/>
      <c r="C5754" s="3"/>
      <c r="D5754" s="3"/>
      <c r="E5754" s="3">
        <v>11</v>
      </c>
      <c r="F5754" s="4" t="str">
        <f>HYPERLINK("http://141.218.60.56/~jnz1568/getInfo.php?workbook=12_05.xlsx&amp;sheet=U0&amp;row=5754&amp;col=6&amp;number=4&amp;sourceID=14","4")</f>
        <v>4</v>
      </c>
      <c r="G5754" s="4" t="str">
        <f>HYPERLINK("http://141.218.60.56/~jnz1568/getInfo.php?workbook=12_05.xlsx&amp;sheet=U0&amp;row=5754&amp;col=7&amp;number=0.0133&amp;sourceID=14","0.0133")</f>
        <v>0.0133</v>
      </c>
    </row>
    <row r="5755" spans="1:7">
      <c r="A5755" s="3"/>
      <c r="B5755" s="3"/>
      <c r="C5755" s="3"/>
      <c r="D5755" s="3"/>
      <c r="E5755" s="3">
        <v>12</v>
      </c>
      <c r="F5755" s="4" t="str">
        <f>HYPERLINK("http://141.218.60.56/~jnz1568/getInfo.php?workbook=12_05.xlsx&amp;sheet=U0&amp;row=5755&amp;col=6&amp;number=4.1&amp;sourceID=14","4.1")</f>
        <v>4.1</v>
      </c>
      <c r="G5755" s="4" t="str">
        <f>HYPERLINK("http://141.218.60.56/~jnz1568/getInfo.php?workbook=12_05.xlsx&amp;sheet=U0&amp;row=5755&amp;col=7&amp;number=0.0133&amp;sourceID=14","0.0133")</f>
        <v>0.0133</v>
      </c>
    </row>
    <row r="5756" spans="1:7">
      <c r="A5756" s="3"/>
      <c r="B5756" s="3"/>
      <c r="C5756" s="3"/>
      <c r="D5756" s="3"/>
      <c r="E5756" s="3">
        <v>13</v>
      </c>
      <c r="F5756" s="4" t="str">
        <f>HYPERLINK("http://141.218.60.56/~jnz1568/getInfo.php?workbook=12_05.xlsx&amp;sheet=U0&amp;row=5756&amp;col=6&amp;number=4.2&amp;sourceID=14","4.2")</f>
        <v>4.2</v>
      </c>
      <c r="G5756" s="4" t="str">
        <f>HYPERLINK("http://141.218.60.56/~jnz1568/getInfo.php?workbook=12_05.xlsx&amp;sheet=U0&amp;row=5756&amp;col=7&amp;number=0.0132&amp;sourceID=14","0.0132")</f>
        <v>0.0132</v>
      </c>
    </row>
    <row r="5757" spans="1:7">
      <c r="A5757" s="3"/>
      <c r="B5757" s="3"/>
      <c r="C5757" s="3"/>
      <c r="D5757" s="3"/>
      <c r="E5757" s="3">
        <v>14</v>
      </c>
      <c r="F5757" s="4" t="str">
        <f>HYPERLINK("http://141.218.60.56/~jnz1568/getInfo.php?workbook=12_05.xlsx&amp;sheet=U0&amp;row=5757&amp;col=6&amp;number=4.3&amp;sourceID=14","4.3")</f>
        <v>4.3</v>
      </c>
      <c r="G5757" s="4" t="str">
        <f>HYPERLINK("http://141.218.60.56/~jnz1568/getInfo.php?workbook=12_05.xlsx&amp;sheet=U0&amp;row=5757&amp;col=7&amp;number=0.0132&amp;sourceID=14","0.0132")</f>
        <v>0.0132</v>
      </c>
    </row>
    <row r="5758" spans="1:7">
      <c r="A5758" s="3"/>
      <c r="B5758" s="3"/>
      <c r="C5758" s="3"/>
      <c r="D5758" s="3"/>
      <c r="E5758" s="3">
        <v>15</v>
      </c>
      <c r="F5758" s="4" t="str">
        <f>HYPERLINK("http://141.218.60.56/~jnz1568/getInfo.php?workbook=12_05.xlsx&amp;sheet=U0&amp;row=5758&amp;col=6&amp;number=4.4&amp;sourceID=14","4.4")</f>
        <v>4.4</v>
      </c>
      <c r="G5758" s="4" t="str">
        <f>HYPERLINK("http://141.218.60.56/~jnz1568/getInfo.php?workbook=12_05.xlsx&amp;sheet=U0&amp;row=5758&amp;col=7&amp;number=0.0131&amp;sourceID=14","0.0131")</f>
        <v>0.0131</v>
      </c>
    </row>
    <row r="5759" spans="1:7">
      <c r="A5759" s="3"/>
      <c r="B5759" s="3"/>
      <c r="C5759" s="3"/>
      <c r="D5759" s="3"/>
      <c r="E5759" s="3">
        <v>16</v>
      </c>
      <c r="F5759" s="4" t="str">
        <f>HYPERLINK("http://141.218.60.56/~jnz1568/getInfo.php?workbook=12_05.xlsx&amp;sheet=U0&amp;row=5759&amp;col=6&amp;number=4.5&amp;sourceID=14","4.5")</f>
        <v>4.5</v>
      </c>
      <c r="G5759" s="4" t="str">
        <f>HYPERLINK("http://141.218.60.56/~jnz1568/getInfo.php?workbook=12_05.xlsx&amp;sheet=U0&amp;row=5759&amp;col=7&amp;number=0.013&amp;sourceID=14","0.013")</f>
        <v>0.013</v>
      </c>
    </row>
    <row r="5760" spans="1:7">
      <c r="A5760" s="3"/>
      <c r="B5760" s="3"/>
      <c r="C5760" s="3"/>
      <c r="D5760" s="3"/>
      <c r="E5760" s="3">
        <v>17</v>
      </c>
      <c r="F5760" s="4" t="str">
        <f>HYPERLINK("http://141.218.60.56/~jnz1568/getInfo.php?workbook=12_05.xlsx&amp;sheet=U0&amp;row=5760&amp;col=6&amp;number=4.6&amp;sourceID=14","4.6")</f>
        <v>4.6</v>
      </c>
      <c r="G5760" s="4" t="str">
        <f>HYPERLINK("http://141.218.60.56/~jnz1568/getInfo.php?workbook=12_05.xlsx&amp;sheet=U0&amp;row=5760&amp;col=7&amp;number=0.0129&amp;sourceID=14","0.0129")</f>
        <v>0.0129</v>
      </c>
    </row>
    <row r="5761" spans="1:7">
      <c r="A5761" s="3"/>
      <c r="B5761" s="3"/>
      <c r="C5761" s="3"/>
      <c r="D5761" s="3"/>
      <c r="E5761" s="3">
        <v>18</v>
      </c>
      <c r="F5761" s="4" t="str">
        <f>HYPERLINK("http://141.218.60.56/~jnz1568/getInfo.php?workbook=12_05.xlsx&amp;sheet=U0&amp;row=5761&amp;col=6&amp;number=4.7&amp;sourceID=14","4.7")</f>
        <v>4.7</v>
      </c>
      <c r="G5761" s="4" t="str">
        <f>HYPERLINK("http://141.218.60.56/~jnz1568/getInfo.php?workbook=12_05.xlsx&amp;sheet=U0&amp;row=5761&amp;col=7&amp;number=0.0128&amp;sourceID=14","0.0128")</f>
        <v>0.0128</v>
      </c>
    </row>
    <row r="5762" spans="1:7">
      <c r="A5762" s="3"/>
      <c r="B5762" s="3"/>
      <c r="C5762" s="3"/>
      <c r="D5762" s="3"/>
      <c r="E5762" s="3">
        <v>19</v>
      </c>
      <c r="F5762" s="4" t="str">
        <f>HYPERLINK("http://141.218.60.56/~jnz1568/getInfo.php?workbook=12_05.xlsx&amp;sheet=U0&amp;row=5762&amp;col=6&amp;number=4.8&amp;sourceID=14","4.8")</f>
        <v>4.8</v>
      </c>
      <c r="G5762" s="4" t="str">
        <f>HYPERLINK("http://141.218.60.56/~jnz1568/getInfo.php?workbook=12_05.xlsx&amp;sheet=U0&amp;row=5762&amp;col=7&amp;number=0.0126&amp;sourceID=14","0.0126")</f>
        <v>0.0126</v>
      </c>
    </row>
    <row r="5763" spans="1:7">
      <c r="A5763" s="3"/>
      <c r="B5763" s="3"/>
      <c r="C5763" s="3"/>
      <c r="D5763" s="3"/>
      <c r="E5763" s="3">
        <v>20</v>
      </c>
      <c r="F5763" s="4" t="str">
        <f>HYPERLINK("http://141.218.60.56/~jnz1568/getInfo.php?workbook=12_05.xlsx&amp;sheet=U0&amp;row=5763&amp;col=6&amp;number=4.9&amp;sourceID=14","4.9")</f>
        <v>4.9</v>
      </c>
      <c r="G5763" s="4" t="str">
        <f>HYPERLINK("http://141.218.60.56/~jnz1568/getInfo.php?workbook=12_05.xlsx&amp;sheet=U0&amp;row=5763&amp;col=7&amp;number=0.0124&amp;sourceID=14","0.0124")</f>
        <v>0.0124</v>
      </c>
    </row>
    <row r="5764" spans="1:7">
      <c r="A5764" s="3">
        <v>12</v>
      </c>
      <c r="B5764" s="3">
        <v>5</v>
      </c>
      <c r="C5764" s="3">
        <v>4</v>
      </c>
      <c r="D5764" s="3">
        <v>37</v>
      </c>
      <c r="E5764" s="3">
        <v>1</v>
      </c>
      <c r="F5764" s="4" t="str">
        <f>HYPERLINK("http://141.218.60.56/~jnz1568/getInfo.php?workbook=12_05.xlsx&amp;sheet=U0&amp;row=5764&amp;col=6&amp;number=3&amp;sourceID=14","3")</f>
        <v>3</v>
      </c>
      <c r="G5764" s="4" t="str">
        <f>HYPERLINK("http://141.218.60.56/~jnz1568/getInfo.php?workbook=12_05.xlsx&amp;sheet=U0&amp;row=5764&amp;col=7&amp;number=0.000366&amp;sourceID=14","0.000366")</f>
        <v>0.000366</v>
      </c>
    </row>
    <row r="5765" spans="1:7">
      <c r="A5765" s="3"/>
      <c r="B5765" s="3"/>
      <c r="C5765" s="3"/>
      <c r="D5765" s="3"/>
      <c r="E5765" s="3">
        <v>2</v>
      </c>
      <c r="F5765" s="4" t="str">
        <f>HYPERLINK("http://141.218.60.56/~jnz1568/getInfo.php?workbook=12_05.xlsx&amp;sheet=U0&amp;row=5765&amp;col=6&amp;number=3.1&amp;sourceID=14","3.1")</f>
        <v>3.1</v>
      </c>
      <c r="G5765" s="4" t="str">
        <f>HYPERLINK("http://141.218.60.56/~jnz1568/getInfo.php?workbook=12_05.xlsx&amp;sheet=U0&amp;row=5765&amp;col=7&amp;number=0.000365&amp;sourceID=14","0.000365")</f>
        <v>0.000365</v>
      </c>
    </row>
    <row r="5766" spans="1:7">
      <c r="A5766" s="3"/>
      <c r="B5766" s="3"/>
      <c r="C5766" s="3"/>
      <c r="D5766" s="3"/>
      <c r="E5766" s="3">
        <v>3</v>
      </c>
      <c r="F5766" s="4" t="str">
        <f>HYPERLINK("http://141.218.60.56/~jnz1568/getInfo.php?workbook=12_05.xlsx&amp;sheet=U0&amp;row=5766&amp;col=6&amp;number=3.2&amp;sourceID=14","3.2")</f>
        <v>3.2</v>
      </c>
      <c r="G5766" s="4" t="str">
        <f>HYPERLINK("http://141.218.60.56/~jnz1568/getInfo.php?workbook=12_05.xlsx&amp;sheet=U0&amp;row=5766&amp;col=7&amp;number=0.000365&amp;sourceID=14","0.000365")</f>
        <v>0.000365</v>
      </c>
    </row>
    <row r="5767" spans="1:7">
      <c r="A5767" s="3"/>
      <c r="B5767" s="3"/>
      <c r="C5767" s="3"/>
      <c r="D5767" s="3"/>
      <c r="E5767" s="3">
        <v>4</v>
      </c>
      <c r="F5767" s="4" t="str">
        <f>HYPERLINK("http://141.218.60.56/~jnz1568/getInfo.php?workbook=12_05.xlsx&amp;sheet=U0&amp;row=5767&amp;col=6&amp;number=3.3&amp;sourceID=14","3.3")</f>
        <v>3.3</v>
      </c>
      <c r="G5767" s="4" t="str">
        <f>HYPERLINK("http://141.218.60.56/~jnz1568/getInfo.php?workbook=12_05.xlsx&amp;sheet=U0&amp;row=5767&amp;col=7&amp;number=0.000365&amp;sourceID=14","0.000365")</f>
        <v>0.000365</v>
      </c>
    </row>
    <row r="5768" spans="1:7">
      <c r="A5768" s="3"/>
      <c r="B5768" s="3"/>
      <c r="C5768" s="3"/>
      <c r="D5768" s="3"/>
      <c r="E5768" s="3">
        <v>5</v>
      </c>
      <c r="F5768" s="4" t="str">
        <f>HYPERLINK("http://141.218.60.56/~jnz1568/getInfo.php?workbook=12_05.xlsx&amp;sheet=U0&amp;row=5768&amp;col=6&amp;number=3.4&amp;sourceID=14","3.4")</f>
        <v>3.4</v>
      </c>
      <c r="G5768" s="4" t="str">
        <f>HYPERLINK("http://141.218.60.56/~jnz1568/getInfo.php?workbook=12_05.xlsx&amp;sheet=U0&amp;row=5768&amp;col=7&amp;number=0.000365&amp;sourceID=14","0.000365")</f>
        <v>0.000365</v>
      </c>
    </row>
    <row r="5769" spans="1:7">
      <c r="A5769" s="3"/>
      <c r="B5769" s="3"/>
      <c r="C5769" s="3"/>
      <c r="D5769" s="3"/>
      <c r="E5769" s="3">
        <v>6</v>
      </c>
      <c r="F5769" s="4" t="str">
        <f>HYPERLINK("http://141.218.60.56/~jnz1568/getInfo.php?workbook=12_05.xlsx&amp;sheet=U0&amp;row=5769&amp;col=6&amp;number=3.5&amp;sourceID=14","3.5")</f>
        <v>3.5</v>
      </c>
      <c r="G5769" s="4" t="str">
        <f>HYPERLINK("http://141.218.60.56/~jnz1568/getInfo.php?workbook=12_05.xlsx&amp;sheet=U0&amp;row=5769&amp;col=7&amp;number=0.000365&amp;sourceID=14","0.000365")</f>
        <v>0.000365</v>
      </c>
    </row>
    <row r="5770" spans="1:7">
      <c r="A5770" s="3"/>
      <c r="B5770" s="3"/>
      <c r="C5770" s="3"/>
      <c r="D5770" s="3"/>
      <c r="E5770" s="3">
        <v>7</v>
      </c>
      <c r="F5770" s="4" t="str">
        <f>HYPERLINK("http://141.218.60.56/~jnz1568/getInfo.php?workbook=12_05.xlsx&amp;sheet=U0&amp;row=5770&amp;col=6&amp;number=3.6&amp;sourceID=14","3.6")</f>
        <v>3.6</v>
      </c>
      <c r="G5770" s="4" t="str">
        <f>HYPERLINK("http://141.218.60.56/~jnz1568/getInfo.php?workbook=12_05.xlsx&amp;sheet=U0&amp;row=5770&amp;col=7&amp;number=0.000365&amp;sourceID=14","0.000365")</f>
        <v>0.000365</v>
      </c>
    </row>
    <row r="5771" spans="1:7">
      <c r="A5771" s="3"/>
      <c r="B5771" s="3"/>
      <c r="C5771" s="3"/>
      <c r="D5771" s="3"/>
      <c r="E5771" s="3">
        <v>8</v>
      </c>
      <c r="F5771" s="4" t="str">
        <f>HYPERLINK("http://141.218.60.56/~jnz1568/getInfo.php?workbook=12_05.xlsx&amp;sheet=U0&amp;row=5771&amp;col=6&amp;number=3.7&amp;sourceID=14","3.7")</f>
        <v>3.7</v>
      </c>
      <c r="G5771" s="4" t="str">
        <f>HYPERLINK("http://141.218.60.56/~jnz1568/getInfo.php?workbook=12_05.xlsx&amp;sheet=U0&amp;row=5771&amp;col=7&amp;number=0.000364&amp;sourceID=14","0.000364")</f>
        <v>0.000364</v>
      </c>
    </row>
    <row r="5772" spans="1:7">
      <c r="A5772" s="3"/>
      <c r="B5772" s="3"/>
      <c r="C5772" s="3"/>
      <c r="D5772" s="3"/>
      <c r="E5772" s="3">
        <v>9</v>
      </c>
      <c r="F5772" s="4" t="str">
        <f>HYPERLINK("http://141.218.60.56/~jnz1568/getInfo.php?workbook=12_05.xlsx&amp;sheet=U0&amp;row=5772&amp;col=6&amp;number=3.8&amp;sourceID=14","3.8")</f>
        <v>3.8</v>
      </c>
      <c r="G5772" s="4" t="str">
        <f>HYPERLINK("http://141.218.60.56/~jnz1568/getInfo.php?workbook=12_05.xlsx&amp;sheet=U0&amp;row=5772&amp;col=7&amp;number=0.000364&amp;sourceID=14","0.000364")</f>
        <v>0.000364</v>
      </c>
    </row>
    <row r="5773" spans="1:7">
      <c r="A5773" s="3"/>
      <c r="B5773" s="3"/>
      <c r="C5773" s="3"/>
      <c r="D5773" s="3"/>
      <c r="E5773" s="3">
        <v>10</v>
      </c>
      <c r="F5773" s="4" t="str">
        <f>HYPERLINK("http://141.218.60.56/~jnz1568/getInfo.php?workbook=12_05.xlsx&amp;sheet=U0&amp;row=5773&amp;col=6&amp;number=3.9&amp;sourceID=14","3.9")</f>
        <v>3.9</v>
      </c>
      <c r="G5773" s="4" t="str">
        <f>HYPERLINK("http://141.218.60.56/~jnz1568/getInfo.php?workbook=12_05.xlsx&amp;sheet=U0&amp;row=5773&amp;col=7&amp;number=0.000364&amp;sourceID=14","0.000364")</f>
        <v>0.000364</v>
      </c>
    </row>
    <row r="5774" spans="1:7">
      <c r="A5774" s="3"/>
      <c r="B5774" s="3"/>
      <c r="C5774" s="3"/>
      <c r="D5774" s="3"/>
      <c r="E5774" s="3">
        <v>11</v>
      </c>
      <c r="F5774" s="4" t="str">
        <f>HYPERLINK("http://141.218.60.56/~jnz1568/getInfo.php?workbook=12_05.xlsx&amp;sheet=U0&amp;row=5774&amp;col=6&amp;number=4&amp;sourceID=14","4")</f>
        <v>4</v>
      </c>
      <c r="G5774" s="4" t="str">
        <f>HYPERLINK("http://141.218.60.56/~jnz1568/getInfo.php?workbook=12_05.xlsx&amp;sheet=U0&amp;row=5774&amp;col=7&amp;number=0.000363&amp;sourceID=14","0.000363")</f>
        <v>0.000363</v>
      </c>
    </row>
    <row r="5775" spans="1:7">
      <c r="A5775" s="3"/>
      <c r="B5775" s="3"/>
      <c r="C5775" s="3"/>
      <c r="D5775" s="3"/>
      <c r="E5775" s="3">
        <v>12</v>
      </c>
      <c r="F5775" s="4" t="str">
        <f>HYPERLINK("http://141.218.60.56/~jnz1568/getInfo.php?workbook=12_05.xlsx&amp;sheet=U0&amp;row=5775&amp;col=6&amp;number=4.1&amp;sourceID=14","4.1")</f>
        <v>4.1</v>
      </c>
      <c r="G5775" s="4" t="str">
        <f>HYPERLINK("http://141.218.60.56/~jnz1568/getInfo.php?workbook=12_05.xlsx&amp;sheet=U0&amp;row=5775&amp;col=7&amp;number=0.000362&amp;sourceID=14","0.000362")</f>
        <v>0.000362</v>
      </c>
    </row>
    <row r="5776" spans="1:7">
      <c r="A5776" s="3"/>
      <c r="B5776" s="3"/>
      <c r="C5776" s="3"/>
      <c r="D5776" s="3"/>
      <c r="E5776" s="3">
        <v>13</v>
      </c>
      <c r="F5776" s="4" t="str">
        <f>HYPERLINK("http://141.218.60.56/~jnz1568/getInfo.php?workbook=12_05.xlsx&amp;sheet=U0&amp;row=5776&amp;col=6&amp;number=4.2&amp;sourceID=14","4.2")</f>
        <v>4.2</v>
      </c>
      <c r="G5776" s="4" t="str">
        <f>HYPERLINK("http://141.218.60.56/~jnz1568/getInfo.php?workbook=12_05.xlsx&amp;sheet=U0&amp;row=5776&amp;col=7&amp;number=0.000361&amp;sourceID=14","0.000361")</f>
        <v>0.000361</v>
      </c>
    </row>
    <row r="5777" spans="1:7">
      <c r="A5777" s="3"/>
      <c r="B5777" s="3"/>
      <c r="C5777" s="3"/>
      <c r="D5777" s="3"/>
      <c r="E5777" s="3">
        <v>14</v>
      </c>
      <c r="F5777" s="4" t="str">
        <f>HYPERLINK("http://141.218.60.56/~jnz1568/getInfo.php?workbook=12_05.xlsx&amp;sheet=U0&amp;row=5777&amp;col=6&amp;number=4.3&amp;sourceID=14","4.3")</f>
        <v>4.3</v>
      </c>
      <c r="G5777" s="4" t="str">
        <f>HYPERLINK("http://141.218.60.56/~jnz1568/getInfo.php?workbook=12_05.xlsx&amp;sheet=U0&amp;row=5777&amp;col=7&amp;number=0.00036&amp;sourceID=14","0.00036")</f>
        <v>0.00036</v>
      </c>
    </row>
    <row r="5778" spans="1:7">
      <c r="A5778" s="3"/>
      <c r="B5778" s="3"/>
      <c r="C5778" s="3"/>
      <c r="D5778" s="3"/>
      <c r="E5778" s="3">
        <v>15</v>
      </c>
      <c r="F5778" s="4" t="str">
        <f>HYPERLINK("http://141.218.60.56/~jnz1568/getInfo.php?workbook=12_05.xlsx&amp;sheet=U0&amp;row=5778&amp;col=6&amp;number=4.4&amp;sourceID=14","4.4")</f>
        <v>4.4</v>
      </c>
      <c r="G5778" s="4" t="str">
        <f>HYPERLINK("http://141.218.60.56/~jnz1568/getInfo.php?workbook=12_05.xlsx&amp;sheet=U0&amp;row=5778&amp;col=7&amp;number=0.000359&amp;sourceID=14","0.000359")</f>
        <v>0.000359</v>
      </c>
    </row>
    <row r="5779" spans="1:7">
      <c r="A5779" s="3"/>
      <c r="B5779" s="3"/>
      <c r="C5779" s="3"/>
      <c r="D5779" s="3"/>
      <c r="E5779" s="3">
        <v>16</v>
      </c>
      <c r="F5779" s="4" t="str">
        <f>HYPERLINK("http://141.218.60.56/~jnz1568/getInfo.php?workbook=12_05.xlsx&amp;sheet=U0&amp;row=5779&amp;col=6&amp;number=4.5&amp;sourceID=14","4.5")</f>
        <v>4.5</v>
      </c>
      <c r="G5779" s="4" t="str">
        <f>HYPERLINK("http://141.218.60.56/~jnz1568/getInfo.php?workbook=12_05.xlsx&amp;sheet=U0&amp;row=5779&amp;col=7&amp;number=0.000357&amp;sourceID=14","0.000357")</f>
        <v>0.000357</v>
      </c>
    </row>
    <row r="5780" spans="1:7">
      <c r="A5780" s="3"/>
      <c r="B5780" s="3"/>
      <c r="C5780" s="3"/>
      <c r="D5780" s="3"/>
      <c r="E5780" s="3">
        <v>17</v>
      </c>
      <c r="F5780" s="4" t="str">
        <f>HYPERLINK("http://141.218.60.56/~jnz1568/getInfo.php?workbook=12_05.xlsx&amp;sheet=U0&amp;row=5780&amp;col=6&amp;number=4.6&amp;sourceID=14","4.6")</f>
        <v>4.6</v>
      </c>
      <c r="G5780" s="4" t="str">
        <f>HYPERLINK("http://141.218.60.56/~jnz1568/getInfo.php?workbook=12_05.xlsx&amp;sheet=U0&amp;row=5780&amp;col=7&amp;number=0.000355&amp;sourceID=14","0.000355")</f>
        <v>0.000355</v>
      </c>
    </row>
    <row r="5781" spans="1:7">
      <c r="A5781" s="3"/>
      <c r="B5781" s="3"/>
      <c r="C5781" s="3"/>
      <c r="D5781" s="3"/>
      <c r="E5781" s="3">
        <v>18</v>
      </c>
      <c r="F5781" s="4" t="str">
        <f>HYPERLINK("http://141.218.60.56/~jnz1568/getInfo.php?workbook=12_05.xlsx&amp;sheet=U0&amp;row=5781&amp;col=6&amp;number=4.7&amp;sourceID=14","4.7")</f>
        <v>4.7</v>
      </c>
      <c r="G5781" s="4" t="str">
        <f>HYPERLINK("http://141.218.60.56/~jnz1568/getInfo.php?workbook=12_05.xlsx&amp;sheet=U0&amp;row=5781&amp;col=7&amp;number=0.000352&amp;sourceID=14","0.000352")</f>
        <v>0.000352</v>
      </c>
    </row>
    <row r="5782" spans="1:7">
      <c r="A5782" s="3"/>
      <c r="B5782" s="3"/>
      <c r="C5782" s="3"/>
      <c r="D5782" s="3"/>
      <c r="E5782" s="3">
        <v>19</v>
      </c>
      <c r="F5782" s="4" t="str">
        <f>HYPERLINK("http://141.218.60.56/~jnz1568/getInfo.php?workbook=12_05.xlsx&amp;sheet=U0&amp;row=5782&amp;col=6&amp;number=4.8&amp;sourceID=14","4.8")</f>
        <v>4.8</v>
      </c>
      <c r="G5782" s="4" t="str">
        <f>HYPERLINK("http://141.218.60.56/~jnz1568/getInfo.php?workbook=12_05.xlsx&amp;sheet=U0&amp;row=5782&amp;col=7&amp;number=0.000348&amp;sourceID=14","0.000348")</f>
        <v>0.000348</v>
      </c>
    </row>
    <row r="5783" spans="1:7">
      <c r="A5783" s="3"/>
      <c r="B5783" s="3"/>
      <c r="C5783" s="3"/>
      <c r="D5783" s="3"/>
      <c r="E5783" s="3">
        <v>20</v>
      </c>
      <c r="F5783" s="4" t="str">
        <f>HYPERLINK("http://141.218.60.56/~jnz1568/getInfo.php?workbook=12_05.xlsx&amp;sheet=U0&amp;row=5783&amp;col=6&amp;number=4.9&amp;sourceID=14","4.9")</f>
        <v>4.9</v>
      </c>
      <c r="G5783" s="4" t="str">
        <f>HYPERLINK("http://141.218.60.56/~jnz1568/getInfo.php?workbook=12_05.xlsx&amp;sheet=U0&amp;row=5783&amp;col=7&amp;number=0.000344&amp;sourceID=14","0.000344")</f>
        <v>0.000344</v>
      </c>
    </row>
    <row r="5784" spans="1:7">
      <c r="A5784" s="3">
        <v>12</v>
      </c>
      <c r="B5784" s="3">
        <v>5</v>
      </c>
      <c r="C5784" s="3">
        <v>4</v>
      </c>
      <c r="D5784" s="3">
        <v>38</v>
      </c>
      <c r="E5784" s="3">
        <v>1</v>
      </c>
      <c r="F5784" s="4" t="str">
        <f>HYPERLINK("http://141.218.60.56/~jnz1568/getInfo.php?workbook=12_05.xlsx&amp;sheet=U0&amp;row=5784&amp;col=6&amp;number=3&amp;sourceID=14","3")</f>
        <v>3</v>
      </c>
      <c r="G5784" s="4" t="str">
        <f>HYPERLINK("http://141.218.60.56/~jnz1568/getInfo.php?workbook=12_05.xlsx&amp;sheet=U0&amp;row=5784&amp;col=7&amp;number=0.000276&amp;sourceID=14","0.000276")</f>
        <v>0.000276</v>
      </c>
    </row>
    <row r="5785" spans="1:7">
      <c r="A5785" s="3"/>
      <c r="B5785" s="3"/>
      <c r="C5785" s="3"/>
      <c r="D5785" s="3"/>
      <c r="E5785" s="3">
        <v>2</v>
      </c>
      <c r="F5785" s="4" t="str">
        <f>HYPERLINK("http://141.218.60.56/~jnz1568/getInfo.php?workbook=12_05.xlsx&amp;sheet=U0&amp;row=5785&amp;col=6&amp;number=3.1&amp;sourceID=14","3.1")</f>
        <v>3.1</v>
      </c>
      <c r="G5785" s="4" t="str">
        <f>HYPERLINK("http://141.218.60.56/~jnz1568/getInfo.php?workbook=12_05.xlsx&amp;sheet=U0&amp;row=5785&amp;col=7&amp;number=0.000276&amp;sourceID=14","0.000276")</f>
        <v>0.000276</v>
      </c>
    </row>
    <row r="5786" spans="1:7">
      <c r="A5786" s="3"/>
      <c r="B5786" s="3"/>
      <c r="C5786" s="3"/>
      <c r="D5786" s="3"/>
      <c r="E5786" s="3">
        <v>3</v>
      </c>
      <c r="F5786" s="4" t="str">
        <f>HYPERLINK("http://141.218.60.56/~jnz1568/getInfo.php?workbook=12_05.xlsx&amp;sheet=U0&amp;row=5786&amp;col=6&amp;number=3.2&amp;sourceID=14","3.2")</f>
        <v>3.2</v>
      </c>
      <c r="G5786" s="4" t="str">
        <f>HYPERLINK("http://141.218.60.56/~jnz1568/getInfo.php?workbook=12_05.xlsx&amp;sheet=U0&amp;row=5786&amp;col=7&amp;number=0.000276&amp;sourceID=14","0.000276")</f>
        <v>0.000276</v>
      </c>
    </row>
    <row r="5787" spans="1:7">
      <c r="A5787" s="3"/>
      <c r="B5787" s="3"/>
      <c r="C5787" s="3"/>
      <c r="D5787" s="3"/>
      <c r="E5787" s="3">
        <v>4</v>
      </c>
      <c r="F5787" s="4" t="str">
        <f>HYPERLINK("http://141.218.60.56/~jnz1568/getInfo.php?workbook=12_05.xlsx&amp;sheet=U0&amp;row=5787&amp;col=6&amp;number=3.3&amp;sourceID=14","3.3")</f>
        <v>3.3</v>
      </c>
      <c r="G5787" s="4" t="str">
        <f>HYPERLINK("http://141.218.60.56/~jnz1568/getInfo.php?workbook=12_05.xlsx&amp;sheet=U0&amp;row=5787&amp;col=7&amp;number=0.000276&amp;sourceID=14","0.000276")</f>
        <v>0.000276</v>
      </c>
    </row>
    <row r="5788" spans="1:7">
      <c r="A5788" s="3"/>
      <c r="B5788" s="3"/>
      <c r="C5788" s="3"/>
      <c r="D5788" s="3"/>
      <c r="E5788" s="3">
        <v>5</v>
      </c>
      <c r="F5788" s="4" t="str">
        <f>HYPERLINK("http://141.218.60.56/~jnz1568/getInfo.php?workbook=12_05.xlsx&amp;sheet=U0&amp;row=5788&amp;col=6&amp;number=3.4&amp;sourceID=14","3.4")</f>
        <v>3.4</v>
      </c>
      <c r="G5788" s="4" t="str">
        <f>HYPERLINK("http://141.218.60.56/~jnz1568/getInfo.php?workbook=12_05.xlsx&amp;sheet=U0&amp;row=5788&amp;col=7&amp;number=0.000276&amp;sourceID=14","0.000276")</f>
        <v>0.000276</v>
      </c>
    </row>
    <row r="5789" spans="1:7">
      <c r="A5789" s="3"/>
      <c r="B5789" s="3"/>
      <c r="C5789" s="3"/>
      <c r="D5789" s="3"/>
      <c r="E5789" s="3">
        <v>6</v>
      </c>
      <c r="F5789" s="4" t="str">
        <f>HYPERLINK("http://141.218.60.56/~jnz1568/getInfo.php?workbook=12_05.xlsx&amp;sheet=U0&amp;row=5789&amp;col=6&amp;number=3.5&amp;sourceID=14","3.5")</f>
        <v>3.5</v>
      </c>
      <c r="G5789" s="4" t="str">
        <f>HYPERLINK("http://141.218.60.56/~jnz1568/getInfo.php?workbook=12_05.xlsx&amp;sheet=U0&amp;row=5789&amp;col=7&amp;number=0.000276&amp;sourceID=14","0.000276")</f>
        <v>0.000276</v>
      </c>
    </row>
    <row r="5790" spans="1:7">
      <c r="A5790" s="3"/>
      <c r="B5790" s="3"/>
      <c r="C5790" s="3"/>
      <c r="D5790" s="3"/>
      <c r="E5790" s="3">
        <v>7</v>
      </c>
      <c r="F5790" s="4" t="str">
        <f>HYPERLINK("http://141.218.60.56/~jnz1568/getInfo.php?workbook=12_05.xlsx&amp;sheet=U0&amp;row=5790&amp;col=6&amp;number=3.6&amp;sourceID=14","3.6")</f>
        <v>3.6</v>
      </c>
      <c r="G5790" s="4" t="str">
        <f>HYPERLINK("http://141.218.60.56/~jnz1568/getInfo.php?workbook=12_05.xlsx&amp;sheet=U0&amp;row=5790&amp;col=7&amp;number=0.000276&amp;sourceID=14","0.000276")</f>
        <v>0.000276</v>
      </c>
    </row>
    <row r="5791" spans="1:7">
      <c r="A5791" s="3"/>
      <c r="B5791" s="3"/>
      <c r="C5791" s="3"/>
      <c r="D5791" s="3"/>
      <c r="E5791" s="3">
        <v>8</v>
      </c>
      <c r="F5791" s="4" t="str">
        <f>HYPERLINK("http://141.218.60.56/~jnz1568/getInfo.php?workbook=12_05.xlsx&amp;sheet=U0&amp;row=5791&amp;col=6&amp;number=3.7&amp;sourceID=14","3.7")</f>
        <v>3.7</v>
      </c>
      <c r="G5791" s="4" t="str">
        <f>HYPERLINK("http://141.218.60.56/~jnz1568/getInfo.php?workbook=12_05.xlsx&amp;sheet=U0&amp;row=5791&amp;col=7&amp;number=0.000275&amp;sourceID=14","0.000275")</f>
        <v>0.000275</v>
      </c>
    </row>
    <row r="5792" spans="1:7">
      <c r="A5792" s="3"/>
      <c r="B5792" s="3"/>
      <c r="C5792" s="3"/>
      <c r="D5792" s="3"/>
      <c r="E5792" s="3">
        <v>9</v>
      </c>
      <c r="F5792" s="4" t="str">
        <f>HYPERLINK("http://141.218.60.56/~jnz1568/getInfo.php?workbook=12_05.xlsx&amp;sheet=U0&amp;row=5792&amp;col=6&amp;number=3.8&amp;sourceID=14","3.8")</f>
        <v>3.8</v>
      </c>
      <c r="G5792" s="4" t="str">
        <f>HYPERLINK("http://141.218.60.56/~jnz1568/getInfo.php?workbook=12_05.xlsx&amp;sheet=U0&amp;row=5792&amp;col=7&amp;number=0.000275&amp;sourceID=14","0.000275")</f>
        <v>0.000275</v>
      </c>
    </row>
    <row r="5793" spans="1:7">
      <c r="A5793" s="3"/>
      <c r="B5793" s="3"/>
      <c r="C5793" s="3"/>
      <c r="D5793" s="3"/>
      <c r="E5793" s="3">
        <v>10</v>
      </c>
      <c r="F5793" s="4" t="str">
        <f>HYPERLINK("http://141.218.60.56/~jnz1568/getInfo.php?workbook=12_05.xlsx&amp;sheet=U0&amp;row=5793&amp;col=6&amp;number=3.9&amp;sourceID=14","3.9")</f>
        <v>3.9</v>
      </c>
      <c r="G5793" s="4" t="str">
        <f>HYPERLINK("http://141.218.60.56/~jnz1568/getInfo.php?workbook=12_05.xlsx&amp;sheet=U0&amp;row=5793&amp;col=7&amp;number=0.000275&amp;sourceID=14","0.000275")</f>
        <v>0.000275</v>
      </c>
    </row>
    <row r="5794" spans="1:7">
      <c r="A5794" s="3"/>
      <c r="B5794" s="3"/>
      <c r="C5794" s="3"/>
      <c r="D5794" s="3"/>
      <c r="E5794" s="3">
        <v>11</v>
      </c>
      <c r="F5794" s="4" t="str">
        <f>HYPERLINK("http://141.218.60.56/~jnz1568/getInfo.php?workbook=12_05.xlsx&amp;sheet=U0&amp;row=5794&amp;col=6&amp;number=4&amp;sourceID=14","4")</f>
        <v>4</v>
      </c>
      <c r="G5794" s="4" t="str">
        <f>HYPERLINK("http://141.218.60.56/~jnz1568/getInfo.php?workbook=12_05.xlsx&amp;sheet=U0&amp;row=5794&amp;col=7&amp;number=0.000274&amp;sourceID=14","0.000274")</f>
        <v>0.000274</v>
      </c>
    </row>
    <row r="5795" spans="1:7">
      <c r="A5795" s="3"/>
      <c r="B5795" s="3"/>
      <c r="C5795" s="3"/>
      <c r="D5795" s="3"/>
      <c r="E5795" s="3">
        <v>12</v>
      </c>
      <c r="F5795" s="4" t="str">
        <f>HYPERLINK("http://141.218.60.56/~jnz1568/getInfo.php?workbook=12_05.xlsx&amp;sheet=U0&amp;row=5795&amp;col=6&amp;number=4.1&amp;sourceID=14","4.1")</f>
        <v>4.1</v>
      </c>
      <c r="G5795" s="4" t="str">
        <f>HYPERLINK("http://141.218.60.56/~jnz1568/getInfo.php?workbook=12_05.xlsx&amp;sheet=U0&amp;row=5795&amp;col=7&amp;number=0.000274&amp;sourceID=14","0.000274")</f>
        <v>0.000274</v>
      </c>
    </row>
    <row r="5796" spans="1:7">
      <c r="A5796" s="3"/>
      <c r="B5796" s="3"/>
      <c r="C5796" s="3"/>
      <c r="D5796" s="3"/>
      <c r="E5796" s="3">
        <v>13</v>
      </c>
      <c r="F5796" s="4" t="str">
        <f>HYPERLINK("http://141.218.60.56/~jnz1568/getInfo.php?workbook=12_05.xlsx&amp;sheet=U0&amp;row=5796&amp;col=6&amp;number=4.2&amp;sourceID=14","4.2")</f>
        <v>4.2</v>
      </c>
      <c r="G5796" s="4" t="str">
        <f>HYPERLINK("http://141.218.60.56/~jnz1568/getInfo.php?workbook=12_05.xlsx&amp;sheet=U0&amp;row=5796&amp;col=7&amp;number=0.000273&amp;sourceID=14","0.000273")</f>
        <v>0.000273</v>
      </c>
    </row>
    <row r="5797" spans="1:7">
      <c r="A5797" s="3"/>
      <c r="B5797" s="3"/>
      <c r="C5797" s="3"/>
      <c r="D5797" s="3"/>
      <c r="E5797" s="3">
        <v>14</v>
      </c>
      <c r="F5797" s="4" t="str">
        <f>HYPERLINK("http://141.218.60.56/~jnz1568/getInfo.php?workbook=12_05.xlsx&amp;sheet=U0&amp;row=5797&amp;col=6&amp;number=4.3&amp;sourceID=14","4.3")</f>
        <v>4.3</v>
      </c>
      <c r="G5797" s="4" t="str">
        <f>HYPERLINK("http://141.218.60.56/~jnz1568/getInfo.php?workbook=12_05.xlsx&amp;sheet=U0&amp;row=5797&amp;col=7&amp;number=0.000272&amp;sourceID=14","0.000272")</f>
        <v>0.000272</v>
      </c>
    </row>
    <row r="5798" spans="1:7">
      <c r="A5798" s="3"/>
      <c r="B5798" s="3"/>
      <c r="C5798" s="3"/>
      <c r="D5798" s="3"/>
      <c r="E5798" s="3">
        <v>15</v>
      </c>
      <c r="F5798" s="4" t="str">
        <f>HYPERLINK("http://141.218.60.56/~jnz1568/getInfo.php?workbook=12_05.xlsx&amp;sheet=U0&amp;row=5798&amp;col=6&amp;number=4.4&amp;sourceID=14","4.4")</f>
        <v>4.4</v>
      </c>
      <c r="G5798" s="4" t="str">
        <f>HYPERLINK("http://141.218.60.56/~jnz1568/getInfo.php?workbook=12_05.xlsx&amp;sheet=U0&amp;row=5798&amp;col=7&amp;number=0.000271&amp;sourceID=14","0.000271")</f>
        <v>0.000271</v>
      </c>
    </row>
    <row r="5799" spans="1:7">
      <c r="A5799" s="3"/>
      <c r="B5799" s="3"/>
      <c r="C5799" s="3"/>
      <c r="D5799" s="3"/>
      <c r="E5799" s="3">
        <v>16</v>
      </c>
      <c r="F5799" s="4" t="str">
        <f>HYPERLINK("http://141.218.60.56/~jnz1568/getInfo.php?workbook=12_05.xlsx&amp;sheet=U0&amp;row=5799&amp;col=6&amp;number=4.5&amp;sourceID=14","4.5")</f>
        <v>4.5</v>
      </c>
      <c r="G5799" s="4" t="str">
        <f>HYPERLINK("http://141.218.60.56/~jnz1568/getInfo.php?workbook=12_05.xlsx&amp;sheet=U0&amp;row=5799&amp;col=7&amp;number=0.000269&amp;sourceID=14","0.000269")</f>
        <v>0.000269</v>
      </c>
    </row>
    <row r="5800" spans="1:7">
      <c r="A5800" s="3"/>
      <c r="B5800" s="3"/>
      <c r="C5800" s="3"/>
      <c r="D5800" s="3"/>
      <c r="E5800" s="3">
        <v>17</v>
      </c>
      <c r="F5800" s="4" t="str">
        <f>HYPERLINK("http://141.218.60.56/~jnz1568/getInfo.php?workbook=12_05.xlsx&amp;sheet=U0&amp;row=5800&amp;col=6&amp;number=4.6&amp;sourceID=14","4.6")</f>
        <v>4.6</v>
      </c>
      <c r="G5800" s="4" t="str">
        <f>HYPERLINK("http://141.218.60.56/~jnz1568/getInfo.php?workbook=12_05.xlsx&amp;sheet=U0&amp;row=5800&amp;col=7&amp;number=0.000267&amp;sourceID=14","0.000267")</f>
        <v>0.000267</v>
      </c>
    </row>
    <row r="5801" spans="1:7">
      <c r="A5801" s="3"/>
      <c r="B5801" s="3"/>
      <c r="C5801" s="3"/>
      <c r="D5801" s="3"/>
      <c r="E5801" s="3">
        <v>18</v>
      </c>
      <c r="F5801" s="4" t="str">
        <f>HYPERLINK("http://141.218.60.56/~jnz1568/getInfo.php?workbook=12_05.xlsx&amp;sheet=U0&amp;row=5801&amp;col=6&amp;number=4.7&amp;sourceID=14","4.7")</f>
        <v>4.7</v>
      </c>
      <c r="G5801" s="4" t="str">
        <f>HYPERLINK("http://141.218.60.56/~jnz1568/getInfo.php?workbook=12_05.xlsx&amp;sheet=U0&amp;row=5801&amp;col=7&amp;number=0.000265&amp;sourceID=14","0.000265")</f>
        <v>0.000265</v>
      </c>
    </row>
    <row r="5802" spans="1:7">
      <c r="A5802" s="3"/>
      <c r="B5802" s="3"/>
      <c r="C5802" s="3"/>
      <c r="D5802" s="3"/>
      <c r="E5802" s="3">
        <v>19</v>
      </c>
      <c r="F5802" s="4" t="str">
        <f>HYPERLINK("http://141.218.60.56/~jnz1568/getInfo.php?workbook=12_05.xlsx&amp;sheet=U0&amp;row=5802&amp;col=6&amp;number=4.8&amp;sourceID=14","4.8")</f>
        <v>4.8</v>
      </c>
      <c r="G5802" s="4" t="str">
        <f>HYPERLINK("http://141.218.60.56/~jnz1568/getInfo.php?workbook=12_05.xlsx&amp;sheet=U0&amp;row=5802&amp;col=7&amp;number=0.000262&amp;sourceID=14","0.000262")</f>
        <v>0.000262</v>
      </c>
    </row>
    <row r="5803" spans="1:7">
      <c r="A5803" s="3"/>
      <c r="B5803" s="3"/>
      <c r="C5803" s="3"/>
      <c r="D5803" s="3"/>
      <c r="E5803" s="3">
        <v>20</v>
      </c>
      <c r="F5803" s="4" t="str">
        <f>HYPERLINK("http://141.218.60.56/~jnz1568/getInfo.php?workbook=12_05.xlsx&amp;sheet=U0&amp;row=5803&amp;col=6&amp;number=4.9&amp;sourceID=14","4.9")</f>
        <v>4.9</v>
      </c>
      <c r="G5803" s="4" t="str">
        <f>HYPERLINK("http://141.218.60.56/~jnz1568/getInfo.php?workbook=12_05.xlsx&amp;sheet=U0&amp;row=5803&amp;col=7&amp;number=0.000258&amp;sourceID=14","0.000258")</f>
        <v>0.000258</v>
      </c>
    </row>
    <row r="5804" spans="1:7">
      <c r="A5804" s="3">
        <v>12</v>
      </c>
      <c r="B5804" s="3">
        <v>5</v>
      </c>
      <c r="C5804" s="3">
        <v>4</v>
      </c>
      <c r="D5804" s="3">
        <v>39</v>
      </c>
      <c r="E5804" s="3">
        <v>1</v>
      </c>
      <c r="F5804" s="4" t="str">
        <f>HYPERLINK("http://141.218.60.56/~jnz1568/getInfo.php?workbook=12_05.xlsx&amp;sheet=U0&amp;row=5804&amp;col=6&amp;number=3&amp;sourceID=14","3")</f>
        <v>3</v>
      </c>
      <c r="G5804" s="4" t="str">
        <f>HYPERLINK("http://141.218.60.56/~jnz1568/getInfo.php?workbook=12_05.xlsx&amp;sheet=U0&amp;row=5804&amp;col=7&amp;number=0.108&amp;sourceID=14","0.108")</f>
        <v>0.108</v>
      </c>
    </row>
    <row r="5805" spans="1:7">
      <c r="A5805" s="3"/>
      <c r="B5805" s="3"/>
      <c r="C5805" s="3"/>
      <c r="D5805" s="3"/>
      <c r="E5805" s="3">
        <v>2</v>
      </c>
      <c r="F5805" s="4" t="str">
        <f>HYPERLINK("http://141.218.60.56/~jnz1568/getInfo.php?workbook=12_05.xlsx&amp;sheet=U0&amp;row=5805&amp;col=6&amp;number=3.1&amp;sourceID=14","3.1")</f>
        <v>3.1</v>
      </c>
      <c r="G5805" s="4" t="str">
        <f>HYPERLINK("http://141.218.60.56/~jnz1568/getInfo.php?workbook=12_05.xlsx&amp;sheet=U0&amp;row=5805&amp;col=7&amp;number=0.108&amp;sourceID=14","0.108")</f>
        <v>0.108</v>
      </c>
    </row>
    <row r="5806" spans="1:7">
      <c r="A5806" s="3"/>
      <c r="B5806" s="3"/>
      <c r="C5806" s="3"/>
      <c r="D5806" s="3"/>
      <c r="E5806" s="3">
        <v>3</v>
      </c>
      <c r="F5806" s="4" t="str">
        <f>HYPERLINK("http://141.218.60.56/~jnz1568/getInfo.php?workbook=12_05.xlsx&amp;sheet=U0&amp;row=5806&amp;col=6&amp;number=3.2&amp;sourceID=14","3.2")</f>
        <v>3.2</v>
      </c>
      <c r="G5806" s="4" t="str">
        <f>HYPERLINK("http://141.218.60.56/~jnz1568/getInfo.php?workbook=12_05.xlsx&amp;sheet=U0&amp;row=5806&amp;col=7&amp;number=0.108&amp;sourceID=14","0.108")</f>
        <v>0.108</v>
      </c>
    </row>
    <row r="5807" spans="1:7">
      <c r="A5807" s="3"/>
      <c r="B5807" s="3"/>
      <c r="C5807" s="3"/>
      <c r="D5807" s="3"/>
      <c r="E5807" s="3">
        <v>4</v>
      </c>
      <c r="F5807" s="4" t="str">
        <f>HYPERLINK("http://141.218.60.56/~jnz1568/getInfo.php?workbook=12_05.xlsx&amp;sheet=U0&amp;row=5807&amp;col=6&amp;number=3.3&amp;sourceID=14","3.3")</f>
        <v>3.3</v>
      </c>
      <c r="G5807" s="4" t="str">
        <f>HYPERLINK("http://141.218.60.56/~jnz1568/getInfo.php?workbook=12_05.xlsx&amp;sheet=U0&amp;row=5807&amp;col=7&amp;number=0.108&amp;sourceID=14","0.108")</f>
        <v>0.108</v>
      </c>
    </row>
    <row r="5808" spans="1:7">
      <c r="A5808" s="3"/>
      <c r="B5808" s="3"/>
      <c r="C5808" s="3"/>
      <c r="D5808" s="3"/>
      <c r="E5808" s="3">
        <v>5</v>
      </c>
      <c r="F5808" s="4" t="str">
        <f>HYPERLINK("http://141.218.60.56/~jnz1568/getInfo.php?workbook=12_05.xlsx&amp;sheet=U0&amp;row=5808&amp;col=6&amp;number=3.4&amp;sourceID=14","3.4")</f>
        <v>3.4</v>
      </c>
      <c r="G5808" s="4" t="str">
        <f>HYPERLINK("http://141.218.60.56/~jnz1568/getInfo.php?workbook=12_05.xlsx&amp;sheet=U0&amp;row=5808&amp;col=7&amp;number=0.108&amp;sourceID=14","0.108")</f>
        <v>0.108</v>
      </c>
    </row>
    <row r="5809" spans="1:7">
      <c r="A5809" s="3"/>
      <c r="B5809" s="3"/>
      <c r="C5809" s="3"/>
      <c r="D5809" s="3"/>
      <c r="E5809" s="3">
        <v>6</v>
      </c>
      <c r="F5809" s="4" t="str">
        <f>HYPERLINK("http://141.218.60.56/~jnz1568/getInfo.php?workbook=12_05.xlsx&amp;sheet=U0&amp;row=5809&amp;col=6&amp;number=3.5&amp;sourceID=14","3.5")</f>
        <v>3.5</v>
      </c>
      <c r="G5809" s="4" t="str">
        <f>HYPERLINK("http://141.218.60.56/~jnz1568/getInfo.php?workbook=12_05.xlsx&amp;sheet=U0&amp;row=5809&amp;col=7&amp;number=0.108&amp;sourceID=14","0.108")</f>
        <v>0.108</v>
      </c>
    </row>
    <row r="5810" spans="1:7">
      <c r="A5810" s="3"/>
      <c r="B5810" s="3"/>
      <c r="C5810" s="3"/>
      <c r="D5810" s="3"/>
      <c r="E5810" s="3">
        <v>7</v>
      </c>
      <c r="F5810" s="4" t="str">
        <f>HYPERLINK("http://141.218.60.56/~jnz1568/getInfo.php?workbook=12_05.xlsx&amp;sheet=U0&amp;row=5810&amp;col=6&amp;number=3.6&amp;sourceID=14","3.6")</f>
        <v>3.6</v>
      </c>
      <c r="G5810" s="4" t="str">
        <f>HYPERLINK("http://141.218.60.56/~jnz1568/getInfo.php?workbook=12_05.xlsx&amp;sheet=U0&amp;row=5810&amp;col=7&amp;number=0.108&amp;sourceID=14","0.108")</f>
        <v>0.108</v>
      </c>
    </row>
    <row r="5811" spans="1:7">
      <c r="A5811" s="3"/>
      <c r="B5811" s="3"/>
      <c r="C5811" s="3"/>
      <c r="D5811" s="3"/>
      <c r="E5811" s="3">
        <v>8</v>
      </c>
      <c r="F5811" s="4" t="str">
        <f>HYPERLINK("http://141.218.60.56/~jnz1568/getInfo.php?workbook=12_05.xlsx&amp;sheet=U0&amp;row=5811&amp;col=6&amp;number=3.7&amp;sourceID=14","3.7")</f>
        <v>3.7</v>
      </c>
      <c r="G5811" s="4" t="str">
        <f>HYPERLINK("http://141.218.60.56/~jnz1568/getInfo.php?workbook=12_05.xlsx&amp;sheet=U0&amp;row=5811&amp;col=7&amp;number=0.108&amp;sourceID=14","0.108")</f>
        <v>0.108</v>
      </c>
    </row>
    <row r="5812" spans="1:7">
      <c r="A5812" s="3"/>
      <c r="B5812" s="3"/>
      <c r="C5812" s="3"/>
      <c r="D5812" s="3"/>
      <c r="E5812" s="3">
        <v>9</v>
      </c>
      <c r="F5812" s="4" t="str">
        <f>HYPERLINK("http://141.218.60.56/~jnz1568/getInfo.php?workbook=12_05.xlsx&amp;sheet=U0&amp;row=5812&amp;col=6&amp;number=3.8&amp;sourceID=14","3.8")</f>
        <v>3.8</v>
      </c>
      <c r="G5812" s="4" t="str">
        <f>HYPERLINK("http://141.218.60.56/~jnz1568/getInfo.php?workbook=12_05.xlsx&amp;sheet=U0&amp;row=5812&amp;col=7&amp;number=0.108&amp;sourceID=14","0.108")</f>
        <v>0.108</v>
      </c>
    </row>
    <row r="5813" spans="1:7">
      <c r="A5813" s="3"/>
      <c r="B5813" s="3"/>
      <c r="C5813" s="3"/>
      <c r="D5813" s="3"/>
      <c r="E5813" s="3">
        <v>10</v>
      </c>
      <c r="F5813" s="4" t="str">
        <f>HYPERLINK("http://141.218.60.56/~jnz1568/getInfo.php?workbook=12_05.xlsx&amp;sheet=U0&amp;row=5813&amp;col=6&amp;number=3.9&amp;sourceID=14","3.9")</f>
        <v>3.9</v>
      </c>
      <c r="G5813" s="4" t="str">
        <f>HYPERLINK("http://141.218.60.56/~jnz1568/getInfo.php?workbook=12_05.xlsx&amp;sheet=U0&amp;row=5813&amp;col=7&amp;number=0.108&amp;sourceID=14","0.108")</f>
        <v>0.108</v>
      </c>
    </row>
    <row r="5814" spans="1:7">
      <c r="A5814" s="3"/>
      <c r="B5814" s="3"/>
      <c r="C5814" s="3"/>
      <c r="D5814" s="3"/>
      <c r="E5814" s="3">
        <v>11</v>
      </c>
      <c r="F5814" s="4" t="str">
        <f>HYPERLINK("http://141.218.60.56/~jnz1568/getInfo.php?workbook=12_05.xlsx&amp;sheet=U0&amp;row=5814&amp;col=6&amp;number=4&amp;sourceID=14","4")</f>
        <v>4</v>
      </c>
      <c r="G5814" s="4" t="str">
        <f>HYPERLINK("http://141.218.60.56/~jnz1568/getInfo.php?workbook=12_05.xlsx&amp;sheet=U0&amp;row=5814&amp;col=7&amp;number=0.108&amp;sourceID=14","0.108")</f>
        <v>0.108</v>
      </c>
    </row>
    <row r="5815" spans="1:7">
      <c r="A5815" s="3"/>
      <c r="B5815" s="3"/>
      <c r="C5815" s="3"/>
      <c r="D5815" s="3"/>
      <c r="E5815" s="3">
        <v>12</v>
      </c>
      <c r="F5815" s="4" t="str">
        <f>HYPERLINK("http://141.218.60.56/~jnz1568/getInfo.php?workbook=12_05.xlsx&amp;sheet=U0&amp;row=5815&amp;col=6&amp;number=4.1&amp;sourceID=14","4.1")</f>
        <v>4.1</v>
      </c>
      <c r="G5815" s="4" t="str">
        <f>HYPERLINK("http://141.218.60.56/~jnz1568/getInfo.php?workbook=12_05.xlsx&amp;sheet=U0&amp;row=5815&amp;col=7&amp;number=0.109&amp;sourceID=14","0.109")</f>
        <v>0.109</v>
      </c>
    </row>
    <row r="5816" spans="1:7">
      <c r="A5816" s="3"/>
      <c r="B5816" s="3"/>
      <c r="C5816" s="3"/>
      <c r="D5816" s="3"/>
      <c r="E5816" s="3">
        <v>13</v>
      </c>
      <c r="F5816" s="4" t="str">
        <f>HYPERLINK("http://141.218.60.56/~jnz1568/getInfo.php?workbook=12_05.xlsx&amp;sheet=U0&amp;row=5816&amp;col=6&amp;number=4.2&amp;sourceID=14","4.2")</f>
        <v>4.2</v>
      </c>
      <c r="G5816" s="4" t="str">
        <f>HYPERLINK("http://141.218.60.56/~jnz1568/getInfo.php?workbook=12_05.xlsx&amp;sheet=U0&amp;row=5816&amp;col=7&amp;number=0.109&amp;sourceID=14","0.109")</f>
        <v>0.109</v>
      </c>
    </row>
    <row r="5817" spans="1:7">
      <c r="A5817" s="3"/>
      <c r="B5817" s="3"/>
      <c r="C5817" s="3"/>
      <c r="D5817" s="3"/>
      <c r="E5817" s="3">
        <v>14</v>
      </c>
      <c r="F5817" s="4" t="str">
        <f>HYPERLINK("http://141.218.60.56/~jnz1568/getInfo.php?workbook=12_05.xlsx&amp;sheet=U0&amp;row=5817&amp;col=6&amp;number=4.3&amp;sourceID=14","4.3")</f>
        <v>4.3</v>
      </c>
      <c r="G5817" s="4" t="str">
        <f>HYPERLINK("http://141.218.60.56/~jnz1568/getInfo.php?workbook=12_05.xlsx&amp;sheet=U0&amp;row=5817&amp;col=7&amp;number=0.109&amp;sourceID=14","0.109")</f>
        <v>0.109</v>
      </c>
    </row>
    <row r="5818" spans="1:7">
      <c r="A5818" s="3"/>
      <c r="B5818" s="3"/>
      <c r="C5818" s="3"/>
      <c r="D5818" s="3"/>
      <c r="E5818" s="3">
        <v>15</v>
      </c>
      <c r="F5818" s="4" t="str">
        <f>HYPERLINK("http://141.218.60.56/~jnz1568/getInfo.php?workbook=12_05.xlsx&amp;sheet=U0&amp;row=5818&amp;col=6&amp;number=4.4&amp;sourceID=14","4.4")</f>
        <v>4.4</v>
      </c>
      <c r="G5818" s="4" t="str">
        <f>HYPERLINK("http://141.218.60.56/~jnz1568/getInfo.php?workbook=12_05.xlsx&amp;sheet=U0&amp;row=5818&amp;col=7&amp;number=0.109&amp;sourceID=14","0.109")</f>
        <v>0.109</v>
      </c>
    </row>
    <row r="5819" spans="1:7">
      <c r="A5819" s="3"/>
      <c r="B5819" s="3"/>
      <c r="C5819" s="3"/>
      <c r="D5819" s="3"/>
      <c r="E5819" s="3">
        <v>16</v>
      </c>
      <c r="F5819" s="4" t="str">
        <f>HYPERLINK("http://141.218.60.56/~jnz1568/getInfo.php?workbook=12_05.xlsx&amp;sheet=U0&amp;row=5819&amp;col=6&amp;number=4.5&amp;sourceID=14","4.5")</f>
        <v>4.5</v>
      </c>
      <c r="G5819" s="4" t="str">
        <f>HYPERLINK("http://141.218.60.56/~jnz1568/getInfo.php?workbook=12_05.xlsx&amp;sheet=U0&amp;row=5819&amp;col=7&amp;number=0.109&amp;sourceID=14","0.109")</f>
        <v>0.109</v>
      </c>
    </row>
    <row r="5820" spans="1:7">
      <c r="A5820" s="3"/>
      <c r="B5820" s="3"/>
      <c r="C5820" s="3"/>
      <c r="D5820" s="3"/>
      <c r="E5820" s="3">
        <v>17</v>
      </c>
      <c r="F5820" s="4" t="str">
        <f>HYPERLINK("http://141.218.60.56/~jnz1568/getInfo.php?workbook=12_05.xlsx&amp;sheet=U0&amp;row=5820&amp;col=6&amp;number=4.6&amp;sourceID=14","4.6")</f>
        <v>4.6</v>
      </c>
      <c r="G5820" s="4" t="str">
        <f>HYPERLINK("http://141.218.60.56/~jnz1568/getInfo.php?workbook=12_05.xlsx&amp;sheet=U0&amp;row=5820&amp;col=7&amp;number=0.109&amp;sourceID=14","0.109")</f>
        <v>0.109</v>
      </c>
    </row>
    <row r="5821" spans="1:7">
      <c r="A5821" s="3"/>
      <c r="B5821" s="3"/>
      <c r="C5821" s="3"/>
      <c r="D5821" s="3"/>
      <c r="E5821" s="3">
        <v>18</v>
      </c>
      <c r="F5821" s="4" t="str">
        <f>HYPERLINK("http://141.218.60.56/~jnz1568/getInfo.php?workbook=12_05.xlsx&amp;sheet=U0&amp;row=5821&amp;col=6&amp;number=4.7&amp;sourceID=14","4.7")</f>
        <v>4.7</v>
      </c>
      <c r="G5821" s="4" t="str">
        <f>HYPERLINK("http://141.218.60.56/~jnz1568/getInfo.php?workbook=12_05.xlsx&amp;sheet=U0&amp;row=5821&amp;col=7&amp;number=0.109&amp;sourceID=14","0.109")</f>
        <v>0.109</v>
      </c>
    </row>
    <row r="5822" spans="1:7">
      <c r="A5822" s="3"/>
      <c r="B5822" s="3"/>
      <c r="C5822" s="3"/>
      <c r="D5822" s="3"/>
      <c r="E5822" s="3">
        <v>19</v>
      </c>
      <c r="F5822" s="4" t="str">
        <f>HYPERLINK("http://141.218.60.56/~jnz1568/getInfo.php?workbook=12_05.xlsx&amp;sheet=U0&amp;row=5822&amp;col=6&amp;number=4.8&amp;sourceID=14","4.8")</f>
        <v>4.8</v>
      </c>
      <c r="G5822" s="4" t="str">
        <f>HYPERLINK("http://141.218.60.56/~jnz1568/getInfo.php?workbook=12_05.xlsx&amp;sheet=U0&amp;row=5822&amp;col=7&amp;number=0.109&amp;sourceID=14","0.109")</f>
        <v>0.109</v>
      </c>
    </row>
    <row r="5823" spans="1:7">
      <c r="A5823" s="3"/>
      <c r="B5823" s="3"/>
      <c r="C5823" s="3"/>
      <c r="D5823" s="3"/>
      <c r="E5823" s="3">
        <v>20</v>
      </c>
      <c r="F5823" s="4" t="str">
        <f>HYPERLINK("http://141.218.60.56/~jnz1568/getInfo.php?workbook=12_05.xlsx&amp;sheet=U0&amp;row=5823&amp;col=6&amp;number=4.9&amp;sourceID=14","4.9")</f>
        <v>4.9</v>
      </c>
      <c r="G5823" s="4" t="str">
        <f>HYPERLINK("http://141.218.60.56/~jnz1568/getInfo.php?workbook=12_05.xlsx&amp;sheet=U0&amp;row=5823&amp;col=7&amp;number=0.11&amp;sourceID=14","0.11")</f>
        <v>0.11</v>
      </c>
    </row>
    <row r="5824" spans="1:7">
      <c r="A5824" s="3">
        <v>12</v>
      </c>
      <c r="B5824" s="3">
        <v>5</v>
      </c>
      <c r="C5824" s="3">
        <v>4</v>
      </c>
      <c r="D5824" s="3">
        <v>40</v>
      </c>
      <c r="E5824" s="3">
        <v>1</v>
      </c>
      <c r="F5824" s="4" t="str">
        <f>HYPERLINK("http://141.218.60.56/~jnz1568/getInfo.php?workbook=12_05.xlsx&amp;sheet=U0&amp;row=5824&amp;col=6&amp;number=3&amp;sourceID=14","3")</f>
        <v>3</v>
      </c>
      <c r="G5824" s="4" t="str">
        <f>HYPERLINK("http://141.218.60.56/~jnz1568/getInfo.php?workbook=12_05.xlsx&amp;sheet=U0&amp;row=5824&amp;col=7&amp;number=0.00168&amp;sourceID=14","0.00168")</f>
        <v>0.00168</v>
      </c>
    </row>
    <row r="5825" spans="1:7">
      <c r="A5825" s="3"/>
      <c r="B5825" s="3"/>
      <c r="C5825" s="3"/>
      <c r="D5825" s="3"/>
      <c r="E5825" s="3">
        <v>2</v>
      </c>
      <c r="F5825" s="4" t="str">
        <f>HYPERLINK("http://141.218.60.56/~jnz1568/getInfo.php?workbook=12_05.xlsx&amp;sheet=U0&amp;row=5825&amp;col=6&amp;number=3.1&amp;sourceID=14","3.1")</f>
        <v>3.1</v>
      </c>
      <c r="G5825" s="4" t="str">
        <f>HYPERLINK("http://141.218.60.56/~jnz1568/getInfo.php?workbook=12_05.xlsx&amp;sheet=U0&amp;row=5825&amp;col=7&amp;number=0.00168&amp;sourceID=14","0.00168")</f>
        <v>0.00168</v>
      </c>
    </row>
    <row r="5826" spans="1:7">
      <c r="A5826" s="3"/>
      <c r="B5826" s="3"/>
      <c r="C5826" s="3"/>
      <c r="D5826" s="3"/>
      <c r="E5826" s="3">
        <v>3</v>
      </c>
      <c r="F5826" s="4" t="str">
        <f>HYPERLINK("http://141.218.60.56/~jnz1568/getInfo.php?workbook=12_05.xlsx&amp;sheet=U0&amp;row=5826&amp;col=6&amp;number=3.2&amp;sourceID=14","3.2")</f>
        <v>3.2</v>
      </c>
      <c r="G5826" s="4" t="str">
        <f>HYPERLINK("http://141.218.60.56/~jnz1568/getInfo.php?workbook=12_05.xlsx&amp;sheet=U0&amp;row=5826&amp;col=7&amp;number=0.00168&amp;sourceID=14","0.00168")</f>
        <v>0.00168</v>
      </c>
    </row>
    <row r="5827" spans="1:7">
      <c r="A5827" s="3"/>
      <c r="B5827" s="3"/>
      <c r="C5827" s="3"/>
      <c r="D5827" s="3"/>
      <c r="E5827" s="3">
        <v>4</v>
      </c>
      <c r="F5827" s="4" t="str">
        <f>HYPERLINK("http://141.218.60.56/~jnz1568/getInfo.php?workbook=12_05.xlsx&amp;sheet=U0&amp;row=5827&amp;col=6&amp;number=3.3&amp;sourceID=14","3.3")</f>
        <v>3.3</v>
      </c>
      <c r="G5827" s="4" t="str">
        <f>HYPERLINK("http://141.218.60.56/~jnz1568/getInfo.php?workbook=12_05.xlsx&amp;sheet=U0&amp;row=5827&amp;col=7&amp;number=0.00168&amp;sourceID=14","0.00168")</f>
        <v>0.00168</v>
      </c>
    </row>
    <row r="5828" spans="1:7">
      <c r="A5828" s="3"/>
      <c r="B5828" s="3"/>
      <c r="C5828" s="3"/>
      <c r="D5828" s="3"/>
      <c r="E5828" s="3">
        <v>5</v>
      </c>
      <c r="F5828" s="4" t="str">
        <f>HYPERLINK("http://141.218.60.56/~jnz1568/getInfo.php?workbook=12_05.xlsx&amp;sheet=U0&amp;row=5828&amp;col=6&amp;number=3.4&amp;sourceID=14","3.4")</f>
        <v>3.4</v>
      </c>
      <c r="G5828" s="4" t="str">
        <f>HYPERLINK("http://141.218.60.56/~jnz1568/getInfo.php?workbook=12_05.xlsx&amp;sheet=U0&amp;row=5828&amp;col=7&amp;number=0.00168&amp;sourceID=14","0.00168")</f>
        <v>0.00168</v>
      </c>
    </row>
    <row r="5829" spans="1:7">
      <c r="A5829" s="3"/>
      <c r="B5829" s="3"/>
      <c r="C5829" s="3"/>
      <c r="D5829" s="3"/>
      <c r="E5829" s="3">
        <v>6</v>
      </c>
      <c r="F5829" s="4" t="str">
        <f>HYPERLINK("http://141.218.60.56/~jnz1568/getInfo.php?workbook=12_05.xlsx&amp;sheet=U0&amp;row=5829&amp;col=6&amp;number=3.5&amp;sourceID=14","3.5")</f>
        <v>3.5</v>
      </c>
      <c r="G5829" s="4" t="str">
        <f>HYPERLINK("http://141.218.60.56/~jnz1568/getInfo.php?workbook=12_05.xlsx&amp;sheet=U0&amp;row=5829&amp;col=7&amp;number=0.00167&amp;sourceID=14","0.00167")</f>
        <v>0.00167</v>
      </c>
    </row>
    <row r="5830" spans="1:7">
      <c r="A5830" s="3"/>
      <c r="B5830" s="3"/>
      <c r="C5830" s="3"/>
      <c r="D5830" s="3"/>
      <c r="E5830" s="3">
        <v>7</v>
      </c>
      <c r="F5830" s="4" t="str">
        <f>HYPERLINK("http://141.218.60.56/~jnz1568/getInfo.php?workbook=12_05.xlsx&amp;sheet=U0&amp;row=5830&amp;col=6&amp;number=3.6&amp;sourceID=14","3.6")</f>
        <v>3.6</v>
      </c>
      <c r="G5830" s="4" t="str">
        <f>HYPERLINK("http://141.218.60.56/~jnz1568/getInfo.php?workbook=12_05.xlsx&amp;sheet=U0&amp;row=5830&amp;col=7&amp;number=0.00167&amp;sourceID=14","0.00167")</f>
        <v>0.00167</v>
      </c>
    </row>
    <row r="5831" spans="1:7">
      <c r="A5831" s="3"/>
      <c r="B5831" s="3"/>
      <c r="C5831" s="3"/>
      <c r="D5831" s="3"/>
      <c r="E5831" s="3">
        <v>8</v>
      </c>
      <c r="F5831" s="4" t="str">
        <f>HYPERLINK("http://141.218.60.56/~jnz1568/getInfo.php?workbook=12_05.xlsx&amp;sheet=U0&amp;row=5831&amp;col=6&amp;number=3.7&amp;sourceID=14","3.7")</f>
        <v>3.7</v>
      </c>
      <c r="G5831" s="4" t="str">
        <f>HYPERLINK("http://141.218.60.56/~jnz1568/getInfo.php?workbook=12_05.xlsx&amp;sheet=U0&amp;row=5831&amp;col=7&amp;number=0.00167&amp;sourceID=14","0.00167")</f>
        <v>0.00167</v>
      </c>
    </row>
    <row r="5832" spans="1:7">
      <c r="A5832" s="3"/>
      <c r="B5832" s="3"/>
      <c r="C5832" s="3"/>
      <c r="D5832" s="3"/>
      <c r="E5832" s="3">
        <v>9</v>
      </c>
      <c r="F5832" s="4" t="str">
        <f>HYPERLINK("http://141.218.60.56/~jnz1568/getInfo.php?workbook=12_05.xlsx&amp;sheet=U0&amp;row=5832&amp;col=6&amp;number=3.8&amp;sourceID=14","3.8")</f>
        <v>3.8</v>
      </c>
      <c r="G5832" s="4" t="str">
        <f>HYPERLINK("http://141.218.60.56/~jnz1568/getInfo.php?workbook=12_05.xlsx&amp;sheet=U0&amp;row=5832&amp;col=7&amp;number=0.00167&amp;sourceID=14","0.00167")</f>
        <v>0.00167</v>
      </c>
    </row>
    <row r="5833" spans="1:7">
      <c r="A5833" s="3"/>
      <c r="B5833" s="3"/>
      <c r="C5833" s="3"/>
      <c r="D5833" s="3"/>
      <c r="E5833" s="3">
        <v>10</v>
      </c>
      <c r="F5833" s="4" t="str">
        <f>HYPERLINK("http://141.218.60.56/~jnz1568/getInfo.php?workbook=12_05.xlsx&amp;sheet=U0&amp;row=5833&amp;col=6&amp;number=3.9&amp;sourceID=14","3.9")</f>
        <v>3.9</v>
      </c>
      <c r="G5833" s="4" t="str">
        <f>HYPERLINK("http://141.218.60.56/~jnz1568/getInfo.php?workbook=12_05.xlsx&amp;sheet=U0&amp;row=5833&amp;col=7&amp;number=0.00167&amp;sourceID=14","0.00167")</f>
        <v>0.00167</v>
      </c>
    </row>
    <row r="5834" spans="1:7">
      <c r="A5834" s="3"/>
      <c r="B5834" s="3"/>
      <c r="C5834" s="3"/>
      <c r="D5834" s="3"/>
      <c r="E5834" s="3">
        <v>11</v>
      </c>
      <c r="F5834" s="4" t="str">
        <f>HYPERLINK("http://141.218.60.56/~jnz1568/getInfo.php?workbook=12_05.xlsx&amp;sheet=U0&amp;row=5834&amp;col=6&amp;number=4&amp;sourceID=14","4")</f>
        <v>4</v>
      </c>
      <c r="G5834" s="4" t="str">
        <f>HYPERLINK("http://141.218.60.56/~jnz1568/getInfo.php?workbook=12_05.xlsx&amp;sheet=U0&amp;row=5834&amp;col=7&amp;number=0.00166&amp;sourceID=14","0.00166")</f>
        <v>0.00166</v>
      </c>
    </row>
    <row r="5835" spans="1:7">
      <c r="A5835" s="3"/>
      <c r="B5835" s="3"/>
      <c r="C5835" s="3"/>
      <c r="D5835" s="3"/>
      <c r="E5835" s="3">
        <v>12</v>
      </c>
      <c r="F5835" s="4" t="str">
        <f>HYPERLINK("http://141.218.60.56/~jnz1568/getInfo.php?workbook=12_05.xlsx&amp;sheet=U0&amp;row=5835&amp;col=6&amp;number=4.1&amp;sourceID=14","4.1")</f>
        <v>4.1</v>
      </c>
      <c r="G5835" s="4" t="str">
        <f>HYPERLINK("http://141.218.60.56/~jnz1568/getInfo.php?workbook=12_05.xlsx&amp;sheet=U0&amp;row=5835&amp;col=7&amp;number=0.00166&amp;sourceID=14","0.00166")</f>
        <v>0.00166</v>
      </c>
    </row>
    <row r="5836" spans="1:7">
      <c r="A5836" s="3"/>
      <c r="B5836" s="3"/>
      <c r="C5836" s="3"/>
      <c r="D5836" s="3"/>
      <c r="E5836" s="3">
        <v>13</v>
      </c>
      <c r="F5836" s="4" t="str">
        <f>HYPERLINK("http://141.218.60.56/~jnz1568/getInfo.php?workbook=12_05.xlsx&amp;sheet=U0&amp;row=5836&amp;col=6&amp;number=4.2&amp;sourceID=14","4.2")</f>
        <v>4.2</v>
      </c>
      <c r="G5836" s="4" t="str">
        <f>HYPERLINK("http://141.218.60.56/~jnz1568/getInfo.php?workbook=12_05.xlsx&amp;sheet=U0&amp;row=5836&amp;col=7&amp;number=0.00165&amp;sourceID=14","0.00165")</f>
        <v>0.00165</v>
      </c>
    </row>
    <row r="5837" spans="1:7">
      <c r="A5837" s="3"/>
      <c r="B5837" s="3"/>
      <c r="C5837" s="3"/>
      <c r="D5837" s="3"/>
      <c r="E5837" s="3">
        <v>14</v>
      </c>
      <c r="F5837" s="4" t="str">
        <f>HYPERLINK("http://141.218.60.56/~jnz1568/getInfo.php?workbook=12_05.xlsx&amp;sheet=U0&amp;row=5837&amp;col=6&amp;number=4.3&amp;sourceID=14","4.3")</f>
        <v>4.3</v>
      </c>
      <c r="G5837" s="4" t="str">
        <f>HYPERLINK("http://141.218.60.56/~jnz1568/getInfo.php?workbook=12_05.xlsx&amp;sheet=U0&amp;row=5837&amp;col=7&amp;number=0.00165&amp;sourceID=14","0.00165")</f>
        <v>0.00165</v>
      </c>
    </row>
    <row r="5838" spans="1:7">
      <c r="A5838" s="3"/>
      <c r="B5838" s="3"/>
      <c r="C5838" s="3"/>
      <c r="D5838" s="3"/>
      <c r="E5838" s="3">
        <v>15</v>
      </c>
      <c r="F5838" s="4" t="str">
        <f>HYPERLINK("http://141.218.60.56/~jnz1568/getInfo.php?workbook=12_05.xlsx&amp;sheet=U0&amp;row=5838&amp;col=6&amp;number=4.4&amp;sourceID=14","4.4")</f>
        <v>4.4</v>
      </c>
      <c r="G5838" s="4" t="str">
        <f>HYPERLINK("http://141.218.60.56/~jnz1568/getInfo.php?workbook=12_05.xlsx&amp;sheet=U0&amp;row=5838&amp;col=7&amp;number=0.00164&amp;sourceID=14","0.00164")</f>
        <v>0.00164</v>
      </c>
    </row>
    <row r="5839" spans="1:7">
      <c r="A5839" s="3"/>
      <c r="B5839" s="3"/>
      <c r="C5839" s="3"/>
      <c r="D5839" s="3"/>
      <c r="E5839" s="3">
        <v>16</v>
      </c>
      <c r="F5839" s="4" t="str">
        <f>HYPERLINK("http://141.218.60.56/~jnz1568/getInfo.php?workbook=12_05.xlsx&amp;sheet=U0&amp;row=5839&amp;col=6&amp;number=4.5&amp;sourceID=14","4.5")</f>
        <v>4.5</v>
      </c>
      <c r="G5839" s="4" t="str">
        <f>HYPERLINK("http://141.218.60.56/~jnz1568/getInfo.php?workbook=12_05.xlsx&amp;sheet=U0&amp;row=5839&amp;col=7&amp;number=0.00163&amp;sourceID=14","0.00163")</f>
        <v>0.00163</v>
      </c>
    </row>
    <row r="5840" spans="1:7">
      <c r="A5840" s="3"/>
      <c r="B5840" s="3"/>
      <c r="C5840" s="3"/>
      <c r="D5840" s="3"/>
      <c r="E5840" s="3">
        <v>17</v>
      </c>
      <c r="F5840" s="4" t="str">
        <f>HYPERLINK("http://141.218.60.56/~jnz1568/getInfo.php?workbook=12_05.xlsx&amp;sheet=U0&amp;row=5840&amp;col=6&amp;number=4.6&amp;sourceID=14","4.6")</f>
        <v>4.6</v>
      </c>
      <c r="G5840" s="4" t="str">
        <f>HYPERLINK("http://141.218.60.56/~jnz1568/getInfo.php?workbook=12_05.xlsx&amp;sheet=U0&amp;row=5840&amp;col=7&amp;number=0.00162&amp;sourceID=14","0.00162")</f>
        <v>0.00162</v>
      </c>
    </row>
    <row r="5841" spans="1:7">
      <c r="A5841" s="3"/>
      <c r="B5841" s="3"/>
      <c r="C5841" s="3"/>
      <c r="D5841" s="3"/>
      <c r="E5841" s="3">
        <v>18</v>
      </c>
      <c r="F5841" s="4" t="str">
        <f>HYPERLINK("http://141.218.60.56/~jnz1568/getInfo.php?workbook=12_05.xlsx&amp;sheet=U0&amp;row=5841&amp;col=6&amp;number=4.7&amp;sourceID=14","4.7")</f>
        <v>4.7</v>
      </c>
      <c r="G5841" s="4" t="str">
        <f>HYPERLINK("http://141.218.60.56/~jnz1568/getInfo.php?workbook=12_05.xlsx&amp;sheet=U0&amp;row=5841&amp;col=7&amp;number=0.0016&amp;sourceID=14","0.0016")</f>
        <v>0.0016</v>
      </c>
    </row>
    <row r="5842" spans="1:7">
      <c r="A5842" s="3"/>
      <c r="B5842" s="3"/>
      <c r="C5842" s="3"/>
      <c r="D5842" s="3"/>
      <c r="E5842" s="3">
        <v>19</v>
      </c>
      <c r="F5842" s="4" t="str">
        <f>HYPERLINK("http://141.218.60.56/~jnz1568/getInfo.php?workbook=12_05.xlsx&amp;sheet=U0&amp;row=5842&amp;col=6&amp;number=4.8&amp;sourceID=14","4.8")</f>
        <v>4.8</v>
      </c>
      <c r="G5842" s="4" t="str">
        <f>HYPERLINK("http://141.218.60.56/~jnz1568/getInfo.php?workbook=12_05.xlsx&amp;sheet=U0&amp;row=5842&amp;col=7&amp;number=0.00158&amp;sourceID=14","0.00158")</f>
        <v>0.00158</v>
      </c>
    </row>
    <row r="5843" spans="1:7">
      <c r="A5843" s="3"/>
      <c r="B5843" s="3"/>
      <c r="C5843" s="3"/>
      <c r="D5843" s="3"/>
      <c r="E5843" s="3">
        <v>20</v>
      </c>
      <c r="F5843" s="4" t="str">
        <f>HYPERLINK("http://141.218.60.56/~jnz1568/getInfo.php?workbook=12_05.xlsx&amp;sheet=U0&amp;row=5843&amp;col=6&amp;number=4.9&amp;sourceID=14","4.9")</f>
        <v>4.9</v>
      </c>
      <c r="G5843" s="4" t="str">
        <f>HYPERLINK("http://141.218.60.56/~jnz1568/getInfo.php?workbook=12_05.xlsx&amp;sheet=U0&amp;row=5843&amp;col=7&amp;number=0.00156&amp;sourceID=14","0.00156")</f>
        <v>0.00156</v>
      </c>
    </row>
    <row r="5844" spans="1:7">
      <c r="A5844" s="3">
        <v>12</v>
      </c>
      <c r="B5844" s="3">
        <v>5</v>
      </c>
      <c r="C5844" s="3">
        <v>4</v>
      </c>
      <c r="D5844" s="3">
        <v>42</v>
      </c>
      <c r="E5844" s="3">
        <v>1</v>
      </c>
      <c r="F5844" s="4" t="str">
        <f>HYPERLINK("http://141.218.60.56/~jnz1568/getInfo.php?workbook=12_05.xlsx&amp;sheet=U0&amp;row=5844&amp;col=6&amp;number=3&amp;sourceID=14","3")</f>
        <v>3</v>
      </c>
      <c r="G5844" s="4" t="str">
        <f>HYPERLINK("http://141.218.60.56/~jnz1568/getInfo.php?workbook=12_05.xlsx&amp;sheet=U0&amp;row=5844&amp;col=7&amp;number=0.0115&amp;sourceID=14","0.0115")</f>
        <v>0.0115</v>
      </c>
    </row>
    <row r="5845" spans="1:7">
      <c r="A5845" s="3"/>
      <c r="B5845" s="3"/>
      <c r="C5845" s="3"/>
      <c r="D5845" s="3"/>
      <c r="E5845" s="3">
        <v>2</v>
      </c>
      <c r="F5845" s="4" t="str">
        <f>HYPERLINK("http://141.218.60.56/~jnz1568/getInfo.php?workbook=12_05.xlsx&amp;sheet=U0&amp;row=5845&amp;col=6&amp;number=3.1&amp;sourceID=14","3.1")</f>
        <v>3.1</v>
      </c>
      <c r="G5845" s="4" t="str">
        <f>HYPERLINK("http://141.218.60.56/~jnz1568/getInfo.php?workbook=12_05.xlsx&amp;sheet=U0&amp;row=5845&amp;col=7&amp;number=0.0115&amp;sourceID=14","0.0115")</f>
        <v>0.0115</v>
      </c>
    </row>
    <row r="5846" spans="1:7">
      <c r="A5846" s="3"/>
      <c r="B5846" s="3"/>
      <c r="C5846" s="3"/>
      <c r="D5846" s="3"/>
      <c r="E5846" s="3">
        <v>3</v>
      </c>
      <c r="F5846" s="4" t="str">
        <f>HYPERLINK("http://141.218.60.56/~jnz1568/getInfo.php?workbook=12_05.xlsx&amp;sheet=U0&amp;row=5846&amp;col=6&amp;number=3.2&amp;sourceID=14","3.2")</f>
        <v>3.2</v>
      </c>
      <c r="G5846" s="4" t="str">
        <f>HYPERLINK("http://141.218.60.56/~jnz1568/getInfo.php?workbook=12_05.xlsx&amp;sheet=U0&amp;row=5846&amp;col=7&amp;number=0.0115&amp;sourceID=14","0.0115")</f>
        <v>0.0115</v>
      </c>
    </row>
    <row r="5847" spans="1:7">
      <c r="A5847" s="3"/>
      <c r="B5847" s="3"/>
      <c r="C5847" s="3"/>
      <c r="D5847" s="3"/>
      <c r="E5847" s="3">
        <v>4</v>
      </c>
      <c r="F5847" s="4" t="str">
        <f>HYPERLINK("http://141.218.60.56/~jnz1568/getInfo.php?workbook=12_05.xlsx&amp;sheet=U0&amp;row=5847&amp;col=6&amp;number=3.3&amp;sourceID=14","3.3")</f>
        <v>3.3</v>
      </c>
      <c r="G5847" s="4" t="str">
        <f>HYPERLINK("http://141.218.60.56/~jnz1568/getInfo.php?workbook=12_05.xlsx&amp;sheet=U0&amp;row=5847&amp;col=7&amp;number=0.0115&amp;sourceID=14","0.0115")</f>
        <v>0.0115</v>
      </c>
    </row>
    <row r="5848" spans="1:7">
      <c r="A5848" s="3"/>
      <c r="B5848" s="3"/>
      <c r="C5848" s="3"/>
      <c r="D5848" s="3"/>
      <c r="E5848" s="3">
        <v>5</v>
      </c>
      <c r="F5848" s="4" t="str">
        <f>HYPERLINK("http://141.218.60.56/~jnz1568/getInfo.php?workbook=12_05.xlsx&amp;sheet=U0&amp;row=5848&amp;col=6&amp;number=3.4&amp;sourceID=14","3.4")</f>
        <v>3.4</v>
      </c>
      <c r="G5848" s="4" t="str">
        <f>HYPERLINK("http://141.218.60.56/~jnz1568/getInfo.php?workbook=12_05.xlsx&amp;sheet=U0&amp;row=5848&amp;col=7&amp;number=0.0115&amp;sourceID=14","0.0115")</f>
        <v>0.0115</v>
      </c>
    </row>
    <row r="5849" spans="1:7">
      <c r="A5849" s="3"/>
      <c r="B5849" s="3"/>
      <c r="C5849" s="3"/>
      <c r="D5849" s="3"/>
      <c r="E5849" s="3">
        <v>6</v>
      </c>
      <c r="F5849" s="4" t="str">
        <f>HYPERLINK("http://141.218.60.56/~jnz1568/getInfo.php?workbook=12_05.xlsx&amp;sheet=U0&amp;row=5849&amp;col=6&amp;number=3.5&amp;sourceID=14","3.5")</f>
        <v>3.5</v>
      </c>
      <c r="G5849" s="4" t="str">
        <f>HYPERLINK("http://141.218.60.56/~jnz1568/getInfo.php?workbook=12_05.xlsx&amp;sheet=U0&amp;row=5849&amp;col=7&amp;number=0.0115&amp;sourceID=14","0.0115")</f>
        <v>0.0115</v>
      </c>
    </row>
    <row r="5850" spans="1:7">
      <c r="A5850" s="3"/>
      <c r="B5850" s="3"/>
      <c r="C5850" s="3"/>
      <c r="D5850" s="3"/>
      <c r="E5850" s="3">
        <v>7</v>
      </c>
      <c r="F5850" s="4" t="str">
        <f>HYPERLINK("http://141.218.60.56/~jnz1568/getInfo.php?workbook=12_05.xlsx&amp;sheet=U0&amp;row=5850&amp;col=6&amp;number=3.6&amp;sourceID=14","3.6")</f>
        <v>3.6</v>
      </c>
      <c r="G5850" s="4" t="str">
        <f>HYPERLINK("http://141.218.60.56/~jnz1568/getInfo.php?workbook=12_05.xlsx&amp;sheet=U0&amp;row=5850&amp;col=7&amp;number=0.0115&amp;sourceID=14","0.0115")</f>
        <v>0.0115</v>
      </c>
    </row>
    <row r="5851" spans="1:7">
      <c r="A5851" s="3"/>
      <c r="B5851" s="3"/>
      <c r="C5851" s="3"/>
      <c r="D5851" s="3"/>
      <c r="E5851" s="3">
        <v>8</v>
      </c>
      <c r="F5851" s="4" t="str">
        <f>HYPERLINK("http://141.218.60.56/~jnz1568/getInfo.php?workbook=12_05.xlsx&amp;sheet=U0&amp;row=5851&amp;col=6&amp;number=3.7&amp;sourceID=14","3.7")</f>
        <v>3.7</v>
      </c>
      <c r="G5851" s="4" t="str">
        <f>HYPERLINK("http://141.218.60.56/~jnz1568/getInfo.php?workbook=12_05.xlsx&amp;sheet=U0&amp;row=5851&amp;col=7&amp;number=0.0115&amp;sourceID=14","0.0115")</f>
        <v>0.0115</v>
      </c>
    </row>
    <row r="5852" spans="1:7">
      <c r="A5852" s="3"/>
      <c r="B5852" s="3"/>
      <c r="C5852" s="3"/>
      <c r="D5852" s="3"/>
      <c r="E5852" s="3">
        <v>9</v>
      </c>
      <c r="F5852" s="4" t="str">
        <f>HYPERLINK("http://141.218.60.56/~jnz1568/getInfo.php?workbook=12_05.xlsx&amp;sheet=U0&amp;row=5852&amp;col=6&amp;number=3.8&amp;sourceID=14","3.8")</f>
        <v>3.8</v>
      </c>
      <c r="G5852" s="4" t="str">
        <f>HYPERLINK("http://141.218.60.56/~jnz1568/getInfo.php?workbook=12_05.xlsx&amp;sheet=U0&amp;row=5852&amp;col=7&amp;number=0.0115&amp;sourceID=14","0.0115")</f>
        <v>0.0115</v>
      </c>
    </row>
    <row r="5853" spans="1:7">
      <c r="A5853" s="3"/>
      <c r="B5853" s="3"/>
      <c r="C5853" s="3"/>
      <c r="D5853" s="3"/>
      <c r="E5853" s="3">
        <v>10</v>
      </c>
      <c r="F5853" s="4" t="str">
        <f>HYPERLINK("http://141.218.60.56/~jnz1568/getInfo.php?workbook=12_05.xlsx&amp;sheet=U0&amp;row=5853&amp;col=6&amp;number=3.9&amp;sourceID=14","3.9")</f>
        <v>3.9</v>
      </c>
      <c r="G5853" s="4" t="str">
        <f>HYPERLINK("http://141.218.60.56/~jnz1568/getInfo.php?workbook=12_05.xlsx&amp;sheet=U0&amp;row=5853&amp;col=7&amp;number=0.0115&amp;sourceID=14","0.0115")</f>
        <v>0.0115</v>
      </c>
    </row>
    <row r="5854" spans="1:7">
      <c r="A5854" s="3"/>
      <c r="B5854" s="3"/>
      <c r="C5854" s="3"/>
      <c r="D5854" s="3"/>
      <c r="E5854" s="3">
        <v>11</v>
      </c>
      <c r="F5854" s="4" t="str">
        <f>HYPERLINK("http://141.218.60.56/~jnz1568/getInfo.php?workbook=12_05.xlsx&amp;sheet=U0&amp;row=5854&amp;col=6&amp;number=4&amp;sourceID=14","4")</f>
        <v>4</v>
      </c>
      <c r="G5854" s="4" t="str">
        <f>HYPERLINK("http://141.218.60.56/~jnz1568/getInfo.php?workbook=12_05.xlsx&amp;sheet=U0&amp;row=5854&amp;col=7&amp;number=0.0115&amp;sourceID=14","0.0115")</f>
        <v>0.0115</v>
      </c>
    </row>
    <row r="5855" spans="1:7">
      <c r="A5855" s="3"/>
      <c r="B5855" s="3"/>
      <c r="C5855" s="3"/>
      <c r="D5855" s="3"/>
      <c r="E5855" s="3">
        <v>12</v>
      </c>
      <c r="F5855" s="4" t="str">
        <f>HYPERLINK("http://141.218.60.56/~jnz1568/getInfo.php?workbook=12_05.xlsx&amp;sheet=U0&amp;row=5855&amp;col=6&amp;number=4.1&amp;sourceID=14","4.1")</f>
        <v>4.1</v>
      </c>
      <c r="G5855" s="4" t="str">
        <f>HYPERLINK("http://141.218.60.56/~jnz1568/getInfo.php?workbook=12_05.xlsx&amp;sheet=U0&amp;row=5855&amp;col=7&amp;number=0.0115&amp;sourceID=14","0.0115")</f>
        <v>0.0115</v>
      </c>
    </row>
    <row r="5856" spans="1:7">
      <c r="A5856" s="3"/>
      <c r="B5856" s="3"/>
      <c r="C5856" s="3"/>
      <c r="D5856" s="3"/>
      <c r="E5856" s="3">
        <v>13</v>
      </c>
      <c r="F5856" s="4" t="str">
        <f>HYPERLINK("http://141.218.60.56/~jnz1568/getInfo.php?workbook=12_05.xlsx&amp;sheet=U0&amp;row=5856&amp;col=6&amp;number=4.2&amp;sourceID=14","4.2")</f>
        <v>4.2</v>
      </c>
      <c r="G5856" s="4" t="str">
        <f>HYPERLINK("http://141.218.60.56/~jnz1568/getInfo.php?workbook=12_05.xlsx&amp;sheet=U0&amp;row=5856&amp;col=7&amp;number=0.0115&amp;sourceID=14","0.0115")</f>
        <v>0.0115</v>
      </c>
    </row>
    <row r="5857" spans="1:7">
      <c r="A5857" s="3"/>
      <c r="B5857" s="3"/>
      <c r="C5857" s="3"/>
      <c r="D5857" s="3"/>
      <c r="E5857" s="3">
        <v>14</v>
      </c>
      <c r="F5857" s="4" t="str">
        <f>HYPERLINK("http://141.218.60.56/~jnz1568/getInfo.php?workbook=12_05.xlsx&amp;sheet=U0&amp;row=5857&amp;col=6&amp;number=4.3&amp;sourceID=14","4.3")</f>
        <v>4.3</v>
      </c>
      <c r="G5857" s="4" t="str">
        <f>HYPERLINK("http://141.218.60.56/~jnz1568/getInfo.php?workbook=12_05.xlsx&amp;sheet=U0&amp;row=5857&amp;col=7&amp;number=0.0115&amp;sourceID=14","0.0115")</f>
        <v>0.0115</v>
      </c>
    </row>
    <row r="5858" spans="1:7">
      <c r="A5858" s="3"/>
      <c r="B5858" s="3"/>
      <c r="C5858" s="3"/>
      <c r="D5858" s="3"/>
      <c r="E5858" s="3">
        <v>15</v>
      </c>
      <c r="F5858" s="4" t="str">
        <f>HYPERLINK("http://141.218.60.56/~jnz1568/getInfo.php?workbook=12_05.xlsx&amp;sheet=U0&amp;row=5858&amp;col=6&amp;number=4.4&amp;sourceID=14","4.4")</f>
        <v>4.4</v>
      </c>
      <c r="G5858" s="4" t="str">
        <f>HYPERLINK("http://141.218.60.56/~jnz1568/getInfo.php?workbook=12_05.xlsx&amp;sheet=U0&amp;row=5858&amp;col=7&amp;number=0.0116&amp;sourceID=14","0.0116")</f>
        <v>0.0116</v>
      </c>
    </row>
    <row r="5859" spans="1:7">
      <c r="A5859" s="3"/>
      <c r="B5859" s="3"/>
      <c r="C5859" s="3"/>
      <c r="D5859" s="3"/>
      <c r="E5859" s="3">
        <v>16</v>
      </c>
      <c r="F5859" s="4" t="str">
        <f>HYPERLINK("http://141.218.60.56/~jnz1568/getInfo.php?workbook=12_05.xlsx&amp;sheet=U0&amp;row=5859&amp;col=6&amp;number=4.5&amp;sourceID=14","4.5")</f>
        <v>4.5</v>
      </c>
      <c r="G5859" s="4" t="str">
        <f>HYPERLINK("http://141.218.60.56/~jnz1568/getInfo.php?workbook=12_05.xlsx&amp;sheet=U0&amp;row=5859&amp;col=7&amp;number=0.0116&amp;sourceID=14","0.0116")</f>
        <v>0.0116</v>
      </c>
    </row>
    <row r="5860" spans="1:7">
      <c r="A5860" s="3"/>
      <c r="B5860" s="3"/>
      <c r="C5860" s="3"/>
      <c r="D5860" s="3"/>
      <c r="E5860" s="3">
        <v>17</v>
      </c>
      <c r="F5860" s="4" t="str">
        <f>HYPERLINK("http://141.218.60.56/~jnz1568/getInfo.php?workbook=12_05.xlsx&amp;sheet=U0&amp;row=5860&amp;col=6&amp;number=4.6&amp;sourceID=14","4.6")</f>
        <v>4.6</v>
      </c>
      <c r="G5860" s="4" t="str">
        <f>HYPERLINK("http://141.218.60.56/~jnz1568/getInfo.php?workbook=12_05.xlsx&amp;sheet=U0&amp;row=5860&amp;col=7&amp;number=0.0116&amp;sourceID=14","0.0116")</f>
        <v>0.0116</v>
      </c>
    </row>
    <row r="5861" spans="1:7">
      <c r="A5861" s="3"/>
      <c r="B5861" s="3"/>
      <c r="C5861" s="3"/>
      <c r="D5861" s="3"/>
      <c r="E5861" s="3">
        <v>18</v>
      </c>
      <c r="F5861" s="4" t="str">
        <f>HYPERLINK("http://141.218.60.56/~jnz1568/getInfo.php?workbook=12_05.xlsx&amp;sheet=U0&amp;row=5861&amp;col=6&amp;number=4.7&amp;sourceID=14","4.7")</f>
        <v>4.7</v>
      </c>
      <c r="G5861" s="4" t="str">
        <f>HYPERLINK("http://141.218.60.56/~jnz1568/getInfo.php?workbook=12_05.xlsx&amp;sheet=U0&amp;row=5861&amp;col=7&amp;number=0.0116&amp;sourceID=14","0.0116")</f>
        <v>0.0116</v>
      </c>
    </row>
    <row r="5862" spans="1:7">
      <c r="A5862" s="3"/>
      <c r="B5862" s="3"/>
      <c r="C5862" s="3"/>
      <c r="D5862" s="3"/>
      <c r="E5862" s="3">
        <v>19</v>
      </c>
      <c r="F5862" s="4" t="str">
        <f>HYPERLINK("http://141.218.60.56/~jnz1568/getInfo.php?workbook=12_05.xlsx&amp;sheet=U0&amp;row=5862&amp;col=6&amp;number=4.8&amp;sourceID=14","4.8")</f>
        <v>4.8</v>
      </c>
      <c r="G5862" s="4" t="str">
        <f>HYPERLINK("http://141.218.60.56/~jnz1568/getInfo.php?workbook=12_05.xlsx&amp;sheet=U0&amp;row=5862&amp;col=7&amp;number=0.0116&amp;sourceID=14","0.0116")</f>
        <v>0.0116</v>
      </c>
    </row>
    <row r="5863" spans="1:7">
      <c r="A5863" s="3"/>
      <c r="B5863" s="3"/>
      <c r="C5863" s="3"/>
      <c r="D5863" s="3"/>
      <c r="E5863" s="3">
        <v>20</v>
      </c>
      <c r="F5863" s="4" t="str">
        <f>HYPERLINK("http://141.218.60.56/~jnz1568/getInfo.php?workbook=12_05.xlsx&amp;sheet=U0&amp;row=5863&amp;col=6&amp;number=4.9&amp;sourceID=14","4.9")</f>
        <v>4.9</v>
      </c>
      <c r="G5863" s="4" t="str">
        <f>HYPERLINK("http://141.218.60.56/~jnz1568/getInfo.php?workbook=12_05.xlsx&amp;sheet=U0&amp;row=5863&amp;col=7&amp;number=0.0117&amp;sourceID=14","0.0117")</f>
        <v>0.0117</v>
      </c>
    </row>
    <row r="5864" spans="1:7">
      <c r="A5864" s="3">
        <v>12</v>
      </c>
      <c r="B5864" s="3">
        <v>5</v>
      </c>
      <c r="C5864" s="3">
        <v>4</v>
      </c>
      <c r="D5864" s="3">
        <v>43</v>
      </c>
      <c r="E5864" s="3">
        <v>1</v>
      </c>
      <c r="F5864" s="4" t="str">
        <f>HYPERLINK("http://141.218.60.56/~jnz1568/getInfo.php?workbook=12_05.xlsx&amp;sheet=U0&amp;row=5864&amp;col=6&amp;number=3&amp;sourceID=14","3")</f>
        <v>3</v>
      </c>
      <c r="G5864" s="4" t="str">
        <f>HYPERLINK("http://141.218.60.56/~jnz1568/getInfo.php?workbook=12_05.xlsx&amp;sheet=U0&amp;row=5864&amp;col=7&amp;number=0.00903&amp;sourceID=14","0.00903")</f>
        <v>0.00903</v>
      </c>
    </row>
    <row r="5865" spans="1:7">
      <c r="A5865" s="3"/>
      <c r="B5865" s="3"/>
      <c r="C5865" s="3"/>
      <c r="D5865" s="3"/>
      <c r="E5865" s="3">
        <v>2</v>
      </c>
      <c r="F5865" s="4" t="str">
        <f>HYPERLINK("http://141.218.60.56/~jnz1568/getInfo.php?workbook=12_05.xlsx&amp;sheet=U0&amp;row=5865&amp;col=6&amp;number=3.1&amp;sourceID=14","3.1")</f>
        <v>3.1</v>
      </c>
      <c r="G5865" s="4" t="str">
        <f>HYPERLINK("http://141.218.60.56/~jnz1568/getInfo.php?workbook=12_05.xlsx&amp;sheet=U0&amp;row=5865&amp;col=7&amp;number=0.00903&amp;sourceID=14","0.00903")</f>
        <v>0.00903</v>
      </c>
    </row>
    <row r="5866" spans="1:7">
      <c r="A5866" s="3"/>
      <c r="B5866" s="3"/>
      <c r="C5866" s="3"/>
      <c r="D5866" s="3"/>
      <c r="E5866" s="3">
        <v>3</v>
      </c>
      <c r="F5866" s="4" t="str">
        <f>HYPERLINK("http://141.218.60.56/~jnz1568/getInfo.php?workbook=12_05.xlsx&amp;sheet=U0&amp;row=5866&amp;col=6&amp;number=3.2&amp;sourceID=14","3.2")</f>
        <v>3.2</v>
      </c>
      <c r="G5866" s="4" t="str">
        <f>HYPERLINK("http://141.218.60.56/~jnz1568/getInfo.php?workbook=12_05.xlsx&amp;sheet=U0&amp;row=5866&amp;col=7&amp;number=0.00903&amp;sourceID=14","0.00903")</f>
        <v>0.00903</v>
      </c>
    </row>
    <row r="5867" spans="1:7">
      <c r="A5867" s="3"/>
      <c r="B5867" s="3"/>
      <c r="C5867" s="3"/>
      <c r="D5867" s="3"/>
      <c r="E5867" s="3">
        <v>4</v>
      </c>
      <c r="F5867" s="4" t="str">
        <f>HYPERLINK("http://141.218.60.56/~jnz1568/getInfo.php?workbook=12_05.xlsx&amp;sheet=U0&amp;row=5867&amp;col=6&amp;number=3.3&amp;sourceID=14","3.3")</f>
        <v>3.3</v>
      </c>
      <c r="G5867" s="4" t="str">
        <f>HYPERLINK("http://141.218.60.56/~jnz1568/getInfo.php?workbook=12_05.xlsx&amp;sheet=U0&amp;row=5867&amp;col=7&amp;number=0.00903&amp;sourceID=14","0.00903")</f>
        <v>0.00903</v>
      </c>
    </row>
    <row r="5868" spans="1:7">
      <c r="A5868" s="3"/>
      <c r="B5868" s="3"/>
      <c r="C5868" s="3"/>
      <c r="D5868" s="3"/>
      <c r="E5868" s="3">
        <v>5</v>
      </c>
      <c r="F5868" s="4" t="str">
        <f>HYPERLINK("http://141.218.60.56/~jnz1568/getInfo.php?workbook=12_05.xlsx&amp;sheet=U0&amp;row=5868&amp;col=6&amp;number=3.4&amp;sourceID=14","3.4")</f>
        <v>3.4</v>
      </c>
      <c r="G5868" s="4" t="str">
        <f>HYPERLINK("http://141.218.60.56/~jnz1568/getInfo.php?workbook=12_05.xlsx&amp;sheet=U0&amp;row=5868&amp;col=7&amp;number=0.00903&amp;sourceID=14","0.00903")</f>
        <v>0.00903</v>
      </c>
    </row>
    <row r="5869" spans="1:7">
      <c r="A5869" s="3"/>
      <c r="B5869" s="3"/>
      <c r="C5869" s="3"/>
      <c r="D5869" s="3"/>
      <c r="E5869" s="3">
        <v>6</v>
      </c>
      <c r="F5869" s="4" t="str">
        <f>HYPERLINK("http://141.218.60.56/~jnz1568/getInfo.php?workbook=12_05.xlsx&amp;sheet=U0&amp;row=5869&amp;col=6&amp;number=3.5&amp;sourceID=14","3.5")</f>
        <v>3.5</v>
      </c>
      <c r="G5869" s="4" t="str">
        <f>HYPERLINK("http://141.218.60.56/~jnz1568/getInfo.php?workbook=12_05.xlsx&amp;sheet=U0&amp;row=5869&amp;col=7&amp;number=0.00903&amp;sourceID=14","0.00903")</f>
        <v>0.00903</v>
      </c>
    </row>
    <row r="5870" spans="1:7">
      <c r="A5870" s="3"/>
      <c r="B5870" s="3"/>
      <c r="C5870" s="3"/>
      <c r="D5870" s="3"/>
      <c r="E5870" s="3">
        <v>7</v>
      </c>
      <c r="F5870" s="4" t="str">
        <f>HYPERLINK("http://141.218.60.56/~jnz1568/getInfo.php?workbook=12_05.xlsx&amp;sheet=U0&amp;row=5870&amp;col=6&amp;number=3.6&amp;sourceID=14","3.6")</f>
        <v>3.6</v>
      </c>
      <c r="G5870" s="4" t="str">
        <f>HYPERLINK("http://141.218.60.56/~jnz1568/getInfo.php?workbook=12_05.xlsx&amp;sheet=U0&amp;row=5870&amp;col=7&amp;number=0.00902&amp;sourceID=14","0.00902")</f>
        <v>0.00902</v>
      </c>
    </row>
    <row r="5871" spans="1:7">
      <c r="A5871" s="3"/>
      <c r="B5871" s="3"/>
      <c r="C5871" s="3"/>
      <c r="D5871" s="3"/>
      <c r="E5871" s="3">
        <v>8</v>
      </c>
      <c r="F5871" s="4" t="str">
        <f>HYPERLINK("http://141.218.60.56/~jnz1568/getInfo.php?workbook=12_05.xlsx&amp;sheet=U0&amp;row=5871&amp;col=6&amp;number=3.7&amp;sourceID=14","3.7")</f>
        <v>3.7</v>
      </c>
      <c r="G5871" s="4" t="str">
        <f>HYPERLINK("http://141.218.60.56/~jnz1568/getInfo.php?workbook=12_05.xlsx&amp;sheet=U0&amp;row=5871&amp;col=7&amp;number=0.00902&amp;sourceID=14","0.00902")</f>
        <v>0.00902</v>
      </c>
    </row>
    <row r="5872" spans="1:7">
      <c r="A5872" s="3"/>
      <c r="B5872" s="3"/>
      <c r="C5872" s="3"/>
      <c r="D5872" s="3"/>
      <c r="E5872" s="3">
        <v>9</v>
      </c>
      <c r="F5872" s="4" t="str">
        <f>HYPERLINK("http://141.218.60.56/~jnz1568/getInfo.php?workbook=12_05.xlsx&amp;sheet=U0&amp;row=5872&amp;col=6&amp;number=3.8&amp;sourceID=14","3.8")</f>
        <v>3.8</v>
      </c>
      <c r="G5872" s="4" t="str">
        <f>HYPERLINK("http://141.218.60.56/~jnz1568/getInfo.php?workbook=12_05.xlsx&amp;sheet=U0&amp;row=5872&amp;col=7&amp;number=0.00902&amp;sourceID=14","0.00902")</f>
        <v>0.00902</v>
      </c>
    </row>
    <row r="5873" spans="1:7">
      <c r="A5873" s="3"/>
      <c r="B5873" s="3"/>
      <c r="C5873" s="3"/>
      <c r="D5873" s="3"/>
      <c r="E5873" s="3">
        <v>10</v>
      </c>
      <c r="F5873" s="4" t="str">
        <f>HYPERLINK("http://141.218.60.56/~jnz1568/getInfo.php?workbook=12_05.xlsx&amp;sheet=U0&amp;row=5873&amp;col=6&amp;number=3.9&amp;sourceID=14","3.9")</f>
        <v>3.9</v>
      </c>
      <c r="G5873" s="4" t="str">
        <f>HYPERLINK("http://141.218.60.56/~jnz1568/getInfo.php?workbook=12_05.xlsx&amp;sheet=U0&amp;row=5873&amp;col=7&amp;number=0.00901&amp;sourceID=14","0.00901")</f>
        <v>0.00901</v>
      </c>
    </row>
    <row r="5874" spans="1:7">
      <c r="A5874" s="3"/>
      <c r="B5874" s="3"/>
      <c r="C5874" s="3"/>
      <c r="D5874" s="3"/>
      <c r="E5874" s="3">
        <v>11</v>
      </c>
      <c r="F5874" s="4" t="str">
        <f>HYPERLINK("http://141.218.60.56/~jnz1568/getInfo.php?workbook=12_05.xlsx&amp;sheet=U0&amp;row=5874&amp;col=6&amp;number=4&amp;sourceID=14","4")</f>
        <v>4</v>
      </c>
      <c r="G5874" s="4" t="str">
        <f>HYPERLINK("http://141.218.60.56/~jnz1568/getInfo.php?workbook=12_05.xlsx&amp;sheet=U0&amp;row=5874&amp;col=7&amp;number=0.009&amp;sourceID=14","0.009")</f>
        <v>0.009</v>
      </c>
    </row>
    <row r="5875" spans="1:7">
      <c r="A5875" s="3"/>
      <c r="B5875" s="3"/>
      <c r="C5875" s="3"/>
      <c r="D5875" s="3"/>
      <c r="E5875" s="3">
        <v>12</v>
      </c>
      <c r="F5875" s="4" t="str">
        <f>HYPERLINK("http://141.218.60.56/~jnz1568/getInfo.php?workbook=12_05.xlsx&amp;sheet=U0&amp;row=5875&amp;col=6&amp;number=4.1&amp;sourceID=14","4.1")</f>
        <v>4.1</v>
      </c>
      <c r="G5875" s="4" t="str">
        <f>HYPERLINK("http://141.218.60.56/~jnz1568/getInfo.php?workbook=12_05.xlsx&amp;sheet=U0&amp;row=5875&amp;col=7&amp;number=0.009&amp;sourceID=14","0.009")</f>
        <v>0.009</v>
      </c>
    </row>
    <row r="5876" spans="1:7">
      <c r="A5876" s="3"/>
      <c r="B5876" s="3"/>
      <c r="C5876" s="3"/>
      <c r="D5876" s="3"/>
      <c r="E5876" s="3">
        <v>13</v>
      </c>
      <c r="F5876" s="4" t="str">
        <f>HYPERLINK("http://141.218.60.56/~jnz1568/getInfo.php?workbook=12_05.xlsx&amp;sheet=U0&amp;row=5876&amp;col=6&amp;number=4.2&amp;sourceID=14","4.2")</f>
        <v>4.2</v>
      </c>
      <c r="G5876" s="4" t="str">
        <f>HYPERLINK("http://141.218.60.56/~jnz1568/getInfo.php?workbook=12_05.xlsx&amp;sheet=U0&amp;row=5876&amp;col=7&amp;number=0.00899&amp;sourceID=14","0.00899")</f>
        <v>0.00899</v>
      </c>
    </row>
    <row r="5877" spans="1:7">
      <c r="A5877" s="3"/>
      <c r="B5877" s="3"/>
      <c r="C5877" s="3"/>
      <c r="D5877" s="3"/>
      <c r="E5877" s="3">
        <v>14</v>
      </c>
      <c r="F5877" s="4" t="str">
        <f>HYPERLINK("http://141.218.60.56/~jnz1568/getInfo.php?workbook=12_05.xlsx&amp;sheet=U0&amp;row=5877&amp;col=6&amp;number=4.3&amp;sourceID=14","4.3")</f>
        <v>4.3</v>
      </c>
      <c r="G5877" s="4" t="str">
        <f>HYPERLINK("http://141.218.60.56/~jnz1568/getInfo.php?workbook=12_05.xlsx&amp;sheet=U0&amp;row=5877&amp;col=7&amp;number=0.00897&amp;sourceID=14","0.00897")</f>
        <v>0.00897</v>
      </c>
    </row>
    <row r="5878" spans="1:7">
      <c r="A5878" s="3"/>
      <c r="B5878" s="3"/>
      <c r="C5878" s="3"/>
      <c r="D5878" s="3"/>
      <c r="E5878" s="3">
        <v>15</v>
      </c>
      <c r="F5878" s="4" t="str">
        <f>HYPERLINK("http://141.218.60.56/~jnz1568/getInfo.php?workbook=12_05.xlsx&amp;sheet=U0&amp;row=5878&amp;col=6&amp;number=4.4&amp;sourceID=14","4.4")</f>
        <v>4.4</v>
      </c>
      <c r="G5878" s="4" t="str">
        <f>HYPERLINK("http://141.218.60.56/~jnz1568/getInfo.php?workbook=12_05.xlsx&amp;sheet=U0&amp;row=5878&amp;col=7&amp;number=0.00896&amp;sourceID=14","0.00896")</f>
        <v>0.00896</v>
      </c>
    </row>
    <row r="5879" spans="1:7">
      <c r="A5879" s="3"/>
      <c r="B5879" s="3"/>
      <c r="C5879" s="3"/>
      <c r="D5879" s="3"/>
      <c r="E5879" s="3">
        <v>16</v>
      </c>
      <c r="F5879" s="4" t="str">
        <f>HYPERLINK("http://141.218.60.56/~jnz1568/getInfo.php?workbook=12_05.xlsx&amp;sheet=U0&amp;row=5879&amp;col=6&amp;number=4.5&amp;sourceID=14","4.5")</f>
        <v>4.5</v>
      </c>
      <c r="G5879" s="4" t="str">
        <f>HYPERLINK("http://141.218.60.56/~jnz1568/getInfo.php?workbook=12_05.xlsx&amp;sheet=U0&amp;row=5879&amp;col=7&amp;number=0.00894&amp;sourceID=14","0.00894")</f>
        <v>0.00894</v>
      </c>
    </row>
    <row r="5880" spans="1:7">
      <c r="A5880" s="3"/>
      <c r="B5880" s="3"/>
      <c r="C5880" s="3"/>
      <c r="D5880" s="3"/>
      <c r="E5880" s="3">
        <v>17</v>
      </c>
      <c r="F5880" s="4" t="str">
        <f>HYPERLINK("http://141.218.60.56/~jnz1568/getInfo.php?workbook=12_05.xlsx&amp;sheet=U0&amp;row=5880&amp;col=6&amp;number=4.6&amp;sourceID=14","4.6")</f>
        <v>4.6</v>
      </c>
      <c r="G5880" s="4" t="str">
        <f>HYPERLINK("http://141.218.60.56/~jnz1568/getInfo.php?workbook=12_05.xlsx&amp;sheet=U0&amp;row=5880&amp;col=7&amp;number=0.00891&amp;sourceID=14","0.00891")</f>
        <v>0.00891</v>
      </c>
    </row>
    <row r="5881" spans="1:7">
      <c r="A5881" s="3"/>
      <c r="B5881" s="3"/>
      <c r="C5881" s="3"/>
      <c r="D5881" s="3"/>
      <c r="E5881" s="3">
        <v>18</v>
      </c>
      <c r="F5881" s="4" t="str">
        <f>HYPERLINK("http://141.218.60.56/~jnz1568/getInfo.php?workbook=12_05.xlsx&amp;sheet=U0&amp;row=5881&amp;col=6&amp;number=4.7&amp;sourceID=14","4.7")</f>
        <v>4.7</v>
      </c>
      <c r="G5881" s="4" t="str">
        <f>HYPERLINK("http://141.218.60.56/~jnz1568/getInfo.php?workbook=12_05.xlsx&amp;sheet=U0&amp;row=5881&amp;col=7&amp;number=0.00888&amp;sourceID=14","0.00888")</f>
        <v>0.00888</v>
      </c>
    </row>
    <row r="5882" spans="1:7">
      <c r="A5882" s="3"/>
      <c r="B5882" s="3"/>
      <c r="C5882" s="3"/>
      <c r="D5882" s="3"/>
      <c r="E5882" s="3">
        <v>19</v>
      </c>
      <c r="F5882" s="4" t="str">
        <f>HYPERLINK("http://141.218.60.56/~jnz1568/getInfo.php?workbook=12_05.xlsx&amp;sheet=U0&amp;row=5882&amp;col=6&amp;number=4.8&amp;sourceID=14","4.8")</f>
        <v>4.8</v>
      </c>
      <c r="G5882" s="4" t="str">
        <f>HYPERLINK("http://141.218.60.56/~jnz1568/getInfo.php?workbook=12_05.xlsx&amp;sheet=U0&amp;row=5882&amp;col=7&amp;number=0.00884&amp;sourceID=14","0.00884")</f>
        <v>0.00884</v>
      </c>
    </row>
    <row r="5883" spans="1:7">
      <c r="A5883" s="3"/>
      <c r="B5883" s="3"/>
      <c r="C5883" s="3"/>
      <c r="D5883" s="3"/>
      <c r="E5883" s="3">
        <v>20</v>
      </c>
      <c r="F5883" s="4" t="str">
        <f>HYPERLINK("http://141.218.60.56/~jnz1568/getInfo.php?workbook=12_05.xlsx&amp;sheet=U0&amp;row=5883&amp;col=6&amp;number=4.9&amp;sourceID=14","4.9")</f>
        <v>4.9</v>
      </c>
      <c r="G5883" s="4" t="str">
        <f>HYPERLINK("http://141.218.60.56/~jnz1568/getInfo.php?workbook=12_05.xlsx&amp;sheet=U0&amp;row=5883&amp;col=7&amp;number=0.0088&amp;sourceID=14","0.0088")</f>
        <v>0.0088</v>
      </c>
    </row>
    <row r="5884" spans="1:7">
      <c r="A5884" s="3">
        <v>12</v>
      </c>
      <c r="B5884" s="3">
        <v>5</v>
      </c>
      <c r="C5884" s="3">
        <v>4</v>
      </c>
      <c r="D5884" s="3">
        <v>44</v>
      </c>
      <c r="E5884" s="3">
        <v>1</v>
      </c>
      <c r="F5884" s="4" t="str">
        <f>HYPERLINK("http://141.218.60.56/~jnz1568/getInfo.php?workbook=12_05.xlsx&amp;sheet=U0&amp;row=5884&amp;col=6&amp;number=3&amp;sourceID=14","3")</f>
        <v>3</v>
      </c>
      <c r="G5884" s="4" t="str">
        <f>HYPERLINK("http://141.218.60.56/~jnz1568/getInfo.php?workbook=12_05.xlsx&amp;sheet=U0&amp;row=5884&amp;col=7&amp;number=0.0142&amp;sourceID=14","0.0142")</f>
        <v>0.0142</v>
      </c>
    </row>
    <row r="5885" spans="1:7">
      <c r="A5885" s="3"/>
      <c r="B5885" s="3"/>
      <c r="C5885" s="3"/>
      <c r="D5885" s="3"/>
      <c r="E5885" s="3">
        <v>2</v>
      </c>
      <c r="F5885" s="4" t="str">
        <f>HYPERLINK("http://141.218.60.56/~jnz1568/getInfo.php?workbook=12_05.xlsx&amp;sheet=U0&amp;row=5885&amp;col=6&amp;number=3.1&amp;sourceID=14","3.1")</f>
        <v>3.1</v>
      </c>
      <c r="G5885" s="4" t="str">
        <f>HYPERLINK("http://141.218.60.56/~jnz1568/getInfo.php?workbook=12_05.xlsx&amp;sheet=U0&amp;row=5885&amp;col=7&amp;number=0.0142&amp;sourceID=14","0.0142")</f>
        <v>0.0142</v>
      </c>
    </row>
    <row r="5886" spans="1:7">
      <c r="A5886" s="3"/>
      <c r="B5886" s="3"/>
      <c r="C5886" s="3"/>
      <c r="D5886" s="3"/>
      <c r="E5886" s="3">
        <v>3</v>
      </c>
      <c r="F5886" s="4" t="str">
        <f>HYPERLINK("http://141.218.60.56/~jnz1568/getInfo.php?workbook=12_05.xlsx&amp;sheet=U0&amp;row=5886&amp;col=6&amp;number=3.2&amp;sourceID=14","3.2")</f>
        <v>3.2</v>
      </c>
      <c r="G5886" s="4" t="str">
        <f>HYPERLINK("http://141.218.60.56/~jnz1568/getInfo.php?workbook=12_05.xlsx&amp;sheet=U0&amp;row=5886&amp;col=7&amp;number=0.0142&amp;sourceID=14","0.0142")</f>
        <v>0.0142</v>
      </c>
    </row>
    <row r="5887" spans="1:7">
      <c r="A5887" s="3"/>
      <c r="B5887" s="3"/>
      <c r="C5887" s="3"/>
      <c r="D5887" s="3"/>
      <c r="E5887" s="3">
        <v>4</v>
      </c>
      <c r="F5887" s="4" t="str">
        <f>HYPERLINK("http://141.218.60.56/~jnz1568/getInfo.php?workbook=12_05.xlsx&amp;sheet=U0&amp;row=5887&amp;col=6&amp;number=3.3&amp;sourceID=14","3.3")</f>
        <v>3.3</v>
      </c>
      <c r="G5887" s="4" t="str">
        <f>HYPERLINK("http://141.218.60.56/~jnz1568/getInfo.php?workbook=12_05.xlsx&amp;sheet=U0&amp;row=5887&amp;col=7&amp;number=0.0142&amp;sourceID=14","0.0142")</f>
        <v>0.0142</v>
      </c>
    </row>
    <row r="5888" spans="1:7">
      <c r="A5888" s="3"/>
      <c r="B5888" s="3"/>
      <c r="C5888" s="3"/>
      <c r="D5888" s="3"/>
      <c r="E5888" s="3">
        <v>5</v>
      </c>
      <c r="F5888" s="4" t="str">
        <f>HYPERLINK("http://141.218.60.56/~jnz1568/getInfo.php?workbook=12_05.xlsx&amp;sheet=U0&amp;row=5888&amp;col=6&amp;number=3.4&amp;sourceID=14","3.4")</f>
        <v>3.4</v>
      </c>
      <c r="G5888" s="4" t="str">
        <f>HYPERLINK("http://141.218.60.56/~jnz1568/getInfo.php?workbook=12_05.xlsx&amp;sheet=U0&amp;row=5888&amp;col=7&amp;number=0.0142&amp;sourceID=14","0.0142")</f>
        <v>0.0142</v>
      </c>
    </row>
    <row r="5889" spans="1:7">
      <c r="A5889" s="3"/>
      <c r="B5889" s="3"/>
      <c r="C5889" s="3"/>
      <c r="D5889" s="3"/>
      <c r="E5889" s="3">
        <v>6</v>
      </c>
      <c r="F5889" s="4" t="str">
        <f>HYPERLINK("http://141.218.60.56/~jnz1568/getInfo.php?workbook=12_05.xlsx&amp;sheet=U0&amp;row=5889&amp;col=6&amp;number=3.5&amp;sourceID=14","3.5")</f>
        <v>3.5</v>
      </c>
      <c r="G5889" s="4" t="str">
        <f>HYPERLINK("http://141.218.60.56/~jnz1568/getInfo.php?workbook=12_05.xlsx&amp;sheet=U0&amp;row=5889&amp;col=7&amp;number=0.0142&amp;sourceID=14","0.0142")</f>
        <v>0.0142</v>
      </c>
    </row>
    <row r="5890" spans="1:7">
      <c r="A5890" s="3"/>
      <c r="B5890" s="3"/>
      <c r="C5890" s="3"/>
      <c r="D5890" s="3"/>
      <c r="E5890" s="3">
        <v>7</v>
      </c>
      <c r="F5890" s="4" t="str">
        <f>HYPERLINK("http://141.218.60.56/~jnz1568/getInfo.php?workbook=12_05.xlsx&amp;sheet=U0&amp;row=5890&amp;col=6&amp;number=3.6&amp;sourceID=14","3.6")</f>
        <v>3.6</v>
      </c>
      <c r="G5890" s="4" t="str">
        <f>HYPERLINK("http://141.218.60.56/~jnz1568/getInfo.php?workbook=12_05.xlsx&amp;sheet=U0&amp;row=5890&amp;col=7&amp;number=0.0142&amp;sourceID=14","0.0142")</f>
        <v>0.0142</v>
      </c>
    </row>
    <row r="5891" spans="1:7">
      <c r="A5891" s="3"/>
      <c r="B5891" s="3"/>
      <c r="C5891" s="3"/>
      <c r="D5891" s="3"/>
      <c r="E5891" s="3">
        <v>8</v>
      </c>
      <c r="F5891" s="4" t="str">
        <f>HYPERLINK("http://141.218.60.56/~jnz1568/getInfo.php?workbook=12_05.xlsx&amp;sheet=U0&amp;row=5891&amp;col=6&amp;number=3.7&amp;sourceID=14","3.7")</f>
        <v>3.7</v>
      </c>
      <c r="G5891" s="4" t="str">
        <f>HYPERLINK("http://141.218.60.56/~jnz1568/getInfo.php?workbook=12_05.xlsx&amp;sheet=U0&amp;row=5891&amp;col=7&amp;number=0.0143&amp;sourceID=14","0.0143")</f>
        <v>0.0143</v>
      </c>
    </row>
    <row r="5892" spans="1:7">
      <c r="A5892" s="3"/>
      <c r="B5892" s="3"/>
      <c r="C5892" s="3"/>
      <c r="D5892" s="3"/>
      <c r="E5892" s="3">
        <v>9</v>
      </c>
      <c r="F5892" s="4" t="str">
        <f>HYPERLINK("http://141.218.60.56/~jnz1568/getInfo.php?workbook=12_05.xlsx&amp;sheet=U0&amp;row=5892&amp;col=6&amp;number=3.8&amp;sourceID=14","3.8")</f>
        <v>3.8</v>
      </c>
      <c r="G5892" s="4" t="str">
        <f>HYPERLINK("http://141.218.60.56/~jnz1568/getInfo.php?workbook=12_05.xlsx&amp;sheet=U0&amp;row=5892&amp;col=7&amp;number=0.0143&amp;sourceID=14","0.0143")</f>
        <v>0.0143</v>
      </c>
    </row>
    <row r="5893" spans="1:7">
      <c r="A5893" s="3"/>
      <c r="B5893" s="3"/>
      <c r="C5893" s="3"/>
      <c r="D5893" s="3"/>
      <c r="E5893" s="3">
        <v>10</v>
      </c>
      <c r="F5893" s="4" t="str">
        <f>HYPERLINK("http://141.218.60.56/~jnz1568/getInfo.php?workbook=12_05.xlsx&amp;sheet=U0&amp;row=5893&amp;col=6&amp;number=3.9&amp;sourceID=14","3.9")</f>
        <v>3.9</v>
      </c>
      <c r="G5893" s="4" t="str">
        <f>HYPERLINK("http://141.218.60.56/~jnz1568/getInfo.php?workbook=12_05.xlsx&amp;sheet=U0&amp;row=5893&amp;col=7&amp;number=0.0143&amp;sourceID=14","0.0143")</f>
        <v>0.0143</v>
      </c>
    </row>
    <row r="5894" spans="1:7">
      <c r="A5894" s="3"/>
      <c r="B5894" s="3"/>
      <c r="C5894" s="3"/>
      <c r="D5894" s="3"/>
      <c r="E5894" s="3">
        <v>11</v>
      </c>
      <c r="F5894" s="4" t="str">
        <f>HYPERLINK("http://141.218.60.56/~jnz1568/getInfo.php?workbook=12_05.xlsx&amp;sheet=U0&amp;row=5894&amp;col=6&amp;number=4&amp;sourceID=14","4")</f>
        <v>4</v>
      </c>
      <c r="G5894" s="4" t="str">
        <f>HYPERLINK("http://141.218.60.56/~jnz1568/getInfo.php?workbook=12_05.xlsx&amp;sheet=U0&amp;row=5894&amp;col=7&amp;number=0.0143&amp;sourceID=14","0.0143")</f>
        <v>0.0143</v>
      </c>
    </row>
    <row r="5895" spans="1:7">
      <c r="A5895" s="3"/>
      <c r="B5895" s="3"/>
      <c r="C5895" s="3"/>
      <c r="D5895" s="3"/>
      <c r="E5895" s="3">
        <v>12</v>
      </c>
      <c r="F5895" s="4" t="str">
        <f>HYPERLINK("http://141.218.60.56/~jnz1568/getInfo.php?workbook=12_05.xlsx&amp;sheet=U0&amp;row=5895&amp;col=6&amp;number=4.1&amp;sourceID=14","4.1")</f>
        <v>4.1</v>
      </c>
      <c r="G5895" s="4" t="str">
        <f>HYPERLINK("http://141.218.60.56/~jnz1568/getInfo.php?workbook=12_05.xlsx&amp;sheet=U0&amp;row=5895&amp;col=7&amp;number=0.0143&amp;sourceID=14","0.0143")</f>
        <v>0.0143</v>
      </c>
    </row>
    <row r="5896" spans="1:7">
      <c r="A5896" s="3"/>
      <c r="B5896" s="3"/>
      <c r="C5896" s="3"/>
      <c r="D5896" s="3"/>
      <c r="E5896" s="3">
        <v>13</v>
      </c>
      <c r="F5896" s="4" t="str">
        <f>HYPERLINK("http://141.218.60.56/~jnz1568/getInfo.php?workbook=12_05.xlsx&amp;sheet=U0&amp;row=5896&amp;col=6&amp;number=4.2&amp;sourceID=14","4.2")</f>
        <v>4.2</v>
      </c>
      <c r="G5896" s="4" t="str">
        <f>HYPERLINK("http://141.218.60.56/~jnz1568/getInfo.php?workbook=12_05.xlsx&amp;sheet=U0&amp;row=5896&amp;col=7&amp;number=0.0143&amp;sourceID=14","0.0143")</f>
        <v>0.0143</v>
      </c>
    </row>
    <row r="5897" spans="1:7">
      <c r="A5897" s="3"/>
      <c r="B5897" s="3"/>
      <c r="C5897" s="3"/>
      <c r="D5897" s="3"/>
      <c r="E5897" s="3">
        <v>14</v>
      </c>
      <c r="F5897" s="4" t="str">
        <f>HYPERLINK("http://141.218.60.56/~jnz1568/getInfo.php?workbook=12_05.xlsx&amp;sheet=U0&amp;row=5897&amp;col=6&amp;number=4.3&amp;sourceID=14","4.3")</f>
        <v>4.3</v>
      </c>
      <c r="G5897" s="4" t="str">
        <f>HYPERLINK("http://141.218.60.56/~jnz1568/getInfo.php?workbook=12_05.xlsx&amp;sheet=U0&amp;row=5897&amp;col=7&amp;number=0.0143&amp;sourceID=14","0.0143")</f>
        <v>0.0143</v>
      </c>
    </row>
    <row r="5898" spans="1:7">
      <c r="A5898" s="3"/>
      <c r="B5898" s="3"/>
      <c r="C5898" s="3"/>
      <c r="D5898" s="3"/>
      <c r="E5898" s="3">
        <v>15</v>
      </c>
      <c r="F5898" s="4" t="str">
        <f>HYPERLINK("http://141.218.60.56/~jnz1568/getInfo.php?workbook=12_05.xlsx&amp;sheet=U0&amp;row=5898&amp;col=6&amp;number=4.4&amp;sourceID=14","4.4")</f>
        <v>4.4</v>
      </c>
      <c r="G5898" s="4" t="str">
        <f>HYPERLINK("http://141.218.60.56/~jnz1568/getInfo.php?workbook=12_05.xlsx&amp;sheet=U0&amp;row=5898&amp;col=7&amp;number=0.0143&amp;sourceID=14","0.0143")</f>
        <v>0.0143</v>
      </c>
    </row>
    <row r="5899" spans="1:7">
      <c r="A5899" s="3"/>
      <c r="B5899" s="3"/>
      <c r="C5899" s="3"/>
      <c r="D5899" s="3"/>
      <c r="E5899" s="3">
        <v>16</v>
      </c>
      <c r="F5899" s="4" t="str">
        <f>HYPERLINK("http://141.218.60.56/~jnz1568/getInfo.php?workbook=12_05.xlsx&amp;sheet=U0&amp;row=5899&amp;col=6&amp;number=4.5&amp;sourceID=14","4.5")</f>
        <v>4.5</v>
      </c>
      <c r="G5899" s="4" t="str">
        <f>HYPERLINK("http://141.218.60.56/~jnz1568/getInfo.php?workbook=12_05.xlsx&amp;sheet=U0&amp;row=5899&amp;col=7&amp;number=0.0144&amp;sourceID=14","0.0144")</f>
        <v>0.0144</v>
      </c>
    </row>
    <row r="5900" spans="1:7">
      <c r="A5900" s="3"/>
      <c r="B5900" s="3"/>
      <c r="C5900" s="3"/>
      <c r="D5900" s="3"/>
      <c r="E5900" s="3">
        <v>17</v>
      </c>
      <c r="F5900" s="4" t="str">
        <f>HYPERLINK("http://141.218.60.56/~jnz1568/getInfo.php?workbook=12_05.xlsx&amp;sheet=U0&amp;row=5900&amp;col=6&amp;number=4.6&amp;sourceID=14","4.6")</f>
        <v>4.6</v>
      </c>
      <c r="G5900" s="4" t="str">
        <f>HYPERLINK("http://141.218.60.56/~jnz1568/getInfo.php?workbook=12_05.xlsx&amp;sheet=U0&amp;row=5900&amp;col=7&amp;number=0.0144&amp;sourceID=14","0.0144")</f>
        <v>0.0144</v>
      </c>
    </row>
    <row r="5901" spans="1:7">
      <c r="A5901" s="3"/>
      <c r="B5901" s="3"/>
      <c r="C5901" s="3"/>
      <c r="D5901" s="3"/>
      <c r="E5901" s="3">
        <v>18</v>
      </c>
      <c r="F5901" s="4" t="str">
        <f>HYPERLINK("http://141.218.60.56/~jnz1568/getInfo.php?workbook=12_05.xlsx&amp;sheet=U0&amp;row=5901&amp;col=6&amp;number=4.7&amp;sourceID=14","4.7")</f>
        <v>4.7</v>
      </c>
      <c r="G5901" s="4" t="str">
        <f>HYPERLINK("http://141.218.60.56/~jnz1568/getInfo.php?workbook=12_05.xlsx&amp;sheet=U0&amp;row=5901&amp;col=7&amp;number=0.0145&amp;sourceID=14","0.0145")</f>
        <v>0.0145</v>
      </c>
    </row>
    <row r="5902" spans="1:7">
      <c r="A5902" s="3"/>
      <c r="B5902" s="3"/>
      <c r="C5902" s="3"/>
      <c r="D5902" s="3"/>
      <c r="E5902" s="3">
        <v>19</v>
      </c>
      <c r="F5902" s="4" t="str">
        <f>HYPERLINK("http://141.218.60.56/~jnz1568/getInfo.php?workbook=12_05.xlsx&amp;sheet=U0&amp;row=5902&amp;col=6&amp;number=4.8&amp;sourceID=14","4.8")</f>
        <v>4.8</v>
      </c>
      <c r="G5902" s="4" t="str">
        <f>HYPERLINK("http://141.218.60.56/~jnz1568/getInfo.php?workbook=12_05.xlsx&amp;sheet=U0&amp;row=5902&amp;col=7&amp;number=0.0145&amp;sourceID=14","0.0145")</f>
        <v>0.0145</v>
      </c>
    </row>
    <row r="5903" spans="1:7">
      <c r="A5903" s="3"/>
      <c r="B5903" s="3"/>
      <c r="C5903" s="3"/>
      <c r="D5903" s="3"/>
      <c r="E5903" s="3">
        <v>20</v>
      </c>
      <c r="F5903" s="4" t="str">
        <f>HYPERLINK("http://141.218.60.56/~jnz1568/getInfo.php?workbook=12_05.xlsx&amp;sheet=U0&amp;row=5903&amp;col=6&amp;number=4.9&amp;sourceID=14","4.9")</f>
        <v>4.9</v>
      </c>
      <c r="G5903" s="4" t="str">
        <f>HYPERLINK("http://141.218.60.56/~jnz1568/getInfo.php?workbook=12_05.xlsx&amp;sheet=U0&amp;row=5903&amp;col=7&amp;number=0.0146&amp;sourceID=14","0.0146")</f>
        <v>0.0146</v>
      </c>
    </row>
    <row r="5904" spans="1:7">
      <c r="A5904" s="3">
        <v>12</v>
      </c>
      <c r="B5904" s="3">
        <v>5</v>
      </c>
      <c r="C5904" s="3">
        <v>4</v>
      </c>
      <c r="D5904" s="3">
        <v>45</v>
      </c>
      <c r="E5904" s="3">
        <v>1</v>
      </c>
      <c r="F5904" s="4" t="str">
        <f>HYPERLINK("http://141.218.60.56/~jnz1568/getInfo.php?workbook=12_05.xlsx&amp;sheet=U0&amp;row=5904&amp;col=6&amp;number=3&amp;sourceID=14","3")</f>
        <v>3</v>
      </c>
      <c r="G5904" s="4" t="str">
        <f>HYPERLINK("http://141.218.60.56/~jnz1568/getInfo.php?workbook=12_05.xlsx&amp;sheet=U0&amp;row=5904&amp;col=7&amp;number=0.00945&amp;sourceID=14","0.00945")</f>
        <v>0.00945</v>
      </c>
    </row>
    <row r="5905" spans="1:7">
      <c r="A5905" s="3"/>
      <c r="B5905" s="3"/>
      <c r="C5905" s="3"/>
      <c r="D5905" s="3"/>
      <c r="E5905" s="3">
        <v>2</v>
      </c>
      <c r="F5905" s="4" t="str">
        <f>HYPERLINK("http://141.218.60.56/~jnz1568/getInfo.php?workbook=12_05.xlsx&amp;sheet=U0&amp;row=5905&amp;col=6&amp;number=3.1&amp;sourceID=14","3.1")</f>
        <v>3.1</v>
      </c>
      <c r="G5905" s="4" t="str">
        <f>HYPERLINK("http://141.218.60.56/~jnz1568/getInfo.php?workbook=12_05.xlsx&amp;sheet=U0&amp;row=5905&amp;col=7&amp;number=0.00945&amp;sourceID=14","0.00945")</f>
        <v>0.00945</v>
      </c>
    </row>
    <row r="5906" spans="1:7">
      <c r="A5906" s="3"/>
      <c r="B5906" s="3"/>
      <c r="C5906" s="3"/>
      <c r="D5906" s="3"/>
      <c r="E5906" s="3">
        <v>3</v>
      </c>
      <c r="F5906" s="4" t="str">
        <f>HYPERLINK("http://141.218.60.56/~jnz1568/getInfo.php?workbook=12_05.xlsx&amp;sheet=U0&amp;row=5906&amp;col=6&amp;number=3.2&amp;sourceID=14","3.2")</f>
        <v>3.2</v>
      </c>
      <c r="G5906" s="4" t="str">
        <f>HYPERLINK("http://141.218.60.56/~jnz1568/getInfo.php?workbook=12_05.xlsx&amp;sheet=U0&amp;row=5906&amp;col=7&amp;number=0.00946&amp;sourceID=14","0.00946")</f>
        <v>0.00946</v>
      </c>
    </row>
    <row r="5907" spans="1:7">
      <c r="A5907" s="3"/>
      <c r="B5907" s="3"/>
      <c r="C5907" s="3"/>
      <c r="D5907" s="3"/>
      <c r="E5907" s="3">
        <v>4</v>
      </c>
      <c r="F5907" s="4" t="str">
        <f>HYPERLINK("http://141.218.60.56/~jnz1568/getInfo.php?workbook=12_05.xlsx&amp;sheet=U0&amp;row=5907&amp;col=6&amp;number=3.3&amp;sourceID=14","3.3")</f>
        <v>3.3</v>
      </c>
      <c r="G5907" s="4" t="str">
        <f>HYPERLINK("http://141.218.60.56/~jnz1568/getInfo.php?workbook=12_05.xlsx&amp;sheet=U0&amp;row=5907&amp;col=7&amp;number=0.00946&amp;sourceID=14","0.00946")</f>
        <v>0.00946</v>
      </c>
    </row>
    <row r="5908" spans="1:7">
      <c r="A5908" s="3"/>
      <c r="B5908" s="3"/>
      <c r="C5908" s="3"/>
      <c r="D5908" s="3"/>
      <c r="E5908" s="3">
        <v>5</v>
      </c>
      <c r="F5908" s="4" t="str">
        <f>HYPERLINK("http://141.218.60.56/~jnz1568/getInfo.php?workbook=12_05.xlsx&amp;sheet=U0&amp;row=5908&amp;col=6&amp;number=3.4&amp;sourceID=14","3.4")</f>
        <v>3.4</v>
      </c>
      <c r="G5908" s="4" t="str">
        <f>HYPERLINK("http://141.218.60.56/~jnz1568/getInfo.php?workbook=12_05.xlsx&amp;sheet=U0&amp;row=5908&amp;col=7&amp;number=0.00946&amp;sourceID=14","0.00946")</f>
        <v>0.00946</v>
      </c>
    </row>
    <row r="5909" spans="1:7">
      <c r="A5909" s="3"/>
      <c r="B5909" s="3"/>
      <c r="C5909" s="3"/>
      <c r="D5909" s="3"/>
      <c r="E5909" s="3">
        <v>6</v>
      </c>
      <c r="F5909" s="4" t="str">
        <f>HYPERLINK("http://141.218.60.56/~jnz1568/getInfo.php?workbook=12_05.xlsx&amp;sheet=U0&amp;row=5909&amp;col=6&amp;number=3.5&amp;sourceID=14","3.5")</f>
        <v>3.5</v>
      </c>
      <c r="G5909" s="4" t="str">
        <f>HYPERLINK("http://141.218.60.56/~jnz1568/getInfo.php?workbook=12_05.xlsx&amp;sheet=U0&amp;row=5909&amp;col=7&amp;number=0.00946&amp;sourceID=14","0.00946")</f>
        <v>0.00946</v>
      </c>
    </row>
    <row r="5910" spans="1:7">
      <c r="A5910" s="3"/>
      <c r="B5910" s="3"/>
      <c r="C5910" s="3"/>
      <c r="D5910" s="3"/>
      <c r="E5910" s="3">
        <v>7</v>
      </c>
      <c r="F5910" s="4" t="str">
        <f>HYPERLINK("http://141.218.60.56/~jnz1568/getInfo.php?workbook=12_05.xlsx&amp;sheet=U0&amp;row=5910&amp;col=6&amp;number=3.6&amp;sourceID=14","3.6")</f>
        <v>3.6</v>
      </c>
      <c r="G5910" s="4" t="str">
        <f>HYPERLINK("http://141.218.60.56/~jnz1568/getInfo.php?workbook=12_05.xlsx&amp;sheet=U0&amp;row=5910&amp;col=7&amp;number=0.00947&amp;sourceID=14","0.00947")</f>
        <v>0.00947</v>
      </c>
    </row>
    <row r="5911" spans="1:7">
      <c r="A5911" s="3"/>
      <c r="B5911" s="3"/>
      <c r="C5911" s="3"/>
      <c r="D5911" s="3"/>
      <c r="E5911" s="3">
        <v>8</v>
      </c>
      <c r="F5911" s="4" t="str">
        <f>HYPERLINK("http://141.218.60.56/~jnz1568/getInfo.php?workbook=12_05.xlsx&amp;sheet=U0&amp;row=5911&amp;col=6&amp;number=3.7&amp;sourceID=14","3.7")</f>
        <v>3.7</v>
      </c>
      <c r="G5911" s="4" t="str">
        <f>HYPERLINK("http://141.218.60.56/~jnz1568/getInfo.php?workbook=12_05.xlsx&amp;sheet=U0&amp;row=5911&amp;col=7&amp;number=0.00947&amp;sourceID=14","0.00947")</f>
        <v>0.00947</v>
      </c>
    </row>
    <row r="5912" spans="1:7">
      <c r="A5912" s="3"/>
      <c r="B5912" s="3"/>
      <c r="C5912" s="3"/>
      <c r="D5912" s="3"/>
      <c r="E5912" s="3">
        <v>9</v>
      </c>
      <c r="F5912" s="4" t="str">
        <f>HYPERLINK("http://141.218.60.56/~jnz1568/getInfo.php?workbook=12_05.xlsx&amp;sheet=U0&amp;row=5912&amp;col=6&amp;number=3.8&amp;sourceID=14","3.8")</f>
        <v>3.8</v>
      </c>
      <c r="G5912" s="4" t="str">
        <f>HYPERLINK("http://141.218.60.56/~jnz1568/getInfo.php?workbook=12_05.xlsx&amp;sheet=U0&amp;row=5912&amp;col=7&amp;number=0.00947&amp;sourceID=14","0.00947")</f>
        <v>0.00947</v>
      </c>
    </row>
    <row r="5913" spans="1:7">
      <c r="A5913" s="3"/>
      <c r="B5913" s="3"/>
      <c r="C5913" s="3"/>
      <c r="D5913" s="3"/>
      <c r="E5913" s="3">
        <v>10</v>
      </c>
      <c r="F5913" s="4" t="str">
        <f>HYPERLINK("http://141.218.60.56/~jnz1568/getInfo.php?workbook=12_05.xlsx&amp;sheet=U0&amp;row=5913&amp;col=6&amp;number=3.9&amp;sourceID=14","3.9")</f>
        <v>3.9</v>
      </c>
      <c r="G5913" s="4" t="str">
        <f>HYPERLINK("http://141.218.60.56/~jnz1568/getInfo.php?workbook=12_05.xlsx&amp;sheet=U0&amp;row=5913&amp;col=7&amp;number=0.00948&amp;sourceID=14","0.00948")</f>
        <v>0.00948</v>
      </c>
    </row>
    <row r="5914" spans="1:7">
      <c r="A5914" s="3"/>
      <c r="B5914" s="3"/>
      <c r="C5914" s="3"/>
      <c r="D5914" s="3"/>
      <c r="E5914" s="3">
        <v>11</v>
      </c>
      <c r="F5914" s="4" t="str">
        <f>HYPERLINK("http://141.218.60.56/~jnz1568/getInfo.php?workbook=12_05.xlsx&amp;sheet=U0&amp;row=5914&amp;col=6&amp;number=4&amp;sourceID=14","4")</f>
        <v>4</v>
      </c>
      <c r="G5914" s="4" t="str">
        <f>HYPERLINK("http://141.218.60.56/~jnz1568/getInfo.php?workbook=12_05.xlsx&amp;sheet=U0&amp;row=5914&amp;col=7&amp;number=0.00949&amp;sourceID=14","0.00949")</f>
        <v>0.00949</v>
      </c>
    </row>
    <row r="5915" spans="1:7">
      <c r="A5915" s="3"/>
      <c r="B5915" s="3"/>
      <c r="C5915" s="3"/>
      <c r="D5915" s="3"/>
      <c r="E5915" s="3">
        <v>12</v>
      </c>
      <c r="F5915" s="4" t="str">
        <f>HYPERLINK("http://141.218.60.56/~jnz1568/getInfo.php?workbook=12_05.xlsx&amp;sheet=U0&amp;row=5915&amp;col=6&amp;number=4.1&amp;sourceID=14","4.1")</f>
        <v>4.1</v>
      </c>
      <c r="G5915" s="4" t="str">
        <f>HYPERLINK("http://141.218.60.56/~jnz1568/getInfo.php?workbook=12_05.xlsx&amp;sheet=U0&amp;row=5915&amp;col=7&amp;number=0.0095&amp;sourceID=14","0.0095")</f>
        <v>0.0095</v>
      </c>
    </row>
    <row r="5916" spans="1:7">
      <c r="A5916" s="3"/>
      <c r="B5916" s="3"/>
      <c r="C5916" s="3"/>
      <c r="D5916" s="3"/>
      <c r="E5916" s="3">
        <v>13</v>
      </c>
      <c r="F5916" s="4" t="str">
        <f>HYPERLINK("http://141.218.60.56/~jnz1568/getInfo.php?workbook=12_05.xlsx&amp;sheet=U0&amp;row=5916&amp;col=6&amp;number=4.2&amp;sourceID=14","4.2")</f>
        <v>4.2</v>
      </c>
      <c r="G5916" s="4" t="str">
        <f>HYPERLINK("http://141.218.60.56/~jnz1568/getInfo.php?workbook=12_05.xlsx&amp;sheet=U0&amp;row=5916&amp;col=7&amp;number=0.00951&amp;sourceID=14","0.00951")</f>
        <v>0.00951</v>
      </c>
    </row>
    <row r="5917" spans="1:7">
      <c r="A5917" s="3"/>
      <c r="B5917" s="3"/>
      <c r="C5917" s="3"/>
      <c r="D5917" s="3"/>
      <c r="E5917" s="3">
        <v>14</v>
      </c>
      <c r="F5917" s="4" t="str">
        <f>HYPERLINK("http://141.218.60.56/~jnz1568/getInfo.php?workbook=12_05.xlsx&amp;sheet=U0&amp;row=5917&amp;col=6&amp;number=4.3&amp;sourceID=14","4.3")</f>
        <v>4.3</v>
      </c>
      <c r="G5917" s="4" t="str">
        <f>HYPERLINK("http://141.218.60.56/~jnz1568/getInfo.php?workbook=12_05.xlsx&amp;sheet=U0&amp;row=5917&amp;col=7&amp;number=0.00953&amp;sourceID=14","0.00953")</f>
        <v>0.00953</v>
      </c>
    </row>
    <row r="5918" spans="1:7">
      <c r="A5918" s="3"/>
      <c r="B5918" s="3"/>
      <c r="C5918" s="3"/>
      <c r="D5918" s="3"/>
      <c r="E5918" s="3">
        <v>15</v>
      </c>
      <c r="F5918" s="4" t="str">
        <f>HYPERLINK("http://141.218.60.56/~jnz1568/getInfo.php?workbook=12_05.xlsx&amp;sheet=U0&amp;row=5918&amp;col=6&amp;number=4.4&amp;sourceID=14","4.4")</f>
        <v>4.4</v>
      </c>
      <c r="G5918" s="4" t="str">
        <f>HYPERLINK("http://141.218.60.56/~jnz1568/getInfo.php?workbook=12_05.xlsx&amp;sheet=U0&amp;row=5918&amp;col=7&amp;number=0.00954&amp;sourceID=14","0.00954")</f>
        <v>0.00954</v>
      </c>
    </row>
    <row r="5919" spans="1:7">
      <c r="A5919" s="3"/>
      <c r="B5919" s="3"/>
      <c r="C5919" s="3"/>
      <c r="D5919" s="3"/>
      <c r="E5919" s="3">
        <v>16</v>
      </c>
      <c r="F5919" s="4" t="str">
        <f>HYPERLINK("http://141.218.60.56/~jnz1568/getInfo.php?workbook=12_05.xlsx&amp;sheet=U0&amp;row=5919&amp;col=6&amp;number=4.5&amp;sourceID=14","4.5")</f>
        <v>4.5</v>
      </c>
      <c r="G5919" s="4" t="str">
        <f>HYPERLINK("http://141.218.60.56/~jnz1568/getInfo.php?workbook=12_05.xlsx&amp;sheet=U0&amp;row=5919&amp;col=7&amp;number=0.00957&amp;sourceID=14","0.00957")</f>
        <v>0.00957</v>
      </c>
    </row>
    <row r="5920" spans="1:7">
      <c r="A5920" s="3"/>
      <c r="B5920" s="3"/>
      <c r="C5920" s="3"/>
      <c r="D5920" s="3"/>
      <c r="E5920" s="3">
        <v>17</v>
      </c>
      <c r="F5920" s="4" t="str">
        <f>HYPERLINK("http://141.218.60.56/~jnz1568/getInfo.php?workbook=12_05.xlsx&amp;sheet=U0&amp;row=5920&amp;col=6&amp;number=4.6&amp;sourceID=14","4.6")</f>
        <v>4.6</v>
      </c>
      <c r="G5920" s="4" t="str">
        <f>HYPERLINK("http://141.218.60.56/~jnz1568/getInfo.php?workbook=12_05.xlsx&amp;sheet=U0&amp;row=5920&amp;col=7&amp;number=0.0096&amp;sourceID=14","0.0096")</f>
        <v>0.0096</v>
      </c>
    </row>
    <row r="5921" spans="1:7">
      <c r="A5921" s="3"/>
      <c r="B5921" s="3"/>
      <c r="C5921" s="3"/>
      <c r="D5921" s="3"/>
      <c r="E5921" s="3">
        <v>18</v>
      </c>
      <c r="F5921" s="4" t="str">
        <f>HYPERLINK("http://141.218.60.56/~jnz1568/getInfo.php?workbook=12_05.xlsx&amp;sheet=U0&amp;row=5921&amp;col=6&amp;number=4.7&amp;sourceID=14","4.7")</f>
        <v>4.7</v>
      </c>
      <c r="G5921" s="4" t="str">
        <f>HYPERLINK("http://141.218.60.56/~jnz1568/getInfo.php?workbook=12_05.xlsx&amp;sheet=U0&amp;row=5921&amp;col=7&amp;number=0.00964&amp;sourceID=14","0.00964")</f>
        <v>0.00964</v>
      </c>
    </row>
    <row r="5922" spans="1:7">
      <c r="A5922" s="3"/>
      <c r="B5922" s="3"/>
      <c r="C5922" s="3"/>
      <c r="D5922" s="3"/>
      <c r="E5922" s="3">
        <v>19</v>
      </c>
      <c r="F5922" s="4" t="str">
        <f>HYPERLINK("http://141.218.60.56/~jnz1568/getInfo.php?workbook=12_05.xlsx&amp;sheet=U0&amp;row=5922&amp;col=6&amp;number=4.8&amp;sourceID=14","4.8")</f>
        <v>4.8</v>
      </c>
      <c r="G5922" s="4" t="str">
        <f>HYPERLINK("http://141.218.60.56/~jnz1568/getInfo.php?workbook=12_05.xlsx&amp;sheet=U0&amp;row=5922&amp;col=7&amp;number=0.00968&amp;sourceID=14","0.00968")</f>
        <v>0.00968</v>
      </c>
    </row>
    <row r="5923" spans="1:7">
      <c r="A5923" s="3"/>
      <c r="B5923" s="3"/>
      <c r="C5923" s="3"/>
      <c r="D5923" s="3"/>
      <c r="E5923" s="3">
        <v>20</v>
      </c>
      <c r="F5923" s="4" t="str">
        <f>HYPERLINK("http://141.218.60.56/~jnz1568/getInfo.php?workbook=12_05.xlsx&amp;sheet=U0&amp;row=5923&amp;col=6&amp;number=4.9&amp;sourceID=14","4.9")</f>
        <v>4.9</v>
      </c>
      <c r="G5923" s="4" t="str">
        <f>HYPERLINK("http://141.218.60.56/~jnz1568/getInfo.php?workbook=12_05.xlsx&amp;sheet=U0&amp;row=5923&amp;col=7&amp;number=0.00974&amp;sourceID=14","0.00974")</f>
        <v>0.00974</v>
      </c>
    </row>
    <row r="5924" spans="1:7">
      <c r="A5924" s="3">
        <v>12</v>
      </c>
      <c r="B5924" s="3">
        <v>5</v>
      </c>
      <c r="C5924" s="3">
        <v>4</v>
      </c>
      <c r="D5924" s="3">
        <v>46</v>
      </c>
      <c r="E5924" s="3">
        <v>1</v>
      </c>
      <c r="F5924" s="4" t="str">
        <f>HYPERLINK("http://141.218.60.56/~jnz1568/getInfo.php?workbook=12_05.xlsx&amp;sheet=U0&amp;row=5924&amp;col=6&amp;number=3&amp;sourceID=14","3")</f>
        <v>3</v>
      </c>
      <c r="G5924" s="4" t="str">
        <f>HYPERLINK("http://141.218.60.56/~jnz1568/getInfo.php?workbook=12_05.xlsx&amp;sheet=U0&amp;row=5924&amp;col=7&amp;number=0.00623&amp;sourceID=14","0.00623")</f>
        <v>0.00623</v>
      </c>
    </row>
    <row r="5925" spans="1:7">
      <c r="A5925" s="3"/>
      <c r="B5925" s="3"/>
      <c r="C5925" s="3"/>
      <c r="D5925" s="3"/>
      <c r="E5925" s="3">
        <v>2</v>
      </c>
      <c r="F5925" s="4" t="str">
        <f>HYPERLINK("http://141.218.60.56/~jnz1568/getInfo.php?workbook=12_05.xlsx&amp;sheet=U0&amp;row=5925&amp;col=6&amp;number=3.1&amp;sourceID=14","3.1")</f>
        <v>3.1</v>
      </c>
      <c r="G5925" s="4" t="str">
        <f>HYPERLINK("http://141.218.60.56/~jnz1568/getInfo.php?workbook=12_05.xlsx&amp;sheet=U0&amp;row=5925&amp;col=7&amp;number=0.00623&amp;sourceID=14","0.00623")</f>
        <v>0.00623</v>
      </c>
    </row>
    <row r="5926" spans="1:7">
      <c r="A5926" s="3"/>
      <c r="B5926" s="3"/>
      <c r="C5926" s="3"/>
      <c r="D5926" s="3"/>
      <c r="E5926" s="3">
        <v>3</v>
      </c>
      <c r="F5926" s="4" t="str">
        <f>HYPERLINK("http://141.218.60.56/~jnz1568/getInfo.php?workbook=12_05.xlsx&amp;sheet=U0&amp;row=5926&amp;col=6&amp;number=3.2&amp;sourceID=14","3.2")</f>
        <v>3.2</v>
      </c>
      <c r="G5926" s="4" t="str">
        <f>HYPERLINK("http://141.218.60.56/~jnz1568/getInfo.php?workbook=12_05.xlsx&amp;sheet=U0&amp;row=5926&amp;col=7&amp;number=0.00623&amp;sourceID=14","0.00623")</f>
        <v>0.00623</v>
      </c>
    </row>
    <row r="5927" spans="1:7">
      <c r="A5927" s="3"/>
      <c r="B5927" s="3"/>
      <c r="C5927" s="3"/>
      <c r="D5927" s="3"/>
      <c r="E5927" s="3">
        <v>4</v>
      </c>
      <c r="F5927" s="4" t="str">
        <f>HYPERLINK("http://141.218.60.56/~jnz1568/getInfo.php?workbook=12_05.xlsx&amp;sheet=U0&amp;row=5927&amp;col=6&amp;number=3.3&amp;sourceID=14","3.3")</f>
        <v>3.3</v>
      </c>
      <c r="G5927" s="4" t="str">
        <f>HYPERLINK("http://141.218.60.56/~jnz1568/getInfo.php?workbook=12_05.xlsx&amp;sheet=U0&amp;row=5927&amp;col=7&amp;number=0.00622&amp;sourceID=14","0.00622")</f>
        <v>0.00622</v>
      </c>
    </row>
    <row r="5928" spans="1:7">
      <c r="A5928" s="3"/>
      <c r="B5928" s="3"/>
      <c r="C5928" s="3"/>
      <c r="D5928" s="3"/>
      <c r="E5928" s="3">
        <v>5</v>
      </c>
      <c r="F5928" s="4" t="str">
        <f>HYPERLINK("http://141.218.60.56/~jnz1568/getInfo.php?workbook=12_05.xlsx&amp;sheet=U0&amp;row=5928&amp;col=6&amp;number=3.4&amp;sourceID=14","3.4")</f>
        <v>3.4</v>
      </c>
      <c r="G5928" s="4" t="str">
        <f>HYPERLINK("http://141.218.60.56/~jnz1568/getInfo.php?workbook=12_05.xlsx&amp;sheet=U0&amp;row=5928&amp;col=7&amp;number=0.00622&amp;sourceID=14","0.00622")</f>
        <v>0.00622</v>
      </c>
    </row>
    <row r="5929" spans="1:7">
      <c r="A5929" s="3"/>
      <c r="B5929" s="3"/>
      <c r="C5929" s="3"/>
      <c r="D5929" s="3"/>
      <c r="E5929" s="3">
        <v>6</v>
      </c>
      <c r="F5929" s="4" t="str">
        <f>HYPERLINK("http://141.218.60.56/~jnz1568/getInfo.php?workbook=12_05.xlsx&amp;sheet=U0&amp;row=5929&amp;col=6&amp;number=3.5&amp;sourceID=14","3.5")</f>
        <v>3.5</v>
      </c>
      <c r="G5929" s="4" t="str">
        <f>HYPERLINK("http://141.218.60.56/~jnz1568/getInfo.php?workbook=12_05.xlsx&amp;sheet=U0&amp;row=5929&amp;col=7&amp;number=0.00622&amp;sourceID=14","0.00622")</f>
        <v>0.00622</v>
      </c>
    </row>
    <row r="5930" spans="1:7">
      <c r="A5930" s="3"/>
      <c r="B5930" s="3"/>
      <c r="C5930" s="3"/>
      <c r="D5930" s="3"/>
      <c r="E5930" s="3">
        <v>7</v>
      </c>
      <c r="F5930" s="4" t="str">
        <f>HYPERLINK("http://141.218.60.56/~jnz1568/getInfo.php?workbook=12_05.xlsx&amp;sheet=U0&amp;row=5930&amp;col=6&amp;number=3.6&amp;sourceID=14","3.6")</f>
        <v>3.6</v>
      </c>
      <c r="G5930" s="4" t="str">
        <f>HYPERLINK("http://141.218.60.56/~jnz1568/getInfo.php?workbook=12_05.xlsx&amp;sheet=U0&amp;row=5930&amp;col=7&amp;number=0.00621&amp;sourceID=14","0.00621")</f>
        <v>0.00621</v>
      </c>
    </row>
    <row r="5931" spans="1:7">
      <c r="A5931" s="3"/>
      <c r="B5931" s="3"/>
      <c r="C5931" s="3"/>
      <c r="D5931" s="3"/>
      <c r="E5931" s="3">
        <v>8</v>
      </c>
      <c r="F5931" s="4" t="str">
        <f>HYPERLINK("http://141.218.60.56/~jnz1568/getInfo.php?workbook=12_05.xlsx&amp;sheet=U0&amp;row=5931&amp;col=6&amp;number=3.7&amp;sourceID=14","3.7")</f>
        <v>3.7</v>
      </c>
      <c r="G5931" s="4" t="str">
        <f>HYPERLINK("http://141.218.60.56/~jnz1568/getInfo.php?workbook=12_05.xlsx&amp;sheet=U0&amp;row=5931&amp;col=7&amp;number=0.00621&amp;sourceID=14","0.00621")</f>
        <v>0.00621</v>
      </c>
    </row>
    <row r="5932" spans="1:7">
      <c r="A5932" s="3"/>
      <c r="B5932" s="3"/>
      <c r="C5932" s="3"/>
      <c r="D5932" s="3"/>
      <c r="E5932" s="3">
        <v>9</v>
      </c>
      <c r="F5932" s="4" t="str">
        <f>HYPERLINK("http://141.218.60.56/~jnz1568/getInfo.php?workbook=12_05.xlsx&amp;sheet=U0&amp;row=5932&amp;col=6&amp;number=3.8&amp;sourceID=14","3.8")</f>
        <v>3.8</v>
      </c>
      <c r="G5932" s="4" t="str">
        <f>HYPERLINK("http://141.218.60.56/~jnz1568/getInfo.php?workbook=12_05.xlsx&amp;sheet=U0&amp;row=5932&amp;col=7&amp;number=0.0062&amp;sourceID=14","0.0062")</f>
        <v>0.0062</v>
      </c>
    </row>
    <row r="5933" spans="1:7">
      <c r="A5933" s="3"/>
      <c r="B5933" s="3"/>
      <c r="C5933" s="3"/>
      <c r="D5933" s="3"/>
      <c r="E5933" s="3">
        <v>10</v>
      </c>
      <c r="F5933" s="4" t="str">
        <f>HYPERLINK("http://141.218.60.56/~jnz1568/getInfo.php?workbook=12_05.xlsx&amp;sheet=U0&amp;row=5933&amp;col=6&amp;number=3.9&amp;sourceID=14","3.9")</f>
        <v>3.9</v>
      </c>
      <c r="G5933" s="4" t="str">
        <f>HYPERLINK("http://141.218.60.56/~jnz1568/getInfo.php?workbook=12_05.xlsx&amp;sheet=U0&amp;row=5933&amp;col=7&amp;number=0.00619&amp;sourceID=14","0.00619")</f>
        <v>0.00619</v>
      </c>
    </row>
    <row r="5934" spans="1:7">
      <c r="A5934" s="3"/>
      <c r="B5934" s="3"/>
      <c r="C5934" s="3"/>
      <c r="D5934" s="3"/>
      <c r="E5934" s="3">
        <v>11</v>
      </c>
      <c r="F5934" s="4" t="str">
        <f>HYPERLINK("http://141.218.60.56/~jnz1568/getInfo.php?workbook=12_05.xlsx&amp;sheet=U0&amp;row=5934&amp;col=6&amp;number=4&amp;sourceID=14","4")</f>
        <v>4</v>
      </c>
      <c r="G5934" s="4" t="str">
        <f>HYPERLINK("http://141.218.60.56/~jnz1568/getInfo.php?workbook=12_05.xlsx&amp;sheet=U0&amp;row=5934&amp;col=7&amp;number=0.00618&amp;sourceID=14","0.00618")</f>
        <v>0.00618</v>
      </c>
    </row>
    <row r="5935" spans="1:7">
      <c r="A5935" s="3"/>
      <c r="B5935" s="3"/>
      <c r="C5935" s="3"/>
      <c r="D5935" s="3"/>
      <c r="E5935" s="3">
        <v>12</v>
      </c>
      <c r="F5935" s="4" t="str">
        <f>HYPERLINK("http://141.218.60.56/~jnz1568/getInfo.php?workbook=12_05.xlsx&amp;sheet=U0&amp;row=5935&amp;col=6&amp;number=4.1&amp;sourceID=14","4.1")</f>
        <v>4.1</v>
      </c>
      <c r="G5935" s="4" t="str">
        <f>HYPERLINK("http://141.218.60.56/~jnz1568/getInfo.php?workbook=12_05.xlsx&amp;sheet=U0&amp;row=5935&amp;col=7&amp;number=0.00616&amp;sourceID=14","0.00616")</f>
        <v>0.00616</v>
      </c>
    </row>
    <row r="5936" spans="1:7">
      <c r="A5936" s="3"/>
      <c r="B5936" s="3"/>
      <c r="C5936" s="3"/>
      <c r="D5936" s="3"/>
      <c r="E5936" s="3">
        <v>13</v>
      </c>
      <c r="F5936" s="4" t="str">
        <f>HYPERLINK("http://141.218.60.56/~jnz1568/getInfo.php?workbook=12_05.xlsx&amp;sheet=U0&amp;row=5936&amp;col=6&amp;number=4.2&amp;sourceID=14","4.2")</f>
        <v>4.2</v>
      </c>
      <c r="G5936" s="4" t="str">
        <f>HYPERLINK("http://141.218.60.56/~jnz1568/getInfo.php?workbook=12_05.xlsx&amp;sheet=U0&amp;row=5936&amp;col=7&amp;number=0.00615&amp;sourceID=14","0.00615")</f>
        <v>0.00615</v>
      </c>
    </row>
    <row r="5937" spans="1:7">
      <c r="A5937" s="3"/>
      <c r="B5937" s="3"/>
      <c r="C5937" s="3"/>
      <c r="D5937" s="3"/>
      <c r="E5937" s="3">
        <v>14</v>
      </c>
      <c r="F5937" s="4" t="str">
        <f>HYPERLINK("http://141.218.60.56/~jnz1568/getInfo.php?workbook=12_05.xlsx&amp;sheet=U0&amp;row=5937&amp;col=6&amp;number=4.3&amp;sourceID=14","4.3")</f>
        <v>4.3</v>
      </c>
      <c r="G5937" s="4" t="str">
        <f>HYPERLINK("http://141.218.60.56/~jnz1568/getInfo.php?workbook=12_05.xlsx&amp;sheet=U0&amp;row=5937&amp;col=7&amp;number=0.00612&amp;sourceID=14","0.00612")</f>
        <v>0.00612</v>
      </c>
    </row>
    <row r="5938" spans="1:7">
      <c r="A5938" s="3"/>
      <c r="B5938" s="3"/>
      <c r="C5938" s="3"/>
      <c r="D5938" s="3"/>
      <c r="E5938" s="3">
        <v>15</v>
      </c>
      <c r="F5938" s="4" t="str">
        <f>HYPERLINK("http://141.218.60.56/~jnz1568/getInfo.php?workbook=12_05.xlsx&amp;sheet=U0&amp;row=5938&amp;col=6&amp;number=4.4&amp;sourceID=14","4.4")</f>
        <v>4.4</v>
      </c>
      <c r="G5938" s="4" t="str">
        <f>HYPERLINK("http://141.218.60.56/~jnz1568/getInfo.php?workbook=12_05.xlsx&amp;sheet=U0&amp;row=5938&amp;col=7&amp;number=0.00609&amp;sourceID=14","0.00609")</f>
        <v>0.00609</v>
      </c>
    </row>
    <row r="5939" spans="1:7">
      <c r="A5939" s="3"/>
      <c r="B5939" s="3"/>
      <c r="C5939" s="3"/>
      <c r="D5939" s="3"/>
      <c r="E5939" s="3">
        <v>16</v>
      </c>
      <c r="F5939" s="4" t="str">
        <f>HYPERLINK("http://141.218.60.56/~jnz1568/getInfo.php?workbook=12_05.xlsx&amp;sheet=U0&amp;row=5939&amp;col=6&amp;number=4.5&amp;sourceID=14","4.5")</f>
        <v>4.5</v>
      </c>
      <c r="G5939" s="4" t="str">
        <f>HYPERLINK("http://141.218.60.56/~jnz1568/getInfo.php?workbook=12_05.xlsx&amp;sheet=U0&amp;row=5939&amp;col=7&amp;number=0.00606&amp;sourceID=14","0.00606")</f>
        <v>0.00606</v>
      </c>
    </row>
    <row r="5940" spans="1:7">
      <c r="A5940" s="3"/>
      <c r="B5940" s="3"/>
      <c r="C5940" s="3"/>
      <c r="D5940" s="3"/>
      <c r="E5940" s="3">
        <v>17</v>
      </c>
      <c r="F5940" s="4" t="str">
        <f>HYPERLINK("http://141.218.60.56/~jnz1568/getInfo.php?workbook=12_05.xlsx&amp;sheet=U0&amp;row=5940&amp;col=6&amp;number=4.6&amp;sourceID=14","4.6")</f>
        <v>4.6</v>
      </c>
      <c r="G5940" s="4" t="str">
        <f>HYPERLINK("http://141.218.60.56/~jnz1568/getInfo.php?workbook=12_05.xlsx&amp;sheet=U0&amp;row=5940&amp;col=7&amp;number=0.00602&amp;sourceID=14","0.00602")</f>
        <v>0.00602</v>
      </c>
    </row>
    <row r="5941" spans="1:7">
      <c r="A5941" s="3"/>
      <c r="B5941" s="3"/>
      <c r="C5941" s="3"/>
      <c r="D5941" s="3"/>
      <c r="E5941" s="3">
        <v>18</v>
      </c>
      <c r="F5941" s="4" t="str">
        <f>HYPERLINK("http://141.218.60.56/~jnz1568/getInfo.php?workbook=12_05.xlsx&amp;sheet=U0&amp;row=5941&amp;col=6&amp;number=4.7&amp;sourceID=14","4.7")</f>
        <v>4.7</v>
      </c>
      <c r="G5941" s="4" t="str">
        <f>HYPERLINK("http://141.218.60.56/~jnz1568/getInfo.php?workbook=12_05.xlsx&amp;sheet=U0&amp;row=5941&amp;col=7&amp;number=0.00596&amp;sourceID=14","0.00596")</f>
        <v>0.00596</v>
      </c>
    </row>
    <row r="5942" spans="1:7">
      <c r="A5942" s="3"/>
      <c r="B5942" s="3"/>
      <c r="C5942" s="3"/>
      <c r="D5942" s="3"/>
      <c r="E5942" s="3">
        <v>19</v>
      </c>
      <c r="F5942" s="4" t="str">
        <f>HYPERLINK("http://141.218.60.56/~jnz1568/getInfo.php?workbook=12_05.xlsx&amp;sheet=U0&amp;row=5942&amp;col=6&amp;number=4.8&amp;sourceID=14","4.8")</f>
        <v>4.8</v>
      </c>
      <c r="G5942" s="4" t="str">
        <f>HYPERLINK("http://141.218.60.56/~jnz1568/getInfo.php?workbook=12_05.xlsx&amp;sheet=U0&amp;row=5942&amp;col=7&amp;number=0.00589&amp;sourceID=14","0.00589")</f>
        <v>0.00589</v>
      </c>
    </row>
    <row r="5943" spans="1:7">
      <c r="A5943" s="3"/>
      <c r="B5943" s="3"/>
      <c r="C5943" s="3"/>
      <c r="D5943" s="3"/>
      <c r="E5943" s="3">
        <v>20</v>
      </c>
      <c r="F5943" s="4" t="str">
        <f>HYPERLINK("http://141.218.60.56/~jnz1568/getInfo.php?workbook=12_05.xlsx&amp;sheet=U0&amp;row=5943&amp;col=6&amp;number=4.9&amp;sourceID=14","4.9")</f>
        <v>4.9</v>
      </c>
      <c r="G5943" s="4" t="str">
        <f>HYPERLINK("http://141.218.60.56/~jnz1568/getInfo.php?workbook=12_05.xlsx&amp;sheet=U0&amp;row=5943&amp;col=7&amp;number=0.00581&amp;sourceID=14","0.00581")</f>
        <v>0.00581</v>
      </c>
    </row>
    <row r="5944" spans="1:7">
      <c r="A5944" s="3">
        <v>12</v>
      </c>
      <c r="B5944" s="3">
        <v>5</v>
      </c>
      <c r="C5944" s="3">
        <v>4</v>
      </c>
      <c r="D5944" s="3">
        <v>47</v>
      </c>
      <c r="E5944" s="3">
        <v>1</v>
      </c>
      <c r="F5944" s="4" t="str">
        <f>HYPERLINK("http://141.218.60.56/~jnz1568/getInfo.php?workbook=12_05.xlsx&amp;sheet=U0&amp;row=5944&amp;col=6&amp;number=3&amp;sourceID=14","3")</f>
        <v>3</v>
      </c>
      <c r="G5944" s="4" t="str">
        <f>HYPERLINK("http://141.218.60.56/~jnz1568/getInfo.php?workbook=12_05.xlsx&amp;sheet=U0&amp;row=5944&amp;col=7&amp;number=0.000492&amp;sourceID=14","0.000492")</f>
        <v>0.000492</v>
      </c>
    </row>
    <row r="5945" spans="1:7">
      <c r="A5945" s="3"/>
      <c r="B5945" s="3"/>
      <c r="C5945" s="3"/>
      <c r="D5945" s="3"/>
      <c r="E5945" s="3">
        <v>2</v>
      </c>
      <c r="F5945" s="4" t="str">
        <f>HYPERLINK("http://141.218.60.56/~jnz1568/getInfo.php?workbook=12_05.xlsx&amp;sheet=U0&amp;row=5945&amp;col=6&amp;number=3.1&amp;sourceID=14","3.1")</f>
        <v>3.1</v>
      </c>
      <c r="G5945" s="4" t="str">
        <f>HYPERLINK("http://141.218.60.56/~jnz1568/getInfo.php?workbook=12_05.xlsx&amp;sheet=U0&amp;row=5945&amp;col=7&amp;number=0.000492&amp;sourceID=14","0.000492")</f>
        <v>0.000492</v>
      </c>
    </row>
    <row r="5946" spans="1:7">
      <c r="A5946" s="3"/>
      <c r="B5946" s="3"/>
      <c r="C5946" s="3"/>
      <c r="D5946" s="3"/>
      <c r="E5946" s="3">
        <v>3</v>
      </c>
      <c r="F5946" s="4" t="str">
        <f>HYPERLINK("http://141.218.60.56/~jnz1568/getInfo.php?workbook=12_05.xlsx&amp;sheet=U0&amp;row=5946&amp;col=6&amp;number=3.2&amp;sourceID=14","3.2")</f>
        <v>3.2</v>
      </c>
      <c r="G5946" s="4" t="str">
        <f>HYPERLINK("http://141.218.60.56/~jnz1568/getInfo.php?workbook=12_05.xlsx&amp;sheet=U0&amp;row=5946&amp;col=7&amp;number=0.000492&amp;sourceID=14","0.000492")</f>
        <v>0.000492</v>
      </c>
    </row>
    <row r="5947" spans="1:7">
      <c r="A5947" s="3"/>
      <c r="B5947" s="3"/>
      <c r="C5947" s="3"/>
      <c r="D5947" s="3"/>
      <c r="E5947" s="3">
        <v>4</v>
      </c>
      <c r="F5947" s="4" t="str">
        <f>HYPERLINK("http://141.218.60.56/~jnz1568/getInfo.php?workbook=12_05.xlsx&amp;sheet=U0&amp;row=5947&amp;col=6&amp;number=3.3&amp;sourceID=14","3.3")</f>
        <v>3.3</v>
      </c>
      <c r="G5947" s="4" t="str">
        <f>HYPERLINK("http://141.218.60.56/~jnz1568/getInfo.php?workbook=12_05.xlsx&amp;sheet=U0&amp;row=5947&amp;col=7&amp;number=0.000492&amp;sourceID=14","0.000492")</f>
        <v>0.000492</v>
      </c>
    </row>
    <row r="5948" spans="1:7">
      <c r="A5948" s="3"/>
      <c r="B5948" s="3"/>
      <c r="C5948" s="3"/>
      <c r="D5948" s="3"/>
      <c r="E5948" s="3">
        <v>5</v>
      </c>
      <c r="F5948" s="4" t="str">
        <f>HYPERLINK("http://141.218.60.56/~jnz1568/getInfo.php?workbook=12_05.xlsx&amp;sheet=U0&amp;row=5948&amp;col=6&amp;number=3.4&amp;sourceID=14","3.4")</f>
        <v>3.4</v>
      </c>
      <c r="G5948" s="4" t="str">
        <f>HYPERLINK("http://141.218.60.56/~jnz1568/getInfo.php?workbook=12_05.xlsx&amp;sheet=U0&amp;row=5948&amp;col=7&amp;number=0.000491&amp;sourceID=14","0.000491")</f>
        <v>0.000491</v>
      </c>
    </row>
    <row r="5949" spans="1:7">
      <c r="A5949" s="3"/>
      <c r="B5949" s="3"/>
      <c r="C5949" s="3"/>
      <c r="D5949" s="3"/>
      <c r="E5949" s="3">
        <v>6</v>
      </c>
      <c r="F5949" s="4" t="str">
        <f>HYPERLINK("http://141.218.60.56/~jnz1568/getInfo.php?workbook=12_05.xlsx&amp;sheet=U0&amp;row=5949&amp;col=6&amp;number=3.5&amp;sourceID=14","3.5")</f>
        <v>3.5</v>
      </c>
      <c r="G5949" s="4" t="str">
        <f>HYPERLINK("http://141.218.60.56/~jnz1568/getInfo.php?workbook=12_05.xlsx&amp;sheet=U0&amp;row=5949&amp;col=7&amp;number=0.000491&amp;sourceID=14","0.000491")</f>
        <v>0.000491</v>
      </c>
    </row>
    <row r="5950" spans="1:7">
      <c r="A5950" s="3"/>
      <c r="B5950" s="3"/>
      <c r="C5950" s="3"/>
      <c r="D5950" s="3"/>
      <c r="E5950" s="3">
        <v>7</v>
      </c>
      <c r="F5950" s="4" t="str">
        <f>HYPERLINK("http://141.218.60.56/~jnz1568/getInfo.php?workbook=12_05.xlsx&amp;sheet=U0&amp;row=5950&amp;col=6&amp;number=3.6&amp;sourceID=14","3.6")</f>
        <v>3.6</v>
      </c>
      <c r="G5950" s="4" t="str">
        <f>HYPERLINK("http://141.218.60.56/~jnz1568/getInfo.php?workbook=12_05.xlsx&amp;sheet=U0&amp;row=5950&amp;col=7&amp;number=0.000491&amp;sourceID=14","0.000491")</f>
        <v>0.000491</v>
      </c>
    </row>
    <row r="5951" spans="1:7">
      <c r="A5951" s="3"/>
      <c r="B5951" s="3"/>
      <c r="C5951" s="3"/>
      <c r="D5951" s="3"/>
      <c r="E5951" s="3">
        <v>8</v>
      </c>
      <c r="F5951" s="4" t="str">
        <f>HYPERLINK("http://141.218.60.56/~jnz1568/getInfo.php?workbook=12_05.xlsx&amp;sheet=U0&amp;row=5951&amp;col=6&amp;number=3.7&amp;sourceID=14","3.7")</f>
        <v>3.7</v>
      </c>
      <c r="G5951" s="4" t="str">
        <f>HYPERLINK("http://141.218.60.56/~jnz1568/getInfo.php?workbook=12_05.xlsx&amp;sheet=U0&amp;row=5951&amp;col=7&amp;number=0.00049&amp;sourceID=14","0.00049")</f>
        <v>0.00049</v>
      </c>
    </row>
    <row r="5952" spans="1:7">
      <c r="A5952" s="3"/>
      <c r="B5952" s="3"/>
      <c r="C5952" s="3"/>
      <c r="D5952" s="3"/>
      <c r="E5952" s="3">
        <v>9</v>
      </c>
      <c r="F5952" s="4" t="str">
        <f>HYPERLINK("http://141.218.60.56/~jnz1568/getInfo.php?workbook=12_05.xlsx&amp;sheet=U0&amp;row=5952&amp;col=6&amp;number=3.8&amp;sourceID=14","3.8")</f>
        <v>3.8</v>
      </c>
      <c r="G5952" s="4" t="str">
        <f>HYPERLINK("http://141.218.60.56/~jnz1568/getInfo.php?workbook=12_05.xlsx&amp;sheet=U0&amp;row=5952&amp;col=7&amp;number=0.00049&amp;sourceID=14","0.00049")</f>
        <v>0.00049</v>
      </c>
    </row>
    <row r="5953" spans="1:7">
      <c r="A5953" s="3"/>
      <c r="B5953" s="3"/>
      <c r="C5953" s="3"/>
      <c r="D5953" s="3"/>
      <c r="E5953" s="3">
        <v>10</v>
      </c>
      <c r="F5953" s="4" t="str">
        <f>HYPERLINK("http://141.218.60.56/~jnz1568/getInfo.php?workbook=12_05.xlsx&amp;sheet=U0&amp;row=5953&amp;col=6&amp;number=3.9&amp;sourceID=14","3.9")</f>
        <v>3.9</v>
      </c>
      <c r="G5953" s="4" t="str">
        <f>HYPERLINK("http://141.218.60.56/~jnz1568/getInfo.php?workbook=12_05.xlsx&amp;sheet=U0&amp;row=5953&amp;col=7&amp;number=0.000489&amp;sourceID=14","0.000489")</f>
        <v>0.000489</v>
      </c>
    </row>
    <row r="5954" spans="1:7">
      <c r="A5954" s="3"/>
      <c r="B5954" s="3"/>
      <c r="C5954" s="3"/>
      <c r="D5954" s="3"/>
      <c r="E5954" s="3">
        <v>11</v>
      </c>
      <c r="F5954" s="4" t="str">
        <f>HYPERLINK("http://141.218.60.56/~jnz1568/getInfo.php?workbook=12_05.xlsx&amp;sheet=U0&amp;row=5954&amp;col=6&amp;number=4&amp;sourceID=14","4")</f>
        <v>4</v>
      </c>
      <c r="G5954" s="4" t="str">
        <f>HYPERLINK("http://141.218.60.56/~jnz1568/getInfo.php?workbook=12_05.xlsx&amp;sheet=U0&amp;row=5954&amp;col=7&amp;number=0.000488&amp;sourceID=14","0.000488")</f>
        <v>0.000488</v>
      </c>
    </row>
    <row r="5955" spans="1:7">
      <c r="A5955" s="3"/>
      <c r="B5955" s="3"/>
      <c r="C5955" s="3"/>
      <c r="D5955" s="3"/>
      <c r="E5955" s="3">
        <v>12</v>
      </c>
      <c r="F5955" s="4" t="str">
        <f>HYPERLINK("http://141.218.60.56/~jnz1568/getInfo.php?workbook=12_05.xlsx&amp;sheet=U0&amp;row=5955&amp;col=6&amp;number=4.1&amp;sourceID=14","4.1")</f>
        <v>4.1</v>
      </c>
      <c r="G5955" s="4" t="str">
        <f>HYPERLINK("http://141.218.60.56/~jnz1568/getInfo.php?workbook=12_05.xlsx&amp;sheet=U0&amp;row=5955&amp;col=7&amp;number=0.000487&amp;sourceID=14","0.000487")</f>
        <v>0.000487</v>
      </c>
    </row>
    <row r="5956" spans="1:7">
      <c r="A5956" s="3"/>
      <c r="B5956" s="3"/>
      <c r="C5956" s="3"/>
      <c r="D5956" s="3"/>
      <c r="E5956" s="3">
        <v>13</v>
      </c>
      <c r="F5956" s="4" t="str">
        <f>HYPERLINK("http://141.218.60.56/~jnz1568/getInfo.php?workbook=12_05.xlsx&amp;sheet=U0&amp;row=5956&amp;col=6&amp;number=4.2&amp;sourceID=14","4.2")</f>
        <v>4.2</v>
      </c>
      <c r="G5956" s="4" t="str">
        <f>HYPERLINK("http://141.218.60.56/~jnz1568/getInfo.php?workbook=12_05.xlsx&amp;sheet=U0&amp;row=5956&amp;col=7&amp;number=0.000486&amp;sourceID=14","0.000486")</f>
        <v>0.000486</v>
      </c>
    </row>
    <row r="5957" spans="1:7">
      <c r="A5957" s="3"/>
      <c r="B5957" s="3"/>
      <c r="C5957" s="3"/>
      <c r="D5957" s="3"/>
      <c r="E5957" s="3">
        <v>14</v>
      </c>
      <c r="F5957" s="4" t="str">
        <f>HYPERLINK("http://141.218.60.56/~jnz1568/getInfo.php?workbook=12_05.xlsx&amp;sheet=U0&amp;row=5957&amp;col=6&amp;number=4.3&amp;sourceID=14","4.3")</f>
        <v>4.3</v>
      </c>
      <c r="G5957" s="4" t="str">
        <f>HYPERLINK("http://141.218.60.56/~jnz1568/getInfo.php?workbook=12_05.xlsx&amp;sheet=U0&amp;row=5957&amp;col=7&amp;number=0.000484&amp;sourceID=14","0.000484")</f>
        <v>0.000484</v>
      </c>
    </row>
    <row r="5958" spans="1:7">
      <c r="A5958" s="3"/>
      <c r="B5958" s="3"/>
      <c r="C5958" s="3"/>
      <c r="D5958" s="3"/>
      <c r="E5958" s="3">
        <v>15</v>
      </c>
      <c r="F5958" s="4" t="str">
        <f>HYPERLINK("http://141.218.60.56/~jnz1568/getInfo.php?workbook=12_05.xlsx&amp;sheet=U0&amp;row=5958&amp;col=6&amp;number=4.4&amp;sourceID=14","4.4")</f>
        <v>4.4</v>
      </c>
      <c r="G5958" s="4" t="str">
        <f>HYPERLINK("http://141.218.60.56/~jnz1568/getInfo.php?workbook=12_05.xlsx&amp;sheet=U0&amp;row=5958&amp;col=7&amp;number=0.000482&amp;sourceID=14","0.000482")</f>
        <v>0.000482</v>
      </c>
    </row>
    <row r="5959" spans="1:7">
      <c r="A5959" s="3"/>
      <c r="B5959" s="3"/>
      <c r="C5959" s="3"/>
      <c r="D5959" s="3"/>
      <c r="E5959" s="3">
        <v>16</v>
      </c>
      <c r="F5959" s="4" t="str">
        <f>HYPERLINK("http://141.218.60.56/~jnz1568/getInfo.php?workbook=12_05.xlsx&amp;sheet=U0&amp;row=5959&amp;col=6&amp;number=4.5&amp;sourceID=14","4.5")</f>
        <v>4.5</v>
      </c>
      <c r="G5959" s="4" t="str">
        <f>HYPERLINK("http://141.218.60.56/~jnz1568/getInfo.php?workbook=12_05.xlsx&amp;sheet=U0&amp;row=5959&amp;col=7&amp;number=0.000479&amp;sourceID=14","0.000479")</f>
        <v>0.000479</v>
      </c>
    </row>
    <row r="5960" spans="1:7">
      <c r="A5960" s="3"/>
      <c r="B5960" s="3"/>
      <c r="C5960" s="3"/>
      <c r="D5960" s="3"/>
      <c r="E5960" s="3">
        <v>17</v>
      </c>
      <c r="F5960" s="4" t="str">
        <f>HYPERLINK("http://141.218.60.56/~jnz1568/getInfo.php?workbook=12_05.xlsx&amp;sheet=U0&amp;row=5960&amp;col=6&amp;number=4.6&amp;sourceID=14","4.6")</f>
        <v>4.6</v>
      </c>
      <c r="G5960" s="4" t="str">
        <f>HYPERLINK("http://141.218.60.56/~jnz1568/getInfo.php?workbook=12_05.xlsx&amp;sheet=U0&amp;row=5960&amp;col=7&amp;number=0.000475&amp;sourceID=14","0.000475")</f>
        <v>0.000475</v>
      </c>
    </row>
    <row r="5961" spans="1:7">
      <c r="A5961" s="3"/>
      <c r="B5961" s="3"/>
      <c r="C5961" s="3"/>
      <c r="D5961" s="3"/>
      <c r="E5961" s="3">
        <v>18</v>
      </c>
      <c r="F5961" s="4" t="str">
        <f>HYPERLINK("http://141.218.60.56/~jnz1568/getInfo.php?workbook=12_05.xlsx&amp;sheet=U0&amp;row=5961&amp;col=6&amp;number=4.7&amp;sourceID=14","4.7")</f>
        <v>4.7</v>
      </c>
      <c r="G5961" s="4" t="str">
        <f>HYPERLINK("http://141.218.60.56/~jnz1568/getInfo.php?workbook=12_05.xlsx&amp;sheet=U0&amp;row=5961&amp;col=7&amp;number=0.000471&amp;sourceID=14","0.000471")</f>
        <v>0.000471</v>
      </c>
    </row>
    <row r="5962" spans="1:7">
      <c r="A5962" s="3"/>
      <c r="B5962" s="3"/>
      <c r="C5962" s="3"/>
      <c r="D5962" s="3"/>
      <c r="E5962" s="3">
        <v>19</v>
      </c>
      <c r="F5962" s="4" t="str">
        <f>HYPERLINK("http://141.218.60.56/~jnz1568/getInfo.php?workbook=12_05.xlsx&amp;sheet=U0&amp;row=5962&amp;col=6&amp;number=4.8&amp;sourceID=14","4.8")</f>
        <v>4.8</v>
      </c>
      <c r="G5962" s="4" t="str">
        <f>HYPERLINK("http://141.218.60.56/~jnz1568/getInfo.php?workbook=12_05.xlsx&amp;sheet=U0&amp;row=5962&amp;col=7&amp;number=0.000466&amp;sourceID=14","0.000466")</f>
        <v>0.000466</v>
      </c>
    </row>
    <row r="5963" spans="1:7">
      <c r="A5963" s="3"/>
      <c r="B5963" s="3"/>
      <c r="C5963" s="3"/>
      <c r="D5963" s="3"/>
      <c r="E5963" s="3">
        <v>20</v>
      </c>
      <c r="F5963" s="4" t="str">
        <f>HYPERLINK("http://141.218.60.56/~jnz1568/getInfo.php?workbook=12_05.xlsx&amp;sheet=U0&amp;row=5963&amp;col=6&amp;number=4.9&amp;sourceID=14","4.9")</f>
        <v>4.9</v>
      </c>
      <c r="G5963" s="4" t="str">
        <f>HYPERLINK("http://141.218.60.56/~jnz1568/getInfo.php?workbook=12_05.xlsx&amp;sheet=U0&amp;row=5963&amp;col=7&amp;number=0.000459&amp;sourceID=14","0.000459")</f>
        <v>0.000459</v>
      </c>
    </row>
    <row r="5964" spans="1:7">
      <c r="A5964" s="3">
        <v>12</v>
      </c>
      <c r="B5964" s="3">
        <v>5</v>
      </c>
      <c r="C5964" s="3">
        <v>4</v>
      </c>
      <c r="D5964" s="3">
        <v>48</v>
      </c>
      <c r="E5964" s="3">
        <v>1</v>
      </c>
      <c r="F5964" s="4" t="str">
        <f>HYPERLINK("http://141.218.60.56/~jnz1568/getInfo.php?workbook=12_05.xlsx&amp;sheet=U0&amp;row=5964&amp;col=6&amp;number=3&amp;sourceID=14","3")</f>
        <v>3</v>
      </c>
      <c r="G5964" s="4" t="str">
        <f>HYPERLINK("http://141.218.60.56/~jnz1568/getInfo.php?workbook=12_05.xlsx&amp;sheet=U0&amp;row=5964&amp;col=7&amp;number=0.000258&amp;sourceID=14","0.000258")</f>
        <v>0.000258</v>
      </c>
    </row>
    <row r="5965" spans="1:7">
      <c r="A5965" s="3"/>
      <c r="B5965" s="3"/>
      <c r="C5965" s="3"/>
      <c r="D5965" s="3"/>
      <c r="E5965" s="3">
        <v>2</v>
      </c>
      <c r="F5965" s="4" t="str">
        <f>HYPERLINK("http://141.218.60.56/~jnz1568/getInfo.php?workbook=12_05.xlsx&amp;sheet=U0&amp;row=5965&amp;col=6&amp;number=3.1&amp;sourceID=14","3.1")</f>
        <v>3.1</v>
      </c>
      <c r="G5965" s="4" t="str">
        <f>HYPERLINK("http://141.218.60.56/~jnz1568/getInfo.php?workbook=12_05.xlsx&amp;sheet=U0&amp;row=5965&amp;col=7&amp;number=0.000258&amp;sourceID=14","0.000258")</f>
        <v>0.000258</v>
      </c>
    </row>
    <row r="5966" spans="1:7">
      <c r="A5966" s="3"/>
      <c r="B5966" s="3"/>
      <c r="C5966" s="3"/>
      <c r="D5966" s="3"/>
      <c r="E5966" s="3">
        <v>3</v>
      </c>
      <c r="F5966" s="4" t="str">
        <f>HYPERLINK("http://141.218.60.56/~jnz1568/getInfo.php?workbook=12_05.xlsx&amp;sheet=U0&amp;row=5966&amp;col=6&amp;number=3.2&amp;sourceID=14","3.2")</f>
        <v>3.2</v>
      </c>
      <c r="G5966" s="4" t="str">
        <f>HYPERLINK("http://141.218.60.56/~jnz1568/getInfo.php?workbook=12_05.xlsx&amp;sheet=U0&amp;row=5966&amp;col=7&amp;number=0.000258&amp;sourceID=14","0.000258")</f>
        <v>0.000258</v>
      </c>
    </row>
    <row r="5967" spans="1:7">
      <c r="A5967" s="3"/>
      <c r="B5967" s="3"/>
      <c r="C5967" s="3"/>
      <c r="D5967" s="3"/>
      <c r="E5967" s="3">
        <v>4</v>
      </c>
      <c r="F5967" s="4" t="str">
        <f>HYPERLINK("http://141.218.60.56/~jnz1568/getInfo.php?workbook=12_05.xlsx&amp;sheet=U0&amp;row=5967&amp;col=6&amp;number=3.3&amp;sourceID=14","3.3")</f>
        <v>3.3</v>
      </c>
      <c r="G5967" s="4" t="str">
        <f>HYPERLINK("http://141.218.60.56/~jnz1568/getInfo.php?workbook=12_05.xlsx&amp;sheet=U0&amp;row=5967&amp;col=7&amp;number=0.000258&amp;sourceID=14","0.000258")</f>
        <v>0.000258</v>
      </c>
    </row>
    <row r="5968" spans="1:7">
      <c r="A5968" s="3"/>
      <c r="B5968" s="3"/>
      <c r="C5968" s="3"/>
      <c r="D5968" s="3"/>
      <c r="E5968" s="3">
        <v>5</v>
      </c>
      <c r="F5968" s="4" t="str">
        <f>HYPERLINK("http://141.218.60.56/~jnz1568/getInfo.php?workbook=12_05.xlsx&amp;sheet=U0&amp;row=5968&amp;col=6&amp;number=3.4&amp;sourceID=14","3.4")</f>
        <v>3.4</v>
      </c>
      <c r="G5968" s="4" t="str">
        <f>HYPERLINK("http://141.218.60.56/~jnz1568/getInfo.php?workbook=12_05.xlsx&amp;sheet=U0&amp;row=5968&amp;col=7&amp;number=0.000258&amp;sourceID=14","0.000258")</f>
        <v>0.000258</v>
      </c>
    </row>
    <row r="5969" spans="1:7">
      <c r="A5969" s="3"/>
      <c r="B5969" s="3"/>
      <c r="C5969" s="3"/>
      <c r="D5969" s="3"/>
      <c r="E5969" s="3">
        <v>6</v>
      </c>
      <c r="F5969" s="4" t="str">
        <f>HYPERLINK("http://141.218.60.56/~jnz1568/getInfo.php?workbook=12_05.xlsx&amp;sheet=U0&amp;row=5969&amp;col=6&amp;number=3.5&amp;sourceID=14","3.5")</f>
        <v>3.5</v>
      </c>
      <c r="G5969" s="4" t="str">
        <f>HYPERLINK("http://141.218.60.56/~jnz1568/getInfo.php?workbook=12_05.xlsx&amp;sheet=U0&amp;row=5969&amp;col=7&amp;number=0.000257&amp;sourceID=14","0.000257")</f>
        <v>0.000257</v>
      </c>
    </row>
    <row r="5970" spans="1:7">
      <c r="A5970" s="3"/>
      <c r="B5970" s="3"/>
      <c r="C5970" s="3"/>
      <c r="D5970" s="3"/>
      <c r="E5970" s="3">
        <v>7</v>
      </c>
      <c r="F5970" s="4" t="str">
        <f>HYPERLINK("http://141.218.60.56/~jnz1568/getInfo.php?workbook=12_05.xlsx&amp;sheet=U0&amp;row=5970&amp;col=6&amp;number=3.6&amp;sourceID=14","3.6")</f>
        <v>3.6</v>
      </c>
      <c r="G5970" s="4" t="str">
        <f>HYPERLINK("http://141.218.60.56/~jnz1568/getInfo.php?workbook=12_05.xlsx&amp;sheet=U0&amp;row=5970&amp;col=7&amp;number=0.000257&amp;sourceID=14","0.000257")</f>
        <v>0.000257</v>
      </c>
    </row>
    <row r="5971" spans="1:7">
      <c r="A5971" s="3"/>
      <c r="B5971" s="3"/>
      <c r="C5971" s="3"/>
      <c r="D5971" s="3"/>
      <c r="E5971" s="3">
        <v>8</v>
      </c>
      <c r="F5971" s="4" t="str">
        <f>HYPERLINK("http://141.218.60.56/~jnz1568/getInfo.php?workbook=12_05.xlsx&amp;sheet=U0&amp;row=5971&amp;col=6&amp;number=3.7&amp;sourceID=14","3.7")</f>
        <v>3.7</v>
      </c>
      <c r="G5971" s="4" t="str">
        <f>HYPERLINK("http://141.218.60.56/~jnz1568/getInfo.php?workbook=12_05.xlsx&amp;sheet=U0&amp;row=5971&amp;col=7&amp;number=0.000257&amp;sourceID=14","0.000257")</f>
        <v>0.000257</v>
      </c>
    </row>
    <row r="5972" spans="1:7">
      <c r="A5972" s="3"/>
      <c r="B5972" s="3"/>
      <c r="C5972" s="3"/>
      <c r="D5972" s="3"/>
      <c r="E5972" s="3">
        <v>9</v>
      </c>
      <c r="F5972" s="4" t="str">
        <f>HYPERLINK("http://141.218.60.56/~jnz1568/getInfo.php?workbook=12_05.xlsx&amp;sheet=U0&amp;row=5972&amp;col=6&amp;number=3.8&amp;sourceID=14","3.8")</f>
        <v>3.8</v>
      </c>
      <c r="G5972" s="4" t="str">
        <f>HYPERLINK("http://141.218.60.56/~jnz1568/getInfo.php?workbook=12_05.xlsx&amp;sheet=U0&amp;row=5972&amp;col=7&amp;number=0.000257&amp;sourceID=14","0.000257")</f>
        <v>0.000257</v>
      </c>
    </row>
    <row r="5973" spans="1:7">
      <c r="A5973" s="3"/>
      <c r="B5973" s="3"/>
      <c r="C5973" s="3"/>
      <c r="D5973" s="3"/>
      <c r="E5973" s="3">
        <v>10</v>
      </c>
      <c r="F5973" s="4" t="str">
        <f>HYPERLINK("http://141.218.60.56/~jnz1568/getInfo.php?workbook=12_05.xlsx&amp;sheet=U0&amp;row=5973&amp;col=6&amp;number=3.9&amp;sourceID=14","3.9")</f>
        <v>3.9</v>
      </c>
      <c r="G5973" s="4" t="str">
        <f>HYPERLINK("http://141.218.60.56/~jnz1568/getInfo.php?workbook=12_05.xlsx&amp;sheet=U0&amp;row=5973&amp;col=7&amp;number=0.000256&amp;sourceID=14","0.000256")</f>
        <v>0.000256</v>
      </c>
    </row>
    <row r="5974" spans="1:7">
      <c r="A5974" s="3"/>
      <c r="B5974" s="3"/>
      <c r="C5974" s="3"/>
      <c r="D5974" s="3"/>
      <c r="E5974" s="3">
        <v>11</v>
      </c>
      <c r="F5974" s="4" t="str">
        <f>HYPERLINK("http://141.218.60.56/~jnz1568/getInfo.php?workbook=12_05.xlsx&amp;sheet=U0&amp;row=5974&amp;col=6&amp;number=4&amp;sourceID=14","4")</f>
        <v>4</v>
      </c>
      <c r="G5974" s="4" t="str">
        <f>HYPERLINK("http://141.218.60.56/~jnz1568/getInfo.php?workbook=12_05.xlsx&amp;sheet=U0&amp;row=5974&amp;col=7&amp;number=0.000256&amp;sourceID=14","0.000256")</f>
        <v>0.000256</v>
      </c>
    </row>
    <row r="5975" spans="1:7">
      <c r="A5975" s="3"/>
      <c r="B5975" s="3"/>
      <c r="C5975" s="3"/>
      <c r="D5975" s="3"/>
      <c r="E5975" s="3">
        <v>12</v>
      </c>
      <c r="F5975" s="4" t="str">
        <f>HYPERLINK("http://141.218.60.56/~jnz1568/getInfo.php?workbook=12_05.xlsx&amp;sheet=U0&amp;row=5975&amp;col=6&amp;number=4.1&amp;sourceID=14","4.1")</f>
        <v>4.1</v>
      </c>
      <c r="G5975" s="4" t="str">
        <f>HYPERLINK("http://141.218.60.56/~jnz1568/getInfo.php?workbook=12_05.xlsx&amp;sheet=U0&amp;row=5975&amp;col=7&amp;number=0.000255&amp;sourceID=14","0.000255")</f>
        <v>0.000255</v>
      </c>
    </row>
    <row r="5976" spans="1:7">
      <c r="A5976" s="3"/>
      <c r="B5976" s="3"/>
      <c r="C5976" s="3"/>
      <c r="D5976" s="3"/>
      <c r="E5976" s="3">
        <v>13</v>
      </c>
      <c r="F5976" s="4" t="str">
        <f>HYPERLINK("http://141.218.60.56/~jnz1568/getInfo.php?workbook=12_05.xlsx&amp;sheet=U0&amp;row=5976&amp;col=6&amp;number=4.2&amp;sourceID=14","4.2")</f>
        <v>4.2</v>
      </c>
      <c r="G5976" s="4" t="str">
        <f>HYPERLINK("http://141.218.60.56/~jnz1568/getInfo.php?workbook=12_05.xlsx&amp;sheet=U0&amp;row=5976&amp;col=7&amp;number=0.000255&amp;sourceID=14","0.000255")</f>
        <v>0.000255</v>
      </c>
    </row>
    <row r="5977" spans="1:7">
      <c r="A5977" s="3"/>
      <c r="B5977" s="3"/>
      <c r="C5977" s="3"/>
      <c r="D5977" s="3"/>
      <c r="E5977" s="3">
        <v>14</v>
      </c>
      <c r="F5977" s="4" t="str">
        <f>HYPERLINK("http://141.218.60.56/~jnz1568/getInfo.php?workbook=12_05.xlsx&amp;sheet=U0&amp;row=5977&amp;col=6&amp;number=4.3&amp;sourceID=14","4.3")</f>
        <v>4.3</v>
      </c>
      <c r="G5977" s="4" t="str">
        <f>HYPERLINK("http://141.218.60.56/~jnz1568/getInfo.php?workbook=12_05.xlsx&amp;sheet=U0&amp;row=5977&amp;col=7&amp;number=0.000254&amp;sourceID=14","0.000254")</f>
        <v>0.000254</v>
      </c>
    </row>
    <row r="5978" spans="1:7">
      <c r="A5978" s="3"/>
      <c r="B5978" s="3"/>
      <c r="C5978" s="3"/>
      <c r="D5978" s="3"/>
      <c r="E5978" s="3">
        <v>15</v>
      </c>
      <c r="F5978" s="4" t="str">
        <f>HYPERLINK("http://141.218.60.56/~jnz1568/getInfo.php?workbook=12_05.xlsx&amp;sheet=U0&amp;row=5978&amp;col=6&amp;number=4.4&amp;sourceID=14","4.4")</f>
        <v>4.4</v>
      </c>
      <c r="G5978" s="4" t="str">
        <f>HYPERLINK("http://141.218.60.56/~jnz1568/getInfo.php?workbook=12_05.xlsx&amp;sheet=U0&amp;row=5978&amp;col=7&amp;number=0.000253&amp;sourceID=14","0.000253")</f>
        <v>0.000253</v>
      </c>
    </row>
    <row r="5979" spans="1:7">
      <c r="A5979" s="3"/>
      <c r="B5979" s="3"/>
      <c r="C5979" s="3"/>
      <c r="D5979" s="3"/>
      <c r="E5979" s="3">
        <v>16</v>
      </c>
      <c r="F5979" s="4" t="str">
        <f>HYPERLINK("http://141.218.60.56/~jnz1568/getInfo.php?workbook=12_05.xlsx&amp;sheet=U0&amp;row=5979&amp;col=6&amp;number=4.5&amp;sourceID=14","4.5")</f>
        <v>4.5</v>
      </c>
      <c r="G5979" s="4" t="str">
        <f>HYPERLINK("http://141.218.60.56/~jnz1568/getInfo.php?workbook=12_05.xlsx&amp;sheet=U0&amp;row=5979&amp;col=7&amp;number=0.000251&amp;sourceID=14","0.000251")</f>
        <v>0.000251</v>
      </c>
    </row>
    <row r="5980" spans="1:7">
      <c r="A5980" s="3"/>
      <c r="B5980" s="3"/>
      <c r="C5980" s="3"/>
      <c r="D5980" s="3"/>
      <c r="E5980" s="3">
        <v>17</v>
      </c>
      <c r="F5980" s="4" t="str">
        <f>HYPERLINK("http://141.218.60.56/~jnz1568/getInfo.php?workbook=12_05.xlsx&amp;sheet=U0&amp;row=5980&amp;col=6&amp;number=4.6&amp;sourceID=14","4.6")</f>
        <v>4.6</v>
      </c>
      <c r="G5980" s="4" t="str">
        <f>HYPERLINK("http://141.218.60.56/~jnz1568/getInfo.php?workbook=12_05.xlsx&amp;sheet=U0&amp;row=5980&amp;col=7&amp;number=0.000249&amp;sourceID=14","0.000249")</f>
        <v>0.000249</v>
      </c>
    </row>
    <row r="5981" spans="1:7">
      <c r="A5981" s="3"/>
      <c r="B5981" s="3"/>
      <c r="C5981" s="3"/>
      <c r="D5981" s="3"/>
      <c r="E5981" s="3">
        <v>18</v>
      </c>
      <c r="F5981" s="4" t="str">
        <f>HYPERLINK("http://141.218.60.56/~jnz1568/getInfo.php?workbook=12_05.xlsx&amp;sheet=U0&amp;row=5981&amp;col=6&amp;number=4.7&amp;sourceID=14","4.7")</f>
        <v>4.7</v>
      </c>
      <c r="G5981" s="4" t="str">
        <f>HYPERLINK("http://141.218.60.56/~jnz1568/getInfo.php?workbook=12_05.xlsx&amp;sheet=U0&amp;row=5981&amp;col=7&amp;number=0.000247&amp;sourceID=14","0.000247")</f>
        <v>0.000247</v>
      </c>
    </row>
    <row r="5982" spans="1:7">
      <c r="A5982" s="3"/>
      <c r="B5982" s="3"/>
      <c r="C5982" s="3"/>
      <c r="D5982" s="3"/>
      <c r="E5982" s="3">
        <v>19</v>
      </c>
      <c r="F5982" s="4" t="str">
        <f>HYPERLINK("http://141.218.60.56/~jnz1568/getInfo.php?workbook=12_05.xlsx&amp;sheet=U0&amp;row=5982&amp;col=6&amp;number=4.8&amp;sourceID=14","4.8")</f>
        <v>4.8</v>
      </c>
      <c r="G5982" s="4" t="str">
        <f>HYPERLINK("http://141.218.60.56/~jnz1568/getInfo.php?workbook=12_05.xlsx&amp;sheet=U0&amp;row=5982&amp;col=7&amp;number=0.000244&amp;sourceID=14","0.000244")</f>
        <v>0.000244</v>
      </c>
    </row>
    <row r="5983" spans="1:7">
      <c r="A5983" s="3"/>
      <c r="B5983" s="3"/>
      <c r="C5983" s="3"/>
      <c r="D5983" s="3"/>
      <c r="E5983" s="3">
        <v>20</v>
      </c>
      <c r="F5983" s="4" t="str">
        <f>HYPERLINK("http://141.218.60.56/~jnz1568/getInfo.php?workbook=12_05.xlsx&amp;sheet=U0&amp;row=5983&amp;col=6&amp;number=4.9&amp;sourceID=14","4.9")</f>
        <v>4.9</v>
      </c>
      <c r="G5983" s="4" t="str">
        <f>HYPERLINK("http://141.218.60.56/~jnz1568/getInfo.php?workbook=12_05.xlsx&amp;sheet=U0&amp;row=5983&amp;col=7&amp;number=0.000241&amp;sourceID=14","0.000241")</f>
        <v>0.000241</v>
      </c>
    </row>
    <row r="5984" spans="1:7">
      <c r="A5984" s="3">
        <v>12</v>
      </c>
      <c r="B5984" s="3">
        <v>5</v>
      </c>
      <c r="C5984" s="3">
        <v>4</v>
      </c>
      <c r="D5984" s="3">
        <v>49</v>
      </c>
      <c r="E5984" s="3">
        <v>1</v>
      </c>
      <c r="F5984" s="4" t="str">
        <f>HYPERLINK("http://141.218.60.56/~jnz1568/getInfo.php?workbook=12_05.xlsx&amp;sheet=U0&amp;row=5984&amp;col=6&amp;number=3&amp;sourceID=14","3")</f>
        <v>3</v>
      </c>
      <c r="G5984" s="4" t="str">
        <f>HYPERLINK("http://141.218.60.56/~jnz1568/getInfo.php?workbook=12_05.xlsx&amp;sheet=U0&amp;row=5984&amp;col=7&amp;number=0.0001&amp;sourceID=14","0.0001")</f>
        <v>0.0001</v>
      </c>
    </row>
    <row r="5985" spans="1:7">
      <c r="A5985" s="3"/>
      <c r="B5985" s="3"/>
      <c r="C5985" s="3"/>
      <c r="D5985" s="3"/>
      <c r="E5985" s="3">
        <v>2</v>
      </c>
      <c r="F5985" s="4" t="str">
        <f>HYPERLINK("http://141.218.60.56/~jnz1568/getInfo.php?workbook=12_05.xlsx&amp;sheet=U0&amp;row=5985&amp;col=6&amp;number=3.1&amp;sourceID=14","3.1")</f>
        <v>3.1</v>
      </c>
      <c r="G5985" s="4" t="str">
        <f>HYPERLINK("http://141.218.60.56/~jnz1568/getInfo.php?workbook=12_05.xlsx&amp;sheet=U0&amp;row=5985&amp;col=7&amp;number=0.0001&amp;sourceID=14","0.0001")</f>
        <v>0.0001</v>
      </c>
    </row>
    <row r="5986" spans="1:7">
      <c r="A5986" s="3"/>
      <c r="B5986" s="3"/>
      <c r="C5986" s="3"/>
      <c r="D5986" s="3"/>
      <c r="E5986" s="3">
        <v>3</v>
      </c>
      <c r="F5986" s="4" t="str">
        <f>HYPERLINK("http://141.218.60.56/~jnz1568/getInfo.php?workbook=12_05.xlsx&amp;sheet=U0&amp;row=5986&amp;col=6&amp;number=3.2&amp;sourceID=14","3.2")</f>
        <v>3.2</v>
      </c>
      <c r="G5986" s="4" t="str">
        <f>HYPERLINK("http://141.218.60.56/~jnz1568/getInfo.php?workbook=12_05.xlsx&amp;sheet=U0&amp;row=5986&amp;col=7&amp;number=0.0001&amp;sourceID=14","0.0001")</f>
        <v>0.0001</v>
      </c>
    </row>
    <row r="5987" spans="1:7">
      <c r="A5987" s="3"/>
      <c r="B5987" s="3"/>
      <c r="C5987" s="3"/>
      <c r="D5987" s="3"/>
      <c r="E5987" s="3">
        <v>4</v>
      </c>
      <c r="F5987" s="4" t="str">
        <f>HYPERLINK("http://141.218.60.56/~jnz1568/getInfo.php?workbook=12_05.xlsx&amp;sheet=U0&amp;row=5987&amp;col=6&amp;number=3.3&amp;sourceID=14","3.3")</f>
        <v>3.3</v>
      </c>
      <c r="G5987" s="4" t="str">
        <f>HYPERLINK("http://141.218.60.56/~jnz1568/getInfo.php?workbook=12_05.xlsx&amp;sheet=U0&amp;row=5987&amp;col=7&amp;number=0.0001&amp;sourceID=14","0.0001")</f>
        <v>0.0001</v>
      </c>
    </row>
    <row r="5988" spans="1:7">
      <c r="A5988" s="3"/>
      <c r="B5988" s="3"/>
      <c r="C5988" s="3"/>
      <c r="D5988" s="3"/>
      <c r="E5988" s="3">
        <v>5</v>
      </c>
      <c r="F5988" s="4" t="str">
        <f>HYPERLINK("http://141.218.60.56/~jnz1568/getInfo.php?workbook=12_05.xlsx&amp;sheet=U0&amp;row=5988&amp;col=6&amp;number=3.4&amp;sourceID=14","3.4")</f>
        <v>3.4</v>
      </c>
      <c r="G5988" s="4" t="str">
        <f>HYPERLINK("http://141.218.60.56/~jnz1568/getInfo.php?workbook=12_05.xlsx&amp;sheet=U0&amp;row=5988&amp;col=7&amp;number=0.0001&amp;sourceID=14","0.0001")</f>
        <v>0.0001</v>
      </c>
    </row>
    <row r="5989" spans="1:7">
      <c r="A5989" s="3"/>
      <c r="B5989" s="3"/>
      <c r="C5989" s="3"/>
      <c r="D5989" s="3"/>
      <c r="E5989" s="3">
        <v>6</v>
      </c>
      <c r="F5989" s="4" t="str">
        <f>HYPERLINK("http://141.218.60.56/~jnz1568/getInfo.php?workbook=12_05.xlsx&amp;sheet=U0&amp;row=5989&amp;col=6&amp;number=3.5&amp;sourceID=14","3.5")</f>
        <v>3.5</v>
      </c>
      <c r="G5989" s="4" t="str">
        <f>HYPERLINK("http://141.218.60.56/~jnz1568/getInfo.php?workbook=12_05.xlsx&amp;sheet=U0&amp;row=5989&amp;col=7&amp;number=9.99e-05&amp;sourceID=14","9.99e-05")</f>
        <v>9.99e-05</v>
      </c>
    </row>
    <row r="5990" spans="1:7">
      <c r="A5990" s="3"/>
      <c r="B5990" s="3"/>
      <c r="C5990" s="3"/>
      <c r="D5990" s="3"/>
      <c r="E5990" s="3">
        <v>7</v>
      </c>
      <c r="F5990" s="4" t="str">
        <f>HYPERLINK("http://141.218.60.56/~jnz1568/getInfo.php?workbook=12_05.xlsx&amp;sheet=U0&amp;row=5990&amp;col=6&amp;number=3.6&amp;sourceID=14","3.6")</f>
        <v>3.6</v>
      </c>
      <c r="G5990" s="4" t="str">
        <f>HYPERLINK("http://141.218.60.56/~jnz1568/getInfo.php?workbook=12_05.xlsx&amp;sheet=U0&amp;row=5990&amp;col=7&amp;number=9.98e-05&amp;sourceID=14","9.98e-05")</f>
        <v>9.98e-05</v>
      </c>
    </row>
    <row r="5991" spans="1:7">
      <c r="A5991" s="3"/>
      <c r="B5991" s="3"/>
      <c r="C5991" s="3"/>
      <c r="D5991" s="3"/>
      <c r="E5991" s="3">
        <v>8</v>
      </c>
      <c r="F5991" s="4" t="str">
        <f>HYPERLINK("http://141.218.60.56/~jnz1568/getInfo.php?workbook=12_05.xlsx&amp;sheet=U0&amp;row=5991&amp;col=6&amp;number=3.7&amp;sourceID=14","3.7")</f>
        <v>3.7</v>
      </c>
      <c r="G5991" s="4" t="str">
        <f>HYPERLINK("http://141.218.60.56/~jnz1568/getInfo.php?workbook=12_05.xlsx&amp;sheet=U0&amp;row=5991&amp;col=7&amp;number=9.97e-05&amp;sourceID=14","9.97e-05")</f>
        <v>9.97e-05</v>
      </c>
    </row>
    <row r="5992" spans="1:7">
      <c r="A5992" s="3"/>
      <c r="B5992" s="3"/>
      <c r="C5992" s="3"/>
      <c r="D5992" s="3"/>
      <c r="E5992" s="3">
        <v>9</v>
      </c>
      <c r="F5992" s="4" t="str">
        <f>HYPERLINK("http://141.218.60.56/~jnz1568/getInfo.php?workbook=12_05.xlsx&amp;sheet=U0&amp;row=5992&amp;col=6&amp;number=3.8&amp;sourceID=14","3.8")</f>
        <v>3.8</v>
      </c>
      <c r="G5992" s="4" t="str">
        <f>HYPERLINK("http://141.218.60.56/~jnz1568/getInfo.php?workbook=12_05.xlsx&amp;sheet=U0&amp;row=5992&amp;col=7&amp;number=9.96e-05&amp;sourceID=14","9.96e-05")</f>
        <v>9.96e-05</v>
      </c>
    </row>
    <row r="5993" spans="1:7">
      <c r="A5993" s="3"/>
      <c r="B5993" s="3"/>
      <c r="C5993" s="3"/>
      <c r="D5993" s="3"/>
      <c r="E5993" s="3">
        <v>10</v>
      </c>
      <c r="F5993" s="4" t="str">
        <f>HYPERLINK("http://141.218.60.56/~jnz1568/getInfo.php?workbook=12_05.xlsx&amp;sheet=U0&amp;row=5993&amp;col=6&amp;number=3.9&amp;sourceID=14","3.9")</f>
        <v>3.9</v>
      </c>
      <c r="G5993" s="4" t="str">
        <f>HYPERLINK("http://141.218.60.56/~jnz1568/getInfo.php?workbook=12_05.xlsx&amp;sheet=U0&amp;row=5993&amp;col=7&amp;number=9.95e-05&amp;sourceID=14","9.95e-05")</f>
        <v>9.95e-05</v>
      </c>
    </row>
    <row r="5994" spans="1:7">
      <c r="A5994" s="3"/>
      <c r="B5994" s="3"/>
      <c r="C5994" s="3"/>
      <c r="D5994" s="3"/>
      <c r="E5994" s="3">
        <v>11</v>
      </c>
      <c r="F5994" s="4" t="str">
        <f>HYPERLINK("http://141.218.60.56/~jnz1568/getInfo.php?workbook=12_05.xlsx&amp;sheet=U0&amp;row=5994&amp;col=6&amp;number=4&amp;sourceID=14","4")</f>
        <v>4</v>
      </c>
      <c r="G5994" s="4" t="str">
        <f>HYPERLINK("http://141.218.60.56/~jnz1568/getInfo.php?workbook=12_05.xlsx&amp;sheet=U0&amp;row=5994&amp;col=7&amp;number=9.93e-05&amp;sourceID=14","9.93e-05")</f>
        <v>9.93e-05</v>
      </c>
    </row>
    <row r="5995" spans="1:7">
      <c r="A5995" s="3"/>
      <c r="B5995" s="3"/>
      <c r="C5995" s="3"/>
      <c r="D5995" s="3"/>
      <c r="E5995" s="3">
        <v>12</v>
      </c>
      <c r="F5995" s="4" t="str">
        <f>HYPERLINK("http://141.218.60.56/~jnz1568/getInfo.php?workbook=12_05.xlsx&amp;sheet=U0&amp;row=5995&amp;col=6&amp;number=4.1&amp;sourceID=14","4.1")</f>
        <v>4.1</v>
      </c>
      <c r="G5995" s="4" t="str">
        <f>HYPERLINK("http://141.218.60.56/~jnz1568/getInfo.php?workbook=12_05.xlsx&amp;sheet=U0&amp;row=5995&amp;col=7&amp;number=9.91e-05&amp;sourceID=14","9.91e-05")</f>
        <v>9.91e-05</v>
      </c>
    </row>
    <row r="5996" spans="1:7">
      <c r="A5996" s="3"/>
      <c r="B5996" s="3"/>
      <c r="C5996" s="3"/>
      <c r="D5996" s="3"/>
      <c r="E5996" s="3">
        <v>13</v>
      </c>
      <c r="F5996" s="4" t="str">
        <f>HYPERLINK("http://141.218.60.56/~jnz1568/getInfo.php?workbook=12_05.xlsx&amp;sheet=U0&amp;row=5996&amp;col=6&amp;number=4.2&amp;sourceID=14","4.2")</f>
        <v>4.2</v>
      </c>
      <c r="G5996" s="4" t="str">
        <f>HYPERLINK("http://141.218.60.56/~jnz1568/getInfo.php?workbook=12_05.xlsx&amp;sheet=U0&amp;row=5996&amp;col=7&amp;number=9.88e-05&amp;sourceID=14","9.88e-05")</f>
        <v>9.88e-05</v>
      </c>
    </row>
    <row r="5997" spans="1:7">
      <c r="A5997" s="3"/>
      <c r="B5997" s="3"/>
      <c r="C5997" s="3"/>
      <c r="D5997" s="3"/>
      <c r="E5997" s="3">
        <v>14</v>
      </c>
      <c r="F5997" s="4" t="str">
        <f>HYPERLINK("http://141.218.60.56/~jnz1568/getInfo.php?workbook=12_05.xlsx&amp;sheet=U0&amp;row=5997&amp;col=6&amp;number=4.3&amp;sourceID=14","4.3")</f>
        <v>4.3</v>
      </c>
      <c r="G5997" s="4" t="str">
        <f>HYPERLINK("http://141.218.60.56/~jnz1568/getInfo.php?workbook=12_05.xlsx&amp;sheet=U0&amp;row=5997&amp;col=7&amp;number=9.84e-05&amp;sourceID=14","9.84e-05")</f>
        <v>9.84e-05</v>
      </c>
    </row>
    <row r="5998" spans="1:7">
      <c r="A5998" s="3"/>
      <c r="B5998" s="3"/>
      <c r="C5998" s="3"/>
      <c r="D5998" s="3"/>
      <c r="E5998" s="3">
        <v>15</v>
      </c>
      <c r="F5998" s="4" t="str">
        <f>HYPERLINK("http://141.218.60.56/~jnz1568/getInfo.php?workbook=12_05.xlsx&amp;sheet=U0&amp;row=5998&amp;col=6&amp;number=4.4&amp;sourceID=14","4.4")</f>
        <v>4.4</v>
      </c>
      <c r="G5998" s="4" t="str">
        <f>HYPERLINK("http://141.218.60.56/~jnz1568/getInfo.php?workbook=12_05.xlsx&amp;sheet=U0&amp;row=5998&amp;col=7&amp;number=9.8e-05&amp;sourceID=14","9.8e-05")</f>
        <v>9.8e-05</v>
      </c>
    </row>
    <row r="5999" spans="1:7">
      <c r="A5999" s="3"/>
      <c r="B5999" s="3"/>
      <c r="C5999" s="3"/>
      <c r="D5999" s="3"/>
      <c r="E5999" s="3">
        <v>16</v>
      </c>
      <c r="F5999" s="4" t="str">
        <f>HYPERLINK("http://141.218.60.56/~jnz1568/getInfo.php?workbook=12_05.xlsx&amp;sheet=U0&amp;row=5999&amp;col=6&amp;number=4.5&amp;sourceID=14","4.5")</f>
        <v>4.5</v>
      </c>
      <c r="G5999" s="4" t="str">
        <f>HYPERLINK("http://141.218.60.56/~jnz1568/getInfo.php?workbook=12_05.xlsx&amp;sheet=U0&amp;row=5999&amp;col=7&amp;number=9.74e-05&amp;sourceID=14","9.74e-05")</f>
        <v>9.74e-05</v>
      </c>
    </row>
    <row r="6000" spans="1:7">
      <c r="A6000" s="3"/>
      <c r="B6000" s="3"/>
      <c r="C6000" s="3"/>
      <c r="D6000" s="3"/>
      <c r="E6000" s="3">
        <v>17</v>
      </c>
      <c r="F6000" s="4" t="str">
        <f>HYPERLINK("http://141.218.60.56/~jnz1568/getInfo.php?workbook=12_05.xlsx&amp;sheet=U0&amp;row=6000&amp;col=6&amp;number=4.6&amp;sourceID=14","4.6")</f>
        <v>4.6</v>
      </c>
      <c r="G6000" s="4" t="str">
        <f>HYPERLINK("http://141.218.60.56/~jnz1568/getInfo.php?workbook=12_05.xlsx&amp;sheet=U0&amp;row=6000&amp;col=7&amp;number=9.67e-05&amp;sourceID=14","9.67e-05")</f>
        <v>9.67e-05</v>
      </c>
    </row>
    <row r="6001" spans="1:7">
      <c r="A6001" s="3"/>
      <c r="B6001" s="3"/>
      <c r="C6001" s="3"/>
      <c r="D6001" s="3"/>
      <c r="E6001" s="3">
        <v>18</v>
      </c>
      <c r="F6001" s="4" t="str">
        <f>HYPERLINK("http://141.218.60.56/~jnz1568/getInfo.php?workbook=12_05.xlsx&amp;sheet=U0&amp;row=6001&amp;col=6&amp;number=4.7&amp;sourceID=14","4.7")</f>
        <v>4.7</v>
      </c>
      <c r="G6001" s="4" t="str">
        <f>HYPERLINK("http://141.218.60.56/~jnz1568/getInfo.php?workbook=12_05.xlsx&amp;sheet=U0&amp;row=6001&amp;col=7&amp;number=9.58e-05&amp;sourceID=14","9.58e-05")</f>
        <v>9.58e-05</v>
      </c>
    </row>
    <row r="6002" spans="1:7">
      <c r="A6002" s="3"/>
      <c r="B6002" s="3"/>
      <c r="C6002" s="3"/>
      <c r="D6002" s="3"/>
      <c r="E6002" s="3">
        <v>19</v>
      </c>
      <c r="F6002" s="4" t="str">
        <f>HYPERLINK("http://141.218.60.56/~jnz1568/getInfo.php?workbook=12_05.xlsx&amp;sheet=U0&amp;row=6002&amp;col=6&amp;number=4.8&amp;sourceID=14","4.8")</f>
        <v>4.8</v>
      </c>
      <c r="G6002" s="4" t="str">
        <f>HYPERLINK("http://141.218.60.56/~jnz1568/getInfo.php?workbook=12_05.xlsx&amp;sheet=U0&amp;row=6002&amp;col=7&amp;number=9.47e-05&amp;sourceID=14","9.47e-05")</f>
        <v>9.47e-05</v>
      </c>
    </row>
    <row r="6003" spans="1:7">
      <c r="A6003" s="3"/>
      <c r="B6003" s="3"/>
      <c r="C6003" s="3"/>
      <c r="D6003" s="3"/>
      <c r="E6003" s="3">
        <v>20</v>
      </c>
      <c r="F6003" s="4" t="str">
        <f>HYPERLINK("http://141.218.60.56/~jnz1568/getInfo.php?workbook=12_05.xlsx&amp;sheet=U0&amp;row=6003&amp;col=6&amp;number=4.9&amp;sourceID=14","4.9")</f>
        <v>4.9</v>
      </c>
      <c r="G6003" s="4" t="str">
        <f>HYPERLINK("http://141.218.60.56/~jnz1568/getInfo.php?workbook=12_05.xlsx&amp;sheet=U0&amp;row=6003&amp;col=7&amp;number=9.34e-05&amp;sourceID=14","9.34e-05")</f>
        <v>9.34e-05</v>
      </c>
    </row>
    <row r="6004" spans="1:7">
      <c r="A6004" s="3">
        <v>12</v>
      </c>
      <c r="B6004" s="3">
        <v>5</v>
      </c>
      <c r="C6004" s="3">
        <v>4</v>
      </c>
      <c r="D6004" s="3">
        <v>51</v>
      </c>
      <c r="E6004" s="3">
        <v>1</v>
      </c>
      <c r="F6004" s="4" t="str">
        <f>HYPERLINK("http://141.218.60.56/~jnz1568/getInfo.php?workbook=12_05.xlsx&amp;sheet=U0&amp;row=6004&amp;col=6&amp;number=3&amp;sourceID=14","3")</f>
        <v>3</v>
      </c>
      <c r="G6004" s="4" t="str">
        <f>HYPERLINK("http://141.218.60.56/~jnz1568/getInfo.php?workbook=12_05.xlsx&amp;sheet=U0&amp;row=6004&amp;col=7&amp;number=0.0124&amp;sourceID=14","0.0124")</f>
        <v>0.0124</v>
      </c>
    </row>
    <row r="6005" spans="1:7">
      <c r="A6005" s="3"/>
      <c r="B6005" s="3"/>
      <c r="C6005" s="3"/>
      <c r="D6005" s="3"/>
      <c r="E6005" s="3">
        <v>2</v>
      </c>
      <c r="F6005" s="4" t="str">
        <f>HYPERLINK("http://141.218.60.56/~jnz1568/getInfo.php?workbook=12_05.xlsx&amp;sheet=U0&amp;row=6005&amp;col=6&amp;number=3.1&amp;sourceID=14","3.1")</f>
        <v>3.1</v>
      </c>
      <c r="G6005" s="4" t="str">
        <f>HYPERLINK("http://141.218.60.56/~jnz1568/getInfo.php?workbook=12_05.xlsx&amp;sheet=U0&amp;row=6005&amp;col=7&amp;number=0.0124&amp;sourceID=14","0.0124")</f>
        <v>0.0124</v>
      </c>
    </row>
    <row r="6006" spans="1:7">
      <c r="A6006" s="3"/>
      <c r="B6006" s="3"/>
      <c r="C6006" s="3"/>
      <c r="D6006" s="3"/>
      <c r="E6006" s="3">
        <v>3</v>
      </c>
      <c r="F6006" s="4" t="str">
        <f>HYPERLINK("http://141.218.60.56/~jnz1568/getInfo.php?workbook=12_05.xlsx&amp;sheet=U0&amp;row=6006&amp;col=6&amp;number=3.2&amp;sourceID=14","3.2")</f>
        <v>3.2</v>
      </c>
      <c r="G6006" s="4" t="str">
        <f>HYPERLINK("http://141.218.60.56/~jnz1568/getInfo.php?workbook=12_05.xlsx&amp;sheet=U0&amp;row=6006&amp;col=7&amp;number=0.0124&amp;sourceID=14","0.0124")</f>
        <v>0.0124</v>
      </c>
    </row>
    <row r="6007" spans="1:7">
      <c r="A6007" s="3"/>
      <c r="B6007" s="3"/>
      <c r="C6007" s="3"/>
      <c r="D6007" s="3"/>
      <c r="E6007" s="3">
        <v>4</v>
      </c>
      <c r="F6007" s="4" t="str">
        <f>HYPERLINK("http://141.218.60.56/~jnz1568/getInfo.php?workbook=12_05.xlsx&amp;sheet=U0&amp;row=6007&amp;col=6&amp;number=3.3&amp;sourceID=14","3.3")</f>
        <v>3.3</v>
      </c>
      <c r="G6007" s="4" t="str">
        <f>HYPERLINK("http://141.218.60.56/~jnz1568/getInfo.php?workbook=12_05.xlsx&amp;sheet=U0&amp;row=6007&amp;col=7&amp;number=0.0123&amp;sourceID=14","0.0123")</f>
        <v>0.0123</v>
      </c>
    </row>
    <row r="6008" spans="1:7">
      <c r="A6008" s="3"/>
      <c r="B6008" s="3"/>
      <c r="C6008" s="3"/>
      <c r="D6008" s="3"/>
      <c r="E6008" s="3">
        <v>5</v>
      </c>
      <c r="F6008" s="4" t="str">
        <f>HYPERLINK("http://141.218.60.56/~jnz1568/getInfo.php?workbook=12_05.xlsx&amp;sheet=U0&amp;row=6008&amp;col=6&amp;number=3.4&amp;sourceID=14","3.4")</f>
        <v>3.4</v>
      </c>
      <c r="G6008" s="4" t="str">
        <f>HYPERLINK("http://141.218.60.56/~jnz1568/getInfo.php?workbook=12_05.xlsx&amp;sheet=U0&amp;row=6008&amp;col=7&amp;number=0.0123&amp;sourceID=14","0.0123")</f>
        <v>0.0123</v>
      </c>
    </row>
    <row r="6009" spans="1:7">
      <c r="A6009" s="3"/>
      <c r="B6009" s="3"/>
      <c r="C6009" s="3"/>
      <c r="D6009" s="3"/>
      <c r="E6009" s="3">
        <v>6</v>
      </c>
      <c r="F6009" s="4" t="str">
        <f>HYPERLINK("http://141.218.60.56/~jnz1568/getInfo.php?workbook=12_05.xlsx&amp;sheet=U0&amp;row=6009&amp;col=6&amp;number=3.5&amp;sourceID=14","3.5")</f>
        <v>3.5</v>
      </c>
      <c r="G6009" s="4" t="str">
        <f>HYPERLINK("http://141.218.60.56/~jnz1568/getInfo.php?workbook=12_05.xlsx&amp;sheet=U0&amp;row=6009&amp;col=7&amp;number=0.0123&amp;sourceID=14","0.0123")</f>
        <v>0.0123</v>
      </c>
    </row>
    <row r="6010" spans="1:7">
      <c r="A6010" s="3"/>
      <c r="B6010" s="3"/>
      <c r="C6010" s="3"/>
      <c r="D6010" s="3"/>
      <c r="E6010" s="3">
        <v>7</v>
      </c>
      <c r="F6010" s="4" t="str">
        <f>HYPERLINK("http://141.218.60.56/~jnz1568/getInfo.php?workbook=12_05.xlsx&amp;sheet=U0&amp;row=6010&amp;col=6&amp;number=3.6&amp;sourceID=14","3.6")</f>
        <v>3.6</v>
      </c>
      <c r="G6010" s="4" t="str">
        <f>HYPERLINK("http://141.218.60.56/~jnz1568/getInfo.php?workbook=12_05.xlsx&amp;sheet=U0&amp;row=6010&amp;col=7&amp;number=0.0123&amp;sourceID=14","0.0123")</f>
        <v>0.0123</v>
      </c>
    </row>
    <row r="6011" spans="1:7">
      <c r="A6011" s="3"/>
      <c r="B6011" s="3"/>
      <c r="C6011" s="3"/>
      <c r="D6011" s="3"/>
      <c r="E6011" s="3">
        <v>8</v>
      </c>
      <c r="F6011" s="4" t="str">
        <f>HYPERLINK("http://141.218.60.56/~jnz1568/getInfo.php?workbook=12_05.xlsx&amp;sheet=U0&amp;row=6011&amp;col=6&amp;number=3.7&amp;sourceID=14","3.7")</f>
        <v>3.7</v>
      </c>
      <c r="G6011" s="4" t="str">
        <f>HYPERLINK("http://141.218.60.56/~jnz1568/getInfo.php?workbook=12_05.xlsx&amp;sheet=U0&amp;row=6011&amp;col=7&amp;number=0.0123&amp;sourceID=14","0.0123")</f>
        <v>0.0123</v>
      </c>
    </row>
    <row r="6012" spans="1:7">
      <c r="A6012" s="3"/>
      <c r="B6012" s="3"/>
      <c r="C6012" s="3"/>
      <c r="D6012" s="3"/>
      <c r="E6012" s="3">
        <v>9</v>
      </c>
      <c r="F6012" s="4" t="str">
        <f>HYPERLINK("http://141.218.60.56/~jnz1568/getInfo.php?workbook=12_05.xlsx&amp;sheet=U0&amp;row=6012&amp;col=6&amp;number=3.8&amp;sourceID=14","3.8")</f>
        <v>3.8</v>
      </c>
      <c r="G6012" s="4" t="str">
        <f>HYPERLINK("http://141.218.60.56/~jnz1568/getInfo.php?workbook=12_05.xlsx&amp;sheet=U0&amp;row=6012&amp;col=7&amp;number=0.0123&amp;sourceID=14","0.0123")</f>
        <v>0.0123</v>
      </c>
    </row>
    <row r="6013" spans="1:7">
      <c r="A6013" s="3"/>
      <c r="B6013" s="3"/>
      <c r="C6013" s="3"/>
      <c r="D6013" s="3"/>
      <c r="E6013" s="3">
        <v>10</v>
      </c>
      <c r="F6013" s="4" t="str">
        <f>HYPERLINK("http://141.218.60.56/~jnz1568/getInfo.php?workbook=12_05.xlsx&amp;sheet=U0&amp;row=6013&amp;col=6&amp;number=3.9&amp;sourceID=14","3.9")</f>
        <v>3.9</v>
      </c>
      <c r="G6013" s="4" t="str">
        <f>HYPERLINK("http://141.218.60.56/~jnz1568/getInfo.php?workbook=12_05.xlsx&amp;sheet=U0&amp;row=6013&amp;col=7&amp;number=0.0123&amp;sourceID=14","0.0123")</f>
        <v>0.0123</v>
      </c>
    </row>
    <row r="6014" spans="1:7">
      <c r="A6014" s="3"/>
      <c r="B6014" s="3"/>
      <c r="C6014" s="3"/>
      <c r="D6014" s="3"/>
      <c r="E6014" s="3">
        <v>11</v>
      </c>
      <c r="F6014" s="4" t="str">
        <f>HYPERLINK("http://141.218.60.56/~jnz1568/getInfo.php?workbook=12_05.xlsx&amp;sheet=U0&amp;row=6014&amp;col=6&amp;number=4&amp;sourceID=14","4")</f>
        <v>4</v>
      </c>
      <c r="G6014" s="4" t="str">
        <f>HYPERLINK("http://141.218.60.56/~jnz1568/getInfo.php?workbook=12_05.xlsx&amp;sheet=U0&amp;row=6014&amp;col=7&amp;number=0.0123&amp;sourceID=14","0.0123")</f>
        <v>0.0123</v>
      </c>
    </row>
    <row r="6015" spans="1:7">
      <c r="A6015" s="3"/>
      <c r="B6015" s="3"/>
      <c r="C6015" s="3"/>
      <c r="D6015" s="3"/>
      <c r="E6015" s="3">
        <v>12</v>
      </c>
      <c r="F6015" s="4" t="str">
        <f>HYPERLINK("http://141.218.60.56/~jnz1568/getInfo.php?workbook=12_05.xlsx&amp;sheet=U0&amp;row=6015&amp;col=6&amp;number=4.1&amp;sourceID=14","4.1")</f>
        <v>4.1</v>
      </c>
      <c r="G6015" s="4" t="str">
        <f>HYPERLINK("http://141.218.60.56/~jnz1568/getInfo.php?workbook=12_05.xlsx&amp;sheet=U0&amp;row=6015&amp;col=7&amp;number=0.0122&amp;sourceID=14","0.0122")</f>
        <v>0.0122</v>
      </c>
    </row>
    <row r="6016" spans="1:7">
      <c r="A6016" s="3"/>
      <c r="B6016" s="3"/>
      <c r="C6016" s="3"/>
      <c r="D6016" s="3"/>
      <c r="E6016" s="3">
        <v>13</v>
      </c>
      <c r="F6016" s="4" t="str">
        <f>HYPERLINK("http://141.218.60.56/~jnz1568/getInfo.php?workbook=12_05.xlsx&amp;sheet=U0&amp;row=6016&amp;col=6&amp;number=4.2&amp;sourceID=14","4.2")</f>
        <v>4.2</v>
      </c>
      <c r="G6016" s="4" t="str">
        <f>HYPERLINK("http://141.218.60.56/~jnz1568/getInfo.php?workbook=12_05.xlsx&amp;sheet=U0&amp;row=6016&amp;col=7&amp;number=0.0122&amp;sourceID=14","0.0122")</f>
        <v>0.0122</v>
      </c>
    </row>
    <row r="6017" spans="1:7">
      <c r="A6017" s="3"/>
      <c r="B6017" s="3"/>
      <c r="C6017" s="3"/>
      <c r="D6017" s="3"/>
      <c r="E6017" s="3">
        <v>14</v>
      </c>
      <c r="F6017" s="4" t="str">
        <f>HYPERLINK("http://141.218.60.56/~jnz1568/getInfo.php?workbook=12_05.xlsx&amp;sheet=U0&amp;row=6017&amp;col=6&amp;number=4.3&amp;sourceID=14","4.3")</f>
        <v>4.3</v>
      </c>
      <c r="G6017" s="4" t="str">
        <f>HYPERLINK("http://141.218.60.56/~jnz1568/getInfo.php?workbook=12_05.xlsx&amp;sheet=U0&amp;row=6017&amp;col=7&amp;number=0.0121&amp;sourceID=14","0.0121")</f>
        <v>0.0121</v>
      </c>
    </row>
    <row r="6018" spans="1:7">
      <c r="A6018" s="3"/>
      <c r="B6018" s="3"/>
      <c r="C6018" s="3"/>
      <c r="D6018" s="3"/>
      <c r="E6018" s="3">
        <v>15</v>
      </c>
      <c r="F6018" s="4" t="str">
        <f>HYPERLINK("http://141.218.60.56/~jnz1568/getInfo.php?workbook=12_05.xlsx&amp;sheet=U0&amp;row=6018&amp;col=6&amp;number=4.4&amp;sourceID=14","4.4")</f>
        <v>4.4</v>
      </c>
      <c r="G6018" s="4" t="str">
        <f>HYPERLINK("http://141.218.60.56/~jnz1568/getInfo.php?workbook=12_05.xlsx&amp;sheet=U0&amp;row=6018&amp;col=7&amp;number=0.0121&amp;sourceID=14","0.0121")</f>
        <v>0.0121</v>
      </c>
    </row>
    <row r="6019" spans="1:7">
      <c r="A6019" s="3"/>
      <c r="B6019" s="3"/>
      <c r="C6019" s="3"/>
      <c r="D6019" s="3"/>
      <c r="E6019" s="3">
        <v>16</v>
      </c>
      <c r="F6019" s="4" t="str">
        <f>HYPERLINK("http://141.218.60.56/~jnz1568/getInfo.php?workbook=12_05.xlsx&amp;sheet=U0&amp;row=6019&amp;col=6&amp;number=4.5&amp;sourceID=14","4.5")</f>
        <v>4.5</v>
      </c>
      <c r="G6019" s="4" t="str">
        <f>HYPERLINK("http://141.218.60.56/~jnz1568/getInfo.php?workbook=12_05.xlsx&amp;sheet=U0&amp;row=6019&amp;col=7&amp;number=0.012&amp;sourceID=14","0.012")</f>
        <v>0.012</v>
      </c>
    </row>
    <row r="6020" spans="1:7">
      <c r="A6020" s="3"/>
      <c r="B6020" s="3"/>
      <c r="C6020" s="3"/>
      <c r="D6020" s="3"/>
      <c r="E6020" s="3">
        <v>17</v>
      </c>
      <c r="F6020" s="4" t="str">
        <f>HYPERLINK("http://141.218.60.56/~jnz1568/getInfo.php?workbook=12_05.xlsx&amp;sheet=U0&amp;row=6020&amp;col=6&amp;number=4.6&amp;sourceID=14","4.6")</f>
        <v>4.6</v>
      </c>
      <c r="G6020" s="4" t="str">
        <f>HYPERLINK("http://141.218.60.56/~jnz1568/getInfo.php?workbook=12_05.xlsx&amp;sheet=U0&amp;row=6020&amp;col=7&amp;number=0.0119&amp;sourceID=14","0.0119")</f>
        <v>0.0119</v>
      </c>
    </row>
    <row r="6021" spans="1:7">
      <c r="A6021" s="3"/>
      <c r="B6021" s="3"/>
      <c r="C6021" s="3"/>
      <c r="D6021" s="3"/>
      <c r="E6021" s="3">
        <v>18</v>
      </c>
      <c r="F6021" s="4" t="str">
        <f>HYPERLINK("http://141.218.60.56/~jnz1568/getInfo.php?workbook=12_05.xlsx&amp;sheet=U0&amp;row=6021&amp;col=6&amp;number=4.7&amp;sourceID=14","4.7")</f>
        <v>4.7</v>
      </c>
      <c r="G6021" s="4" t="str">
        <f>HYPERLINK("http://141.218.60.56/~jnz1568/getInfo.php?workbook=12_05.xlsx&amp;sheet=U0&amp;row=6021&amp;col=7&amp;number=0.0118&amp;sourceID=14","0.0118")</f>
        <v>0.0118</v>
      </c>
    </row>
    <row r="6022" spans="1:7">
      <c r="A6022" s="3"/>
      <c r="B6022" s="3"/>
      <c r="C6022" s="3"/>
      <c r="D6022" s="3"/>
      <c r="E6022" s="3">
        <v>19</v>
      </c>
      <c r="F6022" s="4" t="str">
        <f>HYPERLINK("http://141.218.60.56/~jnz1568/getInfo.php?workbook=12_05.xlsx&amp;sheet=U0&amp;row=6022&amp;col=6&amp;number=4.8&amp;sourceID=14","4.8")</f>
        <v>4.8</v>
      </c>
      <c r="G6022" s="4" t="str">
        <f>HYPERLINK("http://141.218.60.56/~jnz1568/getInfo.php?workbook=12_05.xlsx&amp;sheet=U0&amp;row=6022&amp;col=7&amp;number=0.0117&amp;sourceID=14","0.0117")</f>
        <v>0.0117</v>
      </c>
    </row>
    <row r="6023" spans="1:7">
      <c r="A6023" s="3"/>
      <c r="B6023" s="3"/>
      <c r="C6023" s="3"/>
      <c r="D6023" s="3"/>
      <c r="E6023" s="3">
        <v>20</v>
      </c>
      <c r="F6023" s="4" t="str">
        <f>HYPERLINK("http://141.218.60.56/~jnz1568/getInfo.php?workbook=12_05.xlsx&amp;sheet=U0&amp;row=6023&amp;col=6&amp;number=4.9&amp;sourceID=14","4.9")</f>
        <v>4.9</v>
      </c>
      <c r="G6023" s="4" t="str">
        <f>HYPERLINK("http://141.218.60.56/~jnz1568/getInfo.php?workbook=12_05.xlsx&amp;sheet=U0&amp;row=6023&amp;col=7&amp;number=0.0115&amp;sourceID=14","0.0115")</f>
        <v>0.0115</v>
      </c>
    </row>
    <row r="6024" spans="1:7">
      <c r="A6024" s="3">
        <v>12</v>
      </c>
      <c r="B6024" s="3">
        <v>5</v>
      </c>
      <c r="C6024" s="3">
        <v>4</v>
      </c>
      <c r="D6024" s="3">
        <v>52</v>
      </c>
      <c r="E6024" s="3">
        <v>1</v>
      </c>
      <c r="F6024" s="4" t="str">
        <f>HYPERLINK("http://141.218.60.56/~jnz1568/getInfo.php?workbook=12_05.xlsx&amp;sheet=U0&amp;row=6024&amp;col=6&amp;number=3&amp;sourceID=14","3")</f>
        <v>3</v>
      </c>
      <c r="G6024" s="4" t="str">
        <f>HYPERLINK("http://141.218.60.56/~jnz1568/getInfo.php?workbook=12_05.xlsx&amp;sheet=U0&amp;row=6024&amp;col=7&amp;number=0.0176&amp;sourceID=14","0.0176")</f>
        <v>0.0176</v>
      </c>
    </row>
    <row r="6025" spans="1:7">
      <c r="A6025" s="3"/>
      <c r="B6025" s="3"/>
      <c r="C6025" s="3"/>
      <c r="D6025" s="3"/>
      <c r="E6025" s="3">
        <v>2</v>
      </c>
      <c r="F6025" s="4" t="str">
        <f>HYPERLINK("http://141.218.60.56/~jnz1568/getInfo.php?workbook=12_05.xlsx&amp;sheet=U0&amp;row=6025&amp;col=6&amp;number=3.1&amp;sourceID=14","3.1")</f>
        <v>3.1</v>
      </c>
      <c r="G6025" s="4" t="str">
        <f>HYPERLINK("http://141.218.60.56/~jnz1568/getInfo.php?workbook=12_05.xlsx&amp;sheet=U0&amp;row=6025&amp;col=7&amp;number=0.0176&amp;sourceID=14","0.0176")</f>
        <v>0.0176</v>
      </c>
    </row>
    <row r="6026" spans="1:7">
      <c r="A6026" s="3"/>
      <c r="B6026" s="3"/>
      <c r="C6026" s="3"/>
      <c r="D6026" s="3"/>
      <c r="E6026" s="3">
        <v>3</v>
      </c>
      <c r="F6026" s="4" t="str">
        <f>HYPERLINK("http://141.218.60.56/~jnz1568/getInfo.php?workbook=12_05.xlsx&amp;sheet=U0&amp;row=6026&amp;col=6&amp;number=3.2&amp;sourceID=14","3.2")</f>
        <v>3.2</v>
      </c>
      <c r="G6026" s="4" t="str">
        <f>HYPERLINK("http://141.218.60.56/~jnz1568/getInfo.php?workbook=12_05.xlsx&amp;sheet=U0&amp;row=6026&amp;col=7&amp;number=0.0176&amp;sourceID=14","0.0176")</f>
        <v>0.0176</v>
      </c>
    </row>
    <row r="6027" spans="1:7">
      <c r="A6027" s="3"/>
      <c r="B6027" s="3"/>
      <c r="C6027" s="3"/>
      <c r="D6027" s="3"/>
      <c r="E6027" s="3">
        <v>4</v>
      </c>
      <c r="F6027" s="4" t="str">
        <f>HYPERLINK("http://141.218.60.56/~jnz1568/getInfo.php?workbook=12_05.xlsx&amp;sheet=U0&amp;row=6027&amp;col=6&amp;number=3.3&amp;sourceID=14","3.3")</f>
        <v>3.3</v>
      </c>
      <c r="G6027" s="4" t="str">
        <f>HYPERLINK("http://141.218.60.56/~jnz1568/getInfo.php?workbook=12_05.xlsx&amp;sheet=U0&amp;row=6027&amp;col=7&amp;number=0.0176&amp;sourceID=14","0.0176")</f>
        <v>0.0176</v>
      </c>
    </row>
    <row r="6028" spans="1:7">
      <c r="A6028" s="3"/>
      <c r="B6028" s="3"/>
      <c r="C6028" s="3"/>
      <c r="D6028" s="3"/>
      <c r="E6028" s="3">
        <v>5</v>
      </c>
      <c r="F6028" s="4" t="str">
        <f>HYPERLINK("http://141.218.60.56/~jnz1568/getInfo.php?workbook=12_05.xlsx&amp;sheet=U0&amp;row=6028&amp;col=6&amp;number=3.4&amp;sourceID=14","3.4")</f>
        <v>3.4</v>
      </c>
      <c r="G6028" s="4" t="str">
        <f>HYPERLINK("http://141.218.60.56/~jnz1568/getInfo.php?workbook=12_05.xlsx&amp;sheet=U0&amp;row=6028&amp;col=7&amp;number=0.0176&amp;sourceID=14","0.0176")</f>
        <v>0.0176</v>
      </c>
    </row>
    <row r="6029" spans="1:7">
      <c r="A6029" s="3"/>
      <c r="B6029" s="3"/>
      <c r="C6029" s="3"/>
      <c r="D6029" s="3"/>
      <c r="E6029" s="3">
        <v>6</v>
      </c>
      <c r="F6029" s="4" t="str">
        <f>HYPERLINK("http://141.218.60.56/~jnz1568/getInfo.php?workbook=12_05.xlsx&amp;sheet=U0&amp;row=6029&amp;col=6&amp;number=3.5&amp;sourceID=14","3.5")</f>
        <v>3.5</v>
      </c>
      <c r="G6029" s="4" t="str">
        <f>HYPERLINK("http://141.218.60.56/~jnz1568/getInfo.php?workbook=12_05.xlsx&amp;sheet=U0&amp;row=6029&amp;col=7&amp;number=0.0176&amp;sourceID=14","0.0176")</f>
        <v>0.0176</v>
      </c>
    </row>
    <row r="6030" spans="1:7">
      <c r="A6030" s="3"/>
      <c r="B6030" s="3"/>
      <c r="C6030" s="3"/>
      <c r="D6030" s="3"/>
      <c r="E6030" s="3">
        <v>7</v>
      </c>
      <c r="F6030" s="4" t="str">
        <f>HYPERLINK("http://141.218.60.56/~jnz1568/getInfo.php?workbook=12_05.xlsx&amp;sheet=U0&amp;row=6030&amp;col=6&amp;number=3.6&amp;sourceID=14","3.6")</f>
        <v>3.6</v>
      </c>
      <c r="G6030" s="4" t="str">
        <f>HYPERLINK("http://141.218.60.56/~jnz1568/getInfo.php?workbook=12_05.xlsx&amp;sheet=U0&amp;row=6030&amp;col=7&amp;number=0.0176&amp;sourceID=14","0.0176")</f>
        <v>0.0176</v>
      </c>
    </row>
    <row r="6031" spans="1:7">
      <c r="A6031" s="3"/>
      <c r="B6031" s="3"/>
      <c r="C6031" s="3"/>
      <c r="D6031" s="3"/>
      <c r="E6031" s="3">
        <v>8</v>
      </c>
      <c r="F6031" s="4" t="str">
        <f>HYPERLINK("http://141.218.60.56/~jnz1568/getInfo.php?workbook=12_05.xlsx&amp;sheet=U0&amp;row=6031&amp;col=6&amp;number=3.7&amp;sourceID=14","3.7")</f>
        <v>3.7</v>
      </c>
      <c r="G6031" s="4" t="str">
        <f>HYPERLINK("http://141.218.60.56/~jnz1568/getInfo.php?workbook=12_05.xlsx&amp;sheet=U0&amp;row=6031&amp;col=7&amp;number=0.0176&amp;sourceID=14","0.0176")</f>
        <v>0.0176</v>
      </c>
    </row>
    <row r="6032" spans="1:7">
      <c r="A6032" s="3"/>
      <c r="B6032" s="3"/>
      <c r="C6032" s="3"/>
      <c r="D6032" s="3"/>
      <c r="E6032" s="3">
        <v>9</v>
      </c>
      <c r="F6032" s="4" t="str">
        <f>HYPERLINK("http://141.218.60.56/~jnz1568/getInfo.php?workbook=12_05.xlsx&amp;sheet=U0&amp;row=6032&amp;col=6&amp;number=3.8&amp;sourceID=14","3.8")</f>
        <v>3.8</v>
      </c>
      <c r="G6032" s="4" t="str">
        <f>HYPERLINK("http://141.218.60.56/~jnz1568/getInfo.php?workbook=12_05.xlsx&amp;sheet=U0&amp;row=6032&amp;col=7&amp;number=0.0176&amp;sourceID=14","0.0176")</f>
        <v>0.0176</v>
      </c>
    </row>
    <row r="6033" spans="1:7">
      <c r="A6033" s="3"/>
      <c r="B6033" s="3"/>
      <c r="C6033" s="3"/>
      <c r="D6033" s="3"/>
      <c r="E6033" s="3">
        <v>10</v>
      </c>
      <c r="F6033" s="4" t="str">
        <f>HYPERLINK("http://141.218.60.56/~jnz1568/getInfo.php?workbook=12_05.xlsx&amp;sheet=U0&amp;row=6033&amp;col=6&amp;number=3.9&amp;sourceID=14","3.9")</f>
        <v>3.9</v>
      </c>
      <c r="G6033" s="4" t="str">
        <f>HYPERLINK("http://141.218.60.56/~jnz1568/getInfo.php?workbook=12_05.xlsx&amp;sheet=U0&amp;row=6033&amp;col=7&amp;number=0.0176&amp;sourceID=14","0.0176")</f>
        <v>0.0176</v>
      </c>
    </row>
    <row r="6034" spans="1:7">
      <c r="A6034" s="3"/>
      <c r="B6034" s="3"/>
      <c r="C6034" s="3"/>
      <c r="D6034" s="3"/>
      <c r="E6034" s="3">
        <v>11</v>
      </c>
      <c r="F6034" s="4" t="str">
        <f>HYPERLINK("http://141.218.60.56/~jnz1568/getInfo.php?workbook=12_05.xlsx&amp;sheet=U0&amp;row=6034&amp;col=6&amp;number=4&amp;sourceID=14","4")</f>
        <v>4</v>
      </c>
      <c r="G6034" s="4" t="str">
        <f>HYPERLINK("http://141.218.60.56/~jnz1568/getInfo.php?workbook=12_05.xlsx&amp;sheet=U0&amp;row=6034&amp;col=7&amp;number=0.0175&amp;sourceID=14","0.0175")</f>
        <v>0.0175</v>
      </c>
    </row>
    <row r="6035" spans="1:7">
      <c r="A6035" s="3"/>
      <c r="B6035" s="3"/>
      <c r="C6035" s="3"/>
      <c r="D6035" s="3"/>
      <c r="E6035" s="3">
        <v>12</v>
      </c>
      <c r="F6035" s="4" t="str">
        <f>HYPERLINK("http://141.218.60.56/~jnz1568/getInfo.php?workbook=12_05.xlsx&amp;sheet=U0&amp;row=6035&amp;col=6&amp;number=4.1&amp;sourceID=14","4.1")</f>
        <v>4.1</v>
      </c>
      <c r="G6035" s="4" t="str">
        <f>HYPERLINK("http://141.218.60.56/~jnz1568/getInfo.php?workbook=12_05.xlsx&amp;sheet=U0&amp;row=6035&amp;col=7&amp;number=0.0175&amp;sourceID=14","0.0175")</f>
        <v>0.0175</v>
      </c>
    </row>
    <row r="6036" spans="1:7">
      <c r="A6036" s="3"/>
      <c r="B6036" s="3"/>
      <c r="C6036" s="3"/>
      <c r="D6036" s="3"/>
      <c r="E6036" s="3">
        <v>13</v>
      </c>
      <c r="F6036" s="4" t="str">
        <f>HYPERLINK("http://141.218.60.56/~jnz1568/getInfo.php?workbook=12_05.xlsx&amp;sheet=U0&amp;row=6036&amp;col=6&amp;number=4.2&amp;sourceID=14","4.2")</f>
        <v>4.2</v>
      </c>
      <c r="G6036" s="4" t="str">
        <f>HYPERLINK("http://141.218.60.56/~jnz1568/getInfo.php?workbook=12_05.xlsx&amp;sheet=U0&amp;row=6036&amp;col=7&amp;number=0.0175&amp;sourceID=14","0.0175")</f>
        <v>0.0175</v>
      </c>
    </row>
    <row r="6037" spans="1:7">
      <c r="A6037" s="3"/>
      <c r="B6037" s="3"/>
      <c r="C6037" s="3"/>
      <c r="D6037" s="3"/>
      <c r="E6037" s="3">
        <v>14</v>
      </c>
      <c r="F6037" s="4" t="str">
        <f>HYPERLINK("http://141.218.60.56/~jnz1568/getInfo.php?workbook=12_05.xlsx&amp;sheet=U0&amp;row=6037&amp;col=6&amp;number=4.3&amp;sourceID=14","4.3")</f>
        <v>4.3</v>
      </c>
      <c r="G6037" s="4" t="str">
        <f>HYPERLINK("http://141.218.60.56/~jnz1568/getInfo.php?workbook=12_05.xlsx&amp;sheet=U0&amp;row=6037&amp;col=7&amp;number=0.0175&amp;sourceID=14","0.0175")</f>
        <v>0.0175</v>
      </c>
    </row>
    <row r="6038" spans="1:7">
      <c r="A6038" s="3"/>
      <c r="B6038" s="3"/>
      <c r="C6038" s="3"/>
      <c r="D6038" s="3"/>
      <c r="E6038" s="3">
        <v>15</v>
      </c>
      <c r="F6038" s="4" t="str">
        <f>HYPERLINK("http://141.218.60.56/~jnz1568/getInfo.php?workbook=12_05.xlsx&amp;sheet=U0&amp;row=6038&amp;col=6&amp;number=4.4&amp;sourceID=14","4.4")</f>
        <v>4.4</v>
      </c>
      <c r="G6038" s="4" t="str">
        <f>HYPERLINK("http://141.218.60.56/~jnz1568/getInfo.php?workbook=12_05.xlsx&amp;sheet=U0&amp;row=6038&amp;col=7&amp;number=0.0174&amp;sourceID=14","0.0174")</f>
        <v>0.0174</v>
      </c>
    </row>
    <row r="6039" spans="1:7">
      <c r="A6039" s="3"/>
      <c r="B6039" s="3"/>
      <c r="C6039" s="3"/>
      <c r="D6039" s="3"/>
      <c r="E6039" s="3">
        <v>16</v>
      </c>
      <c r="F6039" s="4" t="str">
        <f>HYPERLINK("http://141.218.60.56/~jnz1568/getInfo.php?workbook=12_05.xlsx&amp;sheet=U0&amp;row=6039&amp;col=6&amp;number=4.5&amp;sourceID=14","4.5")</f>
        <v>4.5</v>
      </c>
      <c r="G6039" s="4" t="str">
        <f>HYPERLINK("http://141.218.60.56/~jnz1568/getInfo.php?workbook=12_05.xlsx&amp;sheet=U0&amp;row=6039&amp;col=7&amp;number=0.0174&amp;sourceID=14","0.0174")</f>
        <v>0.0174</v>
      </c>
    </row>
    <row r="6040" spans="1:7">
      <c r="A6040" s="3"/>
      <c r="B6040" s="3"/>
      <c r="C6040" s="3"/>
      <c r="D6040" s="3"/>
      <c r="E6040" s="3">
        <v>17</v>
      </c>
      <c r="F6040" s="4" t="str">
        <f>HYPERLINK("http://141.218.60.56/~jnz1568/getInfo.php?workbook=12_05.xlsx&amp;sheet=U0&amp;row=6040&amp;col=6&amp;number=4.6&amp;sourceID=14","4.6")</f>
        <v>4.6</v>
      </c>
      <c r="G6040" s="4" t="str">
        <f>HYPERLINK("http://141.218.60.56/~jnz1568/getInfo.php?workbook=12_05.xlsx&amp;sheet=U0&amp;row=6040&amp;col=7&amp;number=0.0173&amp;sourceID=14","0.0173")</f>
        <v>0.0173</v>
      </c>
    </row>
    <row r="6041" spans="1:7">
      <c r="A6041" s="3"/>
      <c r="B6041" s="3"/>
      <c r="C6041" s="3"/>
      <c r="D6041" s="3"/>
      <c r="E6041" s="3">
        <v>18</v>
      </c>
      <c r="F6041" s="4" t="str">
        <f>HYPERLINK("http://141.218.60.56/~jnz1568/getInfo.php?workbook=12_05.xlsx&amp;sheet=U0&amp;row=6041&amp;col=6&amp;number=4.7&amp;sourceID=14","4.7")</f>
        <v>4.7</v>
      </c>
      <c r="G6041" s="4" t="str">
        <f>HYPERLINK("http://141.218.60.56/~jnz1568/getInfo.php?workbook=12_05.xlsx&amp;sheet=U0&amp;row=6041&amp;col=7&amp;number=0.0172&amp;sourceID=14","0.0172")</f>
        <v>0.0172</v>
      </c>
    </row>
    <row r="6042" spans="1:7">
      <c r="A6042" s="3"/>
      <c r="B6042" s="3"/>
      <c r="C6042" s="3"/>
      <c r="D6042" s="3"/>
      <c r="E6042" s="3">
        <v>19</v>
      </c>
      <c r="F6042" s="4" t="str">
        <f>HYPERLINK("http://141.218.60.56/~jnz1568/getInfo.php?workbook=12_05.xlsx&amp;sheet=U0&amp;row=6042&amp;col=6&amp;number=4.8&amp;sourceID=14","4.8")</f>
        <v>4.8</v>
      </c>
      <c r="G6042" s="4" t="str">
        <f>HYPERLINK("http://141.218.60.56/~jnz1568/getInfo.php?workbook=12_05.xlsx&amp;sheet=U0&amp;row=6042&amp;col=7&amp;number=0.0172&amp;sourceID=14","0.0172")</f>
        <v>0.0172</v>
      </c>
    </row>
    <row r="6043" spans="1:7">
      <c r="A6043" s="3"/>
      <c r="B6043" s="3"/>
      <c r="C6043" s="3"/>
      <c r="D6043" s="3"/>
      <c r="E6043" s="3">
        <v>20</v>
      </c>
      <c r="F6043" s="4" t="str">
        <f>HYPERLINK("http://141.218.60.56/~jnz1568/getInfo.php?workbook=12_05.xlsx&amp;sheet=U0&amp;row=6043&amp;col=6&amp;number=4.9&amp;sourceID=14","4.9")</f>
        <v>4.9</v>
      </c>
      <c r="G6043" s="4" t="str">
        <f>HYPERLINK("http://141.218.60.56/~jnz1568/getInfo.php?workbook=12_05.xlsx&amp;sheet=U0&amp;row=6043&amp;col=7&amp;number=0.017&amp;sourceID=14","0.017")</f>
        <v>0.017</v>
      </c>
    </row>
    <row r="6044" spans="1:7">
      <c r="A6044" s="3">
        <v>12</v>
      </c>
      <c r="B6044" s="3">
        <v>5</v>
      </c>
      <c r="C6044" s="3">
        <v>4</v>
      </c>
      <c r="D6044" s="3">
        <v>53</v>
      </c>
      <c r="E6044" s="3">
        <v>1</v>
      </c>
      <c r="F6044" s="4" t="str">
        <f>HYPERLINK("http://141.218.60.56/~jnz1568/getInfo.php?workbook=12_05.xlsx&amp;sheet=U0&amp;row=6044&amp;col=6&amp;number=3&amp;sourceID=14","3")</f>
        <v>3</v>
      </c>
      <c r="G6044" s="4" t="str">
        <f>HYPERLINK("http://141.218.60.56/~jnz1568/getInfo.php?workbook=12_05.xlsx&amp;sheet=U0&amp;row=6044&amp;col=7&amp;number=0.0144&amp;sourceID=14","0.0144")</f>
        <v>0.0144</v>
      </c>
    </row>
    <row r="6045" spans="1:7">
      <c r="A6045" s="3"/>
      <c r="B6045" s="3"/>
      <c r="C6045" s="3"/>
      <c r="D6045" s="3"/>
      <c r="E6045" s="3">
        <v>2</v>
      </c>
      <c r="F6045" s="4" t="str">
        <f>HYPERLINK("http://141.218.60.56/~jnz1568/getInfo.php?workbook=12_05.xlsx&amp;sheet=U0&amp;row=6045&amp;col=6&amp;number=3.1&amp;sourceID=14","3.1")</f>
        <v>3.1</v>
      </c>
      <c r="G6045" s="4" t="str">
        <f>HYPERLINK("http://141.218.60.56/~jnz1568/getInfo.php?workbook=12_05.xlsx&amp;sheet=U0&amp;row=6045&amp;col=7&amp;number=0.0144&amp;sourceID=14","0.0144")</f>
        <v>0.0144</v>
      </c>
    </row>
    <row r="6046" spans="1:7">
      <c r="A6046" s="3"/>
      <c r="B6046" s="3"/>
      <c r="C6046" s="3"/>
      <c r="D6046" s="3"/>
      <c r="E6046" s="3">
        <v>3</v>
      </c>
      <c r="F6046" s="4" t="str">
        <f>HYPERLINK("http://141.218.60.56/~jnz1568/getInfo.php?workbook=12_05.xlsx&amp;sheet=U0&amp;row=6046&amp;col=6&amp;number=3.2&amp;sourceID=14","3.2")</f>
        <v>3.2</v>
      </c>
      <c r="G6046" s="4" t="str">
        <f>HYPERLINK("http://141.218.60.56/~jnz1568/getInfo.php?workbook=12_05.xlsx&amp;sheet=U0&amp;row=6046&amp;col=7&amp;number=0.0144&amp;sourceID=14","0.0144")</f>
        <v>0.0144</v>
      </c>
    </row>
    <row r="6047" spans="1:7">
      <c r="A6047" s="3"/>
      <c r="B6047" s="3"/>
      <c r="C6047" s="3"/>
      <c r="D6047" s="3"/>
      <c r="E6047" s="3">
        <v>4</v>
      </c>
      <c r="F6047" s="4" t="str">
        <f>HYPERLINK("http://141.218.60.56/~jnz1568/getInfo.php?workbook=12_05.xlsx&amp;sheet=U0&amp;row=6047&amp;col=6&amp;number=3.3&amp;sourceID=14","3.3")</f>
        <v>3.3</v>
      </c>
      <c r="G6047" s="4" t="str">
        <f>HYPERLINK("http://141.218.60.56/~jnz1568/getInfo.php?workbook=12_05.xlsx&amp;sheet=U0&amp;row=6047&amp;col=7&amp;number=0.0144&amp;sourceID=14","0.0144")</f>
        <v>0.0144</v>
      </c>
    </row>
    <row r="6048" spans="1:7">
      <c r="A6048" s="3"/>
      <c r="B6048" s="3"/>
      <c r="C6048" s="3"/>
      <c r="D6048" s="3"/>
      <c r="E6048" s="3">
        <v>5</v>
      </c>
      <c r="F6048" s="4" t="str">
        <f>HYPERLINK("http://141.218.60.56/~jnz1568/getInfo.php?workbook=12_05.xlsx&amp;sheet=U0&amp;row=6048&amp;col=6&amp;number=3.4&amp;sourceID=14","3.4")</f>
        <v>3.4</v>
      </c>
      <c r="G6048" s="4" t="str">
        <f>HYPERLINK("http://141.218.60.56/~jnz1568/getInfo.php?workbook=12_05.xlsx&amp;sheet=U0&amp;row=6048&amp;col=7&amp;number=0.0144&amp;sourceID=14","0.0144")</f>
        <v>0.0144</v>
      </c>
    </row>
    <row r="6049" spans="1:7">
      <c r="A6049" s="3"/>
      <c r="B6049" s="3"/>
      <c r="C6049" s="3"/>
      <c r="D6049" s="3"/>
      <c r="E6049" s="3">
        <v>6</v>
      </c>
      <c r="F6049" s="4" t="str">
        <f>HYPERLINK("http://141.218.60.56/~jnz1568/getInfo.php?workbook=12_05.xlsx&amp;sheet=U0&amp;row=6049&amp;col=6&amp;number=3.5&amp;sourceID=14","3.5")</f>
        <v>3.5</v>
      </c>
      <c r="G6049" s="4" t="str">
        <f>HYPERLINK("http://141.218.60.56/~jnz1568/getInfo.php?workbook=12_05.xlsx&amp;sheet=U0&amp;row=6049&amp;col=7&amp;number=0.0144&amp;sourceID=14","0.0144")</f>
        <v>0.0144</v>
      </c>
    </row>
    <row r="6050" spans="1:7">
      <c r="A6050" s="3"/>
      <c r="B6050" s="3"/>
      <c r="C6050" s="3"/>
      <c r="D6050" s="3"/>
      <c r="E6050" s="3">
        <v>7</v>
      </c>
      <c r="F6050" s="4" t="str">
        <f>HYPERLINK("http://141.218.60.56/~jnz1568/getInfo.php?workbook=12_05.xlsx&amp;sheet=U0&amp;row=6050&amp;col=6&amp;number=3.6&amp;sourceID=14","3.6")</f>
        <v>3.6</v>
      </c>
      <c r="G6050" s="4" t="str">
        <f>HYPERLINK("http://141.218.60.56/~jnz1568/getInfo.php?workbook=12_05.xlsx&amp;sheet=U0&amp;row=6050&amp;col=7&amp;number=0.0144&amp;sourceID=14","0.0144")</f>
        <v>0.0144</v>
      </c>
    </row>
    <row r="6051" spans="1:7">
      <c r="A6051" s="3"/>
      <c r="B6051" s="3"/>
      <c r="C6051" s="3"/>
      <c r="D6051" s="3"/>
      <c r="E6051" s="3">
        <v>8</v>
      </c>
      <c r="F6051" s="4" t="str">
        <f>HYPERLINK("http://141.218.60.56/~jnz1568/getInfo.php?workbook=12_05.xlsx&amp;sheet=U0&amp;row=6051&amp;col=6&amp;number=3.7&amp;sourceID=14","3.7")</f>
        <v>3.7</v>
      </c>
      <c r="G6051" s="4" t="str">
        <f>HYPERLINK("http://141.218.60.56/~jnz1568/getInfo.php?workbook=12_05.xlsx&amp;sheet=U0&amp;row=6051&amp;col=7&amp;number=0.0143&amp;sourceID=14","0.0143")</f>
        <v>0.0143</v>
      </c>
    </row>
    <row r="6052" spans="1:7">
      <c r="A6052" s="3"/>
      <c r="B6052" s="3"/>
      <c r="C6052" s="3"/>
      <c r="D6052" s="3"/>
      <c r="E6052" s="3">
        <v>9</v>
      </c>
      <c r="F6052" s="4" t="str">
        <f>HYPERLINK("http://141.218.60.56/~jnz1568/getInfo.php?workbook=12_05.xlsx&amp;sheet=U0&amp;row=6052&amp;col=6&amp;number=3.8&amp;sourceID=14","3.8")</f>
        <v>3.8</v>
      </c>
      <c r="G6052" s="4" t="str">
        <f>HYPERLINK("http://141.218.60.56/~jnz1568/getInfo.php?workbook=12_05.xlsx&amp;sheet=U0&amp;row=6052&amp;col=7&amp;number=0.0143&amp;sourceID=14","0.0143")</f>
        <v>0.0143</v>
      </c>
    </row>
    <row r="6053" spans="1:7">
      <c r="A6053" s="3"/>
      <c r="B6053" s="3"/>
      <c r="C6053" s="3"/>
      <c r="D6053" s="3"/>
      <c r="E6053" s="3">
        <v>10</v>
      </c>
      <c r="F6053" s="4" t="str">
        <f>HYPERLINK("http://141.218.60.56/~jnz1568/getInfo.php?workbook=12_05.xlsx&amp;sheet=U0&amp;row=6053&amp;col=6&amp;number=3.9&amp;sourceID=14","3.9")</f>
        <v>3.9</v>
      </c>
      <c r="G6053" s="4" t="str">
        <f>HYPERLINK("http://141.218.60.56/~jnz1568/getInfo.php?workbook=12_05.xlsx&amp;sheet=U0&amp;row=6053&amp;col=7&amp;number=0.0143&amp;sourceID=14","0.0143")</f>
        <v>0.0143</v>
      </c>
    </row>
    <row r="6054" spans="1:7">
      <c r="A6054" s="3"/>
      <c r="B6054" s="3"/>
      <c r="C6054" s="3"/>
      <c r="D6054" s="3"/>
      <c r="E6054" s="3">
        <v>11</v>
      </c>
      <c r="F6054" s="4" t="str">
        <f>HYPERLINK("http://141.218.60.56/~jnz1568/getInfo.php?workbook=12_05.xlsx&amp;sheet=U0&amp;row=6054&amp;col=6&amp;number=4&amp;sourceID=14","4")</f>
        <v>4</v>
      </c>
      <c r="G6054" s="4" t="str">
        <f>HYPERLINK("http://141.218.60.56/~jnz1568/getInfo.php?workbook=12_05.xlsx&amp;sheet=U0&amp;row=6054&amp;col=7&amp;number=0.0143&amp;sourceID=14","0.0143")</f>
        <v>0.0143</v>
      </c>
    </row>
    <row r="6055" spans="1:7">
      <c r="A6055" s="3"/>
      <c r="B6055" s="3"/>
      <c r="C6055" s="3"/>
      <c r="D6055" s="3"/>
      <c r="E6055" s="3">
        <v>12</v>
      </c>
      <c r="F6055" s="4" t="str">
        <f>HYPERLINK("http://141.218.60.56/~jnz1568/getInfo.php?workbook=12_05.xlsx&amp;sheet=U0&amp;row=6055&amp;col=6&amp;number=4.1&amp;sourceID=14","4.1")</f>
        <v>4.1</v>
      </c>
      <c r="G6055" s="4" t="str">
        <f>HYPERLINK("http://141.218.60.56/~jnz1568/getInfo.php?workbook=12_05.xlsx&amp;sheet=U0&amp;row=6055&amp;col=7&amp;number=0.0142&amp;sourceID=14","0.0142")</f>
        <v>0.0142</v>
      </c>
    </row>
    <row r="6056" spans="1:7">
      <c r="A6056" s="3"/>
      <c r="B6056" s="3"/>
      <c r="C6056" s="3"/>
      <c r="D6056" s="3"/>
      <c r="E6056" s="3">
        <v>13</v>
      </c>
      <c r="F6056" s="4" t="str">
        <f>HYPERLINK("http://141.218.60.56/~jnz1568/getInfo.php?workbook=12_05.xlsx&amp;sheet=U0&amp;row=6056&amp;col=6&amp;number=4.2&amp;sourceID=14","4.2")</f>
        <v>4.2</v>
      </c>
      <c r="G6056" s="4" t="str">
        <f>HYPERLINK("http://141.218.60.56/~jnz1568/getInfo.php?workbook=12_05.xlsx&amp;sheet=U0&amp;row=6056&amp;col=7&amp;number=0.0142&amp;sourceID=14","0.0142")</f>
        <v>0.0142</v>
      </c>
    </row>
    <row r="6057" spans="1:7">
      <c r="A6057" s="3"/>
      <c r="B6057" s="3"/>
      <c r="C6057" s="3"/>
      <c r="D6057" s="3"/>
      <c r="E6057" s="3">
        <v>14</v>
      </c>
      <c r="F6057" s="4" t="str">
        <f>HYPERLINK("http://141.218.60.56/~jnz1568/getInfo.php?workbook=12_05.xlsx&amp;sheet=U0&amp;row=6057&amp;col=6&amp;number=4.3&amp;sourceID=14","4.3")</f>
        <v>4.3</v>
      </c>
      <c r="G6057" s="4" t="str">
        <f>HYPERLINK("http://141.218.60.56/~jnz1568/getInfo.php?workbook=12_05.xlsx&amp;sheet=U0&amp;row=6057&amp;col=7&amp;number=0.0141&amp;sourceID=14","0.0141")</f>
        <v>0.0141</v>
      </c>
    </row>
    <row r="6058" spans="1:7">
      <c r="A6058" s="3"/>
      <c r="B6058" s="3"/>
      <c r="C6058" s="3"/>
      <c r="D6058" s="3"/>
      <c r="E6058" s="3">
        <v>15</v>
      </c>
      <c r="F6058" s="4" t="str">
        <f>HYPERLINK("http://141.218.60.56/~jnz1568/getInfo.php?workbook=12_05.xlsx&amp;sheet=U0&amp;row=6058&amp;col=6&amp;number=4.4&amp;sourceID=14","4.4")</f>
        <v>4.4</v>
      </c>
      <c r="G6058" s="4" t="str">
        <f>HYPERLINK("http://141.218.60.56/~jnz1568/getInfo.php?workbook=12_05.xlsx&amp;sheet=U0&amp;row=6058&amp;col=7&amp;number=0.0141&amp;sourceID=14","0.0141")</f>
        <v>0.0141</v>
      </c>
    </row>
    <row r="6059" spans="1:7">
      <c r="A6059" s="3"/>
      <c r="B6059" s="3"/>
      <c r="C6059" s="3"/>
      <c r="D6059" s="3"/>
      <c r="E6059" s="3">
        <v>16</v>
      </c>
      <c r="F6059" s="4" t="str">
        <f>HYPERLINK("http://141.218.60.56/~jnz1568/getInfo.php?workbook=12_05.xlsx&amp;sheet=U0&amp;row=6059&amp;col=6&amp;number=4.5&amp;sourceID=14","4.5")</f>
        <v>4.5</v>
      </c>
      <c r="G6059" s="4" t="str">
        <f>HYPERLINK("http://141.218.60.56/~jnz1568/getInfo.php?workbook=12_05.xlsx&amp;sheet=U0&amp;row=6059&amp;col=7&amp;number=0.014&amp;sourceID=14","0.014")</f>
        <v>0.014</v>
      </c>
    </row>
    <row r="6060" spans="1:7">
      <c r="A6060" s="3"/>
      <c r="B6060" s="3"/>
      <c r="C6060" s="3"/>
      <c r="D6060" s="3"/>
      <c r="E6060" s="3">
        <v>17</v>
      </c>
      <c r="F6060" s="4" t="str">
        <f>HYPERLINK("http://141.218.60.56/~jnz1568/getInfo.php?workbook=12_05.xlsx&amp;sheet=U0&amp;row=6060&amp;col=6&amp;number=4.6&amp;sourceID=14","4.6")</f>
        <v>4.6</v>
      </c>
      <c r="G6060" s="4" t="str">
        <f>HYPERLINK("http://141.218.60.56/~jnz1568/getInfo.php?workbook=12_05.xlsx&amp;sheet=U0&amp;row=6060&amp;col=7&amp;number=0.0139&amp;sourceID=14","0.0139")</f>
        <v>0.0139</v>
      </c>
    </row>
    <row r="6061" spans="1:7">
      <c r="A6061" s="3"/>
      <c r="B6061" s="3"/>
      <c r="C6061" s="3"/>
      <c r="D6061" s="3"/>
      <c r="E6061" s="3">
        <v>18</v>
      </c>
      <c r="F6061" s="4" t="str">
        <f>HYPERLINK("http://141.218.60.56/~jnz1568/getInfo.php?workbook=12_05.xlsx&amp;sheet=U0&amp;row=6061&amp;col=6&amp;number=4.7&amp;sourceID=14","4.7")</f>
        <v>4.7</v>
      </c>
      <c r="G6061" s="4" t="str">
        <f>HYPERLINK("http://141.218.60.56/~jnz1568/getInfo.php?workbook=12_05.xlsx&amp;sheet=U0&amp;row=6061&amp;col=7&amp;number=0.0137&amp;sourceID=14","0.0137")</f>
        <v>0.0137</v>
      </c>
    </row>
    <row r="6062" spans="1:7">
      <c r="A6062" s="3"/>
      <c r="B6062" s="3"/>
      <c r="C6062" s="3"/>
      <c r="D6062" s="3"/>
      <c r="E6062" s="3">
        <v>19</v>
      </c>
      <c r="F6062" s="4" t="str">
        <f>HYPERLINK("http://141.218.60.56/~jnz1568/getInfo.php?workbook=12_05.xlsx&amp;sheet=U0&amp;row=6062&amp;col=6&amp;number=4.8&amp;sourceID=14","4.8")</f>
        <v>4.8</v>
      </c>
      <c r="G6062" s="4" t="str">
        <f>HYPERLINK("http://141.218.60.56/~jnz1568/getInfo.php?workbook=12_05.xlsx&amp;sheet=U0&amp;row=6062&amp;col=7&amp;number=0.0136&amp;sourceID=14","0.0136")</f>
        <v>0.0136</v>
      </c>
    </row>
    <row r="6063" spans="1:7">
      <c r="A6063" s="3"/>
      <c r="B6063" s="3"/>
      <c r="C6063" s="3"/>
      <c r="D6063" s="3"/>
      <c r="E6063" s="3">
        <v>20</v>
      </c>
      <c r="F6063" s="4" t="str">
        <f>HYPERLINK("http://141.218.60.56/~jnz1568/getInfo.php?workbook=12_05.xlsx&amp;sheet=U0&amp;row=6063&amp;col=6&amp;number=4.9&amp;sourceID=14","4.9")</f>
        <v>4.9</v>
      </c>
      <c r="G6063" s="4" t="str">
        <f>HYPERLINK("http://141.218.60.56/~jnz1568/getInfo.php?workbook=12_05.xlsx&amp;sheet=U0&amp;row=6063&amp;col=7&amp;number=0.0134&amp;sourceID=14","0.0134")</f>
        <v>0.0134</v>
      </c>
    </row>
    <row r="6064" spans="1:7">
      <c r="A6064" s="3">
        <v>12</v>
      </c>
      <c r="B6064" s="3">
        <v>5</v>
      </c>
      <c r="C6064" s="3">
        <v>4</v>
      </c>
      <c r="D6064" s="3">
        <v>54</v>
      </c>
      <c r="E6064" s="3">
        <v>1</v>
      </c>
      <c r="F6064" s="4" t="str">
        <f>HYPERLINK("http://141.218.60.56/~jnz1568/getInfo.php?workbook=12_05.xlsx&amp;sheet=U0&amp;row=6064&amp;col=6&amp;number=3&amp;sourceID=14","3")</f>
        <v>3</v>
      </c>
      <c r="G6064" s="4" t="str">
        <f>HYPERLINK("http://141.218.60.56/~jnz1568/getInfo.php?workbook=12_05.xlsx&amp;sheet=U0&amp;row=6064&amp;col=7&amp;number=0.000236&amp;sourceID=14","0.000236")</f>
        <v>0.000236</v>
      </c>
    </row>
    <row r="6065" spans="1:7">
      <c r="A6065" s="3"/>
      <c r="B6065" s="3"/>
      <c r="C6065" s="3"/>
      <c r="D6065" s="3"/>
      <c r="E6065" s="3">
        <v>2</v>
      </c>
      <c r="F6065" s="4" t="str">
        <f>HYPERLINK("http://141.218.60.56/~jnz1568/getInfo.php?workbook=12_05.xlsx&amp;sheet=U0&amp;row=6065&amp;col=6&amp;number=3.1&amp;sourceID=14","3.1")</f>
        <v>3.1</v>
      </c>
      <c r="G6065" s="4" t="str">
        <f>HYPERLINK("http://141.218.60.56/~jnz1568/getInfo.php?workbook=12_05.xlsx&amp;sheet=U0&amp;row=6065&amp;col=7&amp;number=0.000236&amp;sourceID=14","0.000236")</f>
        <v>0.000236</v>
      </c>
    </row>
    <row r="6066" spans="1:7">
      <c r="A6066" s="3"/>
      <c r="B6066" s="3"/>
      <c r="C6066" s="3"/>
      <c r="D6066" s="3"/>
      <c r="E6066" s="3">
        <v>3</v>
      </c>
      <c r="F6066" s="4" t="str">
        <f>HYPERLINK("http://141.218.60.56/~jnz1568/getInfo.php?workbook=12_05.xlsx&amp;sheet=U0&amp;row=6066&amp;col=6&amp;number=3.2&amp;sourceID=14","3.2")</f>
        <v>3.2</v>
      </c>
      <c r="G6066" s="4" t="str">
        <f>HYPERLINK("http://141.218.60.56/~jnz1568/getInfo.php?workbook=12_05.xlsx&amp;sheet=U0&amp;row=6066&amp;col=7&amp;number=0.000236&amp;sourceID=14","0.000236")</f>
        <v>0.000236</v>
      </c>
    </row>
    <row r="6067" spans="1:7">
      <c r="A6067" s="3"/>
      <c r="B6067" s="3"/>
      <c r="C6067" s="3"/>
      <c r="D6067" s="3"/>
      <c r="E6067" s="3">
        <v>4</v>
      </c>
      <c r="F6067" s="4" t="str">
        <f>HYPERLINK("http://141.218.60.56/~jnz1568/getInfo.php?workbook=12_05.xlsx&amp;sheet=U0&amp;row=6067&amp;col=6&amp;number=3.3&amp;sourceID=14","3.3")</f>
        <v>3.3</v>
      </c>
      <c r="G6067" s="4" t="str">
        <f>HYPERLINK("http://141.218.60.56/~jnz1568/getInfo.php?workbook=12_05.xlsx&amp;sheet=U0&amp;row=6067&amp;col=7&amp;number=0.000236&amp;sourceID=14","0.000236")</f>
        <v>0.000236</v>
      </c>
    </row>
    <row r="6068" spans="1:7">
      <c r="A6068" s="3"/>
      <c r="B6068" s="3"/>
      <c r="C6068" s="3"/>
      <c r="D6068" s="3"/>
      <c r="E6068" s="3">
        <v>5</v>
      </c>
      <c r="F6068" s="4" t="str">
        <f>HYPERLINK("http://141.218.60.56/~jnz1568/getInfo.php?workbook=12_05.xlsx&amp;sheet=U0&amp;row=6068&amp;col=6&amp;number=3.4&amp;sourceID=14","3.4")</f>
        <v>3.4</v>
      </c>
      <c r="G6068" s="4" t="str">
        <f>HYPERLINK("http://141.218.60.56/~jnz1568/getInfo.php?workbook=12_05.xlsx&amp;sheet=U0&amp;row=6068&amp;col=7&amp;number=0.000236&amp;sourceID=14","0.000236")</f>
        <v>0.000236</v>
      </c>
    </row>
    <row r="6069" spans="1:7">
      <c r="A6069" s="3"/>
      <c r="B6069" s="3"/>
      <c r="C6069" s="3"/>
      <c r="D6069" s="3"/>
      <c r="E6069" s="3">
        <v>6</v>
      </c>
      <c r="F6069" s="4" t="str">
        <f>HYPERLINK("http://141.218.60.56/~jnz1568/getInfo.php?workbook=12_05.xlsx&amp;sheet=U0&amp;row=6069&amp;col=6&amp;number=3.5&amp;sourceID=14","3.5")</f>
        <v>3.5</v>
      </c>
      <c r="G6069" s="4" t="str">
        <f>HYPERLINK("http://141.218.60.56/~jnz1568/getInfo.php?workbook=12_05.xlsx&amp;sheet=U0&amp;row=6069&amp;col=7&amp;number=0.000236&amp;sourceID=14","0.000236")</f>
        <v>0.000236</v>
      </c>
    </row>
    <row r="6070" spans="1:7">
      <c r="A6070" s="3"/>
      <c r="B6070" s="3"/>
      <c r="C6070" s="3"/>
      <c r="D6070" s="3"/>
      <c r="E6070" s="3">
        <v>7</v>
      </c>
      <c r="F6070" s="4" t="str">
        <f>HYPERLINK("http://141.218.60.56/~jnz1568/getInfo.php?workbook=12_05.xlsx&amp;sheet=U0&amp;row=6070&amp;col=6&amp;number=3.6&amp;sourceID=14","3.6")</f>
        <v>3.6</v>
      </c>
      <c r="G6070" s="4" t="str">
        <f>HYPERLINK("http://141.218.60.56/~jnz1568/getInfo.php?workbook=12_05.xlsx&amp;sheet=U0&amp;row=6070&amp;col=7&amp;number=0.000236&amp;sourceID=14","0.000236")</f>
        <v>0.000236</v>
      </c>
    </row>
    <row r="6071" spans="1:7">
      <c r="A6071" s="3"/>
      <c r="B6071" s="3"/>
      <c r="C6071" s="3"/>
      <c r="D6071" s="3"/>
      <c r="E6071" s="3">
        <v>8</v>
      </c>
      <c r="F6071" s="4" t="str">
        <f>HYPERLINK("http://141.218.60.56/~jnz1568/getInfo.php?workbook=12_05.xlsx&amp;sheet=U0&amp;row=6071&amp;col=6&amp;number=3.7&amp;sourceID=14","3.7")</f>
        <v>3.7</v>
      </c>
      <c r="G6071" s="4" t="str">
        <f>HYPERLINK("http://141.218.60.56/~jnz1568/getInfo.php?workbook=12_05.xlsx&amp;sheet=U0&amp;row=6071&amp;col=7&amp;number=0.000236&amp;sourceID=14","0.000236")</f>
        <v>0.000236</v>
      </c>
    </row>
    <row r="6072" spans="1:7">
      <c r="A6072" s="3"/>
      <c r="B6072" s="3"/>
      <c r="C6072" s="3"/>
      <c r="D6072" s="3"/>
      <c r="E6072" s="3">
        <v>9</v>
      </c>
      <c r="F6072" s="4" t="str">
        <f>HYPERLINK("http://141.218.60.56/~jnz1568/getInfo.php?workbook=12_05.xlsx&amp;sheet=U0&amp;row=6072&amp;col=6&amp;number=3.8&amp;sourceID=14","3.8")</f>
        <v>3.8</v>
      </c>
      <c r="G6072" s="4" t="str">
        <f>HYPERLINK("http://141.218.60.56/~jnz1568/getInfo.php?workbook=12_05.xlsx&amp;sheet=U0&amp;row=6072&amp;col=7&amp;number=0.000235&amp;sourceID=14","0.000235")</f>
        <v>0.000235</v>
      </c>
    </row>
    <row r="6073" spans="1:7">
      <c r="A6073" s="3"/>
      <c r="B6073" s="3"/>
      <c r="C6073" s="3"/>
      <c r="D6073" s="3"/>
      <c r="E6073" s="3">
        <v>10</v>
      </c>
      <c r="F6073" s="4" t="str">
        <f>HYPERLINK("http://141.218.60.56/~jnz1568/getInfo.php?workbook=12_05.xlsx&amp;sheet=U0&amp;row=6073&amp;col=6&amp;number=3.9&amp;sourceID=14","3.9")</f>
        <v>3.9</v>
      </c>
      <c r="G6073" s="4" t="str">
        <f>HYPERLINK("http://141.218.60.56/~jnz1568/getInfo.php?workbook=12_05.xlsx&amp;sheet=U0&amp;row=6073&amp;col=7&amp;number=0.000235&amp;sourceID=14","0.000235")</f>
        <v>0.000235</v>
      </c>
    </row>
    <row r="6074" spans="1:7">
      <c r="A6074" s="3"/>
      <c r="B6074" s="3"/>
      <c r="C6074" s="3"/>
      <c r="D6074" s="3"/>
      <c r="E6074" s="3">
        <v>11</v>
      </c>
      <c r="F6074" s="4" t="str">
        <f>HYPERLINK("http://141.218.60.56/~jnz1568/getInfo.php?workbook=12_05.xlsx&amp;sheet=U0&amp;row=6074&amp;col=6&amp;number=4&amp;sourceID=14","4")</f>
        <v>4</v>
      </c>
      <c r="G6074" s="4" t="str">
        <f>HYPERLINK("http://141.218.60.56/~jnz1568/getInfo.php?workbook=12_05.xlsx&amp;sheet=U0&amp;row=6074&amp;col=7&amp;number=0.000234&amp;sourceID=14","0.000234")</f>
        <v>0.000234</v>
      </c>
    </row>
    <row r="6075" spans="1:7">
      <c r="A6075" s="3"/>
      <c r="B6075" s="3"/>
      <c r="C6075" s="3"/>
      <c r="D6075" s="3"/>
      <c r="E6075" s="3">
        <v>12</v>
      </c>
      <c r="F6075" s="4" t="str">
        <f>HYPERLINK("http://141.218.60.56/~jnz1568/getInfo.php?workbook=12_05.xlsx&amp;sheet=U0&amp;row=6075&amp;col=6&amp;number=4.1&amp;sourceID=14","4.1")</f>
        <v>4.1</v>
      </c>
      <c r="G6075" s="4" t="str">
        <f>HYPERLINK("http://141.218.60.56/~jnz1568/getInfo.php?workbook=12_05.xlsx&amp;sheet=U0&amp;row=6075&amp;col=7&amp;number=0.000234&amp;sourceID=14","0.000234")</f>
        <v>0.000234</v>
      </c>
    </row>
    <row r="6076" spans="1:7">
      <c r="A6076" s="3"/>
      <c r="B6076" s="3"/>
      <c r="C6076" s="3"/>
      <c r="D6076" s="3"/>
      <c r="E6076" s="3">
        <v>13</v>
      </c>
      <c r="F6076" s="4" t="str">
        <f>HYPERLINK("http://141.218.60.56/~jnz1568/getInfo.php?workbook=12_05.xlsx&amp;sheet=U0&amp;row=6076&amp;col=6&amp;number=4.2&amp;sourceID=14","4.2")</f>
        <v>4.2</v>
      </c>
      <c r="G6076" s="4" t="str">
        <f>HYPERLINK("http://141.218.60.56/~jnz1568/getInfo.php?workbook=12_05.xlsx&amp;sheet=U0&amp;row=6076&amp;col=7&amp;number=0.000233&amp;sourceID=14","0.000233")</f>
        <v>0.000233</v>
      </c>
    </row>
    <row r="6077" spans="1:7">
      <c r="A6077" s="3"/>
      <c r="B6077" s="3"/>
      <c r="C6077" s="3"/>
      <c r="D6077" s="3"/>
      <c r="E6077" s="3">
        <v>14</v>
      </c>
      <c r="F6077" s="4" t="str">
        <f>HYPERLINK("http://141.218.60.56/~jnz1568/getInfo.php?workbook=12_05.xlsx&amp;sheet=U0&amp;row=6077&amp;col=6&amp;number=4.3&amp;sourceID=14","4.3")</f>
        <v>4.3</v>
      </c>
      <c r="G6077" s="4" t="str">
        <f>HYPERLINK("http://141.218.60.56/~jnz1568/getInfo.php?workbook=12_05.xlsx&amp;sheet=U0&amp;row=6077&amp;col=7&amp;number=0.000232&amp;sourceID=14","0.000232")</f>
        <v>0.000232</v>
      </c>
    </row>
    <row r="6078" spans="1:7">
      <c r="A6078" s="3"/>
      <c r="B6078" s="3"/>
      <c r="C6078" s="3"/>
      <c r="D6078" s="3"/>
      <c r="E6078" s="3">
        <v>15</v>
      </c>
      <c r="F6078" s="4" t="str">
        <f>HYPERLINK("http://141.218.60.56/~jnz1568/getInfo.php?workbook=12_05.xlsx&amp;sheet=U0&amp;row=6078&amp;col=6&amp;number=4.4&amp;sourceID=14","4.4")</f>
        <v>4.4</v>
      </c>
      <c r="G6078" s="4" t="str">
        <f>HYPERLINK("http://141.218.60.56/~jnz1568/getInfo.php?workbook=12_05.xlsx&amp;sheet=U0&amp;row=6078&amp;col=7&amp;number=0.000231&amp;sourceID=14","0.000231")</f>
        <v>0.000231</v>
      </c>
    </row>
    <row r="6079" spans="1:7">
      <c r="A6079" s="3"/>
      <c r="B6079" s="3"/>
      <c r="C6079" s="3"/>
      <c r="D6079" s="3"/>
      <c r="E6079" s="3">
        <v>16</v>
      </c>
      <c r="F6079" s="4" t="str">
        <f>HYPERLINK("http://141.218.60.56/~jnz1568/getInfo.php?workbook=12_05.xlsx&amp;sheet=U0&amp;row=6079&amp;col=6&amp;number=4.5&amp;sourceID=14","4.5")</f>
        <v>4.5</v>
      </c>
      <c r="G6079" s="4" t="str">
        <f>HYPERLINK("http://141.218.60.56/~jnz1568/getInfo.php?workbook=12_05.xlsx&amp;sheet=U0&amp;row=6079&amp;col=7&amp;number=0.00023&amp;sourceID=14","0.00023")</f>
        <v>0.00023</v>
      </c>
    </row>
    <row r="6080" spans="1:7">
      <c r="A6080" s="3"/>
      <c r="B6080" s="3"/>
      <c r="C6080" s="3"/>
      <c r="D6080" s="3"/>
      <c r="E6080" s="3">
        <v>17</v>
      </c>
      <c r="F6080" s="4" t="str">
        <f>HYPERLINK("http://141.218.60.56/~jnz1568/getInfo.php?workbook=12_05.xlsx&amp;sheet=U0&amp;row=6080&amp;col=6&amp;number=4.6&amp;sourceID=14","4.6")</f>
        <v>4.6</v>
      </c>
      <c r="G6080" s="4" t="str">
        <f>HYPERLINK("http://141.218.60.56/~jnz1568/getInfo.php?workbook=12_05.xlsx&amp;sheet=U0&amp;row=6080&amp;col=7&amp;number=0.000228&amp;sourceID=14","0.000228")</f>
        <v>0.000228</v>
      </c>
    </row>
    <row r="6081" spans="1:7">
      <c r="A6081" s="3"/>
      <c r="B6081" s="3"/>
      <c r="C6081" s="3"/>
      <c r="D6081" s="3"/>
      <c r="E6081" s="3">
        <v>18</v>
      </c>
      <c r="F6081" s="4" t="str">
        <f>HYPERLINK("http://141.218.60.56/~jnz1568/getInfo.php?workbook=12_05.xlsx&amp;sheet=U0&amp;row=6081&amp;col=6&amp;number=4.7&amp;sourceID=14","4.7")</f>
        <v>4.7</v>
      </c>
      <c r="G6081" s="4" t="str">
        <f>HYPERLINK("http://141.218.60.56/~jnz1568/getInfo.php?workbook=12_05.xlsx&amp;sheet=U0&amp;row=6081&amp;col=7&amp;number=0.000226&amp;sourceID=14","0.000226")</f>
        <v>0.000226</v>
      </c>
    </row>
    <row r="6082" spans="1:7">
      <c r="A6082" s="3"/>
      <c r="B6082" s="3"/>
      <c r="C6082" s="3"/>
      <c r="D6082" s="3"/>
      <c r="E6082" s="3">
        <v>19</v>
      </c>
      <c r="F6082" s="4" t="str">
        <f>HYPERLINK("http://141.218.60.56/~jnz1568/getInfo.php?workbook=12_05.xlsx&amp;sheet=U0&amp;row=6082&amp;col=6&amp;number=4.8&amp;sourceID=14","4.8")</f>
        <v>4.8</v>
      </c>
      <c r="G6082" s="4" t="str">
        <f>HYPERLINK("http://141.218.60.56/~jnz1568/getInfo.php?workbook=12_05.xlsx&amp;sheet=U0&amp;row=6082&amp;col=7&amp;number=0.000223&amp;sourceID=14","0.000223")</f>
        <v>0.000223</v>
      </c>
    </row>
    <row r="6083" spans="1:7">
      <c r="A6083" s="3"/>
      <c r="B6083" s="3"/>
      <c r="C6083" s="3"/>
      <c r="D6083" s="3"/>
      <c r="E6083" s="3">
        <v>20</v>
      </c>
      <c r="F6083" s="4" t="str">
        <f>HYPERLINK("http://141.218.60.56/~jnz1568/getInfo.php?workbook=12_05.xlsx&amp;sheet=U0&amp;row=6083&amp;col=6&amp;number=4.9&amp;sourceID=14","4.9")</f>
        <v>4.9</v>
      </c>
      <c r="G6083" s="4" t="str">
        <f>HYPERLINK("http://141.218.60.56/~jnz1568/getInfo.php?workbook=12_05.xlsx&amp;sheet=U0&amp;row=6083&amp;col=7&amp;number=0.00022&amp;sourceID=14","0.00022")</f>
        <v>0.00022</v>
      </c>
    </row>
    <row r="6084" spans="1:7">
      <c r="A6084" s="3">
        <v>12</v>
      </c>
      <c r="B6084" s="3">
        <v>5</v>
      </c>
      <c r="C6084" s="3">
        <v>4</v>
      </c>
      <c r="D6084" s="3">
        <v>55</v>
      </c>
      <c r="E6084" s="3">
        <v>1</v>
      </c>
      <c r="F6084" s="4" t="str">
        <f>HYPERLINK("http://141.218.60.56/~jnz1568/getInfo.php?workbook=12_05.xlsx&amp;sheet=U0&amp;row=6084&amp;col=6&amp;number=3&amp;sourceID=14","3")</f>
        <v>3</v>
      </c>
      <c r="G6084" s="4" t="str">
        <f>HYPERLINK("http://141.218.60.56/~jnz1568/getInfo.php?workbook=12_05.xlsx&amp;sheet=U0&amp;row=6084&amp;col=7&amp;number=0.00202&amp;sourceID=14","0.00202")</f>
        <v>0.00202</v>
      </c>
    </row>
    <row r="6085" spans="1:7">
      <c r="A6085" s="3"/>
      <c r="B6085" s="3"/>
      <c r="C6085" s="3"/>
      <c r="D6085" s="3"/>
      <c r="E6085" s="3">
        <v>2</v>
      </c>
      <c r="F6085" s="4" t="str">
        <f>HYPERLINK("http://141.218.60.56/~jnz1568/getInfo.php?workbook=12_05.xlsx&amp;sheet=U0&amp;row=6085&amp;col=6&amp;number=3.1&amp;sourceID=14","3.1")</f>
        <v>3.1</v>
      </c>
      <c r="G6085" s="4" t="str">
        <f>HYPERLINK("http://141.218.60.56/~jnz1568/getInfo.php?workbook=12_05.xlsx&amp;sheet=U0&amp;row=6085&amp;col=7&amp;number=0.00202&amp;sourceID=14","0.00202")</f>
        <v>0.00202</v>
      </c>
    </row>
    <row r="6086" spans="1:7">
      <c r="A6086" s="3"/>
      <c r="B6086" s="3"/>
      <c r="C6086" s="3"/>
      <c r="D6086" s="3"/>
      <c r="E6086" s="3">
        <v>3</v>
      </c>
      <c r="F6086" s="4" t="str">
        <f>HYPERLINK("http://141.218.60.56/~jnz1568/getInfo.php?workbook=12_05.xlsx&amp;sheet=U0&amp;row=6086&amp;col=6&amp;number=3.2&amp;sourceID=14","3.2")</f>
        <v>3.2</v>
      </c>
      <c r="G6086" s="4" t="str">
        <f>HYPERLINK("http://141.218.60.56/~jnz1568/getInfo.php?workbook=12_05.xlsx&amp;sheet=U0&amp;row=6086&amp;col=7&amp;number=0.00202&amp;sourceID=14","0.00202")</f>
        <v>0.00202</v>
      </c>
    </row>
    <row r="6087" spans="1:7">
      <c r="A6087" s="3"/>
      <c r="B6087" s="3"/>
      <c r="C6087" s="3"/>
      <c r="D6087" s="3"/>
      <c r="E6087" s="3">
        <v>4</v>
      </c>
      <c r="F6087" s="4" t="str">
        <f>HYPERLINK("http://141.218.60.56/~jnz1568/getInfo.php?workbook=12_05.xlsx&amp;sheet=U0&amp;row=6087&amp;col=6&amp;number=3.3&amp;sourceID=14","3.3")</f>
        <v>3.3</v>
      </c>
      <c r="G6087" s="4" t="str">
        <f>HYPERLINK("http://141.218.60.56/~jnz1568/getInfo.php?workbook=12_05.xlsx&amp;sheet=U0&amp;row=6087&amp;col=7&amp;number=0.00202&amp;sourceID=14","0.00202")</f>
        <v>0.00202</v>
      </c>
    </row>
    <row r="6088" spans="1:7">
      <c r="A6088" s="3"/>
      <c r="B6088" s="3"/>
      <c r="C6088" s="3"/>
      <c r="D6088" s="3"/>
      <c r="E6088" s="3">
        <v>5</v>
      </c>
      <c r="F6088" s="4" t="str">
        <f>HYPERLINK("http://141.218.60.56/~jnz1568/getInfo.php?workbook=12_05.xlsx&amp;sheet=U0&amp;row=6088&amp;col=6&amp;number=3.4&amp;sourceID=14","3.4")</f>
        <v>3.4</v>
      </c>
      <c r="G6088" s="4" t="str">
        <f>HYPERLINK("http://141.218.60.56/~jnz1568/getInfo.php?workbook=12_05.xlsx&amp;sheet=U0&amp;row=6088&amp;col=7&amp;number=0.00202&amp;sourceID=14","0.00202")</f>
        <v>0.00202</v>
      </c>
    </row>
    <row r="6089" spans="1:7">
      <c r="A6089" s="3"/>
      <c r="B6089" s="3"/>
      <c r="C6089" s="3"/>
      <c r="D6089" s="3"/>
      <c r="E6089" s="3">
        <v>6</v>
      </c>
      <c r="F6089" s="4" t="str">
        <f>HYPERLINK("http://141.218.60.56/~jnz1568/getInfo.php?workbook=12_05.xlsx&amp;sheet=U0&amp;row=6089&amp;col=6&amp;number=3.5&amp;sourceID=14","3.5")</f>
        <v>3.5</v>
      </c>
      <c r="G6089" s="4" t="str">
        <f>HYPERLINK("http://141.218.60.56/~jnz1568/getInfo.php?workbook=12_05.xlsx&amp;sheet=U0&amp;row=6089&amp;col=7&amp;number=0.00201&amp;sourceID=14","0.00201")</f>
        <v>0.00201</v>
      </c>
    </row>
    <row r="6090" spans="1:7">
      <c r="A6090" s="3"/>
      <c r="B6090" s="3"/>
      <c r="C6090" s="3"/>
      <c r="D6090" s="3"/>
      <c r="E6090" s="3">
        <v>7</v>
      </c>
      <c r="F6090" s="4" t="str">
        <f>HYPERLINK("http://141.218.60.56/~jnz1568/getInfo.php?workbook=12_05.xlsx&amp;sheet=U0&amp;row=6090&amp;col=6&amp;number=3.6&amp;sourceID=14","3.6")</f>
        <v>3.6</v>
      </c>
      <c r="G6090" s="4" t="str">
        <f>HYPERLINK("http://141.218.60.56/~jnz1568/getInfo.php?workbook=12_05.xlsx&amp;sheet=U0&amp;row=6090&amp;col=7&amp;number=0.00201&amp;sourceID=14","0.00201")</f>
        <v>0.00201</v>
      </c>
    </row>
    <row r="6091" spans="1:7">
      <c r="A6091" s="3"/>
      <c r="B6091" s="3"/>
      <c r="C6091" s="3"/>
      <c r="D6091" s="3"/>
      <c r="E6091" s="3">
        <v>8</v>
      </c>
      <c r="F6091" s="4" t="str">
        <f>HYPERLINK("http://141.218.60.56/~jnz1568/getInfo.php?workbook=12_05.xlsx&amp;sheet=U0&amp;row=6091&amp;col=6&amp;number=3.7&amp;sourceID=14","3.7")</f>
        <v>3.7</v>
      </c>
      <c r="G6091" s="4" t="str">
        <f>HYPERLINK("http://141.218.60.56/~jnz1568/getInfo.php?workbook=12_05.xlsx&amp;sheet=U0&amp;row=6091&amp;col=7&amp;number=0.00201&amp;sourceID=14","0.00201")</f>
        <v>0.00201</v>
      </c>
    </row>
    <row r="6092" spans="1:7">
      <c r="A6092" s="3"/>
      <c r="B6092" s="3"/>
      <c r="C6092" s="3"/>
      <c r="D6092" s="3"/>
      <c r="E6092" s="3">
        <v>9</v>
      </c>
      <c r="F6092" s="4" t="str">
        <f>HYPERLINK("http://141.218.60.56/~jnz1568/getInfo.php?workbook=12_05.xlsx&amp;sheet=U0&amp;row=6092&amp;col=6&amp;number=3.8&amp;sourceID=14","3.8")</f>
        <v>3.8</v>
      </c>
      <c r="G6092" s="4" t="str">
        <f>HYPERLINK("http://141.218.60.56/~jnz1568/getInfo.php?workbook=12_05.xlsx&amp;sheet=U0&amp;row=6092&amp;col=7&amp;number=0.00201&amp;sourceID=14","0.00201")</f>
        <v>0.00201</v>
      </c>
    </row>
    <row r="6093" spans="1:7">
      <c r="A6093" s="3"/>
      <c r="B6093" s="3"/>
      <c r="C6093" s="3"/>
      <c r="D6093" s="3"/>
      <c r="E6093" s="3">
        <v>10</v>
      </c>
      <c r="F6093" s="4" t="str">
        <f>HYPERLINK("http://141.218.60.56/~jnz1568/getInfo.php?workbook=12_05.xlsx&amp;sheet=U0&amp;row=6093&amp;col=6&amp;number=3.9&amp;sourceID=14","3.9")</f>
        <v>3.9</v>
      </c>
      <c r="G6093" s="4" t="str">
        <f>HYPERLINK("http://141.218.60.56/~jnz1568/getInfo.php?workbook=12_05.xlsx&amp;sheet=U0&amp;row=6093&amp;col=7&amp;number=0.00201&amp;sourceID=14","0.00201")</f>
        <v>0.00201</v>
      </c>
    </row>
    <row r="6094" spans="1:7">
      <c r="A6094" s="3"/>
      <c r="B6094" s="3"/>
      <c r="C6094" s="3"/>
      <c r="D6094" s="3"/>
      <c r="E6094" s="3">
        <v>11</v>
      </c>
      <c r="F6094" s="4" t="str">
        <f>HYPERLINK("http://141.218.60.56/~jnz1568/getInfo.php?workbook=12_05.xlsx&amp;sheet=U0&amp;row=6094&amp;col=6&amp;number=4&amp;sourceID=14","4")</f>
        <v>4</v>
      </c>
      <c r="G6094" s="4" t="str">
        <f>HYPERLINK("http://141.218.60.56/~jnz1568/getInfo.php?workbook=12_05.xlsx&amp;sheet=U0&amp;row=6094&amp;col=7&amp;number=0.002&amp;sourceID=14","0.002")</f>
        <v>0.002</v>
      </c>
    </row>
    <row r="6095" spans="1:7">
      <c r="A6095" s="3"/>
      <c r="B6095" s="3"/>
      <c r="C6095" s="3"/>
      <c r="D6095" s="3"/>
      <c r="E6095" s="3">
        <v>12</v>
      </c>
      <c r="F6095" s="4" t="str">
        <f>HYPERLINK("http://141.218.60.56/~jnz1568/getInfo.php?workbook=12_05.xlsx&amp;sheet=U0&amp;row=6095&amp;col=6&amp;number=4.1&amp;sourceID=14","4.1")</f>
        <v>4.1</v>
      </c>
      <c r="G6095" s="4" t="str">
        <f>HYPERLINK("http://141.218.60.56/~jnz1568/getInfo.php?workbook=12_05.xlsx&amp;sheet=U0&amp;row=6095&amp;col=7&amp;number=0.002&amp;sourceID=14","0.002")</f>
        <v>0.002</v>
      </c>
    </row>
    <row r="6096" spans="1:7">
      <c r="A6096" s="3"/>
      <c r="B6096" s="3"/>
      <c r="C6096" s="3"/>
      <c r="D6096" s="3"/>
      <c r="E6096" s="3">
        <v>13</v>
      </c>
      <c r="F6096" s="4" t="str">
        <f>HYPERLINK("http://141.218.60.56/~jnz1568/getInfo.php?workbook=12_05.xlsx&amp;sheet=U0&amp;row=6096&amp;col=6&amp;number=4.2&amp;sourceID=14","4.2")</f>
        <v>4.2</v>
      </c>
      <c r="G6096" s="4" t="str">
        <f>HYPERLINK("http://141.218.60.56/~jnz1568/getInfo.php?workbook=12_05.xlsx&amp;sheet=U0&amp;row=6096&amp;col=7&amp;number=0.00199&amp;sourceID=14","0.00199")</f>
        <v>0.00199</v>
      </c>
    </row>
    <row r="6097" spans="1:7">
      <c r="A6097" s="3"/>
      <c r="B6097" s="3"/>
      <c r="C6097" s="3"/>
      <c r="D6097" s="3"/>
      <c r="E6097" s="3">
        <v>14</v>
      </c>
      <c r="F6097" s="4" t="str">
        <f>HYPERLINK("http://141.218.60.56/~jnz1568/getInfo.php?workbook=12_05.xlsx&amp;sheet=U0&amp;row=6097&amp;col=6&amp;number=4.3&amp;sourceID=14","4.3")</f>
        <v>4.3</v>
      </c>
      <c r="G6097" s="4" t="str">
        <f>HYPERLINK("http://141.218.60.56/~jnz1568/getInfo.php?workbook=12_05.xlsx&amp;sheet=U0&amp;row=6097&amp;col=7&amp;number=0.00199&amp;sourceID=14","0.00199")</f>
        <v>0.00199</v>
      </c>
    </row>
    <row r="6098" spans="1:7">
      <c r="A6098" s="3"/>
      <c r="B6098" s="3"/>
      <c r="C6098" s="3"/>
      <c r="D6098" s="3"/>
      <c r="E6098" s="3">
        <v>15</v>
      </c>
      <c r="F6098" s="4" t="str">
        <f>HYPERLINK("http://141.218.60.56/~jnz1568/getInfo.php?workbook=12_05.xlsx&amp;sheet=U0&amp;row=6098&amp;col=6&amp;number=4.4&amp;sourceID=14","4.4")</f>
        <v>4.4</v>
      </c>
      <c r="G6098" s="4" t="str">
        <f>HYPERLINK("http://141.218.60.56/~jnz1568/getInfo.php?workbook=12_05.xlsx&amp;sheet=U0&amp;row=6098&amp;col=7&amp;number=0.00198&amp;sourceID=14","0.00198")</f>
        <v>0.00198</v>
      </c>
    </row>
    <row r="6099" spans="1:7">
      <c r="A6099" s="3"/>
      <c r="B6099" s="3"/>
      <c r="C6099" s="3"/>
      <c r="D6099" s="3"/>
      <c r="E6099" s="3">
        <v>16</v>
      </c>
      <c r="F6099" s="4" t="str">
        <f>HYPERLINK("http://141.218.60.56/~jnz1568/getInfo.php?workbook=12_05.xlsx&amp;sheet=U0&amp;row=6099&amp;col=6&amp;number=4.5&amp;sourceID=14","4.5")</f>
        <v>4.5</v>
      </c>
      <c r="G6099" s="4" t="str">
        <f>HYPERLINK("http://141.218.60.56/~jnz1568/getInfo.php?workbook=12_05.xlsx&amp;sheet=U0&amp;row=6099&amp;col=7&amp;number=0.00197&amp;sourceID=14","0.00197")</f>
        <v>0.00197</v>
      </c>
    </row>
    <row r="6100" spans="1:7">
      <c r="A6100" s="3"/>
      <c r="B6100" s="3"/>
      <c r="C6100" s="3"/>
      <c r="D6100" s="3"/>
      <c r="E6100" s="3">
        <v>17</v>
      </c>
      <c r="F6100" s="4" t="str">
        <f>HYPERLINK("http://141.218.60.56/~jnz1568/getInfo.php?workbook=12_05.xlsx&amp;sheet=U0&amp;row=6100&amp;col=6&amp;number=4.6&amp;sourceID=14","4.6")</f>
        <v>4.6</v>
      </c>
      <c r="G6100" s="4" t="str">
        <f>HYPERLINK("http://141.218.60.56/~jnz1568/getInfo.php?workbook=12_05.xlsx&amp;sheet=U0&amp;row=6100&amp;col=7&amp;number=0.00196&amp;sourceID=14","0.00196")</f>
        <v>0.00196</v>
      </c>
    </row>
    <row r="6101" spans="1:7">
      <c r="A6101" s="3"/>
      <c r="B6101" s="3"/>
      <c r="C6101" s="3"/>
      <c r="D6101" s="3"/>
      <c r="E6101" s="3">
        <v>18</v>
      </c>
      <c r="F6101" s="4" t="str">
        <f>HYPERLINK("http://141.218.60.56/~jnz1568/getInfo.php?workbook=12_05.xlsx&amp;sheet=U0&amp;row=6101&amp;col=6&amp;number=4.7&amp;sourceID=14","4.7")</f>
        <v>4.7</v>
      </c>
      <c r="G6101" s="4" t="str">
        <f>HYPERLINK("http://141.218.60.56/~jnz1568/getInfo.php?workbook=12_05.xlsx&amp;sheet=U0&amp;row=6101&amp;col=7&amp;number=0.00194&amp;sourceID=14","0.00194")</f>
        <v>0.00194</v>
      </c>
    </row>
    <row r="6102" spans="1:7">
      <c r="A6102" s="3"/>
      <c r="B6102" s="3"/>
      <c r="C6102" s="3"/>
      <c r="D6102" s="3"/>
      <c r="E6102" s="3">
        <v>19</v>
      </c>
      <c r="F6102" s="4" t="str">
        <f>HYPERLINK("http://141.218.60.56/~jnz1568/getInfo.php?workbook=12_05.xlsx&amp;sheet=U0&amp;row=6102&amp;col=6&amp;number=4.8&amp;sourceID=14","4.8")</f>
        <v>4.8</v>
      </c>
      <c r="G6102" s="4" t="str">
        <f>HYPERLINK("http://141.218.60.56/~jnz1568/getInfo.php?workbook=12_05.xlsx&amp;sheet=U0&amp;row=6102&amp;col=7&amp;number=0.00192&amp;sourceID=14","0.00192")</f>
        <v>0.00192</v>
      </c>
    </row>
    <row r="6103" spans="1:7">
      <c r="A6103" s="3"/>
      <c r="B6103" s="3"/>
      <c r="C6103" s="3"/>
      <c r="D6103" s="3"/>
      <c r="E6103" s="3">
        <v>20</v>
      </c>
      <c r="F6103" s="4" t="str">
        <f>HYPERLINK("http://141.218.60.56/~jnz1568/getInfo.php?workbook=12_05.xlsx&amp;sheet=U0&amp;row=6103&amp;col=6&amp;number=4.9&amp;sourceID=14","4.9")</f>
        <v>4.9</v>
      </c>
      <c r="G6103" s="4" t="str">
        <f>HYPERLINK("http://141.218.60.56/~jnz1568/getInfo.php?workbook=12_05.xlsx&amp;sheet=U0&amp;row=6103&amp;col=7&amp;number=0.0019&amp;sourceID=14","0.0019")</f>
        <v>0.0019</v>
      </c>
    </row>
    <row r="6104" spans="1:7">
      <c r="A6104" s="3">
        <v>12</v>
      </c>
      <c r="B6104" s="3">
        <v>5</v>
      </c>
      <c r="C6104" s="3">
        <v>4</v>
      </c>
      <c r="D6104" s="3">
        <v>57</v>
      </c>
      <c r="E6104" s="3">
        <v>1</v>
      </c>
      <c r="F6104" s="4" t="str">
        <f>HYPERLINK("http://141.218.60.56/~jnz1568/getInfo.php?workbook=12_05.xlsx&amp;sheet=U0&amp;row=6104&amp;col=6&amp;number=3&amp;sourceID=14","3")</f>
        <v>3</v>
      </c>
      <c r="G6104" s="4" t="str">
        <f>HYPERLINK("http://141.218.60.56/~jnz1568/getInfo.php?workbook=12_05.xlsx&amp;sheet=U0&amp;row=6104&amp;col=7&amp;number=0.0295&amp;sourceID=14","0.0295")</f>
        <v>0.0295</v>
      </c>
    </row>
    <row r="6105" spans="1:7">
      <c r="A6105" s="3"/>
      <c r="B6105" s="3"/>
      <c r="C6105" s="3"/>
      <c r="D6105" s="3"/>
      <c r="E6105" s="3">
        <v>2</v>
      </c>
      <c r="F6105" s="4" t="str">
        <f>HYPERLINK("http://141.218.60.56/~jnz1568/getInfo.php?workbook=12_05.xlsx&amp;sheet=U0&amp;row=6105&amp;col=6&amp;number=3.1&amp;sourceID=14","3.1")</f>
        <v>3.1</v>
      </c>
      <c r="G6105" s="4" t="str">
        <f>HYPERLINK("http://141.218.60.56/~jnz1568/getInfo.php?workbook=12_05.xlsx&amp;sheet=U0&amp;row=6105&amp;col=7&amp;number=0.0295&amp;sourceID=14","0.0295")</f>
        <v>0.0295</v>
      </c>
    </row>
    <row r="6106" spans="1:7">
      <c r="A6106" s="3"/>
      <c r="B6106" s="3"/>
      <c r="C6106" s="3"/>
      <c r="D6106" s="3"/>
      <c r="E6106" s="3">
        <v>3</v>
      </c>
      <c r="F6106" s="4" t="str">
        <f>HYPERLINK("http://141.218.60.56/~jnz1568/getInfo.php?workbook=12_05.xlsx&amp;sheet=U0&amp;row=6106&amp;col=6&amp;number=3.2&amp;sourceID=14","3.2")</f>
        <v>3.2</v>
      </c>
      <c r="G6106" s="4" t="str">
        <f>HYPERLINK("http://141.218.60.56/~jnz1568/getInfo.php?workbook=12_05.xlsx&amp;sheet=U0&amp;row=6106&amp;col=7&amp;number=0.0295&amp;sourceID=14","0.0295")</f>
        <v>0.0295</v>
      </c>
    </row>
    <row r="6107" spans="1:7">
      <c r="A6107" s="3"/>
      <c r="B6107" s="3"/>
      <c r="C6107" s="3"/>
      <c r="D6107" s="3"/>
      <c r="E6107" s="3">
        <v>4</v>
      </c>
      <c r="F6107" s="4" t="str">
        <f>HYPERLINK("http://141.218.60.56/~jnz1568/getInfo.php?workbook=12_05.xlsx&amp;sheet=U0&amp;row=6107&amp;col=6&amp;number=3.3&amp;sourceID=14","3.3")</f>
        <v>3.3</v>
      </c>
      <c r="G6107" s="4" t="str">
        <f>HYPERLINK("http://141.218.60.56/~jnz1568/getInfo.php?workbook=12_05.xlsx&amp;sheet=U0&amp;row=6107&amp;col=7&amp;number=0.0295&amp;sourceID=14","0.0295")</f>
        <v>0.0295</v>
      </c>
    </row>
    <row r="6108" spans="1:7">
      <c r="A6108" s="3"/>
      <c r="B6108" s="3"/>
      <c r="C6108" s="3"/>
      <c r="D6108" s="3"/>
      <c r="E6108" s="3">
        <v>5</v>
      </c>
      <c r="F6108" s="4" t="str">
        <f>HYPERLINK("http://141.218.60.56/~jnz1568/getInfo.php?workbook=12_05.xlsx&amp;sheet=U0&amp;row=6108&amp;col=6&amp;number=3.4&amp;sourceID=14","3.4")</f>
        <v>3.4</v>
      </c>
      <c r="G6108" s="4" t="str">
        <f>HYPERLINK("http://141.218.60.56/~jnz1568/getInfo.php?workbook=12_05.xlsx&amp;sheet=U0&amp;row=6108&amp;col=7&amp;number=0.0296&amp;sourceID=14","0.0296")</f>
        <v>0.0296</v>
      </c>
    </row>
    <row r="6109" spans="1:7">
      <c r="A6109" s="3"/>
      <c r="B6109" s="3"/>
      <c r="C6109" s="3"/>
      <c r="D6109" s="3"/>
      <c r="E6109" s="3">
        <v>6</v>
      </c>
      <c r="F6109" s="4" t="str">
        <f>HYPERLINK("http://141.218.60.56/~jnz1568/getInfo.php?workbook=12_05.xlsx&amp;sheet=U0&amp;row=6109&amp;col=6&amp;number=3.5&amp;sourceID=14","3.5")</f>
        <v>3.5</v>
      </c>
      <c r="G6109" s="4" t="str">
        <f>HYPERLINK("http://141.218.60.56/~jnz1568/getInfo.php?workbook=12_05.xlsx&amp;sheet=U0&amp;row=6109&amp;col=7&amp;number=0.0296&amp;sourceID=14","0.0296")</f>
        <v>0.0296</v>
      </c>
    </row>
    <row r="6110" spans="1:7">
      <c r="A6110" s="3"/>
      <c r="B6110" s="3"/>
      <c r="C6110" s="3"/>
      <c r="D6110" s="3"/>
      <c r="E6110" s="3">
        <v>7</v>
      </c>
      <c r="F6110" s="4" t="str">
        <f>HYPERLINK("http://141.218.60.56/~jnz1568/getInfo.php?workbook=12_05.xlsx&amp;sheet=U0&amp;row=6110&amp;col=6&amp;number=3.6&amp;sourceID=14","3.6")</f>
        <v>3.6</v>
      </c>
      <c r="G6110" s="4" t="str">
        <f>HYPERLINK("http://141.218.60.56/~jnz1568/getInfo.php?workbook=12_05.xlsx&amp;sheet=U0&amp;row=6110&amp;col=7&amp;number=0.0296&amp;sourceID=14","0.0296")</f>
        <v>0.0296</v>
      </c>
    </row>
    <row r="6111" spans="1:7">
      <c r="A6111" s="3"/>
      <c r="B6111" s="3"/>
      <c r="C6111" s="3"/>
      <c r="D6111" s="3"/>
      <c r="E6111" s="3">
        <v>8</v>
      </c>
      <c r="F6111" s="4" t="str">
        <f>HYPERLINK("http://141.218.60.56/~jnz1568/getInfo.php?workbook=12_05.xlsx&amp;sheet=U0&amp;row=6111&amp;col=6&amp;number=3.7&amp;sourceID=14","3.7")</f>
        <v>3.7</v>
      </c>
      <c r="G6111" s="4" t="str">
        <f>HYPERLINK("http://141.218.60.56/~jnz1568/getInfo.php?workbook=12_05.xlsx&amp;sheet=U0&amp;row=6111&amp;col=7&amp;number=0.0296&amp;sourceID=14","0.0296")</f>
        <v>0.0296</v>
      </c>
    </row>
    <row r="6112" spans="1:7">
      <c r="A6112" s="3"/>
      <c r="B6112" s="3"/>
      <c r="C6112" s="3"/>
      <c r="D6112" s="3"/>
      <c r="E6112" s="3">
        <v>9</v>
      </c>
      <c r="F6112" s="4" t="str">
        <f>HYPERLINK("http://141.218.60.56/~jnz1568/getInfo.php?workbook=12_05.xlsx&amp;sheet=U0&amp;row=6112&amp;col=6&amp;number=3.8&amp;sourceID=14","3.8")</f>
        <v>3.8</v>
      </c>
      <c r="G6112" s="4" t="str">
        <f>HYPERLINK("http://141.218.60.56/~jnz1568/getInfo.php?workbook=12_05.xlsx&amp;sheet=U0&amp;row=6112&amp;col=7&amp;number=0.0296&amp;sourceID=14","0.0296")</f>
        <v>0.0296</v>
      </c>
    </row>
    <row r="6113" spans="1:7">
      <c r="A6113" s="3"/>
      <c r="B6113" s="3"/>
      <c r="C6113" s="3"/>
      <c r="D6113" s="3"/>
      <c r="E6113" s="3">
        <v>10</v>
      </c>
      <c r="F6113" s="4" t="str">
        <f>HYPERLINK("http://141.218.60.56/~jnz1568/getInfo.php?workbook=12_05.xlsx&amp;sheet=U0&amp;row=6113&amp;col=6&amp;number=3.9&amp;sourceID=14","3.9")</f>
        <v>3.9</v>
      </c>
      <c r="G6113" s="4" t="str">
        <f>HYPERLINK("http://141.218.60.56/~jnz1568/getInfo.php?workbook=12_05.xlsx&amp;sheet=U0&amp;row=6113&amp;col=7&amp;number=0.0296&amp;sourceID=14","0.0296")</f>
        <v>0.0296</v>
      </c>
    </row>
    <row r="6114" spans="1:7">
      <c r="A6114" s="3"/>
      <c r="B6114" s="3"/>
      <c r="C6114" s="3"/>
      <c r="D6114" s="3"/>
      <c r="E6114" s="3">
        <v>11</v>
      </c>
      <c r="F6114" s="4" t="str">
        <f>HYPERLINK("http://141.218.60.56/~jnz1568/getInfo.php?workbook=12_05.xlsx&amp;sheet=U0&amp;row=6114&amp;col=6&amp;number=4&amp;sourceID=14","4")</f>
        <v>4</v>
      </c>
      <c r="G6114" s="4" t="str">
        <f>HYPERLINK("http://141.218.60.56/~jnz1568/getInfo.php?workbook=12_05.xlsx&amp;sheet=U0&amp;row=6114&amp;col=7&amp;number=0.0297&amp;sourceID=14","0.0297")</f>
        <v>0.0297</v>
      </c>
    </row>
    <row r="6115" spans="1:7">
      <c r="A6115" s="3"/>
      <c r="B6115" s="3"/>
      <c r="C6115" s="3"/>
      <c r="D6115" s="3"/>
      <c r="E6115" s="3">
        <v>12</v>
      </c>
      <c r="F6115" s="4" t="str">
        <f>HYPERLINK("http://141.218.60.56/~jnz1568/getInfo.php?workbook=12_05.xlsx&amp;sheet=U0&amp;row=6115&amp;col=6&amp;number=4.1&amp;sourceID=14","4.1")</f>
        <v>4.1</v>
      </c>
      <c r="G6115" s="4" t="str">
        <f>HYPERLINK("http://141.218.60.56/~jnz1568/getInfo.php?workbook=12_05.xlsx&amp;sheet=U0&amp;row=6115&amp;col=7&amp;number=0.0297&amp;sourceID=14","0.0297")</f>
        <v>0.0297</v>
      </c>
    </row>
    <row r="6116" spans="1:7">
      <c r="A6116" s="3"/>
      <c r="B6116" s="3"/>
      <c r="C6116" s="3"/>
      <c r="D6116" s="3"/>
      <c r="E6116" s="3">
        <v>13</v>
      </c>
      <c r="F6116" s="4" t="str">
        <f>HYPERLINK("http://141.218.60.56/~jnz1568/getInfo.php?workbook=12_05.xlsx&amp;sheet=U0&amp;row=6116&amp;col=6&amp;number=4.2&amp;sourceID=14","4.2")</f>
        <v>4.2</v>
      </c>
      <c r="G6116" s="4" t="str">
        <f>HYPERLINK("http://141.218.60.56/~jnz1568/getInfo.php?workbook=12_05.xlsx&amp;sheet=U0&amp;row=6116&amp;col=7&amp;number=0.0297&amp;sourceID=14","0.0297")</f>
        <v>0.0297</v>
      </c>
    </row>
    <row r="6117" spans="1:7">
      <c r="A6117" s="3"/>
      <c r="B6117" s="3"/>
      <c r="C6117" s="3"/>
      <c r="D6117" s="3"/>
      <c r="E6117" s="3">
        <v>14</v>
      </c>
      <c r="F6117" s="4" t="str">
        <f>HYPERLINK("http://141.218.60.56/~jnz1568/getInfo.php?workbook=12_05.xlsx&amp;sheet=U0&amp;row=6117&amp;col=6&amp;number=4.3&amp;sourceID=14","4.3")</f>
        <v>4.3</v>
      </c>
      <c r="G6117" s="4" t="str">
        <f>HYPERLINK("http://141.218.60.56/~jnz1568/getInfo.php?workbook=12_05.xlsx&amp;sheet=U0&amp;row=6117&amp;col=7&amp;number=0.0298&amp;sourceID=14","0.0298")</f>
        <v>0.0298</v>
      </c>
    </row>
    <row r="6118" spans="1:7">
      <c r="A6118" s="3"/>
      <c r="B6118" s="3"/>
      <c r="C6118" s="3"/>
      <c r="D6118" s="3"/>
      <c r="E6118" s="3">
        <v>15</v>
      </c>
      <c r="F6118" s="4" t="str">
        <f>HYPERLINK("http://141.218.60.56/~jnz1568/getInfo.php?workbook=12_05.xlsx&amp;sheet=U0&amp;row=6118&amp;col=6&amp;number=4.4&amp;sourceID=14","4.4")</f>
        <v>4.4</v>
      </c>
      <c r="G6118" s="4" t="str">
        <f>HYPERLINK("http://141.218.60.56/~jnz1568/getInfo.php?workbook=12_05.xlsx&amp;sheet=U0&amp;row=6118&amp;col=7&amp;number=0.0299&amp;sourceID=14","0.0299")</f>
        <v>0.0299</v>
      </c>
    </row>
    <row r="6119" spans="1:7">
      <c r="A6119" s="3"/>
      <c r="B6119" s="3"/>
      <c r="C6119" s="3"/>
      <c r="D6119" s="3"/>
      <c r="E6119" s="3">
        <v>16</v>
      </c>
      <c r="F6119" s="4" t="str">
        <f>HYPERLINK("http://141.218.60.56/~jnz1568/getInfo.php?workbook=12_05.xlsx&amp;sheet=U0&amp;row=6119&amp;col=6&amp;number=4.5&amp;sourceID=14","4.5")</f>
        <v>4.5</v>
      </c>
      <c r="G6119" s="4" t="str">
        <f>HYPERLINK("http://141.218.60.56/~jnz1568/getInfo.php?workbook=12_05.xlsx&amp;sheet=U0&amp;row=6119&amp;col=7&amp;number=0.03&amp;sourceID=14","0.03")</f>
        <v>0.03</v>
      </c>
    </row>
    <row r="6120" spans="1:7">
      <c r="A6120" s="3"/>
      <c r="B6120" s="3"/>
      <c r="C6120" s="3"/>
      <c r="D6120" s="3"/>
      <c r="E6120" s="3">
        <v>17</v>
      </c>
      <c r="F6120" s="4" t="str">
        <f>HYPERLINK("http://141.218.60.56/~jnz1568/getInfo.php?workbook=12_05.xlsx&amp;sheet=U0&amp;row=6120&amp;col=6&amp;number=4.6&amp;sourceID=14","4.6")</f>
        <v>4.6</v>
      </c>
      <c r="G6120" s="4" t="str">
        <f>HYPERLINK("http://141.218.60.56/~jnz1568/getInfo.php?workbook=12_05.xlsx&amp;sheet=U0&amp;row=6120&amp;col=7&amp;number=0.0301&amp;sourceID=14","0.0301")</f>
        <v>0.0301</v>
      </c>
    </row>
    <row r="6121" spans="1:7">
      <c r="A6121" s="3"/>
      <c r="B6121" s="3"/>
      <c r="C6121" s="3"/>
      <c r="D6121" s="3"/>
      <c r="E6121" s="3">
        <v>18</v>
      </c>
      <c r="F6121" s="4" t="str">
        <f>HYPERLINK("http://141.218.60.56/~jnz1568/getInfo.php?workbook=12_05.xlsx&amp;sheet=U0&amp;row=6121&amp;col=6&amp;number=4.7&amp;sourceID=14","4.7")</f>
        <v>4.7</v>
      </c>
      <c r="G6121" s="4" t="str">
        <f>HYPERLINK("http://141.218.60.56/~jnz1568/getInfo.php?workbook=12_05.xlsx&amp;sheet=U0&amp;row=6121&amp;col=7&amp;number=0.0302&amp;sourceID=14","0.0302")</f>
        <v>0.0302</v>
      </c>
    </row>
    <row r="6122" spans="1:7">
      <c r="A6122" s="3"/>
      <c r="B6122" s="3"/>
      <c r="C6122" s="3"/>
      <c r="D6122" s="3"/>
      <c r="E6122" s="3">
        <v>19</v>
      </c>
      <c r="F6122" s="4" t="str">
        <f>HYPERLINK("http://141.218.60.56/~jnz1568/getInfo.php?workbook=12_05.xlsx&amp;sheet=U0&amp;row=6122&amp;col=6&amp;number=4.8&amp;sourceID=14","4.8")</f>
        <v>4.8</v>
      </c>
      <c r="G6122" s="4" t="str">
        <f>HYPERLINK("http://141.218.60.56/~jnz1568/getInfo.php?workbook=12_05.xlsx&amp;sheet=U0&amp;row=6122&amp;col=7&amp;number=0.0304&amp;sourceID=14","0.0304")</f>
        <v>0.0304</v>
      </c>
    </row>
    <row r="6123" spans="1:7">
      <c r="A6123" s="3"/>
      <c r="B6123" s="3"/>
      <c r="C6123" s="3"/>
      <c r="D6123" s="3"/>
      <c r="E6123" s="3">
        <v>20</v>
      </c>
      <c r="F6123" s="4" t="str">
        <f>HYPERLINK("http://141.218.60.56/~jnz1568/getInfo.php?workbook=12_05.xlsx&amp;sheet=U0&amp;row=6123&amp;col=6&amp;number=4.9&amp;sourceID=14","4.9")</f>
        <v>4.9</v>
      </c>
      <c r="G6123" s="4" t="str">
        <f>HYPERLINK("http://141.218.60.56/~jnz1568/getInfo.php?workbook=12_05.xlsx&amp;sheet=U0&amp;row=6123&amp;col=7&amp;number=0.0306&amp;sourceID=14","0.0306")</f>
        <v>0.0306</v>
      </c>
    </row>
    <row r="6124" spans="1:7">
      <c r="A6124" s="3">
        <v>12</v>
      </c>
      <c r="B6124" s="3">
        <v>5</v>
      </c>
      <c r="C6124" s="3">
        <v>4</v>
      </c>
      <c r="D6124" s="3">
        <v>58</v>
      </c>
      <c r="E6124" s="3">
        <v>1</v>
      </c>
      <c r="F6124" s="4" t="str">
        <f>HYPERLINK("http://141.218.60.56/~jnz1568/getInfo.php?workbook=12_05.xlsx&amp;sheet=U0&amp;row=6124&amp;col=6&amp;number=3&amp;sourceID=14","3")</f>
        <v>3</v>
      </c>
      <c r="G6124" s="4" t="str">
        <f>HYPERLINK("http://141.218.60.56/~jnz1568/getInfo.php?workbook=12_05.xlsx&amp;sheet=U0&amp;row=6124&amp;col=7&amp;number=0.00578&amp;sourceID=14","0.00578")</f>
        <v>0.00578</v>
      </c>
    </row>
    <row r="6125" spans="1:7">
      <c r="A6125" s="3"/>
      <c r="B6125" s="3"/>
      <c r="C6125" s="3"/>
      <c r="D6125" s="3"/>
      <c r="E6125" s="3">
        <v>2</v>
      </c>
      <c r="F6125" s="4" t="str">
        <f>HYPERLINK("http://141.218.60.56/~jnz1568/getInfo.php?workbook=12_05.xlsx&amp;sheet=U0&amp;row=6125&amp;col=6&amp;number=3.1&amp;sourceID=14","3.1")</f>
        <v>3.1</v>
      </c>
      <c r="G6125" s="4" t="str">
        <f>HYPERLINK("http://141.218.60.56/~jnz1568/getInfo.php?workbook=12_05.xlsx&amp;sheet=U0&amp;row=6125&amp;col=7&amp;number=0.00578&amp;sourceID=14","0.00578")</f>
        <v>0.00578</v>
      </c>
    </row>
    <row r="6126" spans="1:7">
      <c r="A6126" s="3"/>
      <c r="B6126" s="3"/>
      <c r="C6126" s="3"/>
      <c r="D6126" s="3"/>
      <c r="E6126" s="3">
        <v>3</v>
      </c>
      <c r="F6126" s="4" t="str">
        <f>HYPERLINK("http://141.218.60.56/~jnz1568/getInfo.php?workbook=12_05.xlsx&amp;sheet=U0&amp;row=6126&amp;col=6&amp;number=3.2&amp;sourceID=14","3.2")</f>
        <v>3.2</v>
      </c>
      <c r="G6126" s="4" t="str">
        <f>HYPERLINK("http://141.218.60.56/~jnz1568/getInfo.php?workbook=12_05.xlsx&amp;sheet=U0&amp;row=6126&amp;col=7&amp;number=0.00578&amp;sourceID=14","0.00578")</f>
        <v>0.00578</v>
      </c>
    </row>
    <row r="6127" spans="1:7">
      <c r="A6127" s="3"/>
      <c r="B6127" s="3"/>
      <c r="C6127" s="3"/>
      <c r="D6127" s="3"/>
      <c r="E6127" s="3">
        <v>4</v>
      </c>
      <c r="F6127" s="4" t="str">
        <f>HYPERLINK("http://141.218.60.56/~jnz1568/getInfo.php?workbook=12_05.xlsx&amp;sheet=U0&amp;row=6127&amp;col=6&amp;number=3.3&amp;sourceID=14","3.3")</f>
        <v>3.3</v>
      </c>
      <c r="G6127" s="4" t="str">
        <f>HYPERLINK("http://141.218.60.56/~jnz1568/getInfo.php?workbook=12_05.xlsx&amp;sheet=U0&amp;row=6127&amp;col=7&amp;number=0.00578&amp;sourceID=14","0.00578")</f>
        <v>0.00578</v>
      </c>
    </row>
    <row r="6128" spans="1:7">
      <c r="A6128" s="3"/>
      <c r="B6128" s="3"/>
      <c r="C6128" s="3"/>
      <c r="D6128" s="3"/>
      <c r="E6128" s="3">
        <v>5</v>
      </c>
      <c r="F6128" s="4" t="str">
        <f>HYPERLINK("http://141.218.60.56/~jnz1568/getInfo.php?workbook=12_05.xlsx&amp;sheet=U0&amp;row=6128&amp;col=6&amp;number=3.4&amp;sourceID=14","3.4")</f>
        <v>3.4</v>
      </c>
      <c r="G6128" s="4" t="str">
        <f>HYPERLINK("http://141.218.60.56/~jnz1568/getInfo.php?workbook=12_05.xlsx&amp;sheet=U0&amp;row=6128&amp;col=7&amp;number=0.00578&amp;sourceID=14","0.00578")</f>
        <v>0.00578</v>
      </c>
    </row>
    <row r="6129" spans="1:7">
      <c r="A6129" s="3"/>
      <c r="B6129" s="3"/>
      <c r="C6129" s="3"/>
      <c r="D6129" s="3"/>
      <c r="E6129" s="3">
        <v>6</v>
      </c>
      <c r="F6129" s="4" t="str">
        <f>HYPERLINK("http://141.218.60.56/~jnz1568/getInfo.php?workbook=12_05.xlsx&amp;sheet=U0&amp;row=6129&amp;col=6&amp;number=3.5&amp;sourceID=14","3.5")</f>
        <v>3.5</v>
      </c>
      <c r="G6129" s="4" t="str">
        <f>HYPERLINK("http://141.218.60.56/~jnz1568/getInfo.php?workbook=12_05.xlsx&amp;sheet=U0&amp;row=6129&amp;col=7&amp;number=0.00578&amp;sourceID=14","0.00578")</f>
        <v>0.00578</v>
      </c>
    </row>
    <row r="6130" spans="1:7">
      <c r="A6130" s="3"/>
      <c r="B6130" s="3"/>
      <c r="C6130" s="3"/>
      <c r="D6130" s="3"/>
      <c r="E6130" s="3">
        <v>7</v>
      </c>
      <c r="F6130" s="4" t="str">
        <f>HYPERLINK("http://141.218.60.56/~jnz1568/getInfo.php?workbook=12_05.xlsx&amp;sheet=U0&amp;row=6130&amp;col=6&amp;number=3.6&amp;sourceID=14","3.6")</f>
        <v>3.6</v>
      </c>
      <c r="G6130" s="4" t="str">
        <f>HYPERLINK("http://141.218.60.56/~jnz1568/getInfo.php?workbook=12_05.xlsx&amp;sheet=U0&amp;row=6130&amp;col=7&amp;number=0.00578&amp;sourceID=14","0.00578")</f>
        <v>0.00578</v>
      </c>
    </row>
    <row r="6131" spans="1:7">
      <c r="A6131" s="3"/>
      <c r="B6131" s="3"/>
      <c r="C6131" s="3"/>
      <c r="D6131" s="3"/>
      <c r="E6131" s="3">
        <v>8</v>
      </c>
      <c r="F6131" s="4" t="str">
        <f>HYPERLINK("http://141.218.60.56/~jnz1568/getInfo.php?workbook=12_05.xlsx&amp;sheet=U0&amp;row=6131&amp;col=6&amp;number=3.7&amp;sourceID=14","3.7")</f>
        <v>3.7</v>
      </c>
      <c r="G6131" s="4" t="str">
        <f>HYPERLINK("http://141.218.60.56/~jnz1568/getInfo.php?workbook=12_05.xlsx&amp;sheet=U0&amp;row=6131&amp;col=7&amp;number=0.00578&amp;sourceID=14","0.00578")</f>
        <v>0.00578</v>
      </c>
    </row>
    <row r="6132" spans="1:7">
      <c r="A6132" s="3"/>
      <c r="B6132" s="3"/>
      <c r="C6132" s="3"/>
      <c r="D6132" s="3"/>
      <c r="E6132" s="3">
        <v>9</v>
      </c>
      <c r="F6132" s="4" t="str">
        <f>HYPERLINK("http://141.218.60.56/~jnz1568/getInfo.php?workbook=12_05.xlsx&amp;sheet=U0&amp;row=6132&amp;col=6&amp;number=3.8&amp;sourceID=14","3.8")</f>
        <v>3.8</v>
      </c>
      <c r="G6132" s="4" t="str">
        <f>HYPERLINK("http://141.218.60.56/~jnz1568/getInfo.php?workbook=12_05.xlsx&amp;sheet=U0&amp;row=6132&amp;col=7&amp;number=0.00578&amp;sourceID=14","0.00578")</f>
        <v>0.00578</v>
      </c>
    </row>
    <row r="6133" spans="1:7">
      <c r="A6133" s="3"/>
      <c r="B6133" s="3"/>
      <c r="C6133" s="3"/>
      <c r="D6133" s="3"/>
      <c r="E6133" s="3">
        <v>10</v>
      </c>
      <c r="F6133" s="4" t="str">
        <f>HYPERLINK("http://141.218.60.56/~jnz1568/getInfo.php?workbook=12_05.xlsx&amp;sheet=U0&amp;row=6133&amp;col=6&amp;number=3.9&amp;sourceID=14","3.9")</f>
        <v>3.9</v>
      </c>
      <c r="G6133" s="4" t="str">
        <f>HYPERLINK("http://141.218.60.56/~jnz1568/getInfo.php?workbook=12_05.xlsx&amp;sheet=U0&amp;row=6133&amp;col=7&amp;number=0.00577&amp;sourceID=14","0.00577")</f>
        <v>0.00577</v>
      </c>
    </row>
    <row r="6134" spans="1:7">
      <c r="A6134" s="3"/>
      <c r="B6134" s="3"/>
      <c r="C6134" s="3"/>
      <c r="D6134" s="3"/>
      <c r="E6134" s="3">
        <v>11</v>
      </c>
      <c r="F6134" s="4" t="str">
        <f>HYPERLINK("http://141.218.60.56/~jnz1568/getInfo.php?workbook=12_05.xlsx&amp;sheet=U0&amp;row=6134&amp;col=6&amp;number=4&amp;sourceID=14","4")</f>
        <v>4</v>
      </c>
      <c r="G6134" s="4" t="str">
        <f>HYPERLINK("http://141.218.60.56/~jnz1568/getInfo.php?workbook=12_05.xlsx&amp;sheet=U0&amp;row=6134&amp;col=7&amp;number=0.00577&amp;sourceID=14","0.00577")</f>
        <v>0.00577</v>
      </c>
    </row>
    <row r="6135" spans="1:7">
      <c r="A6135" s="3"/>
      <c r="B6135" s="3"/>
      <c r="C6135" s="3"/>
      <c r="D6135" s="3"/>
      <c r="E6135" s="3">
        <v>12</v>
      </c>
      <c r="F6135" s="4" t="str">
        <f>HYPERLINK("http://141.218.60.56/~jnz1568/getInfo.php?workbook=12_05.xlsx&amp;sheet=U0&amp;row=6135&amp;col=6&amp;number=4.1&amp;sourceID=14","4.1")</f>
        <v>4.1</v>
      </c>
      <c r="G6135" s="4" t="str">
        <f>HYPERLINK("http://141.218.60.56/~jnz1568/getInfo.php?workbook=12_05.xlsx&amp;sheet=U0&amp;row=6135&amp;col=7&amp;number=0.00577&amp;sourceID=14","0.00577")</f>
        <v>0.00577</v>
      </c>
    </row>
    <row r="6136" spans="1:7">
      <c r="A6136" s="3"/>
      <c r="B6136" s="3"/>
      <c r="C6136" s="3"/>
      <c r="D6136" s="3"/>
      <c r="E6136" s="3">
        <v>13</v>
      </c>
      <c r="F6136" s="4" t="str">
        <f>HYPERLINK("http://141.218.60.56/~jnz1568/getInfo.php?workbook=12_05.xlsx&amp;sheet=U0&amp;row=6136&amp;col=6&amp;number=4.2&amp;sourceID=14","4.2")</f>
        <v>4.2</v>
      </c>
      <c r="G6136" s="4" t="str">
        <f>HYPERLINK("http://141.218.60.56/~jnz1568/getInfo.php?workbook=12_05.xlsx&amp;sheet=U0&amp;row=6136&amp;col=7&amp;number=0.00576&amp;sourceID=14","0.00576")</f>
        <v>0.00576</v>
      </c>
    </row>
    <row r="6137" spans="1:7">
      <c r="A6137" s="3"/>
      <c r="B6137" s="3"/>
      <c r="C6137" s="3"/>
      <c r="D6137" s="3"/>
      <c r="E6137" s="3">
        <v>14</v>
      </c>
      <c r="F6137" s="4" t="str">
        <f>HYPERLINK("http://141.218.60.56/~jnz1568/getInfo.php?workbook=12_05.xlsx&amp;sheet=U0&amp;row=6137&amp;col=6&amp;number=4.3&amp;sourceID=14","4.3")</f>
        <v>4.3</v>
      </c>
      <c r="G6137" s="4" t="str">
        <f>HYPERLINK("http://141.218.60.56/~jnz1568/getInfo.php?workbook=12_05.xlsx&amp;sheet=U0&amp;row=6137&amp;col=7&amp;number=0.00576&amp;sourceID=14","0.00576")</f>
        <v>0.00576</v>
      </c>
    </row>
    <row r="6138" spans="1:7">
      <c r="A6138" s="3"/>
      <c r="B6138" s="3"/>
      <c r="C6138" s="3"/>
      <c r="D6138" s="3"/>
      <c r="E6138" s="3">
        <v>15</v>
      </c>
      <c r="F6138" s="4" t="str">
        <f>HYPERLINK("http://141.218.60.56/~jnz1568/getInfo.php?workbook=12_05.xlsx&amp;sheet=U0&amp;row=6138&amp;col=6&amp;number=4.4&amp;sourceID=14","4.4")</f>
        <v>4.4</v>
      </c>
      <c r="G6138" s="4" t="str">
        <f>HYPERLINK("http://141.218.60.56/~jnz1568/getInfo.php?workbook=12_05.xlsx&amp;sheet=U0&amp;row=6138&amp;col=7&amp;number=0.00575&amp;sourceID=14","0.00575")</f>
        <v>0.00575</v>
      </c>
    </row>
    <row r="6139" spans="1:7">
      <c r="A6139" s="3"/>
      <c r="B6139" s="3"/>
      <c r="C6139" s="3"/>
      <c r="D6139" s="3"/>
      <c r="E6139" s="3">
        <v>16</v>
      </c>
      <c r="F6139" s="4" t="str">
        <f>HYPERLINK("http://141.218.60.56/~jnz1568/getInfo.php?workbook=12_05.xlsx&amp;sheet=U0&amp;row=6139&amp;col=6&amp;number=4.5&amp;sourceID=14","4.5")</f>
        <v>4.5</v>
      </c>
      <c r="G6139" s="4" t="str">
        <f>HYPERLINK("http://141.218.60.56/~jnz1568/getInfo.php?workbook=12_05.xlsx&amp;sheet=U0&amp;row=6139&amp;col=7&amp;number=0.00574&amp;sourceID=14","0.00574")</f>
        <v>0.00574</v>
      </c>
    </row>
    <row r="6140" spans="1:7">
      <c r="A6140" s="3"/>
      <c r="B6140" s="3"/>
      <c r="C6140" s="3"/>
      <c r="D6140" s="3"/>
      <c r="E6140" s="3">
        <v>17</v>
      </c>
      <c r="F6140" s="4" t="str">
        <f>HYPERLINK("http://141.218.60.56/~jnz1568/getInfo.php?workbook=12_05.xlsx&amp;sheet=U0&amp;row=6140&amp;col=6&amp;number=4.6&amp;sourceID=14","4.6")</f>
        <v>4.6</v>
      </c>
      <c r="G6140" s="4" t="str">
        <f>HYPERLINK("http://141.218.60.56/~jnz1568/getInfo.php?workbook=12_05.xlsx&amp;sheet=U0&amp;row=6140&amp;col=7&amp;number=0.00573&amp;sourceID=14","0.00573")</f>
        <v>0.00573</v>
      </c>
    </row>
    <row r="6141" spans="1:7">
      <c r="A6141" s="3"/>
      <c r="B6141" s="3"/>
      <c r="C6141" s="3"/>
      <c r="D6141" s="3"/>
      <c r="E6141" s="3">
        <v>18</v>
      </c>
      <c r="F6141" s="4" t="str">
        <f>HYPERLINK("http://141.218.60.56/~jnz1568/getInfo.php?workbook=12_05.xlsx&amp;sheet=U0&amp;row=6141&amp;col=6&amp;number=4.7&amp;sourceID=14","4.7")</f>
        <v>4.7</v>
      </c>
      <c r="G6141" s="4" t="str">
        <f>HYPERLINK("http://141.218.60.56/~jnz1568/getInfo.php?workbook=12_05.xlsx&amp;sheet=U0&amp;row=6141&amp;col=7&amp;number=0.00572&amp;sourceID=14","0.00572")</f>
        <v>0.00572</v>
      </c>
    </row>
    <row r="6142" spans="1:7">
      <c r="A6142" s="3"/>
      <c r="B6142" s="3"/>
      <c r="C6142" s="3"/>
      <c r="D6142" s="3"/>
      <c r="E6142" s="3">
        <v>19</v>
      </c>
      <c r="F6142" s="4" t="str">
        <f>HYPERLINK("http://141.218.60.56/~jnz1568/getInfo.php?workbook=12_05.xlsx&amp;sheet=U0&amp;row=6142&amp;col=6&amp;number=4.8&amp;sourceID=14","4.8")</f>
        <v>4.8</v>
      </c>
      <c r="G6142" s="4" t="str">
        <f>HYPERLINK("http://141.218.60.56/~jnz1568/getInfo.php?workbook=12_05.xlsx&amp;sheet=U0&amp;row=6142&amp;col=7&amp;number=0.0057&amp;sourceID=14","0.0057")</f>
        <v>0.0057</v>
      </c>
    </row>
    <row r="6143" spans="1:7">
      <c r="A6143" s="3"/>
      <c r="B6143" s="3"/>
      <c r="C6143" s="3"/>
      <c r="D6143" s="3"/>
      <c r="E6143" s="3">
        <v>20</v>
      </c>
      <c r="F6143" s="4" t="str">
        <f>HYPERLINK("http://141.218.60.56/~jnz1568/getInfo.php?workbook=12_05.xlsx&amp;sheet=U0&amp;row=6143&amp;col=6&amp;number=4.9&amp;sourceID=14","4.9")</f>
        <v>4.9</v>
      </c>
      <c r="G6143" s="4" t="str">
        <f>HYPERLINK("http://141.218.60.56/~jnz1568/getInfo.php?workbook=12_05.xlsx&amp;sheet=U0&amp;row=6143&amp;col=7&amp;number=0.00568&amp;sourceID=14","0.00568")</f>
        <v>0.00568</v>
      </c>
    </row>
    <row r="6144" spans="1:7">
      <c r="A6144" s="3">
        <v>12</v>
      </c>
      <c r="B6144" s="3">
        <v>5</v>
      </c>
      <c r="C6144" s="3">
        <v>4</v>
      </c>
      <c r="D6144" s="3">
        <v>59</v>
      </c>
      <c r="E6144" s="3">
        <v>1</v>
      </c>
      <c r="F6144" s="4" t="str">
        <f>HYPERLINK("http://141.218.60.56/~jnz1568/getInfo.php?workbook=12_05.xlsx&amp;sheet=U0&amp;row=6144&amp;col=6&amp;number=3&amp;sourceID=14","3")</f>
        <v>3</v>
      </c>
      <c r="G6144" s="4" t="str">
        <f>HYPERLINK("http://141.218.60.56/~jnz1568/getInfo.php?workbook=12_05.xlsx&amp;sheet=U0&amp;row=6144&amp;col=7&amp;number=0.0103&amp;sourceID=14","0.0103")</f>
        <v>0.0103</v>
      </c>
    </row>
    <row r="6145" spans="1:7">
      <c r="A6145" s="3"/>
      <c r="B6145" s="3"/>
      <c r="C6145" s="3"/>
      <c r="D6145" s="3"/>
      <c r="E6145" s="3">
        <v>2</v>
      </c>
      <c r="F6145" s="4" t="str">
        <f>HYPERLINK("http://141.218.60.56/~jnz1568/getInfo.php?workbook=12_05.xlsx&amp;sheet=U0&amp;row=6145&amp;col=6&amp;number=3.1&amp;sourceID=14","3.1")</f>
        <v>3.1</v>
      </c>
      <c r="G6145" s="4" t="str">
        <f>HYPERLINK("http://141.218.60.56/~jnz1568/getInfo.php?workbook=12_05.xlsx&amp;sheet=U0&amp;row=6145&amp;col=7&amp;number=0.0103&amp;sourceID=14","0.0103")</f>
        <v>0.0103</v>
      </c>
    </row>
    <row r="6146" spans="1:7">
      <c r="A6146" s="3"/>
      <c r="B6146" s="3"/>
      <c r="C6146" s="3"/>
      <c r="D6146" s="3"/>
      <c r="E6146" s="3">
        <v>3</v>
      </c>
      <c r="F6146" s="4" t="str">
        <f>HYPERLINK("http://141.218.60.56/~jnz1568/getInfo.php?workbook=12_05.xlsx&amp;sheet=U0&amp;row=6146&amp;col=6&amp;number=3.2&amp;sourceID=14","3.2")</f>
        <v>3.2</v>
      </c>
      <c r="G6146" s="4" t="str">
        <f>HYPERLINK("http://141.218.60.56/~jnz1568/getInfo.php?workbook=12_05.xlsx&amp;sheet=U0&amp;row=6146&amp;col=7&amp;number=0.0103&amp;sourceID=14","0.0103")</f>
        <v>0.0103</v>
      </c>
    </row>
    <row r="6147" spans="1:7">
      <c r="A6147" s="3"/>
      <c r="B6147" s="3"/>
      <c r="C6147" s="3"/>
      <c r="D6147" s="3"/>
      <c r="E6147" s="3">
        <v>4</v>
      </c>
      <c r="F6147" s="4" t="str">
        <f>HYPERLINK("http://141.218.60.56/~jnz1568/getInfo.php?workbook=12_05.xlsx&amp;sheet=U0&amp;row=6147&amp;col=6&amp;number=3.3&amp;sourceID=14","3.3")</f>
        <v>3.3</v>
      </c>
      <c r="G6147" s="4" t="str">
        <f>HYPERLINK("http://141.218.60.56/~jnz1568/getInfo.php?workbook=12_05.xlsx&amp;sheet=U0&amp;row=6147&amp;col=7&amp;number=0.0103&amp;sourceID=14","0.0103")</f>
        <v>0.0103</v>
      </c>
    </row>
    <row r="6148" spans="1:7">
      <c r="A6148" s="3"/>
      <c r="B6148" s="3"/>
      <c r="C6148" s="3"/>
      <c r="D6148" s="3"/>
      <c r="E6148" s="3">
        <v>5</v>
      </c>
      <c r="F6148" s="4" t="str">
        <f>HYPERLINK("http://141.218.60.56/~jnz1568/getInfo.php?workbook=12_05.xlsx&amp;sheet=U0&amp;row=6148&amp;col=6&amp;number=3.4&amp;sourceID=14","3.4")</f>
        <v>3.4</v>
      </c>
      <c r="G6148" s="4" t="str">
        <f>HYPERLINK("http://141.218.60.56/~jnz1568/getInfo.php?workbook=12_05.xlsx&amp;sheet=U0&amp;row=6148&amp;col=7&amp;number=0.0103&amp;sourceID=14","0.0103")</f>
        <v>0.0103</v>
      </c>
    </row>
    <row r="6149" spans="1:7">
      <c r="A6149" s="3"/>
      <c r="B6149" s="3"/>
      <c r="C6149" s="3"/>
      <c r="D6149" s="3"/>
      <c r="E6149" s="3">
        <v>6</v>
      </c>
      <c r="F6149" s="4" t="str">
        <f>HYPERLINK("http://141.218.60.56/~jnz1568/getInfo.php?workbook=12_05.xlsx&amp;sheet=U0&amp;row=6149&amp;col=6&amp;number=3.5&amp;sourceID=14","3.5")</f>
        <v>3.5</v>
      </c>
      <c r="G6149" s="4" t="str">
        <f>HYPERLINK("http://141.218.60.56/~jnz1568/getInfo.php?workbook=12_05.xlsx&amp;sheet=U0&amp;row=6149&amp;col=7&amp;number=0.0103&amp;sourceID=14","0.0103")</f>
        <v>0.0103</v>
      </c>
    </row>
    <row r="6150" spans="1:7">
      <c r="A6150" s="3"/>
      <c r="B6150" s="3"/>
      <c r="C6150" s="3"/>
      <c r="D6150" s="3"/>
      <c r="E6150" s="3">
        <v>7</v>
      </c>
      <c r="F6150" s="4" t="str">
        <f>HYPERLINK("http://141.218.60.56/~jnz1568/getInfo.php?workbook=12_05.xlsx&amp;sheet=U0&amp;row=6150&amp;col=6&amp;number=3.6&amp;sourceID=14","3.6")</f>
        <v>3.6</v>
      </c>
      <c r="G6150" s="4" t="str">
        <f>HYPERLINK("http://141.218.60.56/~jnz1568/getInfo.php?workbook=12_05.xlsx&amp;sheet=U0&amp;row=6150&amp;col=7&amp;number=0.0103&amp;sourceID=14","0.0103")</f>
        <v>0.0103</v>
      </c>
    </row>
    <row r="6151" spans="1:7">
      <c r="A6151" s="3"/>
      <c r="B6151" s="3"/>
      <c r="C6151" s="3"/>
      <c r="D6151" s="3"/>
      <c r="E6151" s="3">
        <v>8</v>
      </c>
      <c r="F6151" s="4" t="str">
        <f>HYPERLINK("http://141.218.60.56/~jnz1568/getInfo.php?workbook=12_05.xlsx&amp;sheet=U0&amp;row=6151&amp;col=6&amp;number=3.7&amp;sourceID=14","3.7")</f>
        <v>3.7</v>
      </c>
      <c r="G6151" s="4" t="str">
        <f>HYPERLINK("http://141.218.60.56/~jnz1568/getInfo.php?workbook=12_05.xlsx&amp;sheet=U0&amp;row=6151&amp;col=7&amp;number=0.0103&amp;sourceID=14","0.0103")</f>
        <v>0.0103</v>
      </c>
    </row>
    <row r="6152" spans="1:7">
      <c r="A6152" s="3"/>
      <c r="B6152" s="3"/>
      <c r="C6152" s="3"/>
      <c r="D6152" s="3"/>
      <c r="E6152" s="3">
        <v>9</v>
      </c>
      <c r="F6152" s="4" t="str">
        <f>HYPERLINK("http://141.218.60.56/~jnz1568/getInfo.php?workbook=12_05.xlsx&amp;sheet=U0&amp;row=6152&amp;col=6&amp;number=3.8&amp;sourceID=14","3.8")</f>
        <v>3.8</v>
      </c>
      <c r="G6152" s="4" t="str">
        <f>HYPERLINK("http://141.218.60.56/~jnz1568/getInfo.php?workbook=12_05.xlsx&amp;sheet=U0&amp;row=6152&amp;col=7&amp;number=0.0103&amp;sourceID=14","0.0103")</f>
        <v>0.0103</v>
      </c>
    </row>
    <row r="6153" spans="1:7">
      <c r="A6153" s="3"/>
      <c r="B6153" s="3"/>
      <c r="C6153" s="3"/>
      <c r="D6153" s="3"/>
      <c r="E6153" s="3">
        <v>10</v>
      </c>
      <c r="F6153" s="4" t="str">
        <f>HYPERLINK("http://141.218.60.56/~jnz1568/getInfo.php?workbook=12_05.xlsx&amp;sheet=U0&amp;row=6153&amp;col=6&amp;number=3.9&amp;sourceID=14","3.9")</f>
        <v>3.9</v>
      </c>
      <c r="G6153" s="4" t="str">
        <f>HYPERLINK("http://141.218.60.56/~jnz1568/getInfo.php?workbook=12_05.xlsx&amp;sheet=U0&amp;row=6153&amp;col=7&amp;number=0.0103&amp;sourceID=14","0.0103")</f>
        <v>0.0103</v>
      </c>
    </row>
    <row r="6154" spans="1:7">
      <c r="A6154" s="3"/>
      <c r="B6154" s="3"/>
      <c r="C6154" s="3"/>
      <c r="D6154" s="3"/>
      <c r="E6154" s="3">
        <v>11</v>
      </c>
      <c r="F6154" s="4" t="str">
        <f>HYPERLINK("http://141.218.60.56/~jnz1568/getInfo.php?workbook=12_05.xlsx&amp;sheet=U0&amp;row=6154&amp;col=6&amp;number=4&amp;sourceID=14","4")</f>
        <v>4</v>
      </c>
      <c r="G6154" s="4" t="str">
        <f>HYPERLINK("http://141.218.60.56/~jnz1568/getInfo.php?workbook=12_05.xlsx&amp;sheet=U0&amp;row=6154&amp;col=7&amp;number=0.0102&amp;sourceID=14","0.0102")</f>
        <v>0.0102</v>
      </c>
    </row>
    <row r="6155" spans="1:7">
      <c r="A6155" s="3"/>
      <c r="B6155" s="3"/>
      <c r="C6155" s="3"/>
      <c r="D6155" s="3"/>
      <c r="E6155" s="3">
        <v>12</v>
      </c>
      <c r="F6155" s="4" t="str">
        <f>HYPERLINK("http://141.218.60.56/~jnz1568/getInfo.php?workbook=12_05.xlsx&amp;sheet=U0&amp;row=6155&amp;col=6&amp;number=4.1&amp;sourceID=14","4.1")</f>
        <v>4.1</v>
      </c>
      <c r="G6155" s="4" t="str">
        <f>HYPERLINK("http://141.218.60.56/~jnz1568/getInfo.php?workbook=12_05.xlsx&amp;sheet=U0&amp;row=6155&amp;col=7&amp;number=0.0102&amp;sourceID=14","0.0102")</f>
        <v>0.0102</v>
      </c>
    </row>
    <row r="6156" spans="1:7">
      <c r="A6156" s="3"/>
      <c r="B6156" s="3"/>
      <c r="C6156" s="3"/>
      <c r="D6156" s="3"/>
      <c r="E6156" s="3">
        <v>13</v>
      </c>
      <c r="F6156" s="4" t="str">
        <f>HYPERLINK("http://141.218.60.56/~jnz1568/getInfo.php?workbook=12_05.xlsx&amp;sheet=U0&amp;row=6156&amp;col=6&amp;number=4.2&amp;sourceID=14","4.2")</f>
        <v>4.2</v>
      </c>
      <c r="G6156" s="4" t="str">
        <f>HYPERLINK("http://141.218.60.56/~jnz1568/getInfo.php?workbook=12_05.xlsx&amp;sheet=U0&amp;row=6156&amp;col=7&amp;number=0.0102&amp;sourceID=14","0.0102")</f>
        <v>0.0102</v>
      </c>
    </row>
    <row r="6157" spans="1:7">
      <c r="A6157" s="3"/>
      <c r="B6157" s="3"/>
      <c r="C6157" s="3"/>
      <c r="D6157" s="3"/>
      <c r="E6157" s="3">
        <v>14</v>
      </c>
      <c r="F6157" s="4" t="str">
        <f>HYPERLINK("http://141.218.60.56/~jnz1568/getInfo.php?workbook=12_05.xlsx&amp;sheet=U0&amp;row=6157&amp;col=6&amp;number=4.3&amp;sourceID=14","4.3")</f>
        <v>4.3</v>
      </c>
      <c r="G6157" s="4" t="str">
        <f>HYPERLINK("http://141.218.60.56/~jnz1568/getInfo.php?workbook=12_05.xlsx&amp;sheet=U0&amp;row=6157&amp;col=7&amp;number=0.0101&amp;sourceID=14","0.0101")</f>
        <v>0.0101</v>
      </c>
    </row>
    <row r="6158" spans="1:7">
      <c r="A6158" s="3"/>
      <c r="B6158" s="3"/>
      <c r="C6158" s="3"/>
      <c r="D6158" s="3"/>
      <c r="E6158" s="3">
        <v>15</v>
      </c>
      <c r="F6158" s="4" t="str">
        <f>HYPERLINK("http://141.218.60.56/~jnz1568/getInfo.php?workbook=12_05.xlsx&amp;sheet=U0&amp;row=6158&amp;col=6&amp;number=4.4&amp;sourceID=14","4.4")</f>
        <v>4.4</v>
      </c>
      <c r="G6158" s="4" t="str">
        <f>HYPERLINK("http://141.218.60.56/~jnz1568/getInfo.php?workbook=12_05.xlsx&amp;sheet=U0&amp;row=6158&amp;col=7&amp;number=0.0101&amp;sourceID=14","0.0101")</f>
        <v>0.0101</v>
      </c>
    </row>
    <row r="6159" spans="1:7">
      <c r="A6159" s="3"/>
      <c r="B6159" s="3"/>
      <c r="C6159" s="3"/>
      <c r="D6159" s="3"/>
      <c r="E6159" s="3">
        <v>16</v>
      </c>
      <c r="F6159" s="4" t="str">
        <f>HYPERLINK("http://141.218.60.56/~jnz1568/getInfo.php?workbook=12_05.xlsx&amp;sheet=U0&amp;row=6159&amp;col=6&amp;number=4.5&amp;sourceID=14","4.5")</f>
        <v>4.5</v>
      </c>
      <c r="G6159" s="4" t="str">
        <f>HYPERLINK("http://141.218.60.56/~jnz1568/getInfo.php?workbook=12_05.xlsx&amp;sheet=U0&amp;row=6159&amp;col=7&amp;number=0.01&amp;sourceID=14","0.01")</f>
        <v>0.01</v>
      </c>
    </row>
    <row r="6160" spans="1:7">
      <c r="A6160" s="3"/>
      <c r="B6160" s="3"/>
      <c r="C6160" s="3"/>
      <c r="D6160" s="3"/>
      <c r="E6160" s="3">
        <v>17</v>
      </c>
      <c r="F6160" s="4" t="str">
        <f>HYPERLINK("http://141.218.60.56/~jnz1568/getInfo.php?workbook=12_05.xlsx&amp;sheet=U0&amp;row=6160&amp;col=6&amp;number=4.6&amp;sourceID=14","4.6")</f>
        <v>4.6</v>
      </c>
      <c r="G6160" s="4" t="str">
        <f>HYPERLINK("http://141.218.60.56/~jnz1568/getInfo.php?workbook=12_05.xlsx&amp;sheet=U0&amp;row=6160&amp;col=7&amp;number=0.00996&amp;sourceID=14","0.00996")</f>
        <v>0.00996</v>
      </c>
    </row>
    <row r="6161" spans="1:7">
      <c r="A6161" s="3"/>
      <c r="B6161" s="3"/>
      <c r="C6161" s="3"/>
      <c r="D6161" s="3"/>
      <c r="E6161" s="3">
        <v>18</v>
      </c>
      <c r="F6161" s="4" t="str">
        <f>HYPERLINK("http://141.218.60.56/~jnz1568/getInfo.php?workbook=12_05.xlsx&amp;sheet=U0&amp;row=6161&amp;col=6&amp;number=4.7&amp;sourceID=14","4.7")</f>
        <v>4.7</v>
      </c>
      <c r="G6161" s="4" t="str">
        <f>HYPERLINK("http://141.218.60.56/~jnz1568/getInfo.php?workbook=12_05.xlsx&amp;sheet=U0&amp;row=6161&amp;col=7&amp;number=0.00987&amp;sourceID=14","0.00987")</f>
        <v>0.00987</v>
      </c>
    </row>
    <row r="6162" spans="1:7">
      <c r="A6162" s="3"/>
      <c r="B6162" s="3"/>
      <c r="C6162" s="3"/>
      <c r="D6162" s="3"/>
      <c r="E6162" s="3">
        <v>19</v>
      </c>
      <c r="F6162" s="4" t="str">
        <f>HYPERLINK("http://141.218.60.56/~jnz1568/getInfo.php?workbook=12_05.xlsx&amp;sheet=U0&amp;row=6162&amp;col=6&amp;number=4.8&amp;sourceID=14","4.8")</f>
        <v>4.8</v>
      </c>
      <c r="G6162" s="4" t="str">
        <f>HYPERLINK("http://141.218.60.56/~jnz1568/getInfo.php?workbook=12_05.xlsx&amp;sheet=U0&amp;row=6162&amp;col=7&amp;number=0.00975&amp;sourceID=14","0.00975")</f>
        <v>0.00975</v>
      </c>
    </row>
    <row r="6163" spans="1:7">
      <c r="A6163" s="3"/>
      <c r="B6163" s="3"/>
      <c r="C6163" s="3"/>
      <c r="D6163" s="3"/>
      <c r="E6163" s="3">
        <v>20</v>
      </c>
      <c r="F6163" s="4" t="str">
        <f>HYPERLINK("http://141.218.60.56/~jnz1568/getInfo.php?workbook=12_05.xlsx&amp;sheet=U0&amp;row=6163&amp;col=6&amp;number=4.9&amp;sourceID=14","4.9")</f>
        <v>4.9</v>
      </c>
      <c r="G6163" s="4" t="str">
        <f>HYPERLINK("http://141.218.60.56/~jnz1568/getInfo.php?workbook=12_05.xlsx&amp;sheet=U0&amp;row=6163&amp;col=7&amp;number=0.00961&amp;sourceID=14","0.00961")</f>
        <v>0.00961</v>
      </c>
    </row>
    <row r="6164" spans="1:7">
      <c r="A6164" s="3">
        <v>12</v>
      </c>
      <c r="B6164" s="3">
        <v>5</v>
      </c>
      <c r="C6164" s="3">
        <v>4</v>
      </c>
      <c r="D6164" s="3">
        <v>60</v>
      </c>
      <c r="E6164" s="3">
        <v>1</v>
      </c>
      <c r="F6164" s="4" t="str">
        <f>HYPERLINK("http://141.218.60.56/~jnz1568/getInfo.php?workbook=12_05.xlsx&amp;sheet=U0&amp;row=6164&amp;col=6&amp;number=3&amp;sourceID=14","3")</f>
        <v>3</v>
      </c>
      <c r="G6164" s="4" t="str">
        <f>HYPERLINK("http://141.218.60.56/~jnz1568/getInfo.php?workbook=12_05.xlsx&amp;sheet=U0&amp;row=6164&amp;col=7&amp;number=0.0207&amp;sourceID=14","0.0207")</f>
        <v>0.0207</v>
      </c>
    </row>
    <row r="6165" spans="1:7">
      <c r="A6165" s="3"/>
      <c r="B6165" s="3"/>
      <c r="C6165" s="3"/>
      <c r="D6165" s="3"/>
      <c r="E6165" s="3">
        <v>2</v>
      </c>
      <c r="F6165" s="4" t="str">
        <f>HYPERLINK("http://141.218.60.56/~jnz1568/getInfo.php?workbook=12_05.xlsx&amp;sheet=U0&amp;row=6165&amp;col=6&amp;number=3.1&amp;sourceID=14","3.1")</f>
        <v>3.1</v>
      </c>
      <c r="G6165" s="4" t="str">
        <f>HYPERLINK("http://141.218.60.56/~jnz1568/getInfo.php?workbook=12_05.xlsx&amp;sheet=U0&amp;row=6165&amp;col=7&amp;number=0.0207&amp;sourceID=14","0.0207")</f>
        <v>0.0207</v>
      </c>
    </row>
    <row r="6166" spans="1:7">
      <c r="A6166" s="3"/>
      <c r="B6166" s="3"/>
      <c r="C6166" s="3"/>
      <c r="D6166" s="3"/>
      <c r="E6166" s="3">
        <v>3</v>
      </c>
      <c r="F6166" s="4" t="str">
        <f>HYPERLINK("http://141.218.60.56/~jnz1568/getInfo.php?workbook=12_05.xlsx&amp;sheet=U0&amp;row=6166&amp;col=6&amp;number=3.2&amp;sourceID=14","3.2")</f>
        <v>3.2</v>
      </c>
      <c r="G6166" s="4" t="str">
        <f>HYPERLINK("http://141.218.60.56/~jnz1568/getInfo.php?workbook=12_05.xlsx&amp;sheet=U0&amp;row=6166&amp;col=7&amp;number=0.0207&amp;sourceID=14","0.0207")</f>
        <v>0.0207</v>
      </c>
    </row>
    <row r="6167" spans="1:7">
      <c r="A6167" s="3"/>
      <c r="B6167" s="3"/>
      <c r="C6167" s="3"/>
      <c r="D6167" s="3"/>
      <c r="E6167" s="3">
        <v>4</v>
      </c>
      <c r="F6167" s="4" t="str">
        <f>HYPERLINK("http://141.218.60.56/~jnz1568/getInfo.php?workbook=12_05.xlsx&amp;sheet=U0&amp;row=6167&amp;col=6&amp;number=3.3&amp;sourceID=14","3.3")</f>
        <v>3.3</v>
      </c>
      <c r="G6167" s="4" t="str">
        <f>HYPERLINK("http://141.218.60.56/~jnz1568/getInfo.php?workbook=12_05.xlsx&amp;sheet=U0&amp;row=6167&amp;col=7&amp;number=0.0207&amp;sourceID=14","0.0207")</f>
        <v>0.0207</v>
      </c>
    </row>
    <row r="6168" spans="1:7">
      <c r="A6168" s="3"/>
      <c r="B6168" s="3"/>
      <c r="C6168" s="3"/>
      <c r="D6168" s="3"/>
      <c r="E6168" s="3">
        <v>5</v>
      </c>
      <c r="F6168" s="4" t="str">
        <f>HYPERLINK("http://141.218.60.56/~jnz1568/getInfo.php?workbook=12_05.xlsx&amp;sheet=U0&amp;row=6168&amp;col=6&amp;number=3.4&amp;sourceID=14","3.4")</f>
        <v>3.4</v>
      </c>
      <c r="G6168" s="4" t="str">
        <f>HYPERLINK("http://141.218.60.56/~jnz1568/getInfo.php?workbook=12_05.xlsx&amp;sheet=U0&amp;row=6168&amp;col=7&amp;number=0.0207&amp;sourceID=14","0.0207")</f>
        <v>0.0207</v>
      </c>
    </row>
    <row r="6169" spans="1:7">
      <c r="A6169" s="3"/>
      <c r="B6169" s="3"/>
      <c r="C6169" s="3"/>
      <c r="D6169" s="3"/>
      <c r="E6169" s="3">
        <v>6</v>
      </c>
      <c r="F6169" s="4" t="str">
        <f>HYPERLINK("http://141.218.60.56/~jnz1568/getInfo.php?workbook=12_05.xlsx&amp;sheet=U0&amp;row=6169&amp;col=6&amp;number=3.5&amp;sourceID=14","3.5")</f>
        <v>3.5</v>
      </c>
      <c r="G6169" s="4" t="str">
        <f>HYPERLINK("http://141.218.60.56/~jnz1568/getInfo.php?workbook=12_05.xlsx&amp;sheet=U0&amp;row=6169&amp;col=7&amp;number=0.0207&amp;sourceID=14","0.0207")</f>
        <v>0.0207</v>
      </c>
    </row>
    <row r="6170" spans="1:7">
      <c r="A6170" s="3"/>
      <c r="B6170" s="3"/>
      <c r="C6170" s="3"/>
      <c r="D6170" s="3"/>
      <c r="E6170" s="3">
        <v>7</v>
      </c>
      <c r="F6170" s="4" t="str">
        <f>HYPERLINK("http://141.218.60.56/~jnz1568/getInfo.php?workbook=12_05.xlsx&amp;sheet=U0&amp;row=6170&amp;col=6&amp;number=3.6&amp;sourceID=14","3.6")</f>
        <v>3.6</v>
      </c>
      <c r="G6170" s="4" t="str">
        <f>HYPERLINK("http://141.218.60.56/~jnz1568/getInfo.php?workbook=12_05.xlsx&amp;sheet=U0&amp;row=6170&amp;col=7&amp;number=0.0207&amp;sourceID=14","0.0207")</f>
        <v>0.0207</v>
      </c>
    </row>
    <row r="6171" spans="1:7">
      <c r="A6171" s="3"/>
      <c r="B6171" s="3"/>
      <c r="C6171" s="3"/>
      <c r="D6171" s="3"/>
      <c r="E6171" s="3">
        <v>8</v>
      </c>
      <c r="F6171" s="4" t="str">
        <f>HYPERLINK("http://141.218.60.56/~jnz1568/getInfo.php?workbook=12_05.xlsx&amp;sheet=U0&amp;row=6171&amp;col=6&amp;number=3.7&amp;sourceID=14","3.7")</f>
        <v>3.7</v>
      </c>
      <c r="G6171" s="4" t="str">
        <f>HYPERLINK("http://141.218.60.56/~jnz1568/getInfo.php?workbook=12_05.xlsx&amp;sheet=U0&amp;row=6171&amp;col=7&amp;number=0.0207&amp;sourceID=14","0.0207")</f>
        <v>0.0207</v>
      </c>
    </row>
    <row r="6172" spans="1:7">
      <c r="A6172" s="3"/>
      <c r="B6172" s="3"/>
      <c r="C6172" s="3"/>
      <c r="D6172" s="3"/>
      <c r="E6172" s="3">
        <v>9</v>
      </c>
      <c r="F6172" s="4" t="str">
        <f>HYPERLINK("http://141.218.60.56/~jnz1568/getInfo.php?workbook=12_05.xlsx&amp;sheet=U0&amp;row=6172&amp;col=6&amp;number=3.8&amp;sourceID=14","3.8")</f>
        <v>3.8</v>
      </c>
      <c r="G6172" s="4" t="str">
        <f>HYPERLINK("http://141.218.60.56/~jnz1568/getInfo.php?workbook=12_05.xlsx&amp;sheet=U0&amp;row=6172&amp;col=7&amp;number=0.0207&amp;sourceID=14","0.0207")</f>
        <v>0.0207</v>
      </c>
    </row>
    <row r="6173" spans="1:7">
      <c r="A6173" s="3"/>
      <c r="B6173" s="3"/>
      <c r="C6173" s="3"/>
      <c r="D6173" s="3"/>
      <c r="E6173" s="3">
        <v>10</v>
      </c>
      <c r="F6173" s="4" t="str">
        <f>HYPERLINK("http://141.218.60.56/~jnz1568/getInfo.php?workbook=12_05.xlsx&amp;sheet=U0&amp;row=6173&amp;col=6&amp;number=3.9&amp;sourceID=14","3.9")</f>
        <v>3.9</v>
      </c>
      <c r="G6173" s="4" t="str">
        <f>HYPERLINK("http://141.218.60.56/~jnz1568/getInfo.php?workbook=12_05.xlsx&amp;sheet=U0&amp;row=6173&amp;col=7&amp;number=0.0207&amp;sourceID=14","0.0207")</f>
        <v>0.0207</v>
      </c>
    </row>
    <row r="6174" spans="1:7">
      <c r="A6174" s="3"/>
      <c r="B6174" s="3"/>
      <c r="C6174" s="3"/>
      <c r="D6174" s="3"/>
      <c r="E6174" s="3">
        <v>11</v>
      </c>
      <c r="F6174" s="4" t="str">
        <f>HYPERLINK("http://141.218.60.56/~jnz1568/getInfo.php?workbook=12_05.xlsx&amp;sheet=U0&amp;row=6174&amp;col=6&amp;number=4&amp;sourceID=14","4")</f>
        <v>4</v>
      </c>
      <c r="G6174" s="4" t="str">
        <f>HYPERLINK("http://141.218.60.56/~jnz1568/getInfo.php?workbook=12_05.xlsx&amp;sheet=U0&amp;row=6174&amp;col=7&amp;number=0.0207&amp;sourceID=14","0.0207")</f>
        <v>0.0207</v>
      </c>
    </row>
    <row r="6175" spans="1:7">
      <c r="A6175" s="3"/>
      <c r="B6175" s="3"/>
      <c r="C6175" s="3"/>
      <c r="D6175" s="3"/>
      <c r="E6175" s="3">
        <v>12</v>
      </c>
      <c r="F6175" s="4" t="str">
        <f>HYPERLINK("http://141.218.60.56/~jnz1568/getInfo.php?workbook=12_05.xlsx&amp;sheet=U0&amp;row=6175&amp;col=6&amp;number=4.1&amp;sourceID=14","4.1")</f>
        <v>4.1</v>
      </c>
      <c r="G6175" s="4" t="str">
        <f>HYPERLINK("http://141.218.60.56/~jnz1568/getInfo.php?workbook=12_05.xlsx&amp;sheet=U0&amp;row=6175&amp;col=7&amp;number=0.0208&amp;sourceID=14","0.0208")</f>
        <v>0.0208</v>
      </c>
    </row>
    <row r="6176" spans="1:7">
      <c r="A6176" s="3"/>
      <c r="B6176" s="3"/>
      <c r="C6176" s="3"/>
      <c r="D6176" s="3"/>
      <c r="E6176" s="3">
        <v>13</v>
      </c>
      <c r="F6176" s="4" t="str">
        <f>HYPERLINK("http://141.218.60.56/~jnz1568/getInfo.php?workbook=12_05.xlsx&amp;sheet=U0&amp;row=6176&amp;col=6&amp;number=4.2&amp;sourceID=14","4.2")</f>
        <v>4.2</v>
      </c>
      <c r="G6176" s="4" t="str">
        <f>HYPERLINK("http://141.218.60.56/~jnz1568/getInfo.php?workbook=12_05.xlsx&amp;sheet=U0&amp;row=6176&amp;col=7&amp;number=0.0208&amp;sourceID=14","0.0208")</f>
        <v>0.0208</v>
      </c>
    </row>
    <row r="6177" spans="1:7">
      <c r="A6177" s="3"/>
      <c r="B6177" s="3"/>
      <c r="C6177" s="3"/>
      <c r="D6177" s="3"/>
      <c r="E6177" s="3">
        <v>14</v>
      </c>
      <c r="F6177" s="4" t="str">
        <f>HYPERLINK("http://141.218.60.56/~jnz1568/getInfo.php?workbook=12_05.xlsx&amp;sheet=U0&amp;row=6177&amp;col=6&amp;number=4.3&amp;sourceID=14","4.3")</f>
        <v>4.3</v>
      </c>
      <c r="G6177" s="4" t="str">
        <f>HYPERLINK("http://141.218.60.56/~jnz1568/getInfo.php?workbook=12_05.xlsx&amp;sheet=U0&amp;row=6177&amp;col=7&amp;number=0.0208&amp;sourceID=14","0.0208")</f>
        <v>0.0208</v>
      </c>
    </row>
    <row r="6178" spans="1:7">
      <c r="A6178" s="3"/>
      <c r="B6178" s="3"/>
      <c r="C6178" s="3"/>
      <c r="D6178" s="3"/>
      <c r="E6178" s="3">
        <v>15</v>
      </c>
      <c r="F6178" s="4" t="str">
        <f>HYPERLINK("http://141.218.60.56/~jnz1568/getInfo.php?workbook=12_05.xlsx&amp;sheet=U0&amp;row=6178&amp;col=6&amp;number=4.4&amp;sourceID=14","4.4")</f>
        <v>4.4</v>
      </c>
      <c r="G6178" s="4" t="str">
        <f>HYPERLINK("http://141.218.60.56/~jnz1568/getInfo.php?workbook=12_05.xlsx&amp;sheet=U0&amp;row=6178&amp;col=7&amp;number=0.0209&amp;sourceID=14","0.0209")</f>
        <v>0.0209</v>
      </c>
    </row>
    <row r="6179" spans="1:7">
      <c r="A6179" s="3"/>
      <c r="B6179" s="3"/>
      <c r="C6179" s="3"/>
      <c r="D6179" s="3"/>
      <c r="E6179" s="3">
        <v>16</v>
      </c>
      <c r="F6179" s="4" t="str">
        <f>HYPERLINK("http://141.218.60.56/~jnz1568/getInfo.php?workbook=12_05.xlsx&amp;sheet=U0&amp;row=6179&amp;col=6&amp;number=4.5&amp;sourceID=14","4.5")</f>
        <v>4.5</v>
      </c>
      <c r="G6179" s="4" t="str">
        <f>HYPERLINK("http://141.218.60.56/~jnz1568/getInfo.php?workbook=12_05.xlsx&amp;sheet=U0&amp;row=6179&amp;col=7&amp;number=0.0209&amp;sourceID=14","0.0209")</f>
        <v>0.0209</v>
      </c>
    </row>
    <row r="6180" spans="1:7">
      <c r="A6180" s="3"/>
      <c r="B6180" s="3"/>
      <c r="C6180" s="3"/>
      <c r="D6180" s="3"/>
      <c r="E6180" s="3">
        <v>17</v>
      </c>
      <c r="F6180" s="4" t="str">
        <f>HYPERLINK("http://141.218.60.56/~jnz1568/getInfo.php?workbook=12_05.xlsx&amp;sheet=U0&amp;row=6180&amp;col=6&amp;number=4.6&amp;sourceID=14","4.6")</f>
        <v>4.6</v>
      </c>
      <c r="G6180" s="4" t="str">
        <f>HYPERLINK("http://141.218.60.56/~jnz1568/getInfo.php?workbook=12_05.xlsx&amp;sheet=U0&amp;row=6180&amp;col=7&amp;number=0.021&amp;sourceID=14","0.021")</f>
        <v>0.021</v>
      </c>
    </row>
    <row r="6181" spans="1:7">
      <c r="A6181" s="3"/>
      <c r="B6181" s="3"/>
      <c r="C6181" s="3"/>
      <c r="D6181" s="3"/>
      <c r="E6181" s="3">
        <v>18</v>
      </c>
      <c r="F6181" s="4" t="str">
        <f>HYPERLINK("http://141.218.60.56/~jnz1568/getInfo.php?workbook=12_05.xlsx&amp;sheet=U0&amp;row=6181&amp;col=6&amp;number=4.7&amp;sourceID=14","4.7")</f>
        <v>4.7</v>
      </c>
      <c r="G6181" s="4" t="str">
        <f>HYPERLINK("http://141.218.60.56/~jnz1568/getInfo.php?workbook=12_05.xlsx&amp;sheet=U0&amp;row=6181&amp;col=7&amp;number=0.0211&amp;sourceID=14","0.0211")</f>
        <v>0.0211</v>
      </c>
    </row>
    <row r="6182" spans="1:7">
      <c r="A6182" s="3"/>
      <c r="B6182" s="3"/>
      <c r="C6182" s="3"/>
      <c r="D6182" s="3"/>
      <c r="E6182" s="3">
        <v>19</v>
      </c>
      <c r="F6182" s="4" t="str">
        <f>HYPERLINK("http://141.218.60.56/~jnz1568/getInfo.php?workbook=12_05.xlsx&amp;sheet=U0&amp;row=6182&amp;col=6&amp;number=4.8&amp;sourceID=14","4.8")</f>
        <v>4.8</v>
      </c>
      <c r="G6182" s="4" t="str">
        <f>HYPERLINK("http://141.218.60.56/~jnz1568/getInfo.php?workbook=12_05.xlsx&amp;sheet=U0&amp;row=6182&amp;col=7&amp;number=0.0212&amp;sourceID=14","0.0212")</f>
        <v>0.0212</v>
      </c>
    </row>
    <row r="6183" spans="1:7">
      <c r="A6183" s="3"/>
      <c r="B6183" s="3"/>
      <c r="C6183" s="3"/>
      <c r="D6183" s="3"/>
      <c r="E6183" s="3">
        <v>20</v>
      </c>
      <c r="F6183" s="4" t="str">
        <f>HYPERLINK("http://141.218.60.56/~jnz1568/getInfo.php?workbook=12_05.xlsx&amp;sheet=U0&amp;row=6183&amp;col=6&amp;number=4.9&amp;sourceID=14","4.9")</f>
        <v>4.9</v>
      </c>
      <c r="G6183" s="4" t="str">
        <f>HYPERLINK("http://141.218.60.56/~jnz1568/getInfo.php?workbook=12_05.xlsx&amp;sheet=U0&amp;row=6183&amp;col=7&amp;number=0.0213&amp;sourceID=14","0.0213")</f>
        <v>0.0213</v>
      </c>
    </row>
    <row r="6184" spans="1:7">
      <c r="A6184" s="3">
        <v>12</v>
      </c>
      <c r="B6184" s="3">
        <v>5</v>
      </c>
      <c r="C6184" s="3">
        <v>4</v>
      </c>
      <c r="D6184" s="3">
        <v>61</v>
      </c>
      <c r="E6184" s="3">
        <v>1</v>
      </c>
      <c r="F6184" s="4" t="str">
        <f>HYPERLINK("http://141.218.60.56/~jnz1568/getInfo.php?workbook=12_05.xlsx&amp;sheet=U0&amp;row=6184&amp;col=6&amp;number=3&amp;sourceID=14","3")</f>
        <v>3</v>
      </c>
      <c r="G6184" s="4" t="str">
        <f>HYPERLINK("http://141.218.60.56/~jnz1568/getInfo.php?workbook=12_05.xlsx&amp;sheet=U0&amp;row=6184&amp;col=7&amp;number=0.00713&amp;sourceID=14","0.00713")</f>
        <v>0.00713</v>
      </c>
    </row>
    <row r="6185" spans="1:7">
      <c r="A6185" s="3"/>
      <c r="B6185" s="3"/>
      <c r="C6185" s="3"/>
      <c r="D6185" s="3"/>
      <c r="E6185" s="3">
        <v>2</v>
      </c>
      <c r="F6185" s="4" t="str">
        <f>HYPERLINK("http://141.218.60.56/~jnz1568/getInfo.php?workbook=12_05.xlsx&amp;sheet=U0&amp;row=6185&amp;col=6&amp;number=3.1&amp;sourceID=14","3.1")</f>
        <v>3.1</v>
      </c>
      <c r="G6185" s="4" t="str">
        <f>HYPERLINK("http://141.218.60.56/~jnz1568/getInfo.php?workbook=12_05.xlsx&amp;sheet=U0&amp;row=6185&amp;col=7&amp;number=0.00713&amp;sourceID=14","0.00713")</f>
        <v>0.00713</v>
      </c>
    </row>
    <row r="6186" spans="1:7">
      <c r="A6186" s="3"/>
      <c r="B6186" s="3"/>
      <c r="C6186" s="3"/>
      <c r="D6186" s="3"/>
      <c r="E6186" s="3">
        <v>3</v>
      </c>
      <c r="F6186" s="4" t="str">
        <f>HYPERLINK("http://141.218.60.56/~jnz1568/getInfo.php?workbook=12_05.xlsx&amp;sheet=U0&amp;row=6186&amp;col=6&amp;number=3.2&amp;sourceID=14","3.2")</f>
        <v>3.2</v>
      </c>
      <c r="G6186" s="4" t="str">
        <f>HYPERLINK("http://141.218.60.56/~jnz1568/getInfo.php?workbook=12_05.xlsx&amp;sheet=U0&amp;row=6186&amp;col=7&amp;number=0.00712&amp;sourceID=14","0.00712")</f>
        <v>0.00712</v>
      </c>
    </row>
    <row r="6187" spans="1:7">
      <c r="A6187" s="3"/>
      <c r="B6187" s="3"/>
      <c r="C6187" s="3"/>
      <c r="D6187" s="3"/>
      <c r="E6187" s="3">
        <v>4</v>
      </c>
      <c r="F6187" s="4" t="str">
        <f>HYPERLINK("http://141.218.60.56/~jnz1568/getInfo.php?workbook=12_05.xlsx&amp;sheet=U0&amp;row=6187&amp;col=6&amp;number=3.3&amp;sourceID=14","3.3")</f>
        <v>3.3</v>
      </c>
      <c r="G6187" s="4" t="str">
        <f>HYPERLINK("http://141.218.60.56/~jnz1568/getInfo.php?workbook=12_05.xlsx&amp;sheet=U0&amp;row=6187&amp;col=7&amp;number=0.00712&amp;sourceID=14","0.00712")</f>
        <v>0.00712</v>
      </c>
    </row>
    <row r="6188" spans="1:7">
      <c r="A6188" s="3"/>
      <c r="B6188" s="3"/>
      <c r="C6188" s="3"/>
      <c r="D6188" s="3"/>
      <c r="E6188" s="3">
        <v>5</v>
      </c>
      <c r="F6188" s="4" t="str">
        <f>HYPERLINK("http://141.218.60.56/~jnz1568/getInfo.php?workbook=12_05.xlsx&amp;sheet=U0&amp;row=6188&amp;col=6&amp;number=3.4&amp;sourceID=14","3.4")</f>
        <v>3.4</v>
      </c>
      <c r="G6188" s="4" t="str">
        <f>HYPERLINK("http://141.218.60.56/~jnz1568/getInfo.php?workbook=12_05.xlsx&amp;sheet=U0&amp;row=6188&amp;col=7&amp;number=0.00712&amp;sourceID=14","0.00712")</f>
        <v>0.00712</v>
      </c>
    </row>
    <row r="6189" spans="1:7">
      <c r="A6189" s="3"/>
      <c r="B6189" s="3"/>
      <c r="C6189" s="3"/>
      <c r="D6189" s="3"/>
      <c r="E6189" s="3">
        <v>6</v>
      </c>
      <c r="F6189" s="4" t="str">
        <f>HYPERLINK("http://141.218.60.56/~jnz1568/getInfo.php?workbook=12_05.xlsx&amp;sheet=U0&amp;row=6189&amp;col=6&amp;number=3.5&amp;sourceID=14","3.5")</f>
        <v>3.5</v>
      </c>
      <c r="G6189" s="4" t="str">
        <f>HYPERLINK("http://141.218.60.56/~jnz1568/getInfo.php?workbook=12_05.xlsx&amp;sheet=U0&amp;row=6189&amp;col=7&amp;number=0.00711&amp;sourceID=14","0.00711")</f>
        <v>0.00711</v>
      </c>
    </row>
    <row r="6190" spans="1:7">
      <c r="A6190" s="3"/>
      <c r="B6190" s="3"/>
      <c r="C6190" s="3"/>
      <c r="D6190" s="3"/>
      <c r="E6190" s="3">
        <v>7</v>
      </c>
      <c r="F6190" s="4" t="str">
        <f>HYPERLINK("http://141.218.60.56/~jnz1568/getInfo.php?workbook=12_05.xlsx&amp;sheet=U0&amp;row=6190&amp;col=6&amp;number=3.6&amp;sourceID=14","3.6")</f>
        <v>3.6</v>
      </c>
      <c r="G6190" s="4" t="str">
        <f>HYPERLINK("http://141.218.60.56/~jnz1568/getInfo.php?workbook=12_05.xlsx&amp;sheet=U0&amp;row=6190&amp;col=7&amp;number=0.00711&amp;sourceID=14","0.00711")</f>
        <v>0.00711</v>
      </c>
    </row>
    <row r="6191" spans="1:7">
      <c r="A6191" s="3"/>
      <c r="B6191" s="3"/>
      <c r="C6191" s="3"/>
      <c r="D6191" s="3"/>
      <c r="E6191" s="3">
        <v>8</v>
      </c>
      <c r="F6191" s="4" t="str">
        <f>HYPERLINK("http://141.218.60.56/~jnz1568/getInfo.php?workbook=12_05.xlsx&amp;sheet=U0&amp;row=6191&amp;col=6&amp;number=3.7&amp;sourceID=14","3.7")</f>
        <v>3.7</v>
      </c>
      <c r="G6191" s="4" t="str">
        <f>HYPERLINK("http://141.218.60.56/~jnz1568/getInfo.php?workbook=12_05.xlsx&amp;sheet=U0&amp;row=6191&amp;col=7&amp;number=0.0071&amp;sourceID=14","0.0071")</f>
        <v>0.0071</v>
      </c>
    </row>
    <row r="6192" spans="1:7">
      <c r="A6192" s="3"/>
      <c r="B6192" s="3"/>
      <c r="C6192" s="3"/>
      <c r="D6192" s="3"/>
      <c r="E6192" s="3">
        <v>9</v>
      </c>
      <c r="F6192" s="4" t="str">
        <f>HYPERLINK("http://141.218.60.56/~jnz1568/getInfo.php?workbook=12_05.xlsx&amp;sheet=U0&amp;row=6192&amp;col=6&amp;number=3.8&amp;sourceID=14","3.8")</f>
        <v>3.8</v>
      </c>
      <c r="G6192" s="4" t="str">
        <f>HYPERLINK("http://141.218.60.56/~jnz1568/getInfo.php?workbook=12_05.xlsx&amp;sheet=U0&amp;row=6192&amp;col=7&amp;number=0.00709&amp;sourceID=14","0.00709")</f>
        <v>0.00709</v>
      </c>
    </row>
    <row r="6193" spans="1:7">
      <c r="A6193" s="3"/>
      <c r="B6193" s="3"/>
      <c r="C6193" s="3"/>
      <c r="D6193" s="3"/>
      <c r="E6193" s="3">
        <v>10</v>
      </c>
      <c r="F6193" s="4" t="str">
        <f>HYPERLINK("http://141.218.60.56/~jnz1568/getInfo.php?workbook=12_05.xlsx&amp;sheet=U0&amp;row=6193&amp;col=6&amp;number=3.9&amp;sourceID=14","3.9")</f>
        <v>3.9</v>
      </c>
      <c r="G6193" s="4" t="str">
        <f>HYPERLINK("http://141.218.60.56/~jnz1568/getInfo.php?workbook=12_05.xlsx&amp;sheet=U0&amp;row=6193&amp;col=7&amp;number=0.00708&amp;sourceID=14","0.00708")</f>
        <v>0.00708</v>
      </c>
    </row>
    <row r="6194" spans="1:7">
      <c r="A6194" s="3"/>
      <c r="B6194" s="3"/>
      <c r="C6194" s="3"/>
      <c r="D6194" s="3"/>
      <c r="E6194" s="3">
        <v>11</v>
      </c>
      <c r="F6194" s="4" t="str">
        <f>HYPERLINK("http://141.218.60.56/~jnz1568/getInfo.php?workbook=12_05.xlsx&amp;sheet=U0&amp;row=6194&amp;col=6&amp;number=4&amp;sourceID=14","4")</f>
        <v>4</v>
      </c>
      <c r="G6194" s="4" t="str">
        <f>HYPERLINK("http://141.218.60.56/~jnz1568/getInfo.php?workbook=12_05.xlsx&amp;sheet=U0&amp;row=6194&amp;col=7&amp;number=0.00707&amp;sourceID=14","0.00707")</f>
        <v>0.00707</v>
      </c>
    </row>
    <row r="6195" spans="1:7">
      <c r="A6195" s="3"/>
      <c r="B6195" s="3"/>
      <c r="C6195" s="3"/>
      <c r="D6195" s="3"/>
      <c r="E6195" s="3">
        <v>12</v>
      </c>
      <c r="F6195" s="4" t="str">
        <f>HYPERLINK("http://141.218.60.56/~jnz1568/getInfo.php?workbook=12_05.xlsx&amp;sheet=U0&amp;row=6195&amp;col=6&amp;number=4.1&amp;sourceID=14","4.1")</f>
        <v>4.1</v>
      </c>
      <c r="G6195" s="4" t="str">
        <f>HYPERLINK("http://141.218.60.56/~jnz1568/getInfo.php?workbook=12_05.xlsx&amp;sheet=U0&amp;row=6195&amp;col=7&amp;number=0.00705&amp;sourceID=14","0.00705")</f>
        <v>0.00705</v>
      </c>
    </row>
    <row r="6196" spans="1:7">
      <c r="A6196" s="3"/>
      <c r="B6196" s="3"/>
      <c r="C6196" s="3"/>
      <c r="D6196" s="3"/>
      <c r="E6196" s="3">
        <v>13</v>
      </c>
      <c r="F6196" s="4" t="str">
        <f>HYPERLINK("http://141.218.60.56/~jnz1568/getInfo.php?workbook=12_05.xlsx&amp;sheet=U0&amp;row=6196&amp;col=6&amp;number=4.2&amp;sourceID=14","4.2")</f>
        <v>4.2</v>
      </c>
      <c r="G6196" s="4" t="str">
        <f>HYPERLINK("http://141.218.60.56/~jnz1568/getInfo.php?workbook=12_05.xlsx&amp;sheet=U0&amp;row=6196&amp;col=7&amp;number=0.00703&amp;sourceID=14","0.00703")</f>
        <v>0.00703</v>
      </c>
    </row>
    <row r="6197" spans="1:7">
      <c r="A6197" s="3"/>
      <c r="B6197" s="3"/>
      <c r="C6197" s="3"/>
      <c r="D6197" s="3"/>
      <c r="E6197" s="3">
        <v>14</v>
      </c>
      <c r="F6197" s="4" t="str">
        <f>HYPERLINK("http://141.218.60.56/~jnz1568/getInfo.php?workbook=12_05.xlsx&amp;sheet=U0&amp;row=6197&amp;col=6&amp;number=4.3&amp;sourceID=14","4.3")</f>
        <v>4.3</v>
      </c>
      <c r="G6197" s="4" t="str">
        <f>HYPERLINK("http://141.218.60.56/~jnz1568/getInfo.php?workbook=12_05.xlsx&amp;sheet=U0&amp;row=6197&amp;col=7&amp;number=0.007&amp;sourceID=14","0.007")</f>
        <v>0.007</v>
      </c>
    </row>
    <row r="6198" spans="1:7">
      <c r="A6198" s="3"/>
      <c r="B6198" s="3"/>
      <c r="C6198" s="3"/>
      <c r="D6198" s="3"/>
      <c r="E6198" s="3">
        <v>15</v>
      </c>
      <c r="F6198" s="4" t="str">
        <f>HYPERLINK("http://141.218.60.56/~jnz1568/getInfo.php?workbook=12_05.xlsx&amp;sheet=U0&amp;row=6198&amp;col=6&amp;number=4.4&amp;sourceID=14","4.4")</f>
        <v>4.4</v>
      </c>
      <c r="G6198" s="4" t="str">
        <f>HYPERLINK("http://141.218.60.56/~jnz1568/getInfo.php?workbook=12_05.xlsx&amp;sheet=U0&amp;row=6198&amp;col=7&amp;number=0.00697&amp;sourceID=14","0.00697")</f>
        <v>0.00697</v>
      </c>
    </row>
    <row r="6199" spans="1:7">
      <c r="A6199" s="3"/>
      <c r="B6199" s="3"/>
      <c r="C6199" s="3"/>
      <c r="D6199" s="3"/>
      <c r="E6199" s="3">
        <v>16</v>
      </c>
      <c r="F6199" s="4" t="str">
        <f>HYPERLINK("http://141.218.60.56/~jnz1568/getInfo.php?workbook=12_05.xlsx&amp;sheet=U0&amp;row=6199&amp;col=6&amp;number=4.5&amp;sourceID=14","4.5")</f>
        <v>4.5</v>
      </c>
      <c r="G6199" s="4" t="str">
        <f>HYPERLINK("http://141.218.60.56/~jnz1568/getInfo.php?workbook=12_05.xlsx&amp;sheet=U0&amp;row=6199&amp;col=7&amp;number=0.00693&amp;sourceID=14","0.00693")</f>
        <v>0.00693</v>
      </c>
    </row>
    <row r="6200" spans="1:7">
      <c r="A6200" s="3"/>
      <c r="B6200" s="3"/>
      <c r="C6200" s="3"/>
      <c r="D6200" s="3"/>
      <c r="E6200" s="3">
        <v>17</v>
      </c>
      <c r="F6200" s="4" t="str">
        <f>HYPERLINK("http://141.218.60.56/~jnz1568/getInfo.php?workbook=12_05.xlsx&amp;sheet=U0&amp;row=6200&amp;col=6&amp;number=4.6&amp;sourceID=14","4.6")</f>
        <v>4.6</v>
      </c>
      <c r="G6200" s="4" t="str">
        <f>HYPERLINK("http://141.218.60.56/~jnz1568/getInfo.php?workbook=12_05.xlsx&amp;sheet=U0&amp;row=6200&amp;col=7&amp;number=0.00688&amp;sourceID=14","0.00688")</f>
        <v>0.00688</v>
      </c>
    </row>
    <row r="6201" spans="1:7">
      <c r="A6201" s="3"/>
      <c r="B6201" s="3"/>
      <c r="C6201" s="3"/>
      <c r="D6201" s="3"/>
      <c r="E6201" s="3">
        <v>18</v>
      </c>
      <c r="F6201" s="4" t="str">
        <f>HYPERLINK("http://141.218.60.56/~jnz1568/getInfo.php?workbook=12_05.xlsx&amp;sheet=U0&amp;row=6201&amp;col=6&amp;number=4.7&amp;sourceID=14","4.7")</f>
        <v>4.7</v>
      </c>
      <c r="G6201" s="4" t="str">
        <f>HYPERLINK("http://141.218.60.56/~jnz1568/getInfo.php?workbook=12_05.xlsx&amp;sheet=U0&amp;row=6201&amp;col=7&amp;number=0.00681&amp;sourceID=14","0.00681")</f>
        <v>0.00681</v>
      </c>
    </row>
    <row r="6202" spans="1:7">
      <c r="A6202" s="3"/>
      <c r="B6202" s="3"/>
      <c r="C6202" s="3"/>
      <c r="D6202" s="3"/>
      <c r="E6202" s="3">
        <v>19</v>
      </c>
      <c r="F6202" s="4" t="str">
        <f>HYPERLINK("http://141.218.60.56/~jnz1568/getInfo.php?workbook=12_05.xlsx&amp;sheet=U0&amp;row=6202&amp;col=6&amp;number=4.8&amp;sourceID=14","4.8")</f>
        <v>4.8</v>
      </c>
      <c r="G6202" s="4" t="str">
        <f>HYPERLINK("http://141.218.60.56/~jnz1568/getInfo.php?workbook=12_05.xlsx&amp;sheet=U0&amp;row=6202&amp;col=7&amp;number=0.00674&amp;sourceID=14","0.00674")</f>
        <v>0.00674</v>
      </c>
    </row>
    <row r="6203" spans="1:7">
      <c r="A6203" s="3"/>
      <c r="B6203" s="3"/>
      <c r="C6203" s="3"/>
      <c r="D6203" s="3"/>
      <c r="E6203" s="3">
        <v>20</v>
      </c>
      <c r="F6203" s="4" t="str">
        <f>HYPERLINK("http://141.218.60.56/~jnz1568/getInfo.php?workbook=12_05.xlsx&amp;sheet=U0&amp;row=6203&amp;col=6&amp;number=4.9&amp;sourceID=14","4.9")</f>
        <v>4.9</v>
      </c>
      <c r="G6203" s="4" t="str">
        <f>HYPERLINK("http://141.218.60.56/~jnz1568/getInfo.php?workbook=12_05.xlsx&amp;sheet=U0&amp;row=6203&amp;col=7&amp;number=0.00664&amp;sourceID=14","0.00664")</f>
        <v>0.00664</v>
      </c>
    </row>
    <row r="6204" spans="1:7">
      <c r="A6204" s="3">
        <v>12</v>
      </c>
      <c r="B6204" s="3">
        <v>5</v>
      </c>
      <c r="C6204" s="3">
        <v>4</v>
      </c>
      <c r="D6204" s="3">
        <v>62</v>
      </c>
      <c r="E6204" s="3">
        <v>1</v>
      </c>
      <c r="F6204" s="4" t="str">
        <f>HYPERLINK("http://141.218.60.56/~jnz1568/getInfo.php?workbook=12_05.xlsx&amp;sheet=U0&amp;row=6204&amp;col=6&amp;number=3&amp;sourceID=14","3")</f>
        <v>3</v>
      </c>
      <c r="G6204" s="4" t="str">
        <f>HYPERLINK("http://141.218.60.56/~jnz1568/getInfo.php?workbook=12_05.xlsx&amp;sheet=U0&amp;row=6204&amp;col=7&amp;number=0.00127&amp;sourceID=14","0.00127")</f>
        <v>0.00127</v>
      </c>
    </row>
    <row r="6205" spans="1:7">
      <c r="A6205" s="3"/>
      <c r="B6205" s="3"/>
      <c r="C6205" s="3"/>
      <c r="D6205" s="3"/>
      <c r="E6205" s="3">
        <v>2</v>
      </c>
      <c r="F6205" s="4" t="str">
        <f>HYPERLINK("http://141.218.60.56/~jnz1568/getInfo.php?workbook=12_05.xlsx&amp;sheet=U0&amp;row=6205&amp;col=6&amp;number=3.1&amp;sourceID=14","3.1")</f>
        <v>3.1</v>
      </c>
      <c r="G6205" s="4" t="str">
        <f>HYPERLINK("http://141.218.60.56/~jnz1568/getInfo.php?workbook=12_05.xlsx&amp;sheet=U0&amp;row=6205&amp;col=7&amp;number=0.00127&amp;sourceID=14","0.00127")</f>
        <v>0.00127</v>
      </c>
    </row>
    <row r="6206" spans="1:7">
      <c r="A6206" s="3"/>
      <c r="B6206" s="3"/>
      <c r="C6206" s="3"/>
      <c r="D6206" s="3"/>
      <c r="E6206" s="3">
        <v>3</v>
      </c>
      <c r="F6206" s="4" t="str">
        <f>HYPERLINK("http://141.218.60.56/~jnz1568/getInfo.php?workbook=12_05.xlsx&amp;sheet=U0&amp;row=6206&amp;col=6&amp;number=3.2&amp;sourceID=14","3.2")</f>
        <v>3.2</v>
      </c>
      <c r="G6206" s="4" t="str">
        <f>HYPERLINK("http://141.218.60.56/~jnz1568/getInfo.php?workbook=12_05.xlsx&amp;sheet=U0&amp;row=6206&amp;col=7&amp;number=0.00127&amp;sourceID=14","0.00127")</f>
        <v>0.00127</v>
      </c>
    </row>
    <row r="6207" spans="1:7">
      <c r="A6207" s="3"/>
      <c r="B6207" s="3"/>
      <c r="C6207" s="3"/>
      <c r="D6207" s="3"/>
      <c r="E6207" s="3">
        <v>4</v>
      </c>
      <c r="F6207" s="4" t="str">
        <f>HYPERLINK("http://141.218.60.56/~jnz1568/getInfo.php?workbook=12_05.xlsx&amp;sheet=U0&amp;row=6207&amp;col=6&amp;number=3.3&amp;sourceID=14","3.3")</f>
        <v>3.3</v>
      </c>
      <c r="G6207" s="4" t="str">
        <f>HYPERLINK("http://141.218.60.56/~jnz1568/getInfo.php?workbook=12_05.xlsx&amp;sheet=U0&amp;row=6207&amp;col=7&amp;number=0.00127&amp;sourceID=14","0.00127")</f>
        <v>0.00127</v>
      </c>
    </row>
    <row r="6208" spans="1:7">
      <c r="A6208" s="3"/>
      <c r="B6208" s="3"/>
      <c r="C6208" s="3"/>
      <c r="D6208" s="3"/>
      <c r="E6208" s="3">
        <v>5</v>
      </c>
      <c r="F6208" s="4" t="str">
        <f>HYPERLINK("http://141.218.60.56/~jnz1568/getInfo.php?workbook=12_05.xlsx&amp;sheet=U0&amp;row=6208&amp;col=6&amp;number=3.4&amp;sourceID=14","3.4")</f>
        <v>3.4</v>
      </c>
      <c r="G6208" s="4" t="str">
        <f>HYPERLINK("http://141.218.60.56/~jnz1568/getInfo.php?workbook=12_05.xlsx&amp;sheet=U0&amp;row=6208&amp;col=7&amp;number=0.00127&amp;sourceID=14","0.00127")</f>
        <v>0.00127</v>
      </c>
    </row>
    <row r="6209" spans="1:7">
      <c r="A6209" s="3"/>
      <c r="B6209" s="3"/>
      <c r="C6209" s="3"/>
      <c r="D6209" s="3"/>
      <c r="E6209" s="3">
        <v>6</v>
      </c>
      <c r="F6209" s="4" t="str">
        <f>HYPERLINK("http://141.218.60.56/~jnz1568/getInfo.php?workbook=12_05.xlsx&amp;sheet=U0&amp;row=6209&amp;col=6&amp;number=3.5&amp;sourceID=14","3.5")</f>
        <v>3.5</v>
      </c>
      <c r="G6209" s="4" t="str">
        <f>HYPERLINK("http://141.218.60.56/~jnz1568/getInfo.php?workbook=12_05.xlsx&amp;sheet=U0&amp;row=6209&amp;col=7&amp;number=0.00127&amp;sourceID=14","0.00127")</f>
        <v>0.00127</v>
      </c>
    </row>
    <row r="6210" spans="1:7">
      <c r="A6210" s="3"/>
      <c r="B6210" s="3"/>
      <c r="C6210" s="3"/>
      <c r="D6210" s="3"/>
      <c r="E6210" s="3">
        <v>7</v>
      </c>
      <c r="F6210" s="4" t="str">
        <f>HYPERLINK("http://141.218.60.56/~jnz1568/getInfo.php?workbook=12_05.xlsx&amp;sheet=U0&amp;row=6210&amp;col=6&amp;number=3.6&amp;sourceID=14","3.6")</f>
        <v>3.6</v>
      </c>
      <c r="G6210" s="4" t="str">
        <f>HYPERLINK("http://141.218.60.56/~jnz1568/getInfo.php?workbook=12_05.xlsx&amp;sheet=U0&amp;row=6210&amp;col=7&amp;number=0.00127&amp;sourceID=14","0.00127")</f>
        <v>0.00127</v>
      </c>
    </row>
    <row r="6211" spans="1:7">
      <c r="A6211" s="3"/>
      <c r="B6211" s="3"/>
      <c r="C6211" s="3"/>
      <c r="D6211" s="3"/>
      <c r="E6211" s="3">
        <v>8</v>
      </c>
      <c r="F6211" s="4" t="str">
        <f>HYPERLINK("http://141.218.60.56/~jnz1568/getInfo.php?workbook=12_05.xlsx&amp;sheet=U0&amp;row=6211&amp;col=6&amp;number=3.7&amp;sourceID=14","3.7")</f>
        <v>3.7</v>
      </c>
      <c r="G6211" s="4" t="str">
        <f>HYPERLINK("http://141.218.60.56/~jnz1568/getInfo.php?workbook=12_05.xlsx&amp;sheet=U0&amp;row=6211&amp;col=7&amp;number=0.00127&amp;sourceID=14","0.00127")</f>
        <v>0.00127</v>
      </c>
    </row>
    <row r="6212" spans="1:7">
      <c r="A6212" s="3"/>
      <c r="B6212" s="3"/>
      <c r="C6212" s="3"/>
      <c r="D6212" s="3"/>
      <c r="E6212" s="3">
        <v>9</v>
      </c>
      <c r="F6212" s="4" t="str">
        <f>HYPERLINK("http://141.218.60.56/~jnz1568/getInfo.php?workbook=12_05.xlsx&amp;sheet=U0&amp;row=6212&amp;col=6&amp;number=3.8&amp;sourceID=14","3.8")</f>
        <v>3.8</v>
      </c>
      <c r="G6212" s="4" t="str">
        <f>HYPERLINK("http://141.218.60.56/~jnz1568/getInfo.php?workbook=12_05.xlsx&amp;sheet=U0&amp;row=6212&amp;col=7&amp;number=0.00126&amp;sourceID=14","0.00126")</f>
        <v>0.00126</v>
      </c>
    </row>
    <row r="6213" spans="1:7">
      <c r="A6213" s="3"/>
      <c r="B6213" s="3"/>
      <c r="C6213" s="3"/>
      <c r="D6213" s="3"/>
      <c r="E6213" s="3">
        <v>10</v>
      </c>
      <c r="F6213" s="4" t="str">
        <f>HYPERLINK("http://141.218.60.56/~jnz1568/getInfo.php?workbook=12_05.xlsx&amp;sheet=U0&amp;row=6213&amp;col=6&amp;number=3.9&amp;sourceID=14","3.9")</f>
        <v>3.9</v>
      </c>
      <c r="G6213" s="4" t="str">
        <f>HYPERLINK("http://141.218.60.56/~jnz1568/getInfo.php?workbook=12_05.xlsx&amp;sheet=U0&amp;row=6213&amp;col=7&amp;number=0.00126&amp;sourceID=14","0.00126")</f>
        <v>0.00126</v>
      </c>
    </row>
    <row r="6214" spans="1:7">
      <c r="A6214" s="3"/>
      <c r="B6214" s="3"/>
      <c r="C6214" s="3"/>
      <c r="D6214" s="3"/>
      <c r="E6214" s="3">
        <v>11</v>
      </c>
      <c r="F6214" s="4" t="str">
        <f>HYPERLINK("http://141.218.60.56/~jnz1568/getInfo.php?workbook=12_05.xlsx&amp;sheet=U0&amp;row=6214&amp;col=6&amp;number=4&amp;sourceID=14","4")</f>
        <v>4</v>
      </c>
      <c r="G6214" s="4" t="str">
        <f>HYPERLINK("http://141.218.60.56/~jnz1568/getInfo.php?workbook=12_05.xlsx&amp;sheet=U0&amp;row=6214&amp;col=7&amp;number=0.00126&amp;sourceID=14","0.00126")</f>
        <v>0.00126</v>
      </c>
    </row>
    <row r="6215" spans="1:7">
      <c r="A6215" s="3"/>
      <c r="B6215" s="3"/>
      <c r="C6215" s="3"/>
      <c r="D6215" s="3"/>
      <c r="E6215" s="3">
        <v>12</v>
      </c>
      <c r="F6215" s="4" t="str">
        <f>HYPERLINK("http://141.218.60.56/~jnz1568/getInfo.php?workbook=12_05.xlsx&amp;sheet=U0&amp;row=6215&amp;col=6&amp;number=4.1&amp;sourceID=14","4.1")</f>
        <v>4.1</v>
      </c>
      <c r="G6215" s="4" t="str">
        <f>HYPERLINK("http://141.218.60.56/~jnz1568/getInfo.php?workbook=12_05.xlsx&amp;sheet=U0&amp;row=6215&amp;col=7&amp;number=0.00126&amp;sourceID=14","0.00126")</f>
        <v>0.00126</v>
      </c>
    </row>
    <row r="6216" spans="1:7">
      <c r="A6216" s="3"/>
      <c r="B6216" s="3"/>
      <c r="C6216" s="3"/>
      <c r="D6216" s="3"/>
      <c r="E6216" s="3">
        <v>13</v>
      </c>
      <c r="F6216" s="4" t="str">
        <f>HYPERLINK("http://141.218.60.56/~jnz1568/getInfo.php?workbook=12_05.xlsx&amp;sheet=U0&amp;row=6216&amp;col=6&amp;number=4.2&amp;sourceID=14","4.2")</f>
        <v>4.2</v>
      </c>
      <c r="G6216" s="4" t="str">
        <f>HYPERLINK("http://141.218.60.56/~jnz1568/getInfo.php?workbook=12_05.xlsx&amp;sheet=U0&amp;row=6216&amp;col=7&amp;number=0.00125&amp;sourceID=14","0.00125")</f>
        <v>0.00125</v>
      </c>
    </row>
    <row r="6217" spans="1:7">
      <c r="A6217" s="3"/>
      <c r="B6217" s="3"/>
      <c r="C6217" s="3"/>
      <c r="D6217" s="3"/>
      <c r="E6217" s="3">
        <v>14</v>
      </c>
      <c r="F6217" s="4" t="str">
        <f>HYPERLINK("http://141.218.60.56/~jnz1568/getInfo.php?workbook=12_05.xlsx&amp;sheet=U0&amp;row=6217&amp;col=6&amp;number=4.3&amp;sourceID=14","4.3")</f>
        <v>4.3</v>
      </c>
      <c r="G6217" s="4" t="str">
        <f>HYPERLINK("http://141.218.60.56/~jnz1568/getInfo.php?workbook=12_05.xlsx&amp;sheet=U0&amp;row=6217&amp;col=7&amp;number=0.00125&amp;sourceID=14","0.00125")</f>
        <v>0.00125</v>
      </c>
    </row>
    <row r="6218" spans="1:7">
      <c r="A6218" s="3"/>
      <c r="B6218" s="3"/>
      <c r="C6218" s="3"/>
      <c r="D6218" s="3"/>
      <c r="E6218" s="3">
        <v>15</v>
      </c>
      <c r="F6218" s="4" t="str">
        <f>HYPERLINK("http://141.218.60.56/~jnz1568/getInfo.php?workbook=12_05.xlsx&amp;sheet=U0&amp;row=6218&amp;col=6&amp;number=4.4&amp;sourceID=14","4.4")</f>
        <v>4.4</v>
      </c>
      <c r="G6218" s="4" t="str">
        <f>HYPERLINK("http://141.218.60.56/~jnz1568/getInfo.php?workbook=12_05.xlsx&amp;sheet=U0&amp;row=6218&amp;col=7&amp;number=0.00124&amp;sourceID=14","0.00124")</f>
        <v>0.00124</v>
      </c>
    </row>
    <row r="6219" spans="1:7">
      <c r="A6219" s="3"/>
      <c r="B6219" s="3"/>
      <c r="C6219" s="3"/>
      <c r="D6219" s="3"/>
      <c r="E6219" s="3">
        <v>16</v>
      </c>
      <c r="F6219" s="4" t="str">
        <f>HYPERLINK("http://141.218.60.56/~jnz1568/getInfo.php?workbook=12_05.xlsx&amp;sheet=U0&amp;row=6219&amp;col=6&amp;number=4.5&amp;sourceID=14","4.5")</f>
        <v>4.5</v>
      </c>
      <c r="G6219" s="4" t="str">
        <f>HYPERLINK("http://141.218.60.56/~jnz1568/getInfo.php?workbook=12_05.xlsx&amp;sheet=U0&amp;row=6219&amp;col=7&amp;number=0.00123&amp;sourceID=14","0.00123")</f>
        <v>0.00123</v>
      </c>
    </row>
    <row r="6220" spans="1:7">
      <c r="A6220" s="3"/>
      <c r="B6220" s="3"/>
      <c r="C6220" s="3"/>
      <c r="D6220" s="3"/>
      <c r="E6220" s="3">
        <v>17</v>
      </c>
      <c r="F6220" s="4" t="str">
        <f>HYPERLINK("http://141.218.60.56/~jnz1568/getInfo.php?workbook=12_05.xlsx&amp;sheet=U0&amp;row=6220&amp;col=6&amp;number=4.6&amp;sourceID=14","4.6")</f>
        <v>4.6</v>
      </c>
      <c r="G6220" s="4" t="str">
        <f>HYPERLINK("http://141.218.60.56/~jnz1568/getInfo.php?workbook=12_05.xlsx&amp;sheet=U0&amp;row=6220&amp;col=7&amp;number=0.00123&amp;sourceID=14","0.00123")</f>
        <v>0.00123</v>
      </c>
    </row>
    <row r="6221" spans="1:7">
      <c r="A6221" s="3"/>
      <c r="B6221" s="3"/>
      <c r="C6221" s="3"/>
      <c r="D6221" s="3"/>
      <c r="E6221" s="3">
        <v>18</v>
      </c>
      <c r="F6221" s="4" t="str">
        <f>HYPERLINK("http://141.218.60.56/~jnz1568/getInfo.php?workbook=12_05.xlsx&amp;sheet=U0&amp;row=6221&amp;col=6&amp;number=4.7&amp;sourceID=14","4.7")</f>
        <v>4.7</v>
      </c>
      <c r="G6221" s="4" t="str">
        <f>HYPERLINK("http://141.218.60.56/~jnz1568/getInfo.php?workbook=12_05.xlsx&amp;sheet=U0&amp;row=6221&amp;col=7&amp;number=0.00121&amp;sourceID=14","0.00121")</f>
        <v>0.00121</v>
      </c>
    </row>
    <row r="6222" spans="1:7">
      <c r="A6222" s="3"/>
      <c r="B6222" s="3"/>
      <c r="C6222" s="3"/>
      <c r="D6222" s="3"/>
      <c r="E6222" s="3">
        <v>19</v>
      </c>
      <c r="F6222" s="4" t="str">
        <f>HYPERLINK("http://141.218.60.56/~jnz1568/getInfo.php?workbook=12_05.xlsx&amp;sheet=U0&amp;row=6222&amp;col=6&amp;number=4.8&amp;sourceID=14","4.8")</f>
        <v>4.8</v>
      </c>
      <c r="G6222" s="4" t="str">
        <f>HYPERLINK("http://141.218.60.56/~jnz1568/getInfo.php?workbook=12_05.xlsx&amp;sheet=U0&amp;row=6222&amp;col=7&amp;number=0.0012&amp;sourceID=14","0.0012")</f>
        <v>0.0012</v>
      </c>
    </row>
    <row r="6223" spans="1:7">
      <c r="A6223" s="3"/>
      <c r="B6223" s="3"/>
      <c r="C6223" s="3"/>
      <c r="D6223" s="3"/>
      <c r="E6223" s="3">
        <v>20</v>
      </c>
      <c r="F6223" s="4" t="str">
        <f>HYPERLINK("http://141.218.60.56/~jnz1568/getInfo.php?workbook=12_05.xlsx&amp;sheet=U0&amp;row=6223&amp;col=6&amp;number=4.9&amp;sourceID=14","4.9")</f>
        <v>4.9</v>
      </c>
      <c r="G6223" s="4" t="str">
        <f>HYPERLINK("http://141.218.60.56/~jnz1568/getInfo.php?workbook=12_05.xlsx&amp;sheet=U0&amp;row=6223&amp;col=7&amp;number=0.00118&amp;sourceID=14","0.00118")</f>
        <v>0.00118</v>
      </c>
    </row>
    <row r="6224" spans="1:7">
      <c r="A6224" s="3">
        <v>12</v>
      </c>
      <c r="B6224" s="3">
        <v>5</v>
      </c>
      <c r="C6224" s="3">
        <v>4</v>
      </c>
      <c r="D6224" s="3">
        <v>63</v>
      </c>
      <c r="E6224" s="3">
        <v>1</v>
      </c>
      <c r="F6224" s="4" t="str">
        <f>HYPERLINK("http://141.218.60.56/~jnz1568/getInfo.php?workbook=12_05.xlsx&amp;sheet=U0&amp;row=6224&amp;col=6&amp;number=3&amp;sourceID=14","3")</f>
        <v>3</v>
      </c>
      <c r="G6224" s="4" t="str">
        <f>HYPERLINK("http://141.218.60.56/~jnz1568/getInfo.php?workbook=12_05.xlsx&amp;sheet=U0&amp;row=6224&amp;col=7&amp;number=0.0032&amp;sourceID=14","0.0032")</f>
        <v>0.0032</v>
      </c>
    </row>
    <row r="6225" spans="1:7">
      <c r="A6225" s="3"/>
      <c r="B6225" s="3"/>
      <c r="C6225" s="3"/>
      <c r="D6225" s="3"/>
      <c r="E6225" s="3">
        <v>2</v>
      </c>
      <c r="F6225" s="4" t="str">
        <f>HYPERLINK("http://141.218.60.56/~jnz1568/getInfo.php?workbook=12_05.xlsx&amp;sheet=U0&amp;row=6225&amp;col=6&amp;number=3.1&amp;sourceID=14","3.1")</f>
        <v>3.1</v>
      </c>
      <c r="G6225" s="4" t="str">
        <f>HYPERLINK("http://141.218.60.56/~jnz1568/getInfo.php?workbook=12_05.xlsx&amp;sheet=U0&amp;row=6225&amp;col=7&amp;number=0.0032&amp;sourceID=14","0.0032")</f>
        <v>0.0032</v>
      </c>
    </row>
    <row r="6226" spans="1:7">
      <c r="A6226" s="3"/>
      <c r="B6226" s="3"/>
      <c r="C6226" s="3"/>
      <c r="D6226" s="3"/>
      <c r="E6226" s="3">
        <v>3</v>
      </c>
      <c r="F6226" s="4" t="str">
        <f>HYPERLINK("http://141.218.60.56/~jnz1568/getInfo.php?workbook=12_05.xlsx&amp;sheet=U0&amp;row=6226&amp;col=6&amp;number=3.2&amp;sourceID=14","3.2")</f>
        <v>3.2</v>
      </c>
      <c r="G6226" s="4" t="str">
        <f>HYPERLINK("http://141.218.60.56/~jnz1568/getInfo.php?workbook=12_05.xlsx&amp;sheet=U0&amp;row=6226&amp;col=7&amp;number=0.0032&amp;sourceID=14","0.0032")</f>
        <v>0.0032</v>
      </c>
    </row>
    <row r="6227" spans="1:7">
      <c r="A6227" s="3"/>
      <c r="B6227" s="3"/>
      <c r="C6227" s="3"/>
      <c r="D6227" s="3"/>
      <c r="E6227" s="3">
        <v>4</v>
      </c>
      <c r="F6227" s="4" t="str">
        <f>HYPERLINK("http://141.218.60.56/~jnz1568/getInfo.php?workbook=12_05.xlsx&amp;sheet=U0&amp;row=6227&amp;col=6&amp;number=3.3&amp;sourceID=14","3.3")</f>
        <v>3.3</v>
      </c>
      <c r="G6227" s="4" t="str">
        <f>HYPERLINK("http://141.218.60.56/~jnz1568/getInfo.php?workbook=12_05.xlsx&amp;sheet=U0&amp;row=6227&amp;col=7&amp;number=0.0032&amp;sourceID=14","0.0032")</f>
        <v>0.0032</v>
      </c>
    </row>
    <row r="6228" spans="1:7">
      <c r="A6228" s="3"/>
      <c r="B6228" s="3"/>
      <c r="C6228" s="3"/>
      <c r="D6228" s="3"/>
      <c r="E6228" s="3">
        <v>5</v>
      </c>
      <c r="F6228" s="4" t="str">
        <f>HYPERLINK("http://141.218.60.56/~jnz1568/getInfo.php?workbook=12_05.xlsx&amp;sheet=U0&amp;row=6228&amp;col=6&amp;number=3.4&amp;sourceID=14","3.4")</f>
        <v>3.4</v>
      </c>
      <c r="G6228" s="4" t="str">
        <f>HYPERLINK("http://141.218.60.56/~jnz1568/getInfo.php?workbook=12_05.xlsx&amp;sheet=U0&amp;row=6228&amp;col=7&amp;number=0.00319&amp;sourceID=14","0.00319")</f>
        <v>0.00319</v>
      </c>
    </row>
    <row r="6229" spans="1:7">
      <c r="A6229" s="3"/>
      <c r="B6229" s="3"/>
      <c r="C6229" s="3"/>
      <c r="D6229" s="3"/>
      <c r="E6229" s="3">
        <v>6</v>
      </c>
      <c r="F6229" s="4" t="str">
        <f>HYPERLINK("http://141.218.60.56/~jnz1568/getInfo.php?workbook=12_05.xlsx&amp;sheet=U0&amp;row=6229&amp;col=6&amp;number=3.5&amp;sourceID=14","3.5")</f>
        <v>3.5</v>
      </c>
      <c r="G6229" s="4" t="str">
        <f>HYPERLINK("http://141.218.60.56/~jnz1568/getInfo.php?workbook=12_05.xlsx&amp;sheet=U0&amp;row=6229&amp;col=7&amp;number=0.00319&amp;sourceID=14","0.00319")</f>
        <v>0.00319</v>
      </c>
    </row>
    <row r="6230" spans="1:7">
      <c r="A6230" s="3"/>
      <c r="B6230" s="3"/>
      <c r="C6230" s="3"/>
      <c r="D6230" s="3"/>
      <c r="E6230" s="3">
        <v>7</v>
      </c>
      <c r="F6230" s="4" t="str">
        <f>HYPERLINK("http://141.218.60.56/~jnz1568/getInfo.php?workbook=12_05.xlsx&amp;sheet=U0&amp;row=6230&amp;col=6&amp;number=3.6&amp;sourceID=14","3.6")</f>
        <v>3.6</v>
      </c>
      <c r="G6230" s="4" t="str">
        <f>HYPERLINK("http://141.218.60.56/~jnz1568/getInfo.php?workbook=12_05.xlsx&amp;sheet=U0&amp;row=6230&amp;col=7&amp;number=0.00319&amp;sourceID=14","0.00319")</f>
        <v>0.00319</v>
      </c>
    </row>
    <row r="6231" spans="1:7">
      <c r="A6231" s="3"/>
      <c r="B6231" s="3"/>
      <c r="C6231" s="3"/>
      <c r="D6231" s="3"/>
      <c r="E6231" s="3">
        <v>8</v>
      </c>
      <c r="F6231" s="4" t="str">
        <f>HYPERLINK("http://141.218.60.56/~jnz1568/getInfo.php?workbook=12_05.xlsx&amp;sheet=U0&amp;row=6231&amp;col=6&amp;number=3.7&amp;sourceID=14","3.7")</f>
        <v>3.7</v>
      </c>
      <c r="G6231" s="4" t="str">
        <f>HYPERLINK("http://141.218.60.56/~jnz1568/getInfo.php?workbook=12_05.xlsx&amp;sheet=U0&amp;row=6231&amp;col=7&amp;number=0.00319&amp;sourceID=14","0.00319")</f>
        <v>0.00319</v>
      </c>
    </row>
    <row r="6232" spans="1:7">
      <c r="A6232" s="3"/>
      <c r="B6232" s="3"/>
      <c r="C6232" s="3"/>
      <c r="D6232" s="3"/>
      <c r="E6232" s="3">
        <v>9</v>
      </c>
      <c r="F6232" s="4" t="str">
        <f>HYPERLINK("http://141.218.60.56/~jnz1568/getInfo.php?workbook=12_05.xlsx&amp;sheet=U0&amp;row=6232&amp;col=6&amp;number=3.8&amp;sourceID=14","3.8")</f>
        <v>3.8</v>
      </c>
      <c r="G6232" s="4" t="str">
        <f>HYPERLINK("http://141.218.60.56/~jnz1568/getInfo.php?workbook=12_05.xlsx&amp;sheet=U0&amp;row=6232&amp;col=7&amp;number=0.00318&amp;sourceID=14","0.00318")</f>
        <v>0.00318</v>
      </c>
    </row>
    <row r="6233" spans="1:7">
      <c r="A6233" s="3"/>
      <c r="B6233" s="3"/>
      <c r="C6233" s="3"/>
      <c r="D6233" s="3"/>
      <c r="E6233" s="3">
        <v>10</v>
      </c>
      <c r="F6233" s="4" t="str">
        <f>HYPERLINK("http://141.218.60.56/~jnz1568/getInfo.php?workbook=12_05.xlsx&amp;sheet=U0&amp;row=6233&amp;col=6&amp;number=3.9&amp;sourceID=14","3.9")</f>
        <v>3.9</v>
      </c>
      <c r="G6233" s="4" t="str">
        <f>HYPERLINK("http://141.218.60.56/~jnz1568/getInfo.php?workbook=12_05.xlsx&amp;sheet=U0&amp;row=6233&amp;col=7&amp;number=0.00318&amp;sourceID=14","0.00318")</f>
        <v>0.00318</v>
      </c>
    </row>
    <row r="6234" spans="1:7">
      <c r="A6234" s="3"/>
      <c r="B6234" s="3"/>
      <c r="C6234" s="3"/>
      <c r="D6234" s="3"/>
      <c r="E6234" s="3">
        <v>11</v>
      </c>
      <c r="F6234" s="4" t="str">
        <f>HYPERLINK("http://141.218.60.56/~jnz1568/getInfo.php?workbook=12_05.xlsx&amp;sheet=U0&amp;row=6234&amp;col=6&amp;number=4&amp;sourceID=14","4")</f>
        <v>4</v>
      </c>
      <c r="G6234" s="4" t="str">
        <f>HYPERLINK("http://141.218.60.56/~jnz1568/getInfo.php?workbook=12_05.xlsx&amp;sheet=U0&amp;row=6234&amp;col=7&amp;number=0.00317&amp;sourceID=14","0.00317")</f>
        <v>0.00317</v>
      </c>
    </row>
    <row r="6235" spans="1:7">
      <c r="A6235" s="3"/>
      <c r="B6235" s="3"/>
      <c r="C6235" s="3"/>
      <c r="D6235" s="3"/>
      <c r="E6235" s="3">
        <v>12</v>
      </c>
      <c r="F6235" s="4" t="str">
        <f>HYPERLINK("http://141.218.60.56/~jnz1568/getInfo.php?workbook=12_05.xlsx&amp;sheet=U0&amp;row=6235&amp;col=6&amp;number=4.1&amp;sourceID=14","4.1")</f>
        <v>4.1</v>
      </c>
      <c r="G6235" s="4" t="str">
        <f>HYPERLINK("http://141.218.60.56/~jnz1568/getInfo.php?workbook=12_05.xlsx&amp;sheet=U0&amp;row=6235&amp;col=7&amp;number=0.00316&amp;sourceID=14","0.00316")</f>
        <v>0.00316</v>
      </c>
    </row>
    <row r="6236" spans="1:7">
      <c r="A6236" s="3"/>
      <c r="B6236" s="3"/>
      <c r="C6236" s="3"/>
      <c r="D6236" s="3"/>
      <c r="E6236" s="3">
        <v>13</v>
      </c>
      <c r="F6236" s="4" t="str">
        <f>HYPERLINK("http://141.218.60.56/~jnz1568/getInfo.php?workbook=12_05.xlsx&amp;sheet=U0&amp;row=6236&amp;col=6&amp;number=4.2&amp;sourceID=14","4.2")</f>
        <v>4.2</v>
      </c>
      <c r="G6236" s="4" t="str">
        <f>HYPERLINK("http://141.218.60.56/~jnz1568/getInfo.php?workbook=12_05.xlsx&amp;sheet=U0&amp;row=6236&amp;col=7&amp;number=0.00315&amp;sourceID=14","0.00315")</f>
        <v>0.00315</v>
      </c>
    </row>
    <row r="6237" spans="1:7">
      <c r="A6237" s="3"/>
      <c r="B6237" s="3"/>
      <c r="C6237" s="3"/>
      <c r="D6237" s="3"/>
      <c r="E6237" s="3">
        <v>14</v>
      </c>
      <c r="F6237" s="4" t="str">
        <f>HYPERLINK("http://141.218.60.56/~jnz1568/getInfo.php?workbook=12_05.xlsx&amp;sheet=U0&amp;row=6237&amp;col=6&amp;number=4.3&amp;sourceID=14","4.3")</f>
        <v>4.3</v>
      </c>
      <c r="G6237" s="4" t="str">
        <f>HYPERLINK("http://141.218.60.56/~jnz1568/getInfo.php?workbook=12_05.xlsx&amp;sheet=U0&amp;row=6237&amp;col=7&amp;number=0.00314&amp;sourceID=14","0.00314")</f>
        <v>0.00314</v>
      </c>
    </row>
    <row r="6238" spans="1:7">
      <c r="A6238" s="3"/>
      <c r="B6238" s="3"/>
      <c r="C6238" s="3"/>
      <c r="D6238" s="3"/>
      <c r="E6238" s="3">
        <v>15</v>
      </c>
      <c r="F6238" s="4" t="str">
        <f>HYPERLINK("http://141.218.60.56/~jnz1568/getInfo.php?workbook=12_05.xlsx&amp;sheet=U0&amp;row=6238&amp;col=6&amp;number=4.4&amp;sourceID=14","4.4")</f>
        <v>4.4</v>
      </c>
      <c r="G6238" s="4" t="str">
        <f>HYPERLINK("http://141.218.60.56/~jnz1568/getInfo.php?workbook=12_05.xlsx&amp;sheet=U0&amp;row=6238&amp;col=7&amp;number=0.00313&amp;sourceID=14","0.00313")</f>
        <v>0.00313</v>
      </c>
    </row>
    <row r="6239" spans="1:7">
      <c r="A6239" s="3"/>
      <c r="B6239" s="3"/>
      <c r="C6239" s="3"/>
      <c r="D6239" s="3"/>
      <c r="E6239" s="3">
        <v>16</v>
      </c>
      <c r="F6239" s="4" t="str">
        <f>HYPERLINK("http://141.218.60.56/~jnz1568/getInfo.php?workbook=12_05.xlsx&amp;sheet=U0&amp;row=6239&amp;col=6&amp;number=4.5&amp;sourceID=14","4.5")</f>
        <v>4.5</v>
      </c>
      <c r="G6239" s="4" t="str">
        <f>HYPERLINK("http://141.218.60.56/~jnz1568/getInfo.php?workbook=12_05.xlsx&amp;sheet=U0&amp;row=6239&amp;col=7&amp;number=0.00311&amp;sourceID=14","0.00311")</f>
        <v>0.00311</v>
      </c>
    </row>
    <row r="6240" spans="1:7">
      <c r="A6240" s="3"/>
      <c r="B6240" s="3"/>
      <c r="C6240" s="3"/>
      <c r="D6240" s="3"/>
      <c r="E6240" s="3">
        <v>17</v>
      </c>
      <c r="F6240" s="4" t="str">
        <f>HYPERLINK("http://141.218.60.56/~jnz1568/getInfo.php?workbook=12_05.xlsx&amp;sheet=U0&amp;row=6240&amp;col=6&amp;number=4.6&amp;sourceID=14","4.6")</f>
        <v>4.6</v>
      </c>
      <c r="G6240" s="4" t="str">
        <f>HYPERLINK("http://141.218.60.56/~jnz1568/getInfo.php?workbook=12_05.xlsx&amp;sheet=U0&amp;row=6240&amp;col=7&amp;number=0.00308&amp;sourceID=14","0.00308")</f>
        <v>0.00308</v>
      </c>
    </row>
    <row r="6241" spans="1:7">
      <c r="A6241" s="3"/>
      <c r="B6241" s="3"/>
      <c r="C6241" s="3"/>
      <c r="D6241" s="3"/>
      <c r="E6241" s="3">
        <v>18</v>
      </c>
      <c r="F6241" s="4" t="str">
        <f>HYPERLINK("http://141.218.60.56/~jnz1568/getInfo.php?workbook=12_05.xlsx&amp;sheet=U0&amp;row=6241&amp;col=6&amp;number=4.7&amp;sourceID=14","4.7")</f>
        <v>4.7</v>
      </c>
      <c r="G6241" s="4" t="str">
        <f>HYPERLINK("http://141.218.60.56/~jnz1568/getInfo.php?workbook=12_05.xlsx&amp;sheet=U0&amp;row=6241&amp;col=7&amp;number=0.00306&amp;sourceID=14","0.00306")</f>
        <v>0.00306</v>
      </c>
    </row>
    <row r="6242" spans="1:7">
      <c r="A6242" s="3"/>
      <c r="B6242" s="3"/>
      <c r="C6242" s="3"/>
      <c r="D6242" s="3"/>
      <c r="E6242" s="3">
        <v>19</v>
      </c>
      <c r="F6242" s="4" t="str">
        <f>HYPERLINK("http://141.218.60.56/~jnz1568/getInfo.php?workbook=12_05.xlsx&amp;sheet=U0&amp;row=6242&amp;col=6&amp;number=4.8&amp;sourceID=14","4.8")</f>
        <v>4.8</v>
      </c>
      <c r="G6242" s="4" t="str">
        <f>HYPERLINK("http://141.218.60.56/~jnz1568/getInfo.php?workbook=12_05.xlsx&amp;sheet=U0&amp;row=6242&amp;col=7&amp;number=0.00302&amp;sourceID=14","0.00302")</f>
        <v>0.00302</v>
      </c>
    </row>
    <row r="6243" spans="1:7">
      <c r="A6243" s="3"/>
      <c r="B6243" s="3"/>
      <c r="C6243" s="3"/>
      <c r="D6243" s="3"/>
      <c r="E6243" s="3">
        <v>20</v>
      </c>
      <c r="F6243" s="4" t="str">
        <f>HYPERLINK("http://141.218.60.56/~jnz1568/getInfo.php?workbook=12_05.xlsx&amp;sheet=U0&amp;row=6243&amp;col=6&amp;number=4.9&amp;sourceID=14","4.9")</f>
        <v>4.9</v>
      </c>
      <c r="G6243" s="4" t="str">
        <f>HYPERLINK("http://141.218.60.56/~jnz1568/getInfo.php?workbook=12_05.xlsx&amp;sheet=U0&amp;row=6243&amp;col=7&amp;number=0.00298&amp;sourceID=14","0.00298")</f>
        <v>0.00298</v>
      </c>
    </row>
    <row r="6244" spans="1:7">
      <c r="A6244" s="3">
        <v>12</v>
      </c>
      <c r="B6244" s="3">
        <v>5</v>
      </c>
      <c r="C6244" s="3">
        <v>4</v>
      </c>
      <c r="D6244" s="3">
        <v>65</v>
      </c>
      <c r="E6244" s="3">
        <v>1</v>
      </c>
      <c r="F6244" s="4" t="str">
        <f>HYPERLINK("http://141.218.60.56/~jnz1568/getInfo.php?workbook=12_05.xlsx&amp;sheet=U0&amp;row=6244&amp;col=6&amp;number=3&amp;sourceID=14","3")</f>
        <v>3</v>
      </c>
      <c r="G6244" s="4" t="str">
        <f>HYPERLINK("http://141.218.60.56/~jnz1568/getInfo.php?workbook=12_05.xlsx&amp;sheet=U0&amp;row=6244&amp;col=7&amp;number=0.0236&amp;sourceID=14","0.0236")</f>
        <v>0.0236</v>
      </c>
    </row>
    <row r="6245" spans="1:7">
      <c r="A6245" s="3"/>
      <c r="B6245" s="3"/>
      <c r="C6245" s="3"/>
      <c r="D6245" s="3"/>
      <c r="E6245" s="3">
        <v>2</v>
      </c>
      <c r="F6245" s="4" t="str">
        <f>HYPERLINK("http://141.218.60.56/~jnz1568/getInfo.php?workbook=12_05.xlsx&amp;sheet=U0&amp;row=6245&amp;col=6&amp;number=3.1&amp;sourceID=14","3.1")</f>
        <v>3.1</v>
      </c>
      <c r="G6245" s="4" t="str">
        <f>HYPERLINK("http://141.218.60.56/~jnz1568/getInfo.php?workbook=12_05.xlsx&amp;sheet=U0&amp;row=6245&amp;col=7&amp;number=0.0236&amp;sourceID=14","0.0236")</f>
        <v>0.0236</v>
      </c>
    </row>
    <row r="6246" spans="1:7">
      <c r="A6246" s="3"/>
      <c r="B6246" s="3"/>
      <c r="C6246" s="3"/>
      <c r="D6246" s="3"/>
      <c r="E6246" s="3">
        <v>3</v>
      </c>
      <c r="F6246" s="4" t="str">
        <f>HYPERLINK("http://141.218.60.56/~jnz1568/getInfo.php?workbook=12_05.xlsx&amp;sheet=U0&amp;row=6246&amp;col=6&amp;number=3.2&amp;sourceID=14","3.2")</f>
        <v>3.2</v>
      </c>
      <c r="G6246" s="4" t="str">
        <f>HYPERLINK("http://141.218.60.56/~jnz1568/getInfo.php?workbook=12_05.xlsx&amp;sheet=U0&amp;row=6246&amp;col=7&amp;number=0.0236&amp;sourceID=14","0.0236")</f>
        <v>0.0236</v>
      </c>
    </row>
    <row r="6247" spans="1:7">
      <c r="A6247" s="3"/>
      <c r="B6247" s="3"/>
      <c r="C6247" s="3"/>
      <c r="D6247" s="3"/>
      <c r="E6247" s="3">
        <v>4</v>
      </c>
      <c r="F6247" s="4" t="str">
        <f>HYPERLINK("http://141.218.60.56/~jnz1568/getInfo.php?workbook=12_05.xlsx&amp;sheet=U0&amp;row=6247&amp;col=6&amp;number=3.3&amp;sourceID=14","3.3")</f>
        <v>3.3</v>
      </c>
      <c r="G6247" s="4" t="str">
        <f>HYPERLINK("http://141.218.60.56/~jnz1568/getInfo.php?workbook=12_05.xlsx&amp;sheet=U0&amp;row=6247&amp;col=7&amp;number=0.0236&amp;sourceID=14","0.0236")</f>
        <v>0.0236</v>
      </c>
    </row>
    <row r="6248" spans="1:7">
      <c r="A6248" s="3"/>
      <c r="B6248" s="3"/>
      <c r="C6248" s="3"/>
      <c r="D6248" s="3"/>
      <c r="E6248" s="3">
        <v>5</v>
      </c>
      <c r="F6248" s="4" t="str">
        <f>HYPERLINK("http://141.218.60.56/~jnz1568/getInfo.php?workbook=12_05.xlsx&amp;sheet=U0&amp;row=6248&amp;col=6&amp;number=3.4&amp;sourceID=14","3.4")</f>
        <v>3.4</v>
      </c>
      <c r="G6248" s="4" t="str">
        <f>HYPERLINK("http://141.218.60.56/~jnz1568/getInfo.php?workbook=12_05.xlsx&amp;sheet=U0&amp;row=6248&amp;col=7&amp;number=0.0236&amp;sourceID=14","0.0236")</f>
        <v>0.0236</v>
      </c>
    </row>
    <row r="6249" spans="1:7">
      <c r="A6249" s="3"/>
      <c r="B6249" s="3"/>
      <c r="C6249" s="3"/>
      <c r="D6249" s="3"/>
      <c r="E6249" s="3">
        <v>6</v>
      </c>
      <c r="F6249" s="4" t="str">
        <f>HYPERLINK("http://141.218.60.56/~jnz1568/getInfo.php?workbook=12_05.xlsx&amp;sheet=U0&amp;row=6249&amp;col=6&amp;number=3.5&amp;sourceID=14","3.5")</f>
        <v>3.5</v>
      </c>
      <c r="G6249" s="4" t="str">
        <f>HYPERLINK("http://141.218.60.56/~jnz1568/getInfo.php?workbook=12_05.xlsx&amp;sheet=U0&amp;row=6249&amp;col=7&amp;number=0.0236&amp;sourceID=14","0.0236")</f>
        <v>0.0236</v>
      </c>
    </row>
    <row r="6250" spans="1:7">
      <c r="A6250" s="3"/>
      <c r="B6250" s="3"/>
      <c r="C6250" s="3"/>
      <c r="D6250" s="3"/>
      <c r="E6250" s="3">
        <v>7</v>
      </c>
      <c r="F6250" s="4" t="str">
        <f>HYPERLINK("http://141.218.60.56/~jnz1568/getInfo.php?workbook=12_05.xlsx&amp;sheet=U0&amp;row=6250&amp;col=6&amp;number=3.6&amp;sourceID=14","3.6")</f>
        <v>3.6</v>
      </c>
      <c r="G6250" s="4" t="str">
        <f>HYPERLINK("http://141.218.60.56/~jnz1568/getInfo.php?workbook=12_05.xlsx&amp;sheet=U0&amp;row=6250&amp;col=7&amp;number=0.0236&amp;sourceID=14","0.0236")</f>
        <v>0.0236</v>
      </c>
    </row>
    <row r="6251" spans="1:7">
      <c r="A6251" s="3"/>
      <c r="B6251" s="3"/>
      <c r="C6251" s="3"/>
      <c r="D6251" s="3"/>
      <c r="E6251" s="3">
        <v>8</v>
      </c>
      <c r="F6251" s="4" t="str">
        <f>HYPERLINK("http://141.218.60.56/~jnz1568/getInfo.php?workbook=12_05.xlsx&amp;sheet=U0&amp;row=6251&amp;col=6&amp;number=3.7&amp;sourceID=14","3.7")</f>
        <v>3.7</v>
      </c>
      <c r="G6251" s="4" t="str">
        <f>HYPERLINK("http://141.218.60.56/~jnz1568/getInfo.php?workbook=12_05.xlsx&amp;sheet=U0&amp;row=6251&amp;col=7&amp;number=0.0236&amp;sourceID=14","0.0236")</f>
        <v>0.0236</v>
      </c>
    </row>
    <row r="6252" spans="1:7">
      <c r="A6252" s="3"/>
      <c r="B6252" s="3"/>
      <c r="C6252" s="3"/>
      <c r="D6252" s="3"/>
      <c r="E6252" s="3">
        <v>9</v>
      </c>
      <c r="F6252" s="4" t="str">
        <f>HYPERLINK("http://141.218.60.56/~jnz1568/getInfo.php?workbook=12_05.xlsx&amp;sheet=U0&amp;row=6252&amp;col=6&amp;number=3.8&amp;sourceID=14","3.8")</f>
        <v>3.8</v>
      </c>
      <c r="G6252" s="4" t="str">
        <f>HYPERLINK("http://141.218.60.56/~jnz1568/getInfo.php?workbook=12_05.xlsx&amp;sheet=U0&amp;row=6252&amp;col=7&amp;number=0.0236&amp;sourceID=14","0.0236")</f>
        <v>0.0236</v>
      </c>
    </row>
    <row r="6253" spans="1:7">
      <c r="A6253" s="3"/>
      <c r="B6253" s="3"/>
      <c r="C6253" s="3"/>
      <c r="D6253" s="3"/>
      <c r="E6253" s="3">
        <v>10</v>
      </c>
      <c r="F6253" s="4" t="str">
        <f>HYPERLINK("http://141.218.60.56/~jnz1568/getInfo.php?workbook=12_05.xlsx&amp;sheet=U0&amp;row=6253&amp;col=6&amp;number=3.9&amp;sourceID=14","3.9")</f>
        <v>3.9</v>
      </c>
      <c r="G6253" s="4" t="str">
        <f>HYPERLINK("http://141.218.60.56/~jnz1568/getInfo.php?workbook=12_05.xlsx&amp;sheet=U0&amp;row=6253&amp;col=7&amp;number=0.0236&amp;sourceID=14","0.0236")</f>
        <v>0.0236</v>
      </c>
    </row>
    <row r="6254" spans="1:7">
      <c r="A6254" s="3"/>
      <c r="B6254" s="3"/>
      <c r="C6254" s="3"/>
      <c r="D6254" s="3"/>
      <c r="E6254" s="3">
        <v>11</v>
      </c>
      <c r="F6254" s="4" t="str">
        <f>HYPERLINK("http://141.218.60.56/~jnz1568/getInfo.php?workbook=12_05.xlsx&amp;sheet=U0&amp;row=6254&amp;col=6&amp;number=4&amp;sourceID=14","4")</f>
        <v>4</v>
      </c>
      <c r="G6254" s="4" t="str">
        <f>HYPERLINK("http://141.218.60.56/~jnz1568/getInfo.php?workbook=12_05.xlsx&amp;sheet=U0&amp;row=6254&amp;col=7&amp;number=0.0235&amp;sourceID=14","0.0235")</f>
        <v>0.0235</v>
      </c>
    </row>
    <row r="6255" spans="1:7">
      <c r="A6255" s="3"/>
      <c r="B6255" s="3"/>
      <c r="C6255" s="3"/>
      <c r="D6255" s="3"/>
      <c r="E6255" s="3">
        <v>12</v>
      </c>
      <c r="F6255" s="4" t="str">
        <f>HYPERLINK("http://141.218.60.56/~jnz1568/getInfo.php?workbook=12_05.xlsx&amp;sheet=U0&amp;row=6255&amp;col=6&amp;number=4.1&amp;sourceID=14","4.1")</f>
        <v>4.1</v>
      </c>
      <c r="G6255" s="4" t="str">
        <f>HYPERLINK("http://141.218.60.56/~jnz1568/getInfo.php?workbook=12_05.xlsx&amp;sheet=U0&amp;row=6255&amp;col=7&amp;number=0.0235&amp;sourceID=14","0.0235")</f>
        <v>0.0235</v>
      </c>
    </row>
    <row r="6256" spans="1:7">
      <c r="A6256" s="3"/>
      <c r="B6256" s="3"/>
      <c r="C6256" s="3"/>
      <c r="D6256" s="3"/>
      <c r="E6256" s="3">
        <v>13</v>
      </c>
      <c r="F6256" s="4" t="str">
        <f>HYPERLINK("http://141.218.60.56/~jnz1568/getInfo.php?workbook=12_05.xlsx&amp;sheet=U0&amp;row=6256&amp;col=6&amp;number=4.2&amp;sourceID=14","4.2")</f>
        <v>4.2</v>
      </c>
      <c r="G6256" s="4" t="str">
        <f>HYPERLINK("http://141.218.60.56/~jnz1568/getInfo.php?workbook=12_05.xlsx&amp;sheet=U0&amp;row=6256&amp;col=7&amp;number=0.0235&amp;sourceID=14","0.0235")</f>
        <v>0.0235</v>
      </c>
    </row>
    <row r="6257" spans="1:7">
      <c r="A6257" s="3"/>
      <c r="B6257" s="3"/>
      <c r="C6257" s="3"/>
      <c r="D6257" s="3"/>
      <c r="E6257" s="3">
        <v>14</v>
      </c>
      <c r="F6257" s="4" t="str">
        <f>HYPERLINK("http://141.218.60.56/~jnz1568/getInfo.php?workbook=12_05.xlsx&amp;sheet=U0&amp;row=6257&amp;col=6&amp;number=4.3&amp;sourceID=14","4.3")</f>
        <v>4.3</v>
      </c>
      <c r="G6257" s="4" t="str">
        <f>HYPERLINK("http://141.218.60.56/~jnz1568/getInfo.php?workbook=12_05.xlsx&amp;sheet=U0&amp;row=6257&amp;col=7&amp;number=0.0235&amp;sourceID=14","0.0235")</f>
        <v>0.0235</v>
      </c>
    </row>
    <row r="6258" spans="1:7">
      <c r="A6258" s="3"/>
      <c r="B6258" s="3"/>
      <c r="C6258" s="3"/>
      <c r="D6258" s="3"/>
      <c r="E6258" s="3">
        <v>15</v>
      </c>
      <c r="F6258" s="4" t="str">
        <f>HYPERLINK("http://141.218.60.56/~jnz1568/getInfo.php?workbook=12_05.xlsx&amp;sheet=U0&amp;row=6258&amp;col=6&amp;number=4.4&amp;sourceID=14","4.4")</f>
        <v>4.4</v>
      </c>
      <c r="G6258" s="4" t="str">
        <f>HYPERLINK("http://141.218.60.56/~jnz1568/getInfo.php?workbook=12_05.xlsx&amp;sheet=U0&amp;row=6258&amp;col=7&amp;number=0.0235&amp;sourceID=14","0.0235")</f>
        <v>0.0235</v>
      </c>
    </row>
    <row r="6259" spans="1:7">
      <c r="A6259" s="3"/>
      <c r="B6259" s="3"/>
      <c r="C6259" s="3"/>
      <c r="D6259" s="3"/>
      <c r="E6259" s="3">
        <v>16</v>
      </c>
      <c r="F6259" s="4" t="str">
        <f>HYPERLINK("http://141.218.60.56/~jnz1568/getInfo.php?workbook=12_05.xlsx&amp;sheet=U0&amp;row=6259&amp;col=6&amp;number=4.5&amp;sourceID=14","4.5")</f>
        <v>4.5</v>
      </c>
      <c r="G6259" s="4" t="str">
        <f>HYPERLINK("http://141.218.60.56/~jnz1568/getInfo.php?workbook=12_05.xlsx&amp;sheet=U0&amp;row=6259&amp;col=7&amp;number=0.0235&amp;sourceID=14","0.0235")</f>
        <v>0.0235</v>
      </c>
    </row>
    <row r="6260" spans="1:7">
      <c r="A6260" s="3"/>
      <c r="B6260" s="3"/>
      <c r="C6260" s="3"/>
      <c r="D6260" s="3"/>
      <c r="E6260" s="3">
        <v>17</v>
      </c>
      <c r="F6260" s="4" t="str">
        <f>HYPERLINK("http://141.218.60.56/~jnz1568/getInfo.php?workbook=12_05.xlsx&amp;sheet=U0&amp;row=6260&amp;col=6&amp;number=4.6&amp;sourceID=14","4.6")</f>
        <v>4.6</v>
      </c>
      <c r="G6260" s="4" t="str">
        <f>HYPERLINK("http://141.218.60.56/~jnz1568/getInfo.php?workbook=12_05.xlsx&amp;sheet=U0&amp;row=6260&amp;col=7&amp;number=0.0235&amp;sourceID=14","0.0235")</f>
        <v>0.0235</v>
      </c>
    </row>
    <row r="6261" spans="1:7">
      <c r="A6261" s="3"/>
      <c r="B6261" s="3"/>
      <c r="C6261" s="3"/>
      <c r="D6261" s="3"/>
      <c r="E6261" s="3">
        <v>18</v>
      </c>
      <c r="F6261" s="4" t="str">
        <f>HYPERLINK("http://141.218.60.56/~jnz1568/getInfo.php?workbook=12_05.xlsx&amp;sheet=U0&amp;row=6261&amp;col=6&amp;number=4.7&amp;sourceID=14","4.7")</f>
        <v>4.7</v>
      </c>
      <c r="G6261" s="4" t="str">
        <f>HYPERLINK("http://141.218.60.56/~jnz1568/getInfo.php?workbook=12_05.xlsx&amp;sheet=U0&amp;row=6261&amp;col=7&amp;number=0.0234&amp;sourceID=14","0.0234")</f>
        <v>0.0234</v>
      </c>
    </row>
    <row r="6262" spans="1:7">
      <c r="A6262" s="3"/>
      <c r="B6262" s="3"/>
      <c r="C6262" s="3"/>
      <c r="D6262" s="3"/>
      <c r="E6262" s="3">
        <v>19</v>
      </c>
      <c r="F6262" s="4" t="str">
        <f>HYPERLINK("http://141.218.60.56/~jnz1568/getInfo.php?workbook=12_05.xlsx&amp;sheet=U0&amp;row=6262&amp;col=6&amp;number=4.8&amp;sourceID=14","4.8")</f>
        <v>4.8</v>
      </c>
      <c r="G6262" s="4" t="str">
        <f>HYPERLINK("http://141.218.60.56/~jnz1568/getInfo.php?workbook=12_05.xlsx&amp;sheet=U0&amp;row=6262&amp;col=7&amp;number=0.0234&amp;sourceID=14","0.0234")</f>
        <v>0.0234</v>
      </c>
    </row>
    <row r="6263" spans="1:7">
      <c r="A6263" s="3"/>
      <c r="B6263" s="3"/>
      <c r="C6263" s="3"/>
      <c r="D6263" s="3"/>
      <c r="E6263" s="3">
        <v>20</v>
      </c>
      <c r="F6263" s="4" t="str">
        <f>HYPERLINK("http://141.218.60.56/~jnz1568/getInfo.php?workbook=12_05.xlsx&amp;sheet=U0&amp;row=6263&amp;col=6&amp;number=4.9&amp;sourceID=14","4.9")</f>
        <v>4.9</v>
      </c>
      <c r="G6263" s="4" t="str">
        <f>HYPERLINK("http://141.218.60.56/~jnz1568/getInfo.php?workbook=12_05.xlsx&amp;sheet=U0&amp;row=6263&amp;col=7&amp;number=0.0234&amp;sourceID=14","0.0234")</f>
        <v>0.0234</v>
      </c>
    </row>
    <row r="6264" spans="1:7">
      <c r="A6264" s="3">
        <v>12</v>
      </c>
      <c r="B6264" s="3">
        <v>5</v>
      </c>
      <c r="C6264" s="3">
        <v>4</v>
      </c>
      <c r="D6264" s="3">
        <v>66</v>
      </c>
      <c r="E6264" s="3">
        <v>1</v>
      </c>
      <c r="F6264" s="4" t="str">
        <f>HYPERLINK("http://141.218.60.56/~jnz1568/getInfo.php?workbook=12_05.xlsx&amp;sheet=U0&amp;row=6264&amp;col=6&amp;number=3&amp;sourceID=14","3")</f>
        <v>3</v>
      </c>
      <c r="G6264" s="4" t="str">
        <f>HYPERLINK("http://141.218.60.56/~jnz1568/getInfo.php?workbook=12_05.xlsx&amp;sheet=U0&amp;row=6264&amp;col=7&amp;number=0.0437&amp;sourceID=14","0.0437")</f>
        <v>0.0437</v>
      </c>
    </row>
    <row r="6265" spans="1:7">
      <c r="A6265" s="3"/>
      <c r="B6265" s="3"/>
      <c r="C6265" s="3"/>
      <c r="D6265" s="3"/>
      <c r="E6265" s="3">
        <v>2</v>
      </c>
      <c r="F6265" s="4" t="str">
        <f>HYPERLINK("http://141.218.60.56/~jnz1568/getInfo.php?workbook=12_05.xlsx&amp;sheet=U0&amp;row=6265&amp;col=6&amp;number=3.1&amp;sourceID=14","3.1")</f>
        <v>3.1</v>
      </c>
      <c r="G6265" s="4" t="str">
        <f>HYPERLINK("http://141.218.60.56/~jnz1568/getInfo.php?workbook=12_05.xlsx&amp;sheet=U0&amp;row=6265&amp;col=7&amp;number=0.0437&amp;sourceID=14","0.0437")</f>
        <v>0.0437</v>
      </c>
    </row>
    <row r="6266" spans="1:7">
      <c r="A6266" s="3"/>
      <c r="B6266" s="3"/>
      <c r="C6266" s="3"/>
      <c r="D6266" s="3"/>
      <c r="E6266" s="3">
        <v>3</v>
      </c>
      <c r="F6266" s="4" t="str">
        <f>HYPERLINK("http://141.218.60.56/~jnz1568/getInfo.php?workbook=12_05.xlsx&amp;sheet=U0&amp;row=6266&amp;col=6&amp;number=3.2&amp;sourceID=14","3.2")</f>
        <v>3.2</v>
      </c>
      <c r="G6266" s="4" t="str">
        <f>HYPERLINK("http://141.218.60.56/~jnz1568/getInfo.php?workbook=12_05.xlsx&amp;sheet=U0&amp;row=6266&amp;col=7&amp;number=0.0437&amp;sourceID=14","0.0437")</f>
        <v>0.0437</v>
      </c>
    </row>
    <row r="6267" spans="1:7">
      <c r="A6267" s="3"/>
      <c r="B6267" s="3"/>
      <c r="C6267" s="3"/>
      <c r="D6267" s="3"/>
      <c r="E6267" s="3">
        <v>4</v>
      </c>
      <c r="F6267" s="4" t="str">
        <f>HYPERLINK("http://141.218.60.56/~jnz1568/getInfo.php?workbook=12_05.xlsx&amp;sheet=U0&amp;row=6267&amp;col=6&amp;number=3.3&amp;sourceID=14","3.3")</f>
        <v>3.3</v>
      </c>
      <c r="G6267" s="4" t="str">
        <f>HYPERLINK("http://141.218.60.56/~jnz1568/getInfo.php?workbook=12_05.xlsx&amp;sheet=U0&amp;row=6267&amp;col=7&amp;number=0.0437&amp;sourceID=14","0.0437")</f>
        <v>0.0437</v>
      </c>
    </row>
    <row r="6268" spans="1:7">
      <c r="A6268" s="3"/>
      <c r="B6268" s="3"/>
      <c r="C6268" s="3"/>
      <c r="D6268" s="3"/>
      <c r="E6268" s="3">
        <v>5</v>
      </c>
      <c r="F6268" s="4" t="str">
        <f>HYPERLINK("http://141.218.60.56/~jnz1568/getInfo.php?workbook=12_05.xlsx&amp;sheet=U0&amp;row=6268&amp;col=6&amp;number=3.4&amp;sourceID=14","3.4")</f>
        <v>3.4</v>
      </c>
      <c r="G6268" s="4" t="str">
        <f>HYPERLINK("http://141.218.60.56/~jnz1568/getInfo.php?workbook=12_05.xlsx&amp;sheet=U0&amp;row=6268&amp;col=7&amp;number=0.0437&amp;sourceID=14","0.0437")</f>
        <v>0.0437</v>
      </c>
    </row>
    <row r="6269" spans="1:7">
      <c r="A6269" s="3"/>
      <c r="B6269" s="3"/>
      <c r="C6269" s="3"/>
      <c r="D6269" s="3"/>
      <c r="E6269" s="3">
        <v>6</v>
      </c>
      <c r="F6269" s="4" t="str">
        <f>HYPERLINK("http://141.218.60.56/~jnz1568/getInfo.php?workbook=12_05.xlsx&amp;sheet=U0&amp;row=6269&amp;col=6&amp;number=3.5&amp;sourceID=14","3.5")</f>
        <v>3.5</v>
      </c>
      <c r="G6269" s="4" t="str">
        <f>HYPERLINK("http://141.218.60.56/~jnz1568/getInfo.php?workbook=12_05.xlsx&amp;sheet=U0&amp;row=6269&amp;col=7&amp;number=0.0437&amp;sourceID=14","0.0437")</f>
        <v>0.0437</v>
      </c>
    </row>
    <row r="6270" spans="1:7">
      <c r="A6270" s="3"/>
      <c r="B6270" s="3"/>
      <c r="C6270" s="3"/>
      <c r="D6270" s="3"/>
      <c r="E6270" s="3">
        <v>7</v>
      </c>
      <c r="F6270" s="4" t="str">
        <f>HYPERLINK("http://141.218.60.56/~jnz1568/getInfo.php?workbook=12_05.xlsx&amp;sheet=U0&amp;row=6270&amp;col=6&amp;number=3.6&amp;sourceID=14","3.6")</f>
        <v>3.6</v>
      </c>
      <c r="G6270" s="4" t="str">
        <f>HYPERLINK("http://141.218.60.56/~jnz1568/getInfo.php?workbook=12_05.xlsx&amp;sheet=U0&amp;row=6270&amp;col=7&amp;number=0.0437&amp;sourceID=14","0.0437")</f>
        <v>0.0437</v>
      </c>
    </row>
    <row r="6271" spans="1:7">
      <c r="A6271" s="3"/>
      <c r="B6271" s="3"/>
      <c r="C6271" s="3"/>
      <c r="D6271" s="3"/>
      <c r="E6271" s="3">
        <v>8</v>
      </c>
      <c r="F6271" s="4" t="str">
        <f>HYPERLINK("http://141.218.60.56/~jnz1568/getInfo.php?workbook=12_05.xlsx&amp;sheet=U0&amp;row=6271&amp;col=6&amp;number=3.7&amp;sourceID=14","3.7")</f>
        <v>3.7</v>
      </c>
      <c r="G6271" s="4" t="str">
        <f>HYPERLINK("http://141.218.60.56/~jnz1568/getInfo.php?workbook=12_05.xlsx&amp;sheet=U0&amp;row=6271&amp;col=7&amp;number=0.0438&amp;sourceID=14","0.0438")</f>
        <v>0.0438</v>
      </c>
    </row>
    <row r="6272" spans="1:7">
      <c r="A6272" s="3"/>
      <c r="B6272" s="3"/>
      <c r="C6272" s="3"/>
      <c r="D6272" s="3"/>
      <c r="E6272" s="3">
        <v>9</v>
      </c>
      <c r="F6272" s="4" t="str">
        <f>HYPERLINK("http://141.218.60.56/~jnz1568/getInfo.php?workbook=12_05.xlsx&amp;sheet=U0&amp;row=6272&amp;col=6&amp;number=3.8&amp;sourceID=14","3.8")</f>
        <v>3.8</v>
      </c>
      <c r="G6272" s="4" t="str">
        <f>HYPERLINK("http://141.218.60.56/~jnz1568/getInfo.php?workbook=12_05.xlsx&amp;sheet=U0&amp;row=6272&amp;col=7&amp;number=0.0438&amp;sourceID=14","0.0438")</f>
        <v>0.0438</v>
      </c>
    </row>
    <row r="6273" spans="1:7">
      <c r="A6273" s="3"/>
      <c r="B6273" s="3"/>
      <c r="C6273" s="3"/>
      <c r="D6273" s="3"/>
      <c r="E6273" s="3">
        <v>10</v>
      </c>
      <c r="F6273" s="4" t="str">
        <f>HYPERLINK("http://141.218.60.56/~jnz1568/getInfo.php?workbook=12_05.xlsx&amp;sheet=U0&amp;row=6273&amp;col=6&amp;number=3.9&amp;sourceID=14","3.9")</f>
        <v>3.9</v>
      </c>
      <c r="G6273" s="4" t="str">
        <f>HYPERLINK("http://141.218.60.56/~jnz1568/getInfo.php?workbook=12_05.xlsx&amp;sheet=U0&amp;row=6273&amp;col=7&amp;number=0.0438&amp;sourceID=14","0.0438")</f>
        <v>0.0438</v>
      </c>
    </row>
    <row r="6274" spans="1:7">
      <c r="A6274" s="3"/>
      <c r="B6274" s="3"/>
      <c r="C6274" s="3"/>
      <c r="D6274" s="3"/>
      <c r="E6274" s="3">
        <v>11</v>
      </c>
      <c r="F6274" s="4" t="str">
        <f>HYPERLINK("http://141.218.60.56/~jnz1568/getInfo.php?workbook=12_05.xlsx&amp;sheet=U0&amp;row=6274&amp;col=6&amp;number=4&amp;sourceID=14","4")</f>
        <v>4</v>
      </c>
      <c r="G6274" s="4" t="str">
        <f>HYPERLINK("http://141.218.60.56/~jnz1568/getInfo.php?workbook=12_05.xlsx&amp;sheet=U0&amp;row=6274&amp;col=7&amp;number=0.0439&amp;sourceID=14","0.0439")</f>
        <v>0.0439</v>
      </c>
    </row>
    <row r="6275" spans="1:7">
      <c r="A6275" s="3"/>
      <c r="B6275" s="3"/>
      <c r="C6275" s="3"/>
      <c r="D6275" s="3"/>
      <c r="E6275" s="3">
        <v>12</v>
      </c>
      <c r="F6275" s="4" t="str">
        <f>HYPERLINK("http://141.218.60.56/~jnz1568/getInfo.php?workbook=12_05.xlsx&amp;sheet=U0&amp;row=6275&amp;col=6&amp;number=4.1&amp;sourceID=14","4.1")</f>
        <v>4.1</v>
      </c>
      <c r="G6275" s="4" t="str">
        <f>HYPERLINK("http://141.218.60.56/~jnz1568/getInfo.php?workbook=12_05.xlsx&amp;sheet=U0&amp;row=6275&amp;col=7&amp;number=0.0439&amp;sourceID=14","0.0439")</f>
        <v>0.0439</v>
      </c>
    </row>
    <row r="6276" spans="1:7">
      <c r="A6276" s="3"/>
      <c r="B6276" s="3"/>
      <c r="C6276" s="3"/>
      <c r="D6276" s="3"/>
      <c r="E6276" s="3">
        <v>13</v>
      </c>
      <c r="F6276" s="4" t="str">
        <f>HYPERLINK("http://141.218.60.56/~jnz1568/getInfo.php?workbook=12_05.xlsx&amp;sheet=U0&amp;row=6276&amp;col=6&amp;number=4.2&amp;sourceID=14","4.2")</f>
        <v>4.2</v>
      </c>
      <c r="G6276" s="4" t="str">
        <f>HYPERLINK("http://141.218.60.56/~jnz1568/getInfo.php?workbook=12_05.xlsx&amp;sheet=U0&amp;row=6276&amp;col=7&amp;number=0.044&amp;sourceID=14","0.044")</f>
        <v>0.044</v>
      </c>
    </row>
    <row r="6277" spans="1:7">
      <c r="A6277" s="3"/>
      <c r="B6277" s="3"/>
      <c r="C6277" s="3"/>
      <c r="D6277" s="3"/>
      <c r="E6277" s="3">
        <v>14</v>
      </c>
      <c r="F6277" s="4" t="str">
        <f>HYPERLINK("http://141.218.60.56/~jnz1568/getInfo.php?workbook=12_05.xlsx&amp;sheet=U0&amp;row=6277&amp;col=6&amp;number=4.3&amp;sourceID=14","4.3")</f>
        <v>4.3</v>
      </c>
      <c r="G6277" s="4" t="str">
        <f>HYPERLINK("http://141.218.60.56/~jnz1568/getInfo.php?workbook=12_05.xlsx&amp;sheet=U0&amp;row=6277&amp;col=7&amp;number=0.0441&amp;sourceID=14","0.0441")</f>
        <v>0.0441</v>
      </c>
    </row>
    <row r="6278" spans="1:7">
      <c r="A6278" s="3"/>
      <c r="B6278" s="3"/>
      <c r="C6278" s="3"/>
      <c r="D6278" s="3"/>
      <c r="E6278" s="3">
        <v>15</v>
      </c>
      <c r="F6278" s="4" t="str">
        <f>HYPERLINK("http://141.218.60.56/~jnz1568/getInfo.php?workbook=12_05.xlsx&amp;sheet=U0&amp;row=6278&amp;col=6&amp;number=4.4&amp;sourceID=14","4.4")</f>
        <v>4.4</v>
      </c>
      <c r="G6278" s="4" t="str">
        <f>HYPERLINK("http://141.218.60.56/~jnz1568/getInfo.php?workbook=12_05.xlsx&amp;sheet=U0&amp;row=6278&amp;col=7&amp;number=0.0443&amp;sourceID=14","0.0443")</f>
        <v>0.0443</v>
      </c>
    </row>
    <row r="6279" spans="1:7">
      <c r="A6279" s="3"/>
      <c r="B6279" s="3"/>
      <c r="C6279" s="3"/>
      <c r="D6279" s="3"/>
      <c r="E6279" s="3">
        <v>16</v>
      </c>
      <c r="F6279" s="4" t="str">
        <f>HYPERLINK("http://141.218.60.56/~jnz1568/getInfo.php?workbook=12_05.xlsx&amp;sheet=U0&amp;row=6279&amp;col=6&amp;number=4.5&amp;sourceID=14","4.5")</f>
        <v>4.5</v>
      </c>
      <c r="G6279" s="4" t="str">
        <f>HYPERLINK("http://141.218.60.56/~jnz1568/getInfo.php?workbook=12_05.xlsx&amp;sheet=U0&amp;row=6279&amp;col=7&amp;number=0.0444&amp;sourceID=14","0.0444")</f>
        <v>0.0444</v>
      </c>
    </row>
    <row r="6280" spans="1:7">
      <c r="A6280" s="3"/>
      <c r="B6280" s="3"/>
      <c r="C6280" s="3"/>
      <c r="D6280" s="3"/>
      <c r="E6280" s="3">
        <v>17</v>
      </c>
      <c r="F6280" s="4" t="str">
        <f>HYPERLINK("http://141.218.60.56/~jnz1568/getInfo.php?workbook=12_05.xlsx&amp;sheet=U0&amp;row=6280&amp;col=6&amp;number=4.6&amp;sourceID=14","4.6")</f>
        <v>4.6</v>
      </c>
      <c r="G6280" s="4" t="str">
        <f>HYPERLINK("http://141.218.60.56/~jnz1568/getInfo.php?workbook=12_05.xlsx&amp;sheet=U0&amp;row=6280&amp;col=7&amp;number=0.0446&amp;sourceID=14","0.0446")</f>
        <v>0.0446</v>
      </c>
    </row>
    <row r="6281" spans="1:7">
      <c r="A6281" s="3"/>
      <c r="B6281" s="3"/>
      <c r="C6281" s="3"/>
      <c r="D6281" s="3"/>
      <c r="E6281" s="3">
        <v>18</v>
      </c>
      <c r="F6281" s="4" t="str">
        <f>HYPERLINK("http://141.218.60.56/~jnz1568/getInfo.php?workbook=12_05.xlsx&amp;sheet=U0&amp;row=6281&amp;col=6&amp;number=4.7&amp;sourceID=14","4.7")</f>
        <v>4.7</v>
      </c>
      <c r="G6281" s="4" t="str">
        <f>HYPERLINK("http://141.218.60.56/~jnz1568/getInfo.php?workbook=12_05.xlsx&amp;sheet=U0&amp;row=6281&amp;col=7&amp;number=0.0449&amp;sourceID=14","0.0449")</f>
        <v>0.0449</v>
      </c>
    </row>
    <row r="6282" spans="1:7">
      <c r="A6282" s="3"/>
      <c r="B6282" s="3"/>
      <c r="C6282" s="3"/>
      <c r="D6282" s="3"/>
      <c r="E6282" s="3">
        <v>19</v>
      </c>
      <c r="F6282" s="4" t="str">
        <f>HYPERLINK("http://141.218.60.56/~jnz1568/getInfo.php?workbook=12_05.xlsx&amp;sheet=U0&amp;row=6282&amp;col=6&amp;number=4.8&amp;sourceID=14","4.8")</f>
        <v>4.8</v>
      </c>
      <c r="G6282" s="4" t="str">
        <f>HYPERLINK("http://141.218.60.56/~jnz1568/getInfo.php?workbook=12_05.xlsx&amp;sheet=U0&amp;row=6282&amp;col=7&amp;number=0.0452&amp;sourceID=14","0.0452")</f>
        <v>0.0452</v>
      </c>
    </row>
    <row r="6283" spans="1:7">
      <c r="A6283" s="3"/>
      <c r="B6283" s="3"/>
      <c r="C6283" s="3"/>
      <c r="D6283" s="3"/>
      <c r="E6283" s="3">
        <v>20</v>
      </c>
      <c r="F6283" s="4" t="str">
        <f>HYPERLINK("http://141.218.60.56/~jnz1568/getInfo.php?workbook=12_05.xlsx&amp;sheet=U0&amp;row=6283&amp;col=6&amp;number=4.9&amp;sourceID=14","4.9")</f>
        <v>4.9</v>
      </c>
      <c r="G6283" s="4" t="str">
        <f>HYPERLINK("http://141.218.60.56/~jnz1568/getInfo.php?workbook=12_05.xlsx&amp;sheet=U0&amp;row=6283&amp;col=7&amp;number=0.0456&amp;sourceID=14","0.0456")</f>
        <v>0.0456</v>
      </c>
    </row>
    <row r="6284" spans="1:7">
      <c r="A6284" s="3">
        <v>12</v>
      </c>
      <c r="B6284" s="3">
        <v>5</v>
      </c>
      <c r="C6284" s="3">
        <v>4</v>
      </c>
      <c r="D6284" s="3">
        <v>67</v>
      </c>
      <c r="E6284" s="3">
        <v>1</v>
      </c>
      <c r="F6284" s="4" t="str">
        <f>HYPERLINK("http://141.218.60.56/~jnz1568/getInfo.php?workbook=12_05.xlsx&amp;sheet=U0&amp;row=6284&amp;col=6&amp;number=3&amp;sourceID=14","3")</f>
        <v>3</v>
      </c>
      <c r="G6284" s="4" t="str">
        <f>HYPERLINK("http://141.218.60.56/~jnz1568/getInfo.php?workbook=12_05.xlsx&amp;sheet=U0&amp;row=6284&amp;col=7&amp;number=0.0226&amp;sourceID=14","0.0226")</f>
        <v>0.0226</v>
      </c>
    </row>
    <row r="6285" spans="1:7">
      <c r="A6285" s="3"/>
      <c r="B6285" s="3"/>
      <c r="C6285" s="3"/>
      <c r="D6285" s="3"/>
      <c r="E6285" s="3">
        <v>2</v>
      </c>
      <c r="F6285" s="4" t="str">
        <f>HYPERLINK("http://141.218.60.56/~jnz1568/getInfo.php?workbook=12_05.xlsx&amp;sheet=U0&amp;row=6285&amp;col=6&amp;number=3.1&amp;sourceID=14","3.1")</f>
        <v>3.1</v>
      </c>
      <c r="G6285" s="4" t="str">
        <f>HYPERLINK("http://141.218.60.56/~jnz1568/getInfo.php?workbook=12_05.xlsx&amp;sheet=U0&amp;row=6285&amp;col=7&amp;number=0.0226&amp;sourceID=14","0.0226")</f>
        <v>0.0226</v>
      </c>
    </row>
    <row r="6286" spans="1:7">
      <c r="A6286" s="3"/>
      <c r="B6286" s="3"/>
      <c r="C6286" s="3"/>
      <c r="D6286" s="3"/>
      <c r="E6286" s="3">
        <v>3</v>
      </c>
      <c r="F6286" s="4" t="str">
        <f>HYPERLINK("http://141.218.60.56/~jnz1568/getInfo.php?workbook=12_05.xlsx&amp;sheet=U0&amp;row=6286&amp;col=6&amp;number=3.2&amp;sourceID=14","3.2")</f>
        <v>3.2</v>
      </c>
      <c r="G6286" s="4" t="str">
        <f>HYPERLINK("http://141.218.60.56/~jnz1568/getInfo.php?workbook=12_05.xlsx&amp;sheet=U0&amp;row=6286&amp;col=7&amp;number=0.0226&amp;sourceID=14","0.0226")</f>
        <v>0.0226</v>
      </c>
    </row>
    <row r="6287" spans="1:7">
      <c r="A6287" s="3"/>
      <c r="B6287" s="3"/>
      <c r="C6287" s="3"/>
      <c r="D6287" s="3"/>
      <c r="E6287" s="3">
        <v>4</v>
      </c>
      <c r="F6287" s="4" t="str">
        <f>HYPERLINK("http://141.218.60.56/~jnz1568/getInfo.php?workbook=12_05.xlsx&amp;sheet=U0&amp;row=6287&amp;col=6&amp;number=3.3&amp;sourceID=14","3.3")</f>
        <v>3.3</v>
      </c>
      <c r="G6287" s="4" t="str">
        <f>HYPERLINK("http://141.218.60.56/~jnz1568/getInfo.php?workbook=12_05.xlsx&amp;sheet=U0&amp;row=6287&amp;col=7&amp;number=0.0226&amp;sourceID=14","0.0226")</f>
        <v>0.0226</v>
      </c>
    </row>
    <row r="6288" spans="1:7">
      <c r="A6288" s="3"/>
      <c r="B6288" s="3"/>
      <c r="C6288" s="3"/>
      <c r="D6288" s="3"/>
      <c r="E6288" s="3">
        <v>5</v>
      </c>
      <c r="F6288" s="4" t="str">
        <f>HYPERLINK("http://141.218.60.56/~jnz1568/getInfo.php?workbook=12_05.xlsx&amp;sheet=U0&amp;row=6288&amp;col=6&amp;number=3.4&amp;sourceID=14","3.4")</f>
        <v>3.4</v>
      </c>
      <c r="G6288" s="4" t="str">
        <f>HYPERLINK("http://141.218.60.56/~jnz1568/getInfo.php?workbook=12_05.xlsx&amp;sheet=U0&amp;row=6288&amp;col=7&amp;number=0.0226&amp;sourceID=14","0.0226")</f>
        <v>0.0226</v>
      </c>
    </row>
    <row r="6289" spans="1:7">
      <c r="A6289" s="3"/>
      <c r="B6289" s="3"/>
      <c r="C6289" s="3"/>
      <c r="D6289" s="3"/>
      <c r="E6289" s="3">
        <v>6</v>
      </c>
      <c r="F6289" s="4" t="str">
        <f>HYPERLINK("http://141.218.60.56/~jnz1568/getInfo.php?workbook=12_05.xlsx&amp;sheet=U0&amp;row=6289&amp;col=6&amp;number=3.5&amp;sourceID=14","3.5")</f>
        <v>3.5</v>
      </c>
      <c r="G6289" s="4" t="str">
        <f>HYPERLINK("http://141.218.60.56/~jnz1568/getInfo.php?workbook=12_05.xlsx&amp;sheet=U0&amp;row=6289&amp;col=7&amp;number=0.0226&amp;sourceID=14","0.0226")</f>
        <v>0.0226</v>
      </c>
    </row>
    <row r="6290" spans="1:7">
      <c r="A6290" s="3"/>
      <c r="B6290" s="3"/>
      <c r="C6290" s="3"/>
      <c r="D6290" s="3"/>
      <c r="E6290" s="3">
        <v>7</v>
      </c>
      <c r="F6290" s="4" t="str">
        <f>HYPERLINK("http://141.218.60.56/~jnz1568/getInfo.php?workbook=12_05.xlsx&amp;sheet=U0&amp;row=6290&amp;col=6&amp;number=3.6&amp;sourceID=14","3.6")</f>
        <v>3.6</v>
      </c>
      <c r="G6290" s="4" t="str">
        <f>HYPERLINK("http://141.218.60.56/~jnz1568/getInfo.php?workbook=12_05.xlsx&amp;sheet=U0&amp;row=6290&amp;col=7&amp;number=0.0226&amp;sourceID=14","0.0226")</f>
        <v>0.0226</v>
      </c>
    </row>
    <row r="6291" spans="1:7">
      <c r="A6291" s="3"/>
      <c r="B6291" s="3"/>
      <c r="C6291" s="3"/>
      <c r="D6291" s="3"/>
      <c r="E6291" s="3">
        <v>8</v>
      </c>
      <c r="F6291" s="4" t="str">
        <f>HYPERLINK("http://141.218.60.56/~jnz1568/getInfo.php?workbook=12_05.xlsx&amp;sheet=U0&amp;row=6291&amp;col=6&amp;number=3.7&amp;sourceID=14","3.7")</f>
        <v>3.7</v>
      </c>
      <c r="G6291" s="4" t="str">
        <f>HYPERLINK("http://141.218.60.56/~jnz1568/getInfo.php?workbook=12_05.xlsx&amp;sheet=U0&amp;row=6291&amp;col=7&amp;number=0.0226&amp;sourceID=14","0.0226")</f>
        <v>0.0226</v>
      </c>
    </row>
    <row r="6292" spans="1:7">
      <c r="A6292" s="3"/>
      <c r="B6292" s="3"/>
      <c r="C6292" s="3"/>
      <c r="D6292" s="3"/>
      <c r="E6292" s="3">
        <v>9</v>
      </c>
      <c r="F6292" s="4" t="str">
        <f>HYPERLINK("http://141.218.60.56/~jnz1568/getInfo.php?workbook=12_05.xlsx&amp;sheet=U0&amp;row=6292&amp;col=6&amp;number=3.8&amp;sourceID=14","3.8")</f>
        <v>3.8</v>
      </c>
      <c r="G6292" s="4" t="str">
        <f>HYPERLINK("http://141.218.60.56/~jnz1568/getInfo.php?workbook=12_05.xlsx&amp;sheet=U0&amp;row=6292&amp;col=7&amp;number=0.0226&amp;sourceID=14","0.0226")</f>
        <v>0.0226</v>
      </c>
    </row>
    <row r="6293" spans="1:7">
      <c r="A6293" s="3"/>
      <c r="B6293" s="3"/>
      <c r="C6293" s="3"/>
      <c r="D6293" s="3"/>
      <c r="E6293" s="3">
        <v>10</v>
      </c>
      <c r="F6293" s="4" t="str">
        <f>HYPERLINK("http://141.218.60.56/~jnz1568/getInfo.php?workbook=12_05.xlsx&amp;sheet=U0&amp;row=6293&amp;col=6&amp;number=3.9&amp;sourceID=14","3.9")</f>
        <v>3.9</v>
      </c>
      <c r="G6293" s="4" t="str">
        <f>HYPERLINK("http://141.218.60.56/~jnz1568/getInfo.php?workbook=12_05.xlsx&amp;sheet=U0&amp;row=6293&amp;col=7&amp;number=0.0226&amp;sourceID=14","0.0226")</f>
        <v>0.0226</v>
      </c>
    </row>
    <row r="6294" spans="1:7">
      <c r="A6294" s="3"/>
      <c r="B6294" s="3"/>
      <c r="C6294" s="3"/>
      <c r="D6294" s="3"/>
      <c r="E6294" s="3">
        <v>11</v>
      </c>
      <c r="F6294" s="4" t="str">
        <f>HYPERLINK("http://141.218.60.56/~jnz1568/getInfo.php?workbook=12_05.xlsx&amp;sheet=U0&amp;row=6294&amp;col=6&amp;number=4&amp;sourceID=14","4")</f>
        <v>4</v>
      </c>
      <c r="G6294" s="4" t="str">
        <f>HYPERLINK("http://141.218.60.56/~jnz1568/getInfo.php?workbook=12_05.xlsx&amp;sheet=U0&amp;row=6294&amp;col=7&amp;number=0.0226&amp;sourceID=14","0.0226")</f>
        <v>0.0226</v>
      </c>
    </row>
    <row r="6295" spans="1:7">
      <c r="A6295" s="3"/>
      <c r="B6295" s="3"/>
      <c r="C6295" s="3"/>
      <c r="D6295" s="3"/>
      <c r="E6295" s="3">
        <v>12</v>
      </c>
      <c r="F6295" s="4" t="str">
        <f>HYPERLINK("http://141.218.60.56/~jnz1568/getInfo.php?workbook=12_05.xlsx&amp;sheet=U0&amp;row=6295&amp;col=6&amp;number=4.1&amp;sourceID=14","4.1")</f>
        <v>4.1</v>
      </c>
      <c r="G6295" s="4" t="str">
        <f>HYPERLINK("http://141.218.60.56/~jnz1568/getInfo.php?workbook=12_05.xlsx&amp;sheet=U0&amp;row=6295&amp;col=7&amp;number=0.0227&amp;sourceID=14","0.0227")</f>
        <v>0.0227</v>
      </c>
    </row>
    <row r="6296" spans="1:7">
      <c r="A6296" s="3"/>
      <c r="B6296" s="3"/>
      <c r="C6296" s="3"/>
      <c r="D6296" s="3"/>
      <c r="E6296" s="3">
        <v>13</v>
      </c>
      <c r="F6296" s="4" t="str">
        <f>HYPERLINK("http://141.218.60.56/~jnz1568/getInfo.php?workbook=12_05.xlsx&amp;sheet=U0&amp;row=6296&amp;col=6&amp;number=4.2&amp;sourceID=14","4.2")</f>
        <v>4.2</v>
      </c>
      <c r="G6296" s="4" t="str">
        <f>HYPERLINK("http://141.218.60.56/~jnz1568/getInfo.php?workbook=12_05.xlsx&amp;sheet=U0&amp;row=6296&amp;col=7&amp;number=0.0227&amp;sourceID=14","0.0227")</f>
        <v>0.0227</v>
      </c>
    </row>
    <row r="6297" spans="1:7">
      <c r="A6297" s="3"/>
      <c r="B6297" s="3"/>
      <c r="C6297" s="3"/>
      <c r="D6297" s="3"/>
      <c r="E6297" s="3">
        <v>14</v>
      </c>
      <c r="F6297" s="4" t="str">
        <f>HYPERLINK("http://141.218.60.56/~jnz1568/getInfo.php?workbook=12_05.xlsx&amp;sheet=U0&amp;row=6297&amp;col=6&amp;number=4.3&amp;sourceID=14","4.3")</f>
        <v>4.3</v>
      </c>
      <c r="G6297" s="4" t="str">
        <f>HYPERLINK("http://141.218.60.56/~jnz1568/getInfo.php?workbook=12_05.xlsx&amp;sheet=U0&amp;row=6297&amp;col=7&amp;number=0.0227&amp;sourceID=14","0.0227")</f>
        <v>0.0227</v>
      </c>
    </row>
    <row r="6298" spans="1:7">
      <c r="A6298" s="3"/>
      <c r="B6298" s="3"/>
      <c r="C6298" s="3"/>
      <c r="D6298" s="3"/>
      <c r="E6298" s="3">
        <v>15</v>
      </c>
      <c r="F6298" s="4" t="str">
        <f>HYPERLINK("http://141.218.60.56/~jnz1568/getInfo.php?workbook=12_05.xlsx&amp;sheet=U0&amp;row=6298&amp;col=6&amp;number=4.4&amp;sourceID=14","4.4")</f>
        <v>4.4</v>
      </c>
      <c r="G6298" s="4" t="str">
        <f>HYPERLINK("http://141.218.60.56/~jnz1568/getInfo.php?workbook=12_05.xlsx&amp;sheet=U0&amp;row=6298&amp;col=7&amp;number=0.0228&amp;sourceID=14","0.0228")</f>
        <v>0.0228</v>
      </c>
    </row>
    <row r="6299" spans="1:7">
      <c r="A6299" s="3"/>
      <c r="B6299" s="3"/>
      <c r="C6299" s="3"/>
      <c r="D6299" s="3"/>
      <c r="E6299" s="3">
        <v>16</v>
      </c>
      <c r="F6299" s="4" t="str">
        <f>HYPERLINK("http://141.218.60.56/~jnz1568/getInfo.php?workbook=12_05.xlsx&amp;sheet=U0&amp;row=6299&amp;col=6&amp;number=4.5&amp;sourceID=14","4.5")</f>
        <v>4.5</v>
      </c>
      <c r="G6299" s="4" t="str">
        <f>HYPERLINK("http://141.218.60.56/~jnz1568/getInfo.php?workbook=12_05.xlsx&amp;sheet=U0&amp;row=6299&amp;col=7&amp;number=0.0228&amp;sourceID=14","0.0228")</f>
        <v>0.0228</v>
      </c>
    </row>
    <row r="6300" spans="1:7">
      <c r="A6300" s="3"/>
      <c r="B6300" s="3"/>
      <c r="C6300" s="3"/>
      <c r="D6300" s="3"/>
      <c r="E6300" s="3">
        <v>17</v>
      </c>
      <c r="F6300" s="4" t="str">
        <f>HYPERLINK("http://141.218.60.56/~jnz1568/getInfo.php?workbook=12_05.xlsx&amp;sheet=U0&amp;row=6300&amp;col=6&amp;number=4.6&amp;sourceID=14","4.6")</f>
        <v>4.6</v>
      </c>
      <c r="G6300" s="4" t="str">
        <f>HYPERLINK("http://141.218.60.56/~jnz1568/getInfo.php?workbook=12_05.xlsx&amp;sheet=U0&amp;row=6300&amp;col=7&amp;number=0.0229&amp;sourceID=14","0.0229")</f>
        <v>0.0229</v>
      </c>
    </row>
    <row r="6301" spans="1:7">
      <c r="A6301" s="3"/>
      <c r="B6301" s="3"/>
      <c r="C6301" s="3"/>
      <c r="D6301" s="3"/>
      <c r="E6301" s="3">
        <v>18</v>
      </c>
      <c r="F6301" s="4" t="str">
        <f>HYPERLINK("http://141.218.60.56/~jnz1568/getInfo.php?workbook=12_05.xlsx&amp;sheet=U0&amp;row=6301&amp;col=6&amp;number=4.7&amp;sourceID=14","4.7")</f>
        <v>4.7</v>
      </c>
      <c r="G6301" s="4" t="str">
        <f>HYPERLINK("http://141.218.60.56/~jnz1568/getInfo.php?workbook=12_05.xlsx&amp;sheet=U0&amp;row=6301&amp;col=7&amp;number=0.023&amp;sourceID=14","0.023")</f>
        <v>0.023</v>
      </c>
    </row>
    <row r="6302" spans="1:7">
      <c r="A6302" s="3"/>
      <c r="B6302" s="3"/>
      <c r="C6302" s="3"/>
      <c r="D6302" s="3"/>
      <c r="E6302" s="3">
        <v>19</v>
      </c>
      <c r="F6302" s="4" t="str">
        <f>HYPERLINK("http://141.218.60.56/~jnz1568/getInfo.php?workbook=12_05.xlsx&amp;sheet=U0&amp;row=6302&amp;col=6&amp;number=4.8&amp;sourceID=14","4.8")</f>
        <v>4.8</v>
      </c>
      <c r="G6302" s="4" t="str">
        <f>HYPERLINK("http://141.218.60.56/~jnz1568/getInfo.php?workbook=12_05.xlsx&amp;sheet=U0&amp;row=6302&amp;col=7&amp;number=0.0231&amp;sourceID=14","0.0231")</f>
        <v>0.0231</v>
      </c>
    </row>
    <row r="6303" spans="1:7">
      <c r="A6303" s="3"/>
      <c r="B6303" s="3"/>
      <c r="C6303" s="3"/>
      <c r="D6303" s="3"/>
      <c r="E6303" s="3">
        <v>20</v>
      </c>
      <c r="F6303" s="4" t="str">
        <f>HYPERLINK("http://141.218.60.56/~jnz1568/getInfo.php?workbook=12_05.xlsx&amp;sheet=U0&amp;row=6303&amp;col=6&amp;number=4.9&amp;sourceID=14","4.9")</f>
        <v>4.9</v>
      </c>
      <c r="G6303" s="4" t="str">
        <f>HYPERLINK("http://141.218.60.56/~jnz1568/getInfo.php?workbook=12_05.xlsx&amp;sheet=U0&amp;row=6303&amp;col=7&amp;number=0.0232&amp;sourceID=14","0.0232")</f>
        <v>0.0232</v>
      </c>
    </row>
    <row r="6304" spans="1:7">
      <c r="A6304" s="3">
        <v>12</v>
      </c>
      <c r="B6304" s="3">
        <v>5</v>
      </c>
      <c r="C6304" s="3">
        <v>4</v>
      </c>
      <c r="D6304" s="3">
        <v>68</v>
      </c>
      <c r="E6304" s="3">
        <v>1</v>
      </c>
      <c r="F6304" s="4" t="str">
        <f>HYPERLINK("http://141.218.60.56/~jnz1568/getInfo.php?workbook=12_05.xlsx&amp;sheet=U0&amp;row=6304&amp;col=6&amp;number=3&amp;sourceID=14","3")</f>
        <v>3</v>
      </c>
      <c r="G6304" s="4" t="str">
        <f>HYPERLINK("http://141.218.60.56/~jnz1568/getInfo.php?workbook=12_05.xlsx&amp;sheet=U0&amp;row=6304&amp;col=7&amp;number=0.00464&amp;sourceID=14","0.00464")</f>
        <v>0.00464</v>
      </c>
    </row>
    <row r="6305" spans="1:7">
      <c r="A6305" s="3"/>
      <c r="B6305" s="3"/>
      <c r="C6305" s="3"/>
      <c r="D6305" s="3"/>
      <c r="E6305" s="3">
        <v>2</v>
      </c>
      <c r="F6305" s="4" t="str">
        <f>HYPERLINK("http://141.218.60.56/~jnz1568/getInfo.php?workbook=12_05.xlsx&amp;sheet=U0&amp;row=6305&amp;col=6&amp;number=3.1&amp;sourceID=14","3.1")</f>
        <v>3.1</v>
      </c>
      <c r="G6305" s="4" t="str">
        <f>HYPERLINK("http://141.218.60.56/~jnz1568/getInfo.php?workbook=12_05.xlsx&amp;sheet=U0&amp;row=6305&amp;col=7&amp;number=0.00464&amp;sourceID=14","0.00464")</f>
        <v>0.00464</v>
      </c>
    </row>
    <row r="6306" spans="1:7">
      <c r="A6306" s="3"/>
      <c r="B6306" s="3"/>
      <c r="C6306" s="3"/>
      <c r="D6306" s="3"/>
      <c r="E6306" s="3">
        <v>3</v>
      </c>
      <c r="F6306" s="4" t="str">
        <f>HYPERLINK("http://141.218.60.56/~jnz1568/getInfo.php?workbook=12_05.xlsx&amp;sheet=U0&amp;row=6306&amp;col=6&amp;number=3.2&amp;sourceID=14","3.2")</f>
        <v>3.2</v>
      </c>
      <c r="G6306" s="4" t="str">
        <f>HYPERLINK("http://141.218.60.56/~jnz1568/getInfo.php?workbook=12_05.xlsx&amp;sheet=U0&amp;row=6306&amp;col=7&amp;number=0.00464&amp;sourceID=14","0.00464")</f>
        <v>0.00464</v>
      </c>
    </row>
    <row r="6307" spans="1:7">
      <c r="A6307" s="3"/>
      <c r="B6307" s="3"/>
      <c r="C6307" s="3"/>
      <c r="D6307" s="3"/>
      <c r="E6307" s="3">
        <v>4</v>
      </c>
      <c r="F6307" s="4" t="str">
        <f>HYPERLINK("http://141.218.60.56/~jnz1568/getInfo.php?workbook=12_05.xlsx&amp;sheet=U0&amp;row=6307&amp;col=6&amp;number=3.3&amp;sourceID=14","3.3")</f>
        <v>3.3</v>
      </c>
      <c r="G6307" s="4" t="str">
        <f>HYPERLINK("http://141.218.60.56/~jnz1568/getInfo.php?workbook=12_05.xlsx&amp;sheet=U0&amp;row=6307&amp;col=7&amp;number=0.00464&amp;sourceID=14","0.00464")</f>
        <v>0.00464</v>
      </c>
    </row>
    <row r="6308" spans="1:7">
      <c r="A6308" s="3"/>
      <c r="B6308" s="3"/>
      <c r="C6308" s="3"/>
      <c r="D6308" s="3"/>
      <c r="E6308" s="3">
        <v>5</v>
      </c>
      <c r="F6308" s="4" t="str">
        <f>HYPERLINK("http://141.218.60.56/~jnz1568/getInfo.php?workbook=12_05.xlsx&amp;sheet=U0&amp;row=6308&amp;col=6&amp;number=3.4&amp;sourceID=14","3.4")</f>
        <v>3.4</v>
      </c>
      <c r="G6308" s="4" t="str">
        <f>HYPERLINK("http://141.218.60.56/~jnz1568/getInfo.php?workbook=12_05.xlsx&amp;sheet=U0&amp;row=6308&amp;col=7&amp;number=0.00463&amp;sourceID=14","0.00463")</f>
        <v>0.00463</v>
      </c>
    </row>
    <row r="6309" spans="1:7">
      <c r="A6309" s="3"/>
      <c r="B6309" s="3"/>
      <c r="C6309" s="3"/>
      <c r="D6309" s="3"/>
      <c r="E6309" s="3">
        <v>6</v>
      </c>
      <c r="F6309" s="4" t="str">
        <f>HYPERLINK("http://141.218.60.56/~jnz1568/getInfo.php?workbook=12_05.xlsx&amp;sheet=U0&amp;row=6309&amp;col=6&amp;number=3.5&amp;sourceID=14","3.5")</f>
        <v>3.5</v>
      </c>
      <c r="G6309" s="4" t="str">
        <f>HYPERLINK("http://141.218.60.56/~jnz1568/getInfo.php?workbook=12_05.xlsx&amp;sheet=U0&amp;row=6309&amp;col=7&amp;number=0.00463&amp;sourceID=14","0.00463")</f>
        <v>0.00463</v>
      </c>
    </row>
    <row r="6310" spans="1:7">
      <c r="A6310" s="3"/>
      <c r="B6310" s="3"/>
      <c r="C6310" s="3"/>
      <c r="D6310" s="3"/>
      <c r="E6310" s="3">
        <v>7</v>
      </c>
      <c r="F6310" s="4" t="str">
        <f>HYPERLINK("http://141.218.60.56/~jnz1568/getInfo.php?workbook=12_05.xlsx&amp;sheet=U0&amp;row=6310&amp;col=6&amp;number=3.6&amp;sourceID=14","3.6")</f>
        <v>3.6</v>
      </c>
      <c r="G6310" s="4" t="str">
        <f>HYPERLINK("http://141.218.60.56/~jnz1568/getInfo.php?workbook=12_05.xlsx&amp;sheet=U0&amp;row=6310&amp;col=7&amp;number=0.00463&amp;sourceID=14","0.00463")</f>
        <v>0.00463</v>
      </c>
    </row>
    <row r="6311" spans="1:7">
      <c r="A6311" s="3"/>
      <c r="B6311" s="3"/>
      <c r="C6311" s="3"/>
      <c r="D6311" s="3"/>
      <c r="E6311" s="3">
        <v>8</v>
      </c>
      <c r="F6311" s="4" t="str">
        <f>HYPERLINK("http://141.218.60.56/~jnz1568/getInfo.php?workbook=12_05.xlsx&amp;sheet=U0&amp;row=6311&amp;col=6&amp;number=3.7&amp;sourceID=14","3.7")</f>
        <v>3.7</v>
      </c>
      <c r="G6311" s="4" t="str">
        <f>HYPERLINK("http://141.218.60.56/~jnz1568/getInfo.php?workbook=12_05.xlsx&amp;sheet=U0&amp;row=6311&amp;col=7&amp;number=0.00462&amp;sourceID=14","0.00462")</f>
        <v>0.00462</v>
      </c>
    </row>
    <row r="6312" spans="1:7">
      <c r="A6312" s="3"/>
      <c r="B6312" s="3"/>
      <c r="C6312" s="3"/>
      <c r="D6312" s="3"/>
      <c r="E6312" s="3">
        <v>9</v>
      </c>
      <c r="F6312" s="4" t="str">
        <f>HYPERLINK("http://141.218.60.56/~jnz1568/getInfo.php?workbook=12_05.xlsx&amp;sheet=U0&amp;row=6312&amp;col=6&amp;number=3.8&amp;sourceID=14","3.8")</f>
        <v>3.8</v>
      </c>
      <c r="G6312" s="4" t="str">
        <f>HYPERLINK("http://141.218.60.56/~jnz1568/getInfo.php?workbook=12_05.xlsx&amp;sheet=U0&amp;row=6312&amp;col=7&amp;number=0.00462&amp;sourceID=14","0.00462")</f>
        <v>0.00462</v>
      </c>
    </row>
    <row r="6313" spans="1:7">
      <c r="A6313" s="3"/>
      <c r="B6313" s="3"/>
      <c r="C6313" s="3"/>
      <c r="D6313" s="3"/>
      <c r="E6313" s="3">
        <v>10</v>
      </c>
      <c r="F6313" s="4" t="str">
        <f>HYPERLINK("http://141.218.60.56/~jnz1568/getInfo.php?workbook=12_05.xlsx&amp;sheet=U0&amp;row=6313&amp;col=6&amp;number=3.9&amp;sourceID=14","3.9")</f>
        <v>3.9</v>
      </c>
      <c r="G6313" s="4" t="str">
        <f>HYPERLINK("http://141.218.60.56/~jnz1568/getInfo.php?workbook=12_05.xlsx&amp;sheet=U0&amp;row=6313&amp;col=7&amp;number=0.00461&amp;sourceID=14","0.00461")</f>
        <v>0.00461</v>
      </c>
    </row>
    <row r="6314" spans="1:7">
      <c r="A6314" s="3"/>
      <c r="B6314" s="3"/>
      <c r="C6314" s="3"/>
      <c r="D6314" s="3"/>
      <c r="E6314" s="3">
        <v>11</v>
      </c>
      <c r="F6314" s="4" t="str">
        <f>HYPERLINK("http://141.218.60.56/~jnz1568/getInfo.php?workbook=12_05.xlsx&amp;sheet=U0&amp;row=6314&amp;col=6&amp;number=4&amp;sourceID=14","4")</f>
        <v>4</v>
      </c>
      <c r="G6314" s="4" t="str">
        <f>HYPERLINK("http://141.218.60.56/~jnz1568/getInfo.php?workbook=12_05.xlsx&amp;sheet=U0&amp;row=6314&amp;col=7&amp;number=0.0046&amp;sourceID=14","0.0046")</f>
        <v>0.0046</v>
      </c>
    </row>
    <row r="6315" spans="1:7">
      <c r="A6315" s="3"/>
      <c r="B6315" s="3"/>
      <c r="C6315" s="3"/>
      <c r="D6315" s="3"/>
      <c r="E6315" s="3">
        <v>12</v>
      </c>
      <c r="F6315" s="4" t="str">
        <f>HYPERLINK("http://141.218.60.56/~jnz1568/getInfo.php?workbook=12_05.xlsx&amp;sheet=U0&amp;row=6315&amp;col=6&amp;number=4.1&amp;sourceID=14","4.1")</f>
        <v>4.1</v>
      </c>
      <c r="G6315" s="4" t="str">
        <f>HYPERLINK("http://141.218.60.56/~jnz1568/getInfo.php?workbook=12_05.xlsx&amp;sheet=U0&amp;row=6315&amp;col=7&amp;number=0.00459&amp;sourceID=14","0.00459")</f>
        <v>0.00459</v>
      </c>
    </row>
    <row r="6316" spans="1:7">
      <c r="A6316" s="3"/>
      <c r="B6316" s="3"/>
      <c r="C6316" s="3"/>
      <c r="D6316" s="3"/>
      <c r="E6316" s="3">
        <v>13</v>
      </c>
      <c r="F6316" s="4" t="str">
        <f>HYPERLINK("http://141.218.60.56/~jnz1568/getInfo.php?workbook=12_05.xlsx&amp;sheet=U0&amp;row=6316&amp;col=6&amp;number=4.2&amp;sourceID=14","4.2")</f>
        <v>4.2</v>
      </c>
      <c r="G6316" s="4" t="str">
        <f>HYPERLINK("http://141.218.60.56/~jnz1568/getInfo.php?workbook=12_05.xlsx&amp;sheet=U0&amp;row=6316&amp;col=7&amp;number=0.00458&amp;sourceID=14","0.00458")</f>
        <v>0.00458</v>
      </c>
    </row>
    <row r="6317" spans="1:7">
      <c r="A6317" s="3"/>
      <c r="B6317" s="3"/>
      <c r="C6317" s="3"/>
      <c r="D6317" s="3"/>
      <c r="E6317" s="3">
        <v>14</v>
      </c>
      <c r="F6317" s="4" t="str">
        <f>HYPERLINK("http://141.218.60.56/~jnz1568/getInfo.php?workbook=12_05.xlsx&amp;sheet=U0&amp;row=6317&amp;col=6&amp;number=4.3&amp;sourceID=14","4.3")</f>
        <v>4.3</v>
      </c>
      <c r="G6317" s="4" t="str">
        <f>HYPERLINK("http://141.218.60.56/~jnz1568/getInfo.php?workbook=12_05.xlsx&amp;sheet=U0&amp;row=6317&amp;col=7&amp;number=0.00457&amp;sourceID=14","0.00457")</f>
        <v>0.00457</v>
      </c>
    </row>
    <row r="6318" spans="1:7">
      <c r="A6318" s="3"/>
      <c r="B6318" s="3"/>
      <c r="C6318" s="3"/>
      <c r="D6318" s="3"/>
      <c r="E6318" s="3">
        <v>15</v>
      </c>
      <c r="F6318" s="4" t="str">
        <f>HYPERLINK("http://141.218.60.56/~jnz1568/getInfo.php?workbook=12_05.xlsx&amp;sheet=U0&amp;row=6318&amp;col=6&amp;number=4.4&amp;sourceID=14","4.4")</f>
        <v>4.4</v>
      </c>
      <c r="G6318" s="4" t="str">
        <f>HYPERLINK("http://141.218.60.56/~jnz1568/getInfo.php?workbook=12_05.xlsx&amp;sheet=U0&amp;row=6318&amp;col=7&amp;number=0.00455&amp;sourceID=14","0.00455")</f>
        <v>0.00455</v>
      </c>
    </row>
    <row r="6319" spans="1:7">
      <c r="A6319" s="3"/>
      <c r="B6319" s="3"/>
      <c r="C6319" s="3"/>
      <c r="D6319" s="3"/>
      <c r="E6319" s="3">
        <v>16</v>
      </c>
      <c r="F6319" s="4" t="str">
        <f>HYPERLINK("http://141.218.60.56/~jnz1568/getInfo.php?workbook=12_05.xlsx&amp;sheet=U0&amp;row=6319&amp;col=6&amp;number=4.5&amp;sourceID=14","4.5")</f>
        <v>4.5</v>
      </c>
      <c r="G6319" s="4" t="str">
        <f>HYPERLINK("http://141.218.60.56/~jnz1568/getInfo.php?workbook=12_05.xlsx&amp;sheet=U0&amp;row=6319&amp;col=7&amp;number=0.00452&amp;sourceID=14","0.00452")</f>
        <v>0.00452</v>
      </c>
    </row>
    <row r="6320" spans="1:7">
      <c r="A6320" s="3"/>
      <c r="B6320" s="3"/>
      <c r="C6320" s="3"/>
      <c r="D6320" s="3"/>
      <c r="E6320" s="3">
        <v>17</v>
      </c>
      <c r="F6320" s="4" t="str">
        <f>HYPERLINK("http://141.218.60.56/~jnz1568/getInfo.php?workbook=12_05.xlsx&amp;sheet=U0&amp;row=6320&amp;col=6&amp;number=4.6&amp;sourceID=14","4.6")</f>
        <v>4.6</v>
      </c>
      <c r="G6320" s="4" t="str">
        <f>HYPERLINK("http://141.218.60.56/~jnz1568/getInfo.php?workbook=12_05.xlsx&amp;sheet=U0&amp;row=6320&amp;col=7&amp;number=0.00449&amp;sourceID=14","0.00449")</f>
        <v>0.00449</v>
      </c>
    </row>
    <row r="6321" spans="1:7">
      <c r="A6321" s="3"/>
      <c r="B6321" s="3"/>
      <c r="C6321" s="3"/>
      <c r="D6321" s="3"/>
      <c r="E6321" s="3">
        <v>18</v>
      </c>
      <c r="F6321" s="4" t="str">
        <f>HYPERLINK("http://141.218.60.56/~jnz1568/getInfo.php?workbook=12_05.xlsx&amp;sheet=U0&amp;row=6321&amp;col=6&amp;number=4.7&amp;sourceID=14","4.7")</f>
        <v>4.7</v>
      </c>
      <c r="G6321" s="4" t="str">
        <f>HYPERLINK("http://141.218.60.56/~jnz1568/getInfo.php?workbook=12_05.xlsx&amp;sheet=U0&amp;row=6321&amp;col=7&amp;number=0.00445&amp;sourceID=14","0.00445")</f>
        <v>0.00445</v>
      </c>
    </row>
    <row r="6322" spans="1:7">
      <c r="A6322" s="3"/>
      <c r="B6322" s="3"/>
      <c r="C6322" s="3"/>
      <c r="D6322" s="3"/>
      <c r="E6322" s="3">
        <v>19</v>
      </c>
      <c r="F6322" s="4" t="str">
        <f>HYPERLINK("http://141.218.60.56/~jnz1568/getInfo.php?workbook=12_05.xlsx&amp;sheet=U0&amp;row=6322&amp;col=6&amp;number=4.8&amp;sourceID=14","4.8")</f>
        <v>4.8</v>
      </c>
      <c r="G6322" s="4" t="str">
        <f>HYPERLINK("http://141.218.60.56/~jnz1568/getInfo.php?workbook=12_05.xlsx&amp;sheet=U0&amp;row=6322&amp;col=7&amp;number=0.0044&amp;sourceID=14","0.0044")</f>
        <v>0.0044</v>
      </c>
    </row>
    <row r="6323" spans="1:7">
      <c r="A6323" s="3"/>
      <c r="B6323" s="3"/>
      <c r="C6323" s="3"/>
      <c r="D6323" s="3"/>
      <c r="E6323" s="3">
        <v>20</v>
      </c>
      <c r="F6323" s="4" t="str">
        <f>HYPERLINK("http://141.218.60.56/~jnz1568/getInfo.php?workbook=12_05.xlsx&amp;sheet=U0&amp;row=6323&amp;col=6&amp;number=4.9&amp;sourceID=14","4.9")</f>
        <v>4.9</v>
      </c>
      <c r="G6323" s="4" t="str">
        <f>HYPERLINK("http://141.218.60.56/~jnz1568/getInfo.php?workbook=12_05.xlsx&amp;sheet=U0&amp;row=6323&amp;col=7&amp;number=0.00435&amp;sourceID=14","0.00435")</f>
        <v>0.00435</v>
      </c>
    </row>
    <row r="6324" spans="1:7">
      <c r="A6324" s="3">
        <v>12</v>
      </c>
      <c r="B6324" s="3">
        <v>5</v>
      </c>
      <c r="C6324" s="3">
        <v>4</v>
      </c>
      <c r="D6324" s="3">
        <v>70</v>
      </c>
      <c r="E6324" s="3">
        <v>1</v>
      </c>
      <c r="F6324" s="4" t="str">
        <f>HYPERLINK("http://141.218.60.56/~jnz1568/getInfo.php?workbook=12_05.xlsx&amp;sheet=U0&amp;row=6324&amp;col=6&amp;number=3&amp;sourceID=14","3")</f>
        <v>3</v>
      </c>
      <c r="G6324" s="4" t="str">
        <f>HYPERLINK("http://141.218.60.56/~jnz1568/getInfo.php?workbook=12_05.xlsx&amp;sheet=U0&amp;row=6324&amp;col=7&amp;number=0.00238&amp;sourceID=14","0.00238")</f>
        <v>0.00238</v>
      </c>
    </row>
    <row r="6325" spans="1:7">
      <c r="A6325" s="3"/>
      <c r="B6325" s="3"/>
      <c r="C6325" s="3"/>
      <c r="D6325" s="3"/>
      <c r="E6325" s="3">
        <v>2</v>
      </c>
      <c r="F6325" s="4" t="str">
        <f>HYPERLINK("http://141.218.60.56/~jnz1568/getInfo.php?workbook=12_05.xlsx&amp;sheet=U0&amp;row=6325&amp;col=6&amp;number=3.1&amp;sourceID=14","3.1")</f>
        <v>3.1</v>
      </c>
      <c r="G6325" s="4" t="str">
        <f>HYPERLINK("http://141.218.60.56/~jnz1568/getInfo.php?workbook=12_05.xlsx&amp;sheet=U0&amp;row=6325&amp;col=7&amp;number=0.00238&amp;sourceID=14","0.00238")</f>
        <v>0.00238</v>
      </c>
    </row>
    <row r="6326" spans="1:7">
      <c r="A6326" s="3"/>
      <c r="B6326" s="3"/>
      <c r="C6326" s="3"/>
      <c r="D6326" s="3"/>
      <c r="E6326" s="3">
        <v>3</v>
      </c>
      <c r="F6326" s="4" t="str">
        <f>HYPERLINK("http://141.218.60.56/~jnz1568/getInfo.php?workbook=12_05.xlsx&amp;sheet=U0&amp;row=6326&amp;col=6&amp;number=3.2&amp;sourceID=14","3.2")</f>
        <v>3.2</v>
      </c>
      <c r="G6326" s="4" t="str">
        <f>HYPERLINK("http://141.218.60.56/~jnz1568/getInfo.php?workbook=12_05.xlsx&amp;sheet=U0&amp;row=6326&amp;col=7&amp;number=0.00238&amp;sourceID=14","0.00238")</f>
        <v>0.00238</v>
      </c>
    </row>
    <row r="6327" spans="1:7">
      <c r="A6327" s="3"/>
      <c r="B6327" s="3"/>
      <c r="C6327" s="3"/>
      <c r="D6327" s="3"/>
      <c r="E6327" s="3">
        <v>4</v>
      </c>
      <c r="F6327" s="4" t="str">
        <f>HYPERLINK("http://141.218.60.56/~jnz1568/getInfo.php?workbook=12_05.xlsx&amp;sheet=U0&amp;row=6327&amp;col=6&amp;number=3.3&amp;sourceID=14","3.3")</f>
        <v>3.3</v>
      </c>
      <c r="G6327" s="4" t="str">
        <f>HYPERLINK("http://141.218.60.56/~jnz1568/getInfo.php?workbook=12_05.xlsx&amp;sheet=U0&amp;row=6327&amp;col=7&amp;number=0.00238&amp;sourceID=14","0.00238")</f>
        <v>0.00238</v>
      </c>
    </row>
    <row r="6328" spans="1:7">
      <c r="A6328" s="3"/>
      <c r="B6328" s="3"/>
      <c r="C6328" s="3"/>
      <c r="D6328" s="3"/>
      <c r="E6328" s="3">
        <v>5</v>
      </c>
      <c r="F6328" s="4" t="str">
        <f>HYPERLINK("http://141.218.60.56/~jnz1568/getInfo.php?workbook=12_05.xlsx&amp;sheet=U0&amp;row=6328&amp;col=6&amp;number=3.4&amp;sourceID=14","3.4")</f>
        <v>3.4</v>
      </c>
      <c r="G6328" s="4" t="str">
        <f>HYPERLINK("http://141.218.60.56/~jnz1568/getInfo.php?workbook=12_05.xlsx&amp;sheet=U0&amp;row=6328&amp;col=7&amp;number=0.00238&amp;sourceID=14","0.00238")</f>
        <v>0.00238</v>
      </c>
    </row>
    <row r="6329" spans="1:7">
      <c r="A6329" s="3"/>
      <c r="B6329" s="3"/>
      <c r="C6329" s="3"/>
      <c r="D6329" s="3"/>
      <c r="E6329" s="3">
        <v>6</v>
      </c>
      <c r="F6329" s="4" t="str">
        <f>HYPERLINK("http://141.218.60.56/~jnz1568/getInfo.php?workbook=12_05.xlsx&amp;sheet=U0&amp;row=6329&amp;col=6&amp;number=3.5&amp;sourceID=14","3.5")</f>
        <v>3.5</v>
      </c>
      <c r="G6329" s="4" t="str">
        <f>HYPERLINK("http://141.218.60.56/~jnz1568/getInfo.php?workbook=12_05.xlsx&amp;sheet=U0&amp;row=6329&amp;col=7&amp;number=0.00238&amp;sourceID=14","0.00238")</f>
        <v>0.00238</v>
      </c>
    </row>
    <row r="6330" spans="1:7">
      <c r="A6330" s="3"/>
      <c r="B6330" s="3"/>
      <c r="C6330" s="3"/>
      <c r="D6330" s="3"/>
      <c r="E6330" s="3">
        <v>7</v>
      </c>
      <c r="F6330" s="4" t="str">
        <f>HYPERLINK("http://141.218.60.56/~jnz1568/getInfo.php?workbook=12_05.xlsx&amp;sheet=U0&amp;row=6330&amp;col=6&amp;number=3.6&amp;sourceID=14","3.6")</f>
        <v>3.6</v>
      </c>
      <c r="G6330" s="4" t="str">
        <f>HYPERLINK("http://141.218.60.56/~jnz1568/getInfo.php?workbook=12_05.xlsx&amp;sheet=U0&amp;row=6330&amp;col=7&amp;number=0.00238&amp;sourceID=14","0.00238")</f>
        <v>0.00238</v>
      </c>
    </row>
    <row r="6331" spans="1:7">
      <c r="A6331" s="3"/>
      <c r="B6331" s="3"/>
      <c r="C6331" s="3"/>
      <c r="D6331" s="3"/>
      <c r="E6331" s="3">
        <v>8</v>
      </c>
      <c r="F6331" s="4" t="str">
        <f>HYPERLINK("http://141.218.60.56/~jnz1568/getInfo.php?workbook=12_05.xlsx&amp;sheet=U0&amp;row=6331&amp;col=6&amp;number=3.7&amp;sourceID=14","3.7")</f>
        <v>3.7</v>
      </c>
      <c r="G6331" s="4" t="str">
        <f>HYPERLINK("http://141.218.60.56/~jnz1568/getInfo.php?workbook=12_05.xlsx&amp;sheet=U0&amp;row=6331&amp;col=7&amp;number=0.00237&amp;sourceID=14","0.00237")</f>
        <v>0.00237</v>
      </c>
    </row>
    <row r="6332" spans="1:7">
      <c r="A6332" s="3"/>
      <c r="B6332" s="3"/>
      <c r="C6332" s="3"/>
      <c r="D6332" s="3"/>
      <c r="E6332" s="3">
        <v>9</v>
      </c>
      <c r="F6332" s="4" t="str">
        <f>HYPERLINK("http://141.218.60.56/~jnz1568/getInfo.php?workbook=12_05.xlsx&amp;sheet=U0&amp;row=6332&amp;col=6&amp;number=3.8&amp;sourceID=14","3.8")</f>
        <v>3.8</v>
      </c>
      <c r="G6332" s="4" t="str">
        <f>HYPERLINK("http://141.218.60.56/~jnz1568/getInfo.php?workbook=12_05.xlsx&amp;sheet=U0&amp;row=6332&amp;col=7&amp;number=0.00237&amp;sourceID=14","0.00237")</f>
        <v>0.00237</v>
      </c>
    </row>
    <row r="6333" spans="1:7">
      <c r="A6333" s="3"/>
      <c r="B6333" s="3"/>
      <c r="C6333" s="3"/>
      <c r="D6333" s="3"/>
      <c r="E6333" s="3">
        <v>10</v>
      </c>
      <c r="F6333" s="4" t="str">
        <f>HYPERLINK("http://141.218.60.56/~jnz1568/getInfo.php?workbook=12_05.xlsx&amp;sheet=U0&amp;row=6333&amp;col=6&amp;number=3.9&amp;sourceID=14","3.9")</f>
        <v>3.9</v>
      </c>
      <c r="G6333" s="4" t="str">
        <f>HYPERLINK("http://141.218.60.56/~jnz1568/getInfo.php?workbook=12_05.xlsx&amp;sheet=U0&amp;row=6333&amp;col=7&amp;number=0.00237&amp;sourceID=14","0.00237")</f>
        <v>0.00237</v>
      </c>
    </row>
    <row r="6334" spans="1:7">
      <c r="A6334" s="3"/>
      <c r="B6334" s="3"/>
      <c r="C6334" s="3"/>
      <c r="D6334" s="3"/>
      <c r="E6334" s="3">
        <v>11</v>
      </c>
      <c r="F6334" s="4" t="str">
        <f>HYPERLINK("http://141.218.60.56/~jnz1568/getInfo.php?workbook=12_05.xlsx&amp;sheet=U0&amp;row=6334&amp;col=6&amp;number=4&amp;sourceID=14","4")</f>
        <v>4</v>
      </c>
      <c r="G6334" s="4" t="str">
        <f>HYPERLINK("http://141.218.60.56/~jnz1568/getInfo.php?workbook=12_05.xlsx&amp;sheet=U0&amp;row=6334&amp;col=7&amp;number=0.00236&amp;sourceID=14","0.00236")</f>
        <v>0.00236</v>
      </c>
    </row>
    <row r="6335" spans="1:7">
      <c r="A6335" s="3"/>
      <c r="B6335" s="3"/>
      <c r="C6335" s="3"/>
      <c r="D6335" s="3"/>
      <c r="E6335" s="3">
        <v>12</v>
      </c>
      <c r="F6335" s="4" t="str">
        <f>HYPERLINK("http://141.218.60.56/~jnz1568/getInfo.php?workbook=12_05.xlsx&amp;sheet=U0&amp;row=6335&amp;col=6&amp;number=4.1&amp;sourceID=14","4.1")</f>
        <v>4.1</v>
      </c>
      <c r="G6335" s="4" t="str">
        <f>HYPERLINK("http://141.218.60.56/~jnz1568/getInfo.php?workbook=12_05.xlsx&amp;sheet=U0&amp;row=6335&amp;col=7&amp;number=0.00236&amp;sourceID=14","0.00236")</f>
        <v>0.00236</v>
      </c>
    </row>
    <row r="6336" spans="1:7">
      <c r="A6336" s="3"/>
      <c r="B6336" s="3"/>
      <c r="C6336" s="3"/>
      <c r="D6336" s="3"/>
      <c r="E6336" s="3">
        <v>13</v>
      </c>
      <c r="F6336" s="4" t="str">
        <f>HYPERLINK("http://141.218.60.56/~jnz1568/getInfo.php?workbook=12_05.xlsx&amp;sheet=U0&amp;row=6336&amp;col=6&amp;number=4.2&amp;sourceID=14","4.2")</f>
        <v>4.2</v>
      </c>
      <c r="G6336" s="4" t="str">
        <f>HYPERLINK("http://141.218.60.56/~jnz1568/getInfo.php?workbook=12_05.xlsx&amp;sheet=U0&amp;row=6336&amp;col=7&amp;number=0.00235&amp;sourceID=14","0.00235")</f>
        <v>0.00235</v>
      </c>
    </row>
    <row r="6337" spans="1:7">
      <c r="A6337" s="3"/>
      <c r="B6337" s="3"/>
      <c r="C6337" s="3"/>
      <c r="D6337" s="3"/>
      <c r="E6337" s="3">
        <v>14</v>
      </c>
      <c r="F6337" s="4" t="str">
        <f>HYPERLINK("http://141.218.60.56/~jnz1568/getInfo.php?workbook=12_05.xlsx&amp;sheet=U0&amp;row=6337&amp;col=6&amp;number=4.3&amp;sourceID=14","4.3")</f>
        <v>4.3</v>
      </c>
      <c r="G6337" s="4" t="str">
        <f>HYPERLINK("http://141.218.60.56/~jnz1568/getInfo.php?workbook=12_05.xlsx&amp;sheet=U0&amp;row=6337&amp;col=7&amp;number=0.00234&amp;sourceID=14","0.00234")</f>
        <v>0.00234</v>
      </c>
    </row>
    <row r="6338" spans="1:7">
      <c r="A6338" s="3"/>
      <c r="B6338" s="3"/>
      <c r="C6338" s="3"/>
      <c r="D6338" s="3"/>
      <c r="E6338" s="3">
        <v>15</v>
      </c>
      <c r="F6338" s="4" t="str">
        <f>HYPERLINK("http://141.218.60.56/~jnz1568/getInfo.php?workbook=12_05.xlsx&amp;sheet=U0&amp;row=6338&amp;col=6&amp;number=4.4&amp;sourceID=14","4.4")</f>
        <v>4.4</v>
      </c>
      <c r="G6338" s="4" t="str">
        <f>HYPERLINK("http://141.218.60.56/~jnz1568/getInfo.php?workbook=12_05.xlsx&amp;sheet=U0&amp;row=6338&amp;col=7&amp;number=0.00233&amp;sourceID=14","0.00233")</f>
        <v>0.00233</v>
      </c>
    </row>
    <row r="6339" spans="1:7">
      <c r="A6339" s="3"/>
      <c r="B6339" s="3"/>
      <c r="C6339" s="3"/>
      <c r="D6339" s="3"/>
      <c r="E6339" s="3">
        <v>16</v>
      </c>
      <c r="F6339" s="4" t="str">
        <f>HYPERLINK("http://141.218.60.56/~jnz1568/getInfo.php?workbook=12_05.xlsx&amp;sheet=U0&amp;row=6339&amp;col=6&amp;number=4.5&amp;sourceID=14","4.5")</f>
        <v>4.5</v>
      </c>
      <c r="G6339" s="4" t="str">
        <f>HYPERLINK("http://141.218.60.56/~jnz1568/getInfo.php?workbook=12_05.xlsx&amp;sheet=U0&amp;row=6339&amp;col=7&amp;number=0.00232&amp;sourceID=14","0.00232")</f>
        <v>0.00232</v>
      </c>
    </row>
    <row r="6340" spans="1:7">
      <c r="A6340" s="3"/>
      <c r="B6340" s="3"/>
      <c r="C6340" s="3"/>
      <c r="D6340" s="3"/>
      <c r="E6340" s="3">
        <v>17</v>
      </c>
      <c r="F6340" s="4" t="str">
        <f>HYPERLINK("http://141.218.60.56/~jnz1568/getInfo.php?workbook=12_05.xlsx&amp;sheet=U0&amp;row=6340&amp;col=6&amp;number=4.6&amp;sourceID=14","4.6")</f>
        <v>4.6</v>
      </c>
      <c r="G6340" s="4" t="str">
        <f>HYPERLINK("http://141.218.60.56/~jnz1568/getInfo.php?workbook=12_05.xlsx&amp;sheet=U0&amp;row=6340&amp;col=7&amp;number=0.0023&amp;sourceID=14","0.0023")</f>
        <v>0.0023</v>
      </c>
    </row>
    <row r="6341" spans="1:7">
      <c r="A6341" s="3"/>
      <c r="B6341" s="3"/>
      <c r="C6341" s="3"/>
      <c r="D6341" s="3"/>
      <c r="E6341" s="3">
        <v>18</v>
      </c>
      <c r="F6341" s="4" t="str">
        <f>HYPERLINK("http://141.218.60.56/~jnz1568/getInfo.php?workbook=12_05.xlsx&amp;sheet=U0&amp;row=6341&amp;col=6&amp;number=4.7&amp;sourceID=14","4.7")</f>
        <v>4.7</v>
      </c>
      <c r="G6341" s="4" t="str">
        <f>HYPERLINK("http://141.218.60.56/~jnz1568/getInfo.php?workbook=12_05.xlsx&amp;sheet=U0&amp;row=6341&amp;col=7&amp;number=0.00228&amp;sourceID=14","0.00228")</f>
        <v>0.00228</v>
      </c>
    </row>
    <row r="6342" spans="1:7">
      <c r="A6342" s="3"/>
      <c r="B6342" s="3"/>
      <c r="C6342" s="3"/>
      <c r="D6342" s="3"/>
      <c r="E6342" s="3">
        <v>19</v>
      </c>
      <c r="F6342" s="4" t="str">
        <f>HYPERLINK("http://141.218.60.56/~jnz1568/getInfo.php?workbook=12_05.xlsx&amp;sheet=U0&amp;row=6342&amp;col=6&amp;number=4.8&amp;sourceID=14","4.8")</f>
        <v>4.8</v>
      </c>
      <c r="G6342" s="4" t="str">
        <f>HYPERLINK("http://141.218.60.56/~jnz1568/getInfo.php?workbook=12_05.xlsx&amp;sheet=U0&amp;row=6342&amp;col=7&amp;number=0.00225&amp;sourceID=14","0.00225")</f>
        <v>0.00225</v>
      </c>
    </row>
    <row r="6343" spans="1:7">
      <c r="A6343" s="3"/>
      <c r="B6343" s="3"/>
      <c r="C6343" s="3"/>
      <c r="D6343" s="3"/>
      <c r="E6343" s="3">
        <v>20</v>
      </c>
      <c r="F6343" s="4" t="str">
        <f>HYPERLINK("http://141.218.60.56/~jnz1568/getInfo.php?workbook=12_05.xlsx&amp;sheet=U0&amp;row=6343&amp;col=6&amp;number=4.9&amp;sourceID=14","4.9")</f>
        <v>4.9</v>
      </c>
      <c r="G6343" s="4" t="str">
        <f>HYPERLINK("http://141.218.60.56/~jnz1568/getInfo.php?workbook=12_05.xlsx&amp;sheet=U0&amp;row=6343&amp;col=7&amp;number=0.00222&amp;sourceID=14","0.00222")</f>
        <v>0.00222</v>
      </c>
    </row>
    <row r="6344" spans="1:7">
      <c r="A6344" s="3">
        <v>12</v>
      </c>
      <c r="B6344" s="3">
        <v>5</v>
      </c>
      <c r="C6344" s="3">
        <v>4</v>
      </c>
      <c r="D6344" s="3">
        <v>71</v>
      </c>
      <c r="E6344" s="3">
        <v>1</v>
      </c>
      <c r="F6344" s="4" t="str">
        <f>HYPERLINK("http://141.218.60.56/~jnz1568/getInfo.php?workbook=12_05.xlsx&amp;sheet=U0&amp;row=6344&amp;col=6&amp;number=3&amp;sourceID=14","3")</f>
        <v>3</v>
      </c>
      <c r="G6344" s="4" t="str">
        <f>HYPERLINK("http://141.218.60.56/~jnz1568/getInfo.php?workbook=12_05.xlsx&amp;sheet=U0&amp;row=6344&amp;col=7&amp;number=0.00453&amp;sourceID=14","0.00453")</f>
        <v>0.00453</v>
      </c>
    </row>
    <row r="6345" spans="1:7">
      <c r="A6345" s="3"/>
      <c r="B6345" s="3"/>
      <c r="C6345" s="3"/>
      <c r="D6345" s="3"/>
      <c r="E6345" s="3">
        <v>2</v>
      </c>
      <c r="F6345" s="4" t="str">
        <f>HYPERLINK("http://141.218.60.56/~jnz1568/getInfo.php?workbook=12_05.xlsx&amp;sheet=U0&amp;row=6345&amp;col=6&amp;number=3.1&amp;sourceID=14","3.1")</f>
        <v>3.1</v>
      </c>
      <c r="G6345" s="4" t="str">
        <f>HYPERLINK("http://141.218.60.56/~jnz1568/getInfo.php?workbook=12_05.xlsx&amp;sheet=U0&amp;row=6345&amp;col=7&amp;number=0.00453&amp;sourceID=14","0.00453")</f>
        <v>0.00453</v>
      </c>
    </row>
    <row r="6346" spans="1:7">
      <c r="A6346" s="3"/>
      <c r="B6346" s="3"/>
      <c r="C6346" s="3"/>
      <c r="D6346" s="3"/>
      <c r="E6346" s="3">
        <v>3</v>
      </c>
      <c r="F6346" s="4" t="str">
        <f>HYPERLINK("http://141.218.60.56/~jnz1568/getInfo.php?workbook=12_05.xlsx&amp;sheet=U0&amp;row=6346&amp;col=6&amp;number=3.2&amp;sourceID=14","3.2")</f>
        <v>3.2</v>
      </c>
      <c r="G6346" s="4" t="str">
        <f>HYPERLINK("http://141.218.60.56/~jnz1568/getInfo.php?workbook=12_05.xlsx&amp;sheet=U0&amp;row=6346&amp;col=7&amp;number=0.00452&amp;sourceID=14","0.00452")</f>
        <v>0.00452</v>
      </c>
    </row>
    <row r="6347" spans="1:7">
      <c r="A6347" s="3"/>
      <c r="B6347" s="3"/>
      <c r="C6347" s="3"/>
      <c r="D6347" s="3"/>
      <c r="E6347" s="3">
        <v>4</v>
      </c>
      <c r="F6347" s="4" t="str">
        <f>HYPERLINK("http://141.218.60.56/~jnz1568/getInfo.php?workbook=12_05.xlsx&amp;sheet=U0&amp;row=6347&amp;col=6&amp;number=3.3&amp;sourceID=14","3.3")</f>
        <v>3.3</v>
      </c>
      <c r="G6347" s="4" t="str">
        <f>HYPERLINK("http://141.218.60.56/~jnz1568/getInfo.php?workbook=12_05.xlsx&amp;sheet=U0&amp;row=6347&amp;col=7&amp;number=0.00452&amp;sourceID=14","0.00452")</f>
        <v>0.00452</v>
      </c>
    </row>
    <row r="6348" spans="1:7">
      <c r="A6348" s="3"/>
      <c r="B6348" s="3"/>
      <c r="C6348" s="3"/>
      <c r="D6348" s="3"/>
      <c r="E6348" s="3">
        <v>5</v>
      </c>
      <c r="F6348" s="4" t="str">
        <f>HYPERLINK("http://141.218.60.56/~jnz1568/getInfo.php?workbook=12_05.xlsx&amp;sheet=U0&amp;row=6348&amp;col=6&amp;number=3.4&amp;sourceID=14","3.4")</f>
        <v>3.4</v>
      </c>
      <c r="G6348" s="4" t="str">
        <f>HYPERLINK("http://141.218.60.56/~jnz1568/getInfo.php?workbook=12_05.xlsx&amp;sheet=U0&amp;row=6348&amp;col=7&amp;number=0.00452&amp;sourceID=14","0.00452")</f>
        <v>0.00452</v>
      </c>
    </row>
    <row r="6349" spans="1:7">
      <c r="A6349" s="3"/>
      <c r="B6349" s="3"/>
      <c r="C6349" s="3"/>
      <c r="D6349" s="3"/>
      <c r="E6349" s="3">
        <v>6</v>
      </c>
      <c r="F6349" s="4" t="str">
        <f>HYPERLINK("http://141.218.60.56/~jnz1568/getInfo.php?workbook=12_05.xlsx&amp;sheet=U0&amp;row=6349&amp;col=6&amp;number=3.5&amp;sourceID=14","3.5")</f>
        <v>3.5</v>
      </c>
      <c r="G6349" s="4" t="str">
        <f>HYPERLINK("http://141.218.60.56/~jnz1568/getInfo.php?workbook=12_05.xlsx&amp;sheet=U0&amp;row=6349&amp;col=7&amp;number=0.00452&amp;sourceID=14","0.00452")</f>
        <v>0.00452</v>
      </c>
    </row>
    <row r="6350" spans="1:7">
      <c r="A6350" s="3"/>
      <c r="B6350" s="3"/>
      <c r="C6350" s="3"/>
      <c r="D6350" s="3"/>
      <c r="E6350" s="3">
        <v>7</v>
      </c>
      <c r="F6350" s="4" t="str">
        <f>HYPERLINK("http://141.218.60.56/~jnz1568/getInfo.php?workbook=12_05.xlsx&amp;sheet=U0&amp;row=6350&amp;col=6&amp;number=3.6&amp;sourceID=14","3.6")</f>
        <v>3.6</v>
      </c>
      <c r="G6350" s="4" t="str">
        <f>HYPERLINK("http://141.218.60.56/~jnz1568/getInfo.php?workbook=12_05.xlsx&amp;sheet=U0&amp;row=6350&amp;col=7&amp;number=0.00451&amp;sourceID=14","0.00451")</f>
        <v>0.00451</v>
      </c>
    </row>
    <row r="6351" spans="1:7">
      <c r="A6351" s="3"/>
      <c r="B6351" s="3"/>
      <c r="C6351" s="3"/>
      <c r="D6351" s="3"/>
      <c r="E6351" s="3">
        <v>8</v>
      </c>
      <c r="F6351" s="4" t="str">
        <f>HYPERLINK("http://141.218.60.56/~jnz1568/getInfo.php?workbook=12_05.xlsx&amp;sheet=U0&amp;row=6351&amp;col=6&amp;number=3.7&amp;sourceID=14","3.7")</f>
        <v>3.7</v>
      </c>
      <c r="G6351" s="4" t="str">
        <f>HYPERLINK("http://141.218.60.56/~jnz1568/getInfo.php?workbook=12_05.xlsx&amp;sheet=U0&amp;row=6351&amp;col=7&amp;number=0.00451&amp;sourceID=14","0.00451")</f>
        <v>0.00451</v>
      </c>
    </row>
    <row r="6352" spans="1:7">
      <c r="A6352" s="3"/>
      <c r="B6352" s="3"/>
      <c r="C6352" s="3"/>
      <c r="D6352" s="3"/>
      <c r="E6352" s="3">
        <v>9</v>
      </c>
      <c r="F6352" s="4" t="str">
        <f>HYPERLINK("http://141.218.60.56/~jnz1568/getInfo.php?workbook=12_05.xlsx&amp;sheet=U0&amp;row=6352&amp;col=6&amp;number=3.8&amp;sourceID=14","3.8")</f>
        <v>3.8</v>
      </c>
      <c r="G6352" s="4" t="str">
        <f>HYPERLINK("http://141.218.60.56/~jnz1568/getInfo.php?workbook=12_05.xlsx&amp;sheet=U0&amp;row=6352&amp;col=7&amp;number=0.0045&amp;sourceID=14","0.0045")</f>
        <v>0.0045</v>
      </c>
    </row>
    <row r="6353" spans="1:7">
      <c r="A6353" s="3"/>
      <c r="B6353" s="3"/>
      <c r="C6353" s="3"/>
      <c r="D6353" s="3"/>
      <c r="E6353" s="3">
        <v>10</v>
      </c>
      <c r="F6353" s="4" t="str">
        <f>HYPERLINK("http://141.218.60.56/~jnz1568/getInfo.php?workbook=12_05.xlsx&amp;sheet=U0&amp;row=6353&amp;col=6&amp;number=3.9&amp;sourceID=14","3.9")</f>
        <v>3.9</v>
      </c>
      <c r="G6353" s="4" t="str">
        <f>HYPERLINK("http://141.218.60.56/~jnz1568/getInfo.php?workbook=12_05.xlsx&amp;sheet=U0&amp;row=6353&amp;col=7&amp;number=0.0045&amp;sourceID=14","0.0045")</f>
        <v>0.0045</v>
      </c>
    </row>
    <row r="6354" spans="1:7">
      <c r="A6354" s="3"/>
      <c r="B6354" s="3"/>
      <c r="C6354" s="3"/>
      <c r="D6354" s="3"/>
      <c r="E6354" s="3">
        <v>11</v>
      </c>
      <c r="F6354" s="4" t="str">
        <f>HYPERLINK("http://141.218.60.56/~jnz1568/getInfo.php?workbook=12_05.xlsx&amp;sheet=U0&amp;row=6354&amp;col=6&amp;number=4&amp;sourceID=14","4")</f>
        <v>4</v>
      </c>
      <c r="G6354" s="4" t="str">
        <f>HYPERLINK("http://141.218.60.56/~jnz1568/getInfo.php?workbook=12_05.xlsx&amp;sheet=U0&amp;row=6354&amp;col=7&amp;number=0.00449&amp;sourceID=14","0.00449")</f>
        <v>0.00449</v>
      </c>
    </row>
    <row r="6355" spans="1:7">
      <c r="A6355" s="3"/>
      <c r="B6355" s="3"/>
      <c r="C6355" s="3"/>
      <c r="D6355" s="3"/>
      <c r="E6355" s="3">
        <v>12</v>
      </c>
      <c r="F6355" s="4" t="str">
        <f>HYPERLINK("http://141.218.60.56/~jnz1568/getInfo.php?workbook=12_05.xlsx&amp;sheet=U0&amp;row=6355&amp;col=6&amp;number=4.1&amp;sourceID=14","4.1")</f>
        <v>4.1</v>
      </c>
      <c r="G6355" s="4" t="str">
        <f>HYPERLINK("http://141.218.60.56/~jnz1568/getInfo.php?workbook=12_05.xlsx&amp;sheet=U0&amp;row=6355&amp;col=7&amp;number=0.00448&amp;sourceID=14","0.00448")</f>
        <v>0.00448</v>
      </c>
    </row>
    <row r="6356" spans="1:7">
      <c r="A6356" s="3"/>
      <c r="B6356" s="3"/>
      <c r="C6356" s="3"/>
      <c r="D6356" s="3"/>
      <c r="E6356" s="3">
        <v>13</v>
      </c>
      <c r="F6356" s="4" t="str">
        <f>HYPERLINK("http://141.218.60.56/~jnz1568/getInfo.php?workbook=12_05.xlsx&amp;sheet=U0&amp;row=6356&amp;col=6&amp;number=4.2&amp;sourceID=14","4.2")</f>
        <v>4.2</v>
      </c>
      <c r="G6356" s="4" t="str">
        <f>HYPERLINK("http://141.218.60.56/~jnz1568/getInfo.php?workbook=12_05.xlsx&amp;sheet=U0&amp;row=6356&amp;col=7&amp;number=0.00446&amp;sourceID=14","0.00446")</f>
        <v>0.00446</v>
      </c>
    </row>
    <row r="6357" spans="1:7">
      <c r="A6357" s="3"/>
      <c r="B6357" s="3"/>
      <c r="C6357" s="3"/>
      <c r="D6357" s="3"/>
      <c r="E6357" s="3">
        <v>14</v>
      </c>
      <c r="F6357" s="4" t="str">
        <f>HYPERLINK("http://141.218.60.56/~jnz1568/getInfo.php?workbook=12_05.xlsx&amp;sheet=U0&amp;row=6357&amp;col=6&amp;number=4.3&amp;sourceID=14","4.3")</f>
        <v>4.3</v>
      </c>
      <c r="G6357" s="4" t="str">
        <f>HYPERLINK("http://141.218.60.56/~jnz1568/getInfo.php?workbook=12_05.xlsx&amp;sheet=U0&amp;row=6357&amp;col=7&amp;number=0.00444&amp;sourceID=14","0.00444")</f>
        <v>0.00444</v>
      </c>
    </row>
    <row r="6358" spans="1:7">
      <c r="A6358" s="3"/>
      <c r="B6358" s="3"/>
      <c r="C6358" s="3"/>
      <c r="D6358" s="3"/>
      <c r="E6358" s="3">
        <v>15</v>
      </c>
      <c r="F6358" s="4" t="str">
        <f>HYPERLINK("http://141.218.60.56/~jnz1568/getInfo.php?workbook=12_05.xlsx&amp;sheet=U0&amp;row=6358&amp;col=6&amp;number=4.4&amp;sourceID=14","4.4")</f>
        <v>4.4</v>
      </c>
      <c r="G6358" s="4" t="str">
        <f>HYPERLINK("http://141.218.60.56/~jnz1568/getInfo.php?workbook=12_05.xlsx&amp;sheet=U0&amp;row=6358&amp;col=7&amp;number=0.00442&amp;sourceID=14","0.00442")</f>
        <v>0.00442</v>
      </c>
    </row>
    <row r="6359" spans="1:7">
      <c r="A6359" s="3"/>
      <c r="B6359" s="3"/>
      <c r="C6359" s="3"/>
      <c r="D6359" s="3"/>
      <c r="E6359" s="3">
        <v>16</v>
      </c>
      <c r="F6359" s="4" t="str">
        <f>HYPERLINK("http://141.218.60.56/~jnz1568/getInfo.php?workbook=12_05.xlsx&amp;sheet=U0&amp;row=6359&amp;col=6&amp;number=4.5&amp;sourceID=14","4.5")</f>
        <v>4.5</v>
      </c>
      <c r="G6359" s="4" t="str">
        <f>HYPERLINK("http://141.218.60.56/~jnz1568/getInfo.php?workbook=12_05.xlsx&amp;sheet=U0&amp;row=6359&amp;col=7&amp;number=0.0044&amp;sourceID=14","0.0044")</f>
        <v>0.0044</v>
      </c>
    </row>
    <row r="6360" spans="1:7">
      <c r="A6360" s="3"/>
      <c r="B6360" s="3"/>
      <c r="C6360" s="3"/>
      <c r="D6360" s="3"/>
      <c r="E6360" s="3">
        <v>17</v>
      </c>
      <c r="F6360" s="4" t="str">
        <f>HYPERLINK("http://141.218.60.56/~jnz1568/getInfo.php?workbook=12_05.xlsx&amp;sheet=U0&amp;row=6360&amp;col=6&amp;number=4.6&amp;sourceID=14","4.6")</f>
        <v>4.6</v>
      </c>
      <c r="G6360" s="4" t="str">
        <f>HYPERLINK("http://141.218.60.56/~jnz1568/getInfo.php?workbook=12_05.xlsx&amp;sheet=U0&amp;row=6360&amp;col=7&amp;number=0.00436&amp;sourceID=14","0.00436")</f>
        <v>0.00436</v>
      </c>
    </row>
    <row r="6361" spans="1:7">
      <c r="A6361" s="3"/>
      <c r="B6361" s="3"/>
      <c r="C6361" s="3"/>
      <c r="D6361" s="3"/>
      <c r="E6361" s="3">
        <v>18</v>
      </c>
      <c r="F6361" s="4" t="str">
        <f>HYPERLINK("http://141.218.60.56/~jnz1568/getInfo.php?workbook=12_05.xlsx&amp;sheet=U0&amp;row=6361&amp;col=6&amp;number=4.7&amp;sourceID=14","4.7")</f>
        <v>4.7</v>
      </c>
      <c r="G6361" s="4" t="str">
        <f>HYPERLINK("http://141.218.60.56/~jnz1568/getInfo.php?workbook=12_05.xlsx&amp;sheet=U0&amp;row=6361&amp;col=7&amp;number=0.00432&amp;sourceID=14","0.00432")</f>
        <v>0.00432</v>
      </c>
    </row>
    <row r="6362" spans="1:7">
      <c r="A6362" s="3"/>
      <c r="B6362" s="3"/>
      <c r="C6362" s="3"/>
      <c r="D6362" s="3"/>
      <c r="E6362" s="3">
        <v>19</v>
      </c>
      <c r="F6362" s="4" t="str">
        <f>HYPERLINK("http://141.218.60.56/~jnz1568/getInfo.php?workbook=12_05.xlsx&amp;sheet=U0&amp;row=6362&amp;col=6&amp;number=4.8&amp;sourceID=14","4.8")</f>
        <v>4.8</v>
      </c>
      <c r="G6362" s="4" t="str">
        <f>HYPERLINK("http://141.218.60.56/~jnz1568/getInfo.php?workbook=12_05.xlsx&amp;sheet=U0&amp;row=6362&amp;col=7&amp;number=0.00427&amp;sourceID=14","0.00427")</f>
        <v>0.00427</v>
      </c>
    </row>
    <row r="6363" spans="1:7">
      <c r="A6363" s="3"/>
      <c r="B6363" s="3"/>
      <c r="C6363" s="3"/>
      <c r="D6363" s="3"/>
      <c r="E6363" s="3">
        <v>20</v>
      </c>
      <c r="F6363" s="4" t="str">
        <f>HYPERLINK("http://141.218.60.56/~jnz1568/getInfo.php?workbook=12_05.xlsx&amp;sheet=U0&amp;row=6363&amp;col=6&amp;number=4.9&amp;sourceID=14","4.9")</f>
        <v>4.9</v>
      </c>
      <c r="G6363" s="4" t="str">
        <f>HYPERLINK("http://141.218.60.56/~jnz1568/getInfo.php?workbook=12_05.xlsx&amp;sheet=U0&amp;row=6363&amp;col=7&amp;number=0.0042&amp;sourceID=14","0.0042")</f>
        <v>0.0042</v>
      </c>
    </row>
    <row r="6364" spans="1:7">
      <c r="A6364" s="3">
        <v>12</v>
      </c>
      <c r="B6364" s="3">
        <v>5</v>
      </c>
      <c r="C6364" s="3">
        <v>4</v>
      </c>
      <c r="D6364" s="3">
        <v>73</v>
      </c>
      <c r="E6364" s="3">
        <v>1</v>
      </c>
      <c r="F6364" s="4" t="str">
        <f>HYPERLINK("http://141.218.60.56/~jnz1568/getInfo.php?workbook=12_05.xlsx&amp;sheet=U0&amp;row=6364&amp;col=6&amp;number=3&amp;sourceID=14","3")</f>
        <v>3</v>
      </c>
      <c r="G6364" s="4" t="str">
        <f>HYPERLINK("http://141.218.60.56/~jnz1568/getInfo.php?workbook=12_05.xlsx&amp;sheet=U0&amp;row=6364&amp;col=7&amp;number=0.000147&amp;sourceID=14","0.000147")</f>
        <v>0.000147</v>
      </c>
    </row>
    <row r="6365" spans="1:7">
      <c r="A6365" s="3"/>
      <c r="B6365" s="3"/>
      <c r="C6365" s="3"/>
      <c r="D6365" s="3"/>
      <c r="E6365" s="3">
        <v>2</v>
      </c>
      <c r="F6365" s="4" t="str">
        <f>HYPERLINK("http://141.218.60.56/~jnz1568/getInfo.php?workbook=12_05.xlsx&amp;sheet=U0&amp;row=6365&amp;col=6&amp;number=3.1&amp;sourceID=14","3.1")</f>
        <v>3.1</v>
      </c>
      <c r="G6365" s="4" t="str">
        <f>HYPERLINK("http://141.218.60.56/~jnz1568/getInfo.php?workbook=12_05.xlsx&amp;sheet=U0&amp;row=6365&amp;col=7&amp;number=0.000147&amp;sourceID=14","0.000147")</f>
        <v>0.000147</v>
      </c>
    </row>
    <row r="6366" spans="1:7">
      <c r="A6366" s="3"/>
      <c r="B6366" s="3"/>
      <c r="C6366" s="3"/>
      <c r="D6366" s="3"/>
      <c r="E6366" s="3">
        <v>3</v>
      </c>
      <c r="F6366" s="4" t="str">
        <f>HYPERLINK("http://141.218.60.56/~jnz1568/getInfo.php?workbook=12_05.xlsx&amp;sheet=U0&amp;row=6366&amp;col=6&amp;number=3.2&amp;sourceID=14","3.2")</f>
        <v>3.2</v>
      </c>
      <c r="G6366" s="4" t="str">
        <f>HYPERLINK("http://141.218.60.56/~jnz1568/getInfo.php?workbook=12_05.xlsx&amp;sheet=U0&amp;row=6366&amp;col=7&amp;number=0.000147&amp;sourceID=14","0.000147")</f>
        <v>0.000147</v>
      </c>
    </row>
    <row r="6367" spans="1:7">
      <c r="A6367" s="3"/>
      <c r="B6367" s="3"/>
      <c r="C6367" s="3"/>
      <c r="D6367" s="3"/>
      <c r="E6367" s="3">
        <v>4</v>
      </c>
      <c r="F6367" s="4" t="str">
        <f>HYPERLINK("http://141.218.60.56/~jnz1568/getInfo.php?workbook=12_05.xlsx&amp;sheet=U0&amp;row=6367&amp;col=6&amp;number=3.3&amp;sourceID=14","3.3")</f>
        <v>3.3</v>
      </c>
      <c r="G6367" s="4" t="str">
        <f>HYPERLINK("http://141.218.60.56/~jnz1568/getInfo.php?workbook=12_05.xlsx&amp;sheet=U0&amp;row=6367&amp;col=7&amp;number=0.000147&amp;sourceID=14","0.000147")</f>
        <v>0.000147</v>
      </c>
    </row>
    <row r="6368" spans="1:7">
      <c r="A6368" s="3"/>
      <c r="B6368" s="3"/>
      <c r="C6368" s="3"/>
      <c r="D6368" s="3"/>
      <c r="E6368" s="3">
        <v>5</v>
      </c>
      <c r="F6368" s="4" t="str">
        <f>HYPERLINK("http://141.218.60.56/~jnz1568/getInfo.php?workbook=12_05.xlsx&amp;sheet=U0&amp;row=6368&amp;col=6&amp;number=3.4&amp;sourceID=14","3.4")</f>
        <v>3.4</v>
      </c>
      <c r="G6368" s="4" t="str">
        <f>HYPERLINK("http://141.218.60.56/~jnz1568/getInfo.php?workbook=12_05.xlsx&amp;sheet=U0&amp;row=6368&amp;col=7&amp;number=0.000147&amp;sourceID=14","0.000147")</f>
        <v>0.000147</v>
      </c>
    </row>
    <row r="6369" spans="1:7">
      <c r="A6369" s="3"/>
      <c r="B6369" s="3"/>
      <c r="C6369" s="3"/>
      <c r="D6369" s="3"/>
      <c r="E6369" s="3">
        <v>6</v>
      </c>
      <c r="F6369" s="4" t="str">
        <f>HYPERLINK("http://141.218.60.56/~jnz1568/getInfo.php?workbook=12_05.xlsx&amp;sheet=U0&amp;row=6369&amp;col=6&amp;number=3.5&amp;sourceID=14","3.5")</f>
        <v>3.5</v>
      </c>
      <c r="G6369" s="4" t="str">
        <f>HYPERLINK("http://141.218.60.56/~jnz1568/getInfo.php?workbook=12_05.xlsx&amp;sheet=U0&amp;row=6369&amp;col=7&amp;number=0.000147&amp;sourceID=14","0.000147")</f>
        <v>0.000147</v>
      </c>
    </row>
    <row r="6370" spans="1:7">
      <c r="A6370" s="3"/>
      <c r="B6370" s="3"/>
      <c r="C6370" s="3"/>
      <c r="D6370" s="3"/>
      <c r="E6370" s="3">
        <v>7</v>
      </c>
      <c r="F6370" s="4" t="str">
        <f>HYPERLINK("http://141.218.60.56/~jnz1568/getInfo.php?workbook=12_05.xlsx&amp;sheet=U0&amp;row=6370&amp;col=6&amp;number=3.6&amp;sourceID=14","3.6")</f>
        <v>3.6</v>
      </c>
      <c r="G6370" s="4" t="str">
        <f>HYPERLINK("http://141.218.60.56/~jnz1568/getInfo.php?workbook=12_05.xlsx&amp;sheet=U0&amp;row=6370&amp;col=7&amp;number=0.000147&amp;sourceID=14","0.000147")</f>
        <v>0.000147</v>
      </c>
    </row>
    <row r="6371" spans="1:7">
      <c r="A6371" s="3"/>
      <c r="B6371" s="3"/>
      <c r="C6371" s="3"/>
      <c r="D6371" s="3"/>
      <c r="E6371" s="3">
        <v>8</v>
      </c>
      <c r="F6371" s="4" t="str">
        <f>HYPERLINK("http://141.218.60.56/~jnz1568/getInfo.php?workbook=12_05.xlsx&amp;sheet=U0&amp;row=6371&amp;col=6&amp;number=3.7&amp;sourceID=14","3.7")</f>
        <v>3.7</v>
      </c>
      <c r="G6371" s="4" t="str">
        <f>HYPERLINK("http://141.218.60.56/~jnz1568/getInfo.php?workbook=12_05.xlsx&amp;sheet=U0&amp;row=6371&amp;col=7&amp;number=0.000146&amp;sourceID=14","0.000146")</f>
        <v>0.000146</v>
      </c>
    </row>
    <row r="6372" spans="1:7">
      <c r="A6372" s="3"/>
      <c r="B6372" s="3"/>
      <c r="C6372" s="3"/>
      <c r="D6372" s="3"/>
      <c r="E6372" s="3">
        <v>9</v>
      </c>
      <c r="F6372" s="4" t="str">
        <f>HYPERLINK("http://141.218.60.56/~jnz1568/getInfo.php?workbook=12_05.xlsx&amp;sheet=U0&amp;row=6372&amp;col=6&amp;number=3.8&amp;sourceID=14","3.8")</f>
        <v>3.8</v>
      </c>
      <c r="G6372" s="4" t="str">
        <f>HYPERLINK("http://141.218.60.56/~jnz1568/getInfo.php?workbook=12_05.xlsx&amp;sheet=U0&amp;row=6372&amp;col=7&amp;number=0.000146&amp;sourceID=14","0.000146")</f>
        <v>0.000146</v>
      </c>
    </row>
    <row r="6373" spans="1:7">
      <c r="A6373" s="3"/>
      <c r="B6373" s="3"/>
      <c r="C6373" s="3"/>
      <c r="D6373" s="3"/>
      <c r="E6373" s="3">
        <v>10</v>
      </c>
      <c r="F6373" s="4" t="str">
        <f>HYPERLINK("http://141.218.60.56/~jnz1568/getInfo.php?workbook=12_05.xlsx&amp;sheet=U0&amp;row=6373&amp;col=6&amp;number=3.9&amp;sourceID=14","3.9")</f>
        <v>3.9</v>
      </c>
      <c r="G6373" s="4" t="str">
        <f>HYPERLINK("http://141.218.60.56/~jnz1568/getInfo.php?workbook=12_05.xlsx&amp;sheet=U0&amp;row=6373&amp;col=7&amp;number=0.000146&amp;sourceID=14","0.000146")</f>
        <v>0.000146</v>
      </c>
    </row>
    <row r="6374" spans="1:7">
      <c r="A6374" s="3"/>
      <c r="B6374" s="3"/>
      <c r="C6374" s="3"/>
      <c r="D6374" s="3"/>
      <c r="E6374" s="3">
        <v>11</v>
      </c>
      <c r="F6374" s="4" t="str">
        <f>HYPERLINK("http://141.218.60.56/~jnz1568/getInfo.php?workbook=12_05.xlsx&amp;sheet=U0&amp;row=6374&amp;col=6&amp;number=4&amp;sourceID=14","4")</f>
        <v>4</v>
      </c>
      <c r="G6374" s="4" t="str">
        <f>HYPERLINK("http://141.218.60.56/~jnz1568/getInfo.php?workbook=12_05.xlsx&amp;sheet=U0&amp;row=6374&amp;col=7&amp;number=0.000146&amp;sourceID=14","0.000146")</f>
        <v>0.000146</v>
      </c>
    </row>
    <row r="6375" spans="1:7">
      <c r="A6375" s="3"/>
      <c r="B6375" s="3"/>
      <c r="C6375" s="3"/>
      <c r="D6375" s="3"/>
      <c r="E6375" s="3">
        <v>12</v>
      </c>
      <c r="F6375" s="4" t="str">
        <f>HYPERLINK("http://141.218.60.56/~jnz1568/getInfo.php?workbook=12_05.xlsx&amp;sheet=U0&amp;row=6375&amp;col=6&amp;number=4.1&amp;sourceID=14","4.1")</f>
        <v>4.1</v>
      </c>
      <c r="G6375" s="4" t="str">
        <f>HYPERLINK("http://141.218.60.56/~jnz1568/getInfo.php?workbook=12_05.xlsx&amp;sheet=U0&amp;row=6375&amp;col=7&amp;number=0.000146&amp;sourceID=14","0.000146")</f>
        <v>0.000146</v>
      </c>
    </row>
    <row r="6376" spans="1:7">
      <c r="A6376" s="3"/>
      <c r="B6376" s="3"/>
      <c r="C6376" s="3"/>
      <c r="D6376" s="3"/>
      <c r="E6376" s="3">
        <v>13</v>
      </c>
      <c r="F6376" s="4" t="str">
        <f>HYPERLINK("http://141.218.60.56/~jnz1568/getInfo.php?workbook=12_05.xlsx&amp;sheet=U0&amp;row=6376&amp;col=6&amp;number=4.2&amp;sourceID=14","4.2")</f>
        <v>4.2</v>
      </c>
      <c r="G6376" s="4" t="str">
        <f>HYPERLINK("http://141.218.60.56/~jnz1568/getInfo.php?workbook=12_05.xlsx&amp;sheet=U0&amp;row=6376&amp;col=7&amp;number=0.000145&amp;sourceID=14","0.000145")</f>
        <v>0.000145</v>
      </c>
    </row>
    <row r="6377" spans="1:7">
      <c r="A6377" s="3"/>
      <c r="B6377" s="3"/>
      <c r="C6377" s="3"/>
      <c r="D6377" s="3"/>
      <c r="E6377" s="3">
        <v>14</v>
      </c>
      <c r="F6377" s="4" t="str">
        <f>HYPERLINK("http://141.218.60.56/~jnz1568/getInfo.php?workbook=12_05.xlsx&amp;sheet=U0&amp;row=6377&amp;col=6&amp;number=4.3&amp;sourceID=14","4.3")</f>
        <v>4.3</v>
      </c>
      <c r="G6377" s="4" t="str">
        <f>HYPERLINK("http://141.218.60.56/~jnz1568/getInfo.php?workbook=12_05.xlsx&amp;sheet=U0&amp;row=6377&amp;col=7&amp;number=0.000145&amp;sourceID=14","0.000145")</f>
        <v>0.000145</v>
      </c>
    </row>
    <row r="6378" spans="1:7">
      <c r="A6378" s="3"/>
      <c r="B6378" s="3"/>
      <c r="C6378" s="3"/>
      <c r="D6378" s="3"/>
      <c r="E6378" s="3">
        <v>15</v>
      </c>
      <c r="F6378" s="4" t="str">
        <f>HYPERLINK("http://141.218.60.56/~jnz1568/getInfo.php?workbook=12_05.xlsx&amp;sheet=U0&amp;row=6378&amp;col=6&amp;number=4.4&amp;sourceID=14","4.4")</f>
        <v>4.4</v>
      </c>
      <c r="G6378" s="4" t="str">
        <f>HYPERLINK("http://141.218.60.56/~jnz1568/getInfo.php?workbook=12_05.xlsx&amp;sheet=U0&amp;row=6378&amp;col=7&amp;number=0.000144&amp;sourceID=14","0.000144")</f>
        <v>0.000144</v>
      </c>
    </row>
    <row r="6379" spans="1:7">
      <c r="A6379" s="3"/>
      <c r="B6379" s="3"/>
      <c r="C6379" s="3"/>
      <c r="D6379" s="3"/>
      <c r="E6379" s="3">
        <v>16</v>
      </c>
      <c r="F6379" s="4" t="str">
        <f>HYPERLINK("http://141.218.60.56/~jnz1568/getInfo.php?workbook=12_05.xlsx&amp;sheet=U0&amp;row=6379&amp;col=6&amp;number=4.5&amp;sourceID=14","4.5")</f>
        <v>4.5</v>
      </c>
      <c r="G6379" s="4" t="str">
        <f>HYPERLINK("http://141.218.60.56/~jnz1568/getInfo.php?workbook=12_05.xlsx&amp;sheet=U0&amp;row=6379&amp;col=7&amp;number=0.000143&amp;sourceID=14","0.000143")</f>
        <v>0.000143</v>
      </c>
    </row>
    <row r="6380" spans="1:7">
      <c r="A6380" s="3"/>
      <c r="B6380" s="3"/>
      <c r="C6380" s="3"/>
      <c r="D6380" s="3"/>
      <c r="E6380" s="3">
        <v>17</v>
      </c>
      <c r="F6380" s="4" t="str">
        <f>HYPERLINK("http://141.218.60.56/~jnz1568/getInfo.php?workbook=12_05.xlsx&amp;sheet=U0&amp;row=6380&amp;col=6&amp;number=4.6&amp;sourceID=14","4.6")</f>
        <v>4.6</v>
      </c>
      <c r="G6380" s="4" t="str">
        <f>HYPERLINK("http://141.218.60.56/~jnz1568/getInfo.php?workbook=12_05.xlsx&amp;sheet=U0&amp;row=6380&amp;col=7&amp;number=0.000142&amp;sourceID=14","0.000142")</f>
        <v>0.000142</v>
      </c>
    </row>
    <row r="6381" spans="1:7">
      <c r="A6381" s="3"/>
      <c r="B6381" s="3"/>
      <c r="C6381" s="3"/>
      <c r="D6381" s="3"/>
      <c r="E6381" s="3">
        <v>18</v>
      </c>
      <c r="F6381" s="4" t="str">
        <f>HYPERLINK("http://141.218.60.56/~jnz1568/getInfo.php?workbook=12_05.xlsx&amp;sheet=U0&amp;row=6381&amp;col=6&amp;number=4.7&amp;sourceID=14","4.7")</f>
        <v>4.7</v>
      </c>
      <c r="G6381" s="4" t="str">
        <f>HYPERLINK("http://141.218.60.56/~jnz1568/getInfo.php?workbook=12_05.xlsx&amp;sheet=U0&amp;row=6381&amp;col=7&amp;number=0.000141&amp;sourceID=14","0.000141")</f>
        <v>0.000141</v>
      </c>
    </row>
    <row r="6382" spans="1:7">
      <c r="A6382" s="3"/>
      <c r="B6382" s="3"/>
      <c r="C6382" s="3"/>
      <c r="D6382" s="3"/>
      <c r="E6382" s="3">
        <v>19</v>
      </c>
      <c r="F6382" s="4" t="str">
        <f>HYPERLINK("http://141.218.60.56/~jnz1568/getInfo.php?workbook=12_05.xlsx&amp;sheet=U0&amp;row=6382&amp;col=6&amp;number=4.8&amp;sourceID=14","4.8")</f>
        <v>4.8</v>
      </c>
      <c r="G6382" s="4" t="str">
        <f>HYPERLINK("http://141.218.60.56/~jnz1568/getInfo.php?workbook=12_05.xlsx&amp;sheet=U0&amp;row=6382&amp;col=7&amp;number=0.000139&amp;sourceID=14","0.000139")</f>
        <v>0.000139</v>
      </c>
    </row>
    <row r="6383" spans="1:7">
      <c r="A6383" s="3"/>
      <c r="B6383" s="3"/>
      <c r="C6383" s="3"/>
      <c r="D6383" s="3"/>
      <c r="E6383" s="3">
        <v>20</v>
      </c>
      <c r="F6383" s="4" t="str">
        <f>HYPERLINK("http://141.218.60.56/~jnz1568/getInfo.php?workbook=12_05.xlsx&amp;sheet=U0&amp;row=6383&amp;col=6&amp;number=4.9&amp;sourceID=14","4.9")</f>
        <v>4.9</v>
      </c>
      <c r="G6383" s="4" t="str">
        <f>HYPERLINK("http://141.218.60.56/~jnz1568/getInfo.php?workbook=12_05.xlsx&amp;sheet=U0&amp;row=6383&amp;col=7&amp;number=0.000138&amp;sourceID=14","0.000138")</f>
        <v>0.000138</v>
      </c>
    </row>
    <row r="6384" spans="1:7">
      <c r="A6384" s="3">
        <v>12</v>
      </c>
      <c r="B6384" s="3">
        <v>5</v>
      </c>
      <c r="C6384" s="3">
        <v>4</v>
      </c>
      <c r="D6384" s="3">
        <v>74</v>
      </c>
      <c r="E6384" s="3">
        <v>1</v>
      </c>
      <c r="F6384" s="4" t="str">
        <f>HYPERLINK("http://141.218.60.56/~jnz1568/getInfo.php?workbook=12_05.xlsx&amp;sheet=U0&amp;row=6384&amp;col=6&amp;number=3&amp;sourceID=14","3")</f>
        <v>3</v>
      </c>
      <c r="G6384" s="4" t="str">
        <f>HYPERLINK("http://141.218.60.56/~jnz1568/getInfo.php?workbook=12_05.xlsx&amp;sheet=U0&amp;row=6384&amp;col=7&amp;number=0.00909&amp;sourceID=14","0.00909")</f>
        <v>0.00909</v>
      </c>
    </row>
    <row r="6385" spans="1:7">
      <c r="A6385" s="3"/>
      <c r="B6385" s="3"/>
      <c r="C6385" s="3"/>
      <c r="D6385" s="3"/>
      <c r="E6385" s="3">
        <v>2</v>
      </c>
      <c r="F6385" s="4" t="str">
        <f>HYPERLINK("http://141.218.60.56/~jnz1568/getInfo.php?workbook=12_05.xlsx&amp;sheet=U0&amp;row=6385&amp;col=6&amp;number=3.1&amp;sourceID=14","3.1")</f>
        <v>3.1</v>
      </c>
      <c r="G6385" s="4" t="str">
        <f>HYPERLINK("http://141.218.60.56/~jnz1568/getInfo.php?workbook=12_05.xlsx&amp;sheet=U0&amp;row=6385&amp;col=7&amp;number=0.0091&amp;sourceID=14","0.0091")</f>
        <v>0.0091</v>
      </c>
    </row>
    <row r="6386" spans="1:7">
      <c r="A6386" s="3"/>
      <c r="B6386" s="3"/>
      <c r="C6386" s="3"/>
      <c r="D6386" s="3"/>
      <c r="E6386" s="3">
        <v>3</v>
      </c>
      <c r="F6386" s="4" t="str">
        <f>HYPERLINK("http://141.218.60.56/~jnz1568/getInfo.php?workbook=12_05.xlsx&amp;sheet=U0&amp;row=6386&amp;col=6&amp;number=3.2&amp;sourceID=14","3.2")</f>
        <v>3.2</v>
      </c>
      <c r="G6386" s="4" t="str">
        <f>HYPERLINK("http://141.218.60.56/~jnz1568/getInfo.php?workbook=12_05.xlsx&amp;sheet=U0&amp;row=6386&amp;col=7&amp;number=0.0091&amp;sourceID=14","0.0091")</f>
        <v>0.0091</v>
      </c>
    </row>
    <row r="6387" spans="1:7">
      <c r="A6387" s="3"/>
      <c r="B6387" s="3"/>
      <c r="C6387" s="3"/>
      <c r="D6387" s="3"/>
      <c r="E6387" s="3">
        <v>4</v>
      </c>
      <c r="F6387" s="4" t="str">
        <f>HYPERLINK("http://141.218.60.56/~jnz1568/getInfo.php?workbook=12_05.xlsx&amp;sheet=U0&amp;row=6387&amp;col=6&amp;number=3.3&amp;sourceID=14","3.3")</f>
        <v>3.3</v>
      </c>
      <c r="G6387" s="4" t="str">
        <f>HYPERLINK("http://141.218.60.56/~jnz1568/getInfo.php?workbook=12_05.xlsx&amp;sheet=U0&amp;row=6387&amp;col=7&amp;number=0.00911&amp;sourceID=14","0.00911")</f>
        <v>0.00911</v>
      </c>
    </row>
    <row r="6388" spans="1:7">
      <c r="A6388" s="3"/>
      <c r="B6388" s="3"/>
      <c r="C6388" s="3"/>
      <c r="D6388" s="3"/>
      <c r="E6388" s="3">
        <v>5</v>
      </c>
      <c r="F6388" s="4" t="str">
        <f>HYPERLINK("http://141.218.60.56/~jnz1568/getInfo.php?workbook=12_05.xlsx&amp;sheet=U0&amp;row=6388&amp;col=6&amp;number=3.4&amp;sourceID=14","3.4")</f>
        <v>3.4</v>
      </c>
      <c r="G6388" s="4" t="str">
        <f>HYPERLINK("http://141.218.60.56/~jnz1568/getInfo.php?workbook=12_05.xlsx&amp;sheet=U0&amp;row=6388&amp;col=7&amp;number=0.00911&amp;sourceID=14","0.00911")</f>
        <v>0.00911</v>
      </c>
    </row>
    <row r="6389" spans="1:7">
      <c r="A6389" s="3"/>
      <c r="B6389" s="3"/>
      <c r="C6389" s="3"/>
      <c r="D6389" s="3"/>
      <c r="E6389" s="3">
        <v>6</v>
      </c>
      <c r="F6389" s="4" t="str">
        <f>HYPERLINK("http://141.218.60.56/~jnz1568/getInfo.php?workbook=12_05.xlsx&amp;sheet=U0&amp;row=6389&amp;col=6&amp;number=3.5&amp;sourceID=14","3.5")</f>
        <v>3.5</v>
      </c>
      <c r="G6389" s="4" t="str">
        <f>HYPERLINK("http://141.218.60.56/~jnz1568/getInfo.php?workbook=12_05.xlsx&amp;sheet=U0&amp;row=6389&amp;col=7&amp;number=0.00912&amp;sourceID=14","0.00912")</f>
        <v>0.00912</v>
      </c>
    </row>
    <row r="6390" spans="1:7">
      <c r="A6390" s="3"/>
      <c r="B6390" s="3"/>
      <c r="C6390" s="3"/>
      <c r="D6390" s="3"/>
      <c r="E6390" s="3">
        <v>7</v>
      </c>
      <c r="F6390" s="4" t="str">
        <f>HYPERLINK("http://141.218.60.56/~jnz1568/getInfo.php?workbook=12_05.xlsx&amp;sheet=U0&amp;row=6390&amp;col=6&amp;number=3.6&amp;sourceID=14","3.6")</f>
        <v>3.6</v>
      </c>
      <c r="G6390" s="4" t="str">
        <f>HYPERLINK("http://141.218.60.56/~jnz1568/getInfo.php?workbook=12_05.xlsx&amp;sheet=U0&amp;row=6390&amp;col=7&amp;number=0.00913&amp;sourceID=14","0.00913")</f>
        <v>0.00913</v>
      </c>
    </row>
    <row r="6391" spans="1:7">
      <c r="A6391" s="3"/>
      <c r="B6391" s="3"/>
      <c r="C6391" s="3"/>
      <c r="D6391" s="3"/>
      <c r="E6391" s="3">
        <v>8</v>
      </c>
      <c r="F6391" s="4" t="str">
        <f>HYPERLINK("http://141.218.60.56/~jnz1568/getInfo.php?workbook=12_05.xlsx&amp;sheet=U0&amp;row=6391&amp;col=6&amp;number=3.7&amp;sourceID=14","3.7")</f>
        <v>3.7</v>
      </c>
      <c r="G6391" s="4" t="str">
        <f>HYPERLINK("http://141.218.60.56/~jnz1568/getInfo.php?workbook=12_05.xlsx&amp;sheet=U0&amp;row=6391&amp;col=7&amp;number=0.00915&amp;sourceID=14","0.00915")</f>
        <v>0.00915</v>
      </c>
    </row>
    <row r="6392" spans="1:7">
      <c r="A6392" s="3"/>
      <c r="B6392" s="3"/>
      <c r="C6392" s="3"/>
      <c r="D6392" s="3"/>
      <c r="E6392" s="3">
        <v>9</v>
      </c>
      <c r="F6392" s="4" t="str">
        <f>HYPERLINK("http://141.218.60.56/~jnz1568/getInfo.php?workbook=12_05.xlsx&amp;sheet=U0&amp;row=6392&amp;col=6&amp;number=3.8&amp;sourceID=14","3.8")</f>
        <v>3.8</v>
      </c>
      <c r="G6392" s="4" t="str">
        <f>HYPERLINK("http://141.218.60.56/~jnz1568/getInfo.php?workbook=12_05.xlsx&amp;sheet=U0&amp;row=6392&amp;col=7&amp;number=0.00917&amp;sourceID=14","0.00917")</f>
        <v>0.00917</v>
      </c>
    </row>
    <row r="6393" spans="1:7">
      <c r="A6393" s="3"/>
      <c r="B6393" s="3"/>
      <c r="C6393" s="3"/>
      <c r="D6393" s="3"/>
      <c r="E6393" s="3">
        <v>10</v>
      </c>
      <c r="F6393" s="4" t="str">
        <f>HYPERLINK("http://141.218.60.56/~jnz1568/getInfo.php?workbook=12_05.xlsx&amp;sheet=U0&amp;row=6393&amp;col=6&amp;number=3.9&amp;sourceID=14","3.9")</f>
        <v>3.9</v>
      </c>
      <c r="G6393" s="4" t="str">
        <f>HYPERLINK("http://141.218.60.56/~jnz1568/getInfo.php?workbook=12_05.xlsx&amp;sheet=U0&amp;row=6393&amp;col=7&amp;number=0.00919&amp;sourceID=14","0.00919")</f>
        <v>0.00919</v>
      </c>
    </row>
    <row r="6394" spans="1:7">
      <c r="A6394" s="3"/>
      <c r="B6394" s="3"/>
      <c r="C6394" s="3"/>
      <c r="D6394" s="3"/>
      <c r="E6394" s="3">
        <v>11</v>
      </c>
      <c r="F6394" s="4" t="str">
        <f>HYPERLINK("http://141.218.60.56/~jnz1568/getInfo.php?workbook=12_05.xlsx&amp;sheet=U0&amp;row=6394&amp;col=6&amp;number=4&amp;sourceID=14","4")</f>
        <v>4</v>
      </c>
      <c r="G6394" s="4" t="str">
        <f>HYPERLINK("http://141.218.60.56/~jnz1568/getInfo.php?workbook=12_05.xlsx&amp;sheet=U0&amp;row=6394&amp;col=7&amp;number=0.00922&amp;sourceID=14","0.00922")</f>
        <v>0.00922</v>
      </c>
    </row>
    <row r="6395" spans="1:7">
      <c r="A6395" s="3"/>
      <c r="B6395" s="3"/>
      <c r="C6395" s="3"/>
      <c r="D6395" s="3"/>
      <c r="E6395" s="3">
        <v>12</v>
      </c>
      <c r="F6395" s="4" t="str">
        <f>HYPERLINK("http://141.218.60.56/~jnz1568/getInfo.php?workbook=12_05.xlsx&amp;sheet=U0&amp;row=6395&amp;col=6&amp;number=4.1&amp;sourceID=14","4.1")</f>
        <v>4.1</v>
      </c>
      <c r="G6395" s="4" t="str">
        <f>HYPERLINK("http://141.218.60.56/~jnz1568/getInfo.php?workbook=12_05.xlsx&amp;sheet=U0&amp;row=6395&amp;col=7&amp;number=0.00925&amp;sourceID=14","0.00925")</f>
        <v>0.00925</v>
      </c>
    </row>
    <row r="6396" spans="1:7">
      <c r="A6396" s="3"/>
      <c r="B6396" s="3"/>
      <c r="C6396" s="3"/>
      <c r="D6396" s="3"/>
      <c r="E6396" s="3">
        <v>13</v>
      </c>
      <c r="F6396" s="4" t="str">
        <f>HYPERLINK("http://141.218.60.56/~jnz1568/getInfo.php?workbook=12_05.xlsx&amp;sheet=U0&amp;row=6396&amp;col=6&amp;number=4.2&amp;sourceID=14","4.2")</f>
        <v>4.2</v>
      </c>
      <c r="G6396" s="4" t="str">
        <f>HYPERLINK("http://141.218.60.56/~jnz1568/getInfo.php?workbook=12_05.xlsx&amp;sheet=U0&amp;row=6396&amp;col=7&amp;number=0.00929&amp;sourceID=14","0.00929")</f>
        <v>0.00929</v>
      </c>
    </row>
    <row r="6397" spans="1:7">
      <c r="A6397" s="3"/>
      <c r="B6397" s="3"/>
      <c r="C6397" s="3"/>
      <c r="D6397" s="3"/>
      <c r="E6397" s="3">
        <v>14</v>
      </c>
      <c r="F6397" s="4" t="str">
        <f>HYPERLINK("http://141.218.60.56/~jnz1568/getInfo.php?workbook=12_05.xlsx&amp;sheet=U0&amp;row=6397&amp;col=6&amp;number=4.3&amp;sourceID=14","4.3")</f>
        <v>4.3</v>
      </c>
      <c r="G6397" s="4" t="str">
        <f>HYPERLINK("http://141.218.60.56/~jnz1568/getInfo.php?workbook=12_05.xlsx&amp;sheet=U0&amp;row=6397&amp;col=7&amp;number=0.00935&amp;sourceID=14","0.00935")</f>
        <v>0.00935</v>
      </c>
    </row>
    <row r="6398" spans="1:7">
      <c r="A6398" s="3"/>
      <c r="B6398" s="3"/>
      <c r="C6398" s="3"/>
      <c r="D6398" s="3"/>
      <c r="E6398" s="3">
        <v>15</v>
      </c>
      <c r="F6398" s="4" t="str">
        <f>HYPERLINK("http://141.218.60.56/~jnz1568/getInfo.php?workbook=12_05.xlsx&amp;sheet=U0&amp;row=6398&amp;col=6&amp;number=4.4&amp;sourceID=14","4.4")</f>
        <v>4.4</v>
      </c>
      <c r="G6398" s="4" t="str">
        <f>HYPERLINK("http://141.218.60.56/~jnz1568/getInfo.php?workbook=12_05.xlsx&amp;sheet=U0&amp;row=6398&amp;col=7&amp;number=0.00942&amp;sourceID=14","0.00942")</f>
        <v>0.00942</v>
      </c>
    </row>
    <row r="6399" spans="1:7">
      <c r="A6399" s="3"/>
      <c r="B6399" s="3"/>
      <c r="C6399" s="3"/>
      <c r="D6399" s="3"/>
      <c r="E6399" s="3">
        <v>16</v>
      </c>
      <c r="F6399" s="4" t="str">
        <f>HYPERLINK("http://141.218.60.56/~jnz1568/getInfo.php?workbook=12_05.xlsx&amp;sheet=U0&amp;row=6399&amp;col=6&amp;number=4.5&amp;sourceID=14","4.5")</f>
        <v>4.5</v>
      </c>
      <c r="G6399" s="4" t="str">
        <f>HYPERLINK("http://141.218.60.56/~jnz1568/getInfo.php?workbook=12_05.xlsx&amp;sheet=U0&amp;row=6399&amp;col=7&amp;number=0.0095&amp;sourceID=14","0.0095")</f>
        <v>0.0095</v>
      </c>
    </row>
    <row r="6400" spans="1:7">
      <c r="A6400" s="3"/>
      <c r="B6400" s="3"/>
      <c r="C6400" s="3"/>
      <c r="D6400" s="3"/>
      <c r="E6400" s="3">
        <v>17</v>
      </c>
      <c r="F6400" s="4" t="str">
        <f>HYPERLINK("http://141.218.60.56/~jnz1568/getInfo.php?workbook=12_05.xlsx&amp;sheet=U0&amp;row=6400&amp;col=6&amp;number=4.6&amp;sourceID=14","4.6")</f>
        <v>4.6</v>
      </c>
      <c r="G6400" s="4" t="str">
        <f>HYPERLINK("http://141.218.60.56/~jnz1568/getInfo.php?workbook=12_05.xlsx&amp;sheet=U0&amp;row=6400&amp;col=7&amp;number=0.00961&amp;sourceID=14","0.00961")</f>
        <v>0.00961</v>
      </c>
    </row>
    <row r="6401" spans="1:7">
      <c r="A6401" s="3"/>
      <c r="B6401" s="3"/>
      <c r="C6401" s="3"/>
      <c r="D6401" s="3"/>
      <c r="E6401" s="3">
        <v>18</v>
      </c>
      <c r="F6401" s="4" t="str">
        <f>HYPERLINK("http://141.218.60.56/~jnz1568/getInfo.php?workbook=12_05.xlsx&amp;sheet=U0&amp;row=6401&amp;col=6&amp;number=4.7&amp;sourceID=14","4.7")</f>
        <v>4.7</v>
      </c>
      <c r="G6401" s="4" t="str">
        <f>HYPERLINK("http://141.218.60.56/~jnz1568/getInfo.php?workbook=12_05.xlsx&amp;sheet=U0&amp;row=6401&amp;col=7&amp;number=0.00975&amp;sourceID=14","0.00975")</f>
        <v>0.00975</v>
      </c>
    </row>
    <row r="6402" spans="1:7">
      <c r="A6402" s="3"/>
      <c r="B6402" s="3"/>
      <c r="C6402" s="3"/>
      <c r="D6402" s="3"/>
      <c r="E6402" s="3">
        <v>19</v>
      </c>
      <c r="F6402" s="4" t="str">
        <f>HYPERLINK("http://141.218.60.56/~jnz1568/getInfo.php?workbook=12_05.xlsx&amp;sheet=U0&amp;row=6402&amp;col=6&amp;number=4.8&amp;sourceID=14","4.8")</f>
        <v>4.8</v>
      </c>
      <c r="G6402" s="4" t="str">
        <f>HYPERLINK("http://141.218.60.56/~jnz1568/getInfo.php?workbook=12_05.xlsx&amp;sheet=U0&amp;row=6402&amp;col=7&amp;number=0.00991&amp;sourceID=14","0.00991")</f>
        <v>0.00991</v>
      </c>
    </row>
    <row r="6403" spans="1:7">
      <c r="A6403" s="3"/>
      <c r="B6403" s="3"/>
      <c r="C6403" s="3"/>
      <c r="D6403" s="3"/>
      <c r="E6403" s="3">
        <v>20</v>
      </c>
      <c r="F6403" s="4" t="str">
        <f>HYPERLINK("http://141.218.60.56/~jnz1568/getInfo.php?workbook=12_05.xlsx&amp;sheet=U0&amp;row=6403&amp;col=6&amp;number=4.9&amp;sourceID=14","4.9")</f>
        <v>4.9</v>
      </c>
      <c r="G6403" s="4" t="str">
        <f>HYPERLINK("http://141.218.60.56/~jnz1568/getInfo.php?workbook=12_05.xlsx&amp;sheet=U0&amp;row=6403&amp;col=7&amp;number=0.0101&amp;sourceID=14","0.0101")</f>
        <v>0.0101</v>
      </c>
    </row>
    <row r="6404" spans="1:7">
      <c r="A6404" s="3">
        <v>12</v>
      </c>
      <c r="B6404" s="3">
        <v>5</v>
      </c>
      <c r="C6404" s="3">
        <v>4</v>
      </c>
      <c r="D6404" s="3">
        <v>75</v>
      </c>
      <c r="E6404" s="3">
        <v>1</v>
      </c>
      <c r="F6404" s="4" t="str">
        <f>HYPERLINK("http://141.218.60.56/~jnz1568/getInfo.php?workbook=12_05.xlsx&amp;sheet=U0&amp;row=6404&amp;col=6&amp;number=3&amp;sourceID=14","3")</f>
        <v>3</v>
      </c>
      <c r="G6404" s="4" t="str">
        <f>HYPERLINK("http://141.218.60.56/~jnz1568/getInfo.php?workbook=12_05.xlsx&amp;sheet=U0&amp;row=6404&amp;col=7&amp;number=0.00417&amp;sourceID=14","0.00417")</f>
        <v>0.00417</v>
      </c>
    </row>
    <row r="6405" spans="1:7">
      <c r="A6405" s="3"/>
      <c r="B6405" s="3"/>
      <c r="C6405" s="3"/>
      <c r="D6405" s="3"/>
      <c r="E6405" s="3">
        <v>2</v>
      </c>
      <c r="F6405" s="4" t="str">
        <f>HYPERLINK("http://141.218.60.56/~jnz1568/getInfo.php?workbook=12_05.xlsx&amp;sheet=U0&amp;row=6405&amp;col=6&amp;number=3.1&amp;sourceID=14","3.1")</f>
        <v>3.1</v>
      </c>
      <c r="G6405" s="4" t="str">
        <f>HYPERLINK("http://141.218.60.56/~jnz1568/getInfo.php?workbook=12_05.xlsx&amp;sheet=U0&amp;row=6405&amp;col=7&amp;number=0.00417&amp;sourceID=14","0.00417")</f>
        <v>0.00417</v>
      </c>
    </row>
    <row r="6406" spans="1:7">
      <c r="A6406" s="3"/>
      <c r="B6406" s="3"/>
      <c r="C6406" s="3"/>
      <c r="D6406" s="3"/>
      <c r="E6406" s="3">
        <v>3</v>
      </c>
      <c r="F6406" s="4" t="str">
        <f>HYPERLINK("http://141.218.60.56/~jnz1568/getInfo.php?workbook=12_05.xlsx&amp;sheet=U0&amp;row=6406&amp;col=6&amp;number=3.2&amp;sourceID=14","3.2")</f>
        <v>3.2</v>
      </c>
      <c r="G6406" s="4" t="str">
        <f>HYPERLINK("http://141.218.60.56/~jnz1568/getInfo.php?workbook=12_05.xlsx&amp;sheet=U0&amp;row=6406&amp;col=7&amp;number=0.00417&amp;sourceID=14","0.00417")</f>
        <v>0.00417</v>
      </c>
    </row>
    <row r="6407" spans="1:7">
      <c r="A6407" s="3"/>
      <c r="B6407" s="3"/>
      <c r="C6407" s="3"/>
      <c r="D6407" s="3"/>
      <c r="E6407" s="3">
        <v>4</v>
      </c>
      <c r="F6407" s="4" t="str">
        <f>HYPERLINK("http://141.218.60.56/~jnz1568/getInfo.php?workbook=12_05.xlsx&amp;sheet=U0&amp;row=6407&amp;col=6&amp;number=3.3&amp;sourceID=14","3.3")</f>
        <v>3.3</v>
      </c>
      <c r="G6407" s="4" t="str">
        <f>HYPERLINK("http://141.218.60.56/~jnz1568/getInfo.php?workbook=12_05.xlsx&amp;sheet=U0&amp;row=6407&amp;col=7&amp;number=0.00417&amp;sourceID=14","0.00417")</f>
        <v>0.00417</v>
      </c>
    </row>
    <row r="6408" spans="1:7">
      <c r="A6408" s="3"/>
      <c r="B6408" s="3"/>
      <c r="C6408" s="3"/>
      <c r="D6408" s="3"/>
      <c r="E6408" s="3">
        <v>5</v>
      </c>
      <c r="F6408" s="4" t="str">
        <f>HYPERLINK("http://141.218.60.56/~jnz1568/getInfo.php?workbook=12_05.xlsx&amp;sheet=U0&amp;row=6408&amp;col=6&amp;number=3.4&amp;sourceID=14","3.4")</f>
        <v>3.4</v>
      </c>
      <c r="G6408" s="4" t="str">
        <f>HYPERLINK("http://141.218.60.56/~jnz1568/getInfo.php?workbook=12_05.xlsx&amp;sheet=U0&amp;row=6408&amp;col=7&amp;number=0.00417&amp;sourceID=14","0.00417")</f>
        <v>0.00417</v>
      </c>
    </row>
    <row r="6409" spans="1:7">
      <c r="A6409" s="3"/>
      <c r="B6409" s="3"/>
      <c r="C6409" s="3"/>
      <c r="D6409" s="3"/>
      <c r="E6409" s="3">
        <v>6</v>
      </c>
      <c r="F6409" s="4" t="str">
        <f>HYPERLINK("http://141.218.60.56/~jnz1568/getInfo.php?workbook=12_05.xlsx&amp;sheet=U0&amp;row=6409&amp;col=6&amp;number=3.5&amp;sourceID=14","3.5")</f>
        <v>3.5</v>
      </c>
      <c r="G6409" s="4" t="str">
        <f>HYPERLINK("http://141.218.60.56/~jnz1568/getInfo.php?workbook=12_05.xlsx&amp;sheet=U0&amp;row=6409&amp;col=7&amp;number=0.00417&amp;sourceID=14","0.00417")</f>
        <v>0.00417</v>
      </c>
    </row>
    <row r="6410" spans="1:7">
      <c r="A6410" s="3"/>
      <c r="B6410" s="3"/>
      <c r="C6410" s="3"/>
      <c r="D6410" s="3"/>
      <c r="E6410" s="3">
        <v>7</v>
      </c>
      <c r="F6410" s="4" t="str">
        <f>HYPERLINK("http://141.218.60.56/~jnz1568/getInfo.php?workbook=12_05.xlsx&amp;sheet=U0&amp;row=6410&amp;col=6&amp;number=3.6&amp;sourceID=14","3.6")</f>
        <v>3.6</v>
      </c>
      <c r="G6410" s="4" t="str">
        <f>HYPERLINK("http://141.218.60.56/~jnz1568/getInfo.php?workbook=12_05.xlsx&amp;sheet=U0&amp;row=6410&amp;col=7&amp;number=0.00416&amp;sourceID=14","0.00416")</f>
        <v>0.00416</v>
      </c>
    </row>
    <row r="6411" spans="1:7">
      <c r="A6411" s="3"/>
      <c r="B6411" s="3"/>
      <c r="C6411" s="3"/>
      <c r="D6411" s="3"/>
      <c r="E6411" s="3">
        <v>8</v>
      </c>
      <c r="F6411" s="4" t="str">
        <f>HYPERLINK("http://141.218.60.56/~jnz1568/getInfo.php?workbook=12_05.xlsx&amp;sheet=U0&amp;row=6411&amp;col=6&amp;number=3.7&amp;sourceID=14","3.7")</f>
        <v>3.7</v>
      </c>
      <c r="G6411" s="4" t="str">
        <f>HYPERLINK("http://141.218.60.56/~jnz1568/getInfo.php?workbook=12_05.xlsx&amp;sheet=U0&amp;row=6411&amp;col=7&amp;number=0.00416&amp;sourceID=14","0.00416")</f>
        <v>0.00416</v>
      </c>
    </row>
    <row r="6412" spans="1:7">
      <c r="A6412" s="3"/>
      <c r="B6412" s="3"/>
      <c r="C6412" s="3"/>
      <c r="D6412" s="3"/>
      <c r="E6412" s="3">
        <v>9</v>
      </c>
      <c r="F6412" s="4" t="str">
        <f>HYPERLINK("http://141.218.60.56/~jnz1568/getInfo.php?workbook=12_05.xlsx&amp;sheet=U0&amp;row=6412&amp;col=6&amp;number=3.8&amp;sourceID=14","3.8")</f>
        <v>3.8</v>
      </c>
      <c r="G6412" s="4" t="str">
        <f>HYPERLINK("http://141.218.60.56/~jnz1568/getInfo.php?workbook=12_05.xlsx&amp;sheet=U0&amp;row=6412&amp;col=7&amp;number=0.00416&amp;sourceID=14","0.00416")</f>
        <v>0.00416</v>
      </c>
    </row>
    <row r="6413" spans="1:7">
      <c r="A6413" s="3"/>
      <c r="B6413" s="3"/>
      <c r="C6413" s="3"/>
      <c r="D6413" s="3"/>
      <c r="E6413" s="3">
        <v>10</v>
      </c>
      <c r="F6413" s="4" t="str">
        <f>HYPERLINK("http://141.218.60.56/~jnz1568/getInfo.php?workbook=12_05.xlsx&amp;sheet=U0&amp;row=6413&amp;col=6&amp;number=3.9&amp;sourceID=14","3.9")</f>
        <v>3.9</v>
      </c>
      <c r="G6413" s="4" t="str">
        <f>HYPERLINK("http://141.218.60.56/~jnz1568/getInfo.php?workbook=12_05.xlsx&amp;sheet=U0&amp;row=6413&amp;col=7&amp;number=0.00415&amp;sourceID=14","0.00415")</f>
        <v>0.00415</v>
      </c>
    </row>
    <row r="6414" spans="1:7">
      <c r="A6414" s="3"/>
      <c r="B6414" s="3"/>
      <c r="C6414" s="3"/>
      <c r="D6414" s="3"/>
      <c r="E6414" s="3">
        <v>11</v>
      </c>
      <c r="F6414" s="4" t="str">
        <f>HYPERLINK("http://141.218.60.56/~jnz1568/getInfo.php?workbook=12_05.xlsx&amp;sheet=U0&amp;row=6414&amp;col=6&amp;number=4&amp;sourceID=14","4")</f>
        <v>4</v>
      </c>
      <c r="G6414" s="4" t="str">
        <f>HYPERLINK("http://141.218.60.56/~jnz1568/getInfo.php?workbook=12_05.xlsx&amp;sheet=U0&amp;row=6414&amp;col=7&amp;number=0.00414&amp;sourceID=14","0.00414")</f>
        <v>0.00414</v>
      </c>
    </row>
    <row r="6415" spans="1:7">
      <c r="A6415" s="3"/>
      <c r="B6415" s="3"/>
      <c r="C6415" s="3"/>
      <c r="D6415" s="3"/>
      <c r="E6415" s="3">
        <v>12</v>
      </c>
      <c r="F6415" s="4" t="str">
        <f>HYPERLINK("http://141.218.60.56/~jnz1568/getInfo.php?workbook=12_05.xlsx&amp;sheet=U0&amp;row=6415&amp;col=6&amp;number=4.1&amp;sourceID=14","4.1")</f>
        <v>4.1</v>
      </c>
      <c r="G6415" s="4" t="str">
        <f>HYPERLINK("http://141.218.60.56/~jnz1568/getInfo.php?workbook=12_05.xlsx&amp;sheet=U0&amp;row=6415&amp;col=7&amp;number=0.00413&amp;sourceID=14","0.00413")</f>
        <v>0.00413</v>
      </c>
    </row>
    <row r="6416" spans="1:7">
      <c r="A6416" s="3"/>
      <c r="B6416" s="3"/>
      <c r="C6416" s="3"/>
      <c r="D6416" s="3"/>
      <c r="E6416" s="3">
        <v>13</v>
      </c>
      <c r="F6416" s="4" t="str">
        <f>HYPERLINK("http://141.218.60.56/~jnz1568/getInfo.php?workbook=12_05.xlsx&amp;sheet=U0&amp;row=6416&amp;col=6&amp;number=4.2&amp;sourceID=14","4.2")</f>
        <v>4.2</v>
      </c>
      <c r="G6416" s="4" t="str">
        <f>HYPERLINK("http://141.218.60.56/~jnz1568/getInfo.php?workbook=12_05.xlsx&amp;sheet=U0&amp;row=6416&amp;col=7&amp;number=0.00412&amp;sourceID=14","0.00412")</f>
        <v>0.00412</v>
      </c>
    </row>
    <row r="6417" spans="1:7">
      <c r="A6417" s="3"/>
      <c r="B6417" s="3"/>
      <c r="C6417" s="3"/>
      <c r="D6417" s="3"/>
      <c r="E6417" s="3">
        <v>14</v>
      </c>
      <c r="F6417" s="4" t="str">
        <f>HYPERLINK("http://141.218.60.56/~jnz1568/getInfo.php?workbook=12_05.xlsx&amp;sheet=U0&amp;row=6417&amp;col=6&amp;number=4.3&amp;sourceID=14","4.3")</f>
        <v>4.3</v>
      </c>
      <c r="G6417" s="4" t="str">
        <f>HYPERLINK("http://141.218.60.56/~jnz1568/getInfo.php?workbook=12_05.xlsx&amp;sheet=U0&amp;row=6417&amp;col=7&amp;number=0.00411&amp;sourceID=14","0.00411")</f>
        <v>0.00411</v>
      </c>
    </row>
    <row r="6418" spans="1:7">
      <c r="A6418" s="3"/>
      <c r="B6418" s="3"/>
      <c r="C6418" s="3"/>
      <c r="D6418" s="3"/>
      <c r="E6418" s="3">
        <v>15</v>
      </c>
      <c r="F6418" s="4" t="str">
        <f>HYPERLINK("http://141.218.60.56/~jnz1568/getInfo.php?workbook=12_05.xlsx&amp;sheet=U0&amp;row=6418&amp;col=6&amp;number=4.4&amp;sourceID=14","4.4")</f>
        <v>4.4</v>
      </c>
      <c r="G6418" s="4" t="str">
        <f>HYPERLINK("http://141.218.60.56/~jnz1568/getInfo.php?workbook=12_05.xlsx&amp;sheet=U0&amp;row=6418&amp;col=7&amp;number=0.00409&amp;sourceID=14","0.00409")</f>
        <v>0.00409</v>
      </c>
    </row>
    <row r="6419" spans="1:7">
      <c r="A6419" s="3"/>
      <c r="B6419" s="3"/>
      <c r="C6419" s="3"/>
      <c r="D6419" s="3"/>
      <c r="E6419" s="3">
        <v>16</v>
      </c>
      <c r="F6419" s="4" t="str">
        <f>HYPERLINK("http://141.218.60.56/~jnz1568/getInfo.php?workbook=12_05.xlsx&amp;sheet=U0&amp;row=6419&amp;col=6&amp;number=4.5&amp;sourceID=14","4.5")</f>
        <v>4.5</v>
      </c>
      <c r="G6419" s="4" t="str">
        <f>HYPERLINK("http://141.218.60.56/~jnz1568/getInfo.php?workbook=12_05.xlsx&amp;sheet=U0&amp;row=6419&amp;col=7&amp;number=0.00407&amp;sourceID=14","0.00407")</f>
        <v>0.00407</v>
      </c>
    </row>
    <row r="6420" spans="1:7">
      <c r="A6420" s="3"/>
      <c r="B6420" s="3"/>
      <c r="C6420" s="3"/>
      <c r="D6420" s="3"/>
      <c r="E6420" s="3">
        <v>17</v>
      </c>
      <c r="F6420" s="4" t="str">
        <f>HYPERLINK("http://141.218.60.56/~jnz1568/getInfo.php?workbook=12_05.xlsx&amp;sheet=U0&amp;row=6420&amp;col=6&amp;number=4.6&amp;sourceID=14","4.6")</f>
        <v>4.6</v>
      </c>
      <c r="G6420" s="4" t="str">
        <f>HYPERLINK("http://141.218.60.56/~jnz1568/getInfo.php?workbook=12_05.xlsx&amp;sheet=U0&amp;row=6420&amp;col=7&amp;number=0.00404&amp;sourceID=14","0.00404")</f>
        <v>0.00404</v>
      </c>
    </row>
    <row r="6421" spans="1:7">
      <c r="A6421" s="3"/>
      <c r="B6421" s="3"/>
      <c r="C6421" s="3"/>
      <c r="D6421" s="3"/>
      <c r="E6421" s="3">
        <v>18</v>
      </c>
      <c r="F6421" s="4" t="str">
        <f>HYPERLINK("http://141.218.60.56/~jnz1568/getInfo.php?workbook=12_05.xlsx&amp;sheet=U0&amp;row=6421&amp;col=6&amp;number=4.7&amp;sourceID=14","4.7")</f>
        <v>4.7</v>
      </c>
      <c r="G6421" s="4" t="str">
        <f>HYPERLINK("http://141.218.60.56/~jnz1568/getInfo.php?workbook=12_05.xlsx&amp;sheet=U0&amp;row=6421&amp;col=7&amp;number=0.00401&amp;sourceID=14","0.00401")</f>
        <v>0.00401</v>
      </c>
    </row>
    <row r="6422" spans="1:7">
      <c r="A6422" s="3"/>
      <c r="B6422" s="3"/>
      <c r="C6422" s="3"/>
      <c r="D6422" s="3"/>
      <c r="E6422" s="3">
        <v>19</v>
      </c>
      <c r="F6422" s="4" t="str">
        <f>HYPERLINK("http://141.218.60.56/~jnz1568/getInfo.php?workbook=12_05.xlsx&amp;sheet=U0&amp;row=6422&amp;col=6&amp;number=4.8&amp;sourceID=14","4.8")</f>
        <v>4.8</v>
      </c>
      <c r="G6422" s="4" t="str">
        <f>HYPERLINK("http://141.218.60.56/~jnz1568/getInfo.php?workbook=12_05.xlsx&amp;sheet=U0&amp;row=6422&amp;col=7&amp;number=0.00397&amp;sourceID=14","0.00397")</f>
        <v>0.00397</v>
      </c>
    </row>
    <row r="6423" spans="1:7">
      <c r="A6423" s="3"/>
      <c r="B6423" s="3"/>
      <c r="C6423" s="3"/>
      <c r="D6423" s="3"/>
      <c r="E6423" s="3">
        <v>20</v>
      </c>
      <c r="F6423" s="4" t="str">
        <f>HYPERLINK("http://141.218.60.56/~jnz1568/getInfo.php?workbook=12_05.xlsx&amp;sheet=U0&amp;row=6423&amp;col=6&amp;number=4.9&amp;sourceID=14","4.9")</f>
        <v>4.9</v>
      </c>
      <c r="G6423" s="4" t="str">
        <f>HYPERLINK("http://141.218.60.56/~jnz1568/getInfo.php?workbook=12_05.xlsx&amp;sheet=U0&amp;row=6423&amp;col=7&amp;number=0.00392&amp;sourceID=14","0.00392")</f>
        <v>0.00392</v>
      </c>
    </row>
    <row r="6424" spans="1:7">
      <c r="A6424" s="3">
        <v>12</v>
      </c>
      <c r="B6424" s="3">
        <v>5</v>
      </c>
      <c r="C6424" s="3">
        <v>4</v>
      </c>
      <c r="D6424" s="3">
        <v>76</v>
      </c>
      <c r="E6424" s="3">
        <v>1</v>
      </c>
      <c r="F6424" s="4" t="str">
        <f>HYPERLINK("http://141.218.60.56/~jnz1568/getInfo.php?workbook=12_05.xlsx&amp;sheet=U0&amp;row=6424&amp;col=6&amp;number=3&amp;sourceID=14","3")</f>
        <v>3</v>
      </c>
      <c r="G6424" s="4" t="str">
        <f>HYPERLINK("http://141.218.60.56/~jnz1568/getInfo.php?workbook=12_05.xlsx&amp;sheet=U0&amp;row=6424&amp;col=7&amp;number=0.0316&amp;sourceID=14","0.0316")</f>
        <v>0.0316</v>
      </c>
    </row>
    <row r="6425" spans="1:7">
      <c r="A6425" s="3"/>
      <c r="B6425" s="3"/>
      <c r="C6425" s="3"/>
      <c r="D6425" s="3"/>
      <c r="E6425" s="3">
        <v>2</v>
      </c>
      <c r="F6425" s="4" t="str">
        <f>HYPERLINK("http://141.218.60.56/~jnz1568/getInfo.php?workbook=12_05.xlsx&amp;sheet=U0&amp;row=6425&amp;col=6&amp;number=3.1&amp;sourceID=14","3.1")</f>
        <v>3.1</v>
      </c>
      <c r="G6425" s="4" t="str">
        <f>HYPERLINK("http://141.218.60.56/~jnz1568/getInfo.php?workbook=12_05.xlsx&amp;sheet=U0&amp;row=6425&amp;col=7&amp;number=0.0316&amp;sourceID=14","0.0316")</f>
        <v>0.0316</v>
      </c>
    </row>
    <row r="6426" spans="1:7">
      <c r="A6426" s="3"/>
      <c r="B6426" s="3"/>
      <c r="C6426" s="3"/>
      <c r="D6426" s="3"/>
      <c r="E6426" s="3">
        <v>3</v>
      </c>
      <c r="F6426" s="4" t="str">
        <f>HYPERLINK("http://141.218.60.56/~jnz1568/getInfo.php?workbook=12_05.xlsx&amp;sheet=U0&amp;row=6426&amp;col=6&amp;number=3.2&amp;sourceID=14","3.2")</f>
        <v>3.2</v>
      </c>
      <c r="G6426" s="4" t="str">
        <f>HYPERLINK("http://141.218.60.56/~jnz1568/getInfo.php?workbook=12_05.xlsx&amp;sheet=U0&amp;row=6426&amp;col=7&amp;number=0.0316&amp;sourceID=14","0.0316")</f>
        <v>0.0316</v>
      </c>
    </row>
    <row r="6427" spans="1:7">
      <c r="A6427" s="3"/>
      <c r="B6427" s="3"/>
      <c r="C6427" s="3"/>
      <c r="D6427" s="3"/>
      <c r="E6427" s="3">
        <v>4</v>
      </c>
      <c r="F6427" s="4" t="str">
        <f>HYPERLINK("http://141.218.60.56/~jnz1568/getInfo.php?workbook=12_05.xlsx&amp;sheet=U0&amp;row=6427&amp;col=6&amp;number=3.3&amp;sourceID=14","3.3")</f>
        <v>3.3</v>
      </c>
      <c r="G6427" s="4" t="str">
        <f>HYPERLINK("http://141.218.60.56/~jnz1568/getInfo.php?workbook=12_05.xlsx&amp;sheet=U0&amp;row=6427&amp;col=7&amp;number=0.0317&amp;sourceID=14","0.0317")</f>
        <v>0.0317</v>
      </c>
    </row>
    <row r="6428" spans="1:7">
      <c r="A6428" s="3"/>
      <c r="B6428" s="3"/>
      <c r="C6428" s="3"/>
      <c r="D6428" s="3"/>
      <c r="E6428" s="3">
        <v>5</v>
      </c>
      <c r="F6428" s="4" t="str">
        <f>HYPERLINK("http://141.218.60.56/~jnz1568/getInfo.php?workbook=12_05.xlsx&amp;sheet=U0&amp;row=6428&amp;col=6&amp;number=3.4&amp;sourceID=14","3.4")</f>
        <v>3.4</v>
      </c>
      <c r="G6428" s="4" t="str">
        <f>HYPERLINK("http://141.218.60.56/~jnz1568/getInfo.php?workbook=12_05.xlsx&amp;sheet=U0&amp;row=6428&amp;col=7&amp;number=0.0317&amp;sourceID=14","0.0317")</f>
        <v>0.0317</v>
      </c>
    </row>
    <row r="6429" spans="1:7">
      <c r="A6429" s="3"/>
      <c r="B6429" s="3"/>
      <c r="C6429" s="3"/>
      <c r="D6429" s="3"/>
      <c r="E6429" s="3">
        <v>6</v>
      </c>
      <c r="F6429" s="4" t="str">
        <f>HYPERLINK("http://141.218.60.56/~jnz1568/getInfo.php?workbook=12_05.xlsx&amp;sheet=U0&amp;row=6429&amp;col=6&amp;number=3.5&amp;sourceID=14","3.5")</f>
        <v>3.5</v>
      </c>
      <c r="G6429" s="4" t="str">
        <f>HYPERLINK("http://141.218.60.56/~jnz1568/getInfo.php?workbook=12_05.xlsx&amp;sheet=U0&amp;row=6429&amp;col=7&amp;number=0.0317&amp;sourceID=14","0.0317")</f>
        <v>0.0317</v>
      </c>
    </row>
    <row r="6430" spans="1:7">
      <c r="A6430" s="3"/>
      <c r="B6430" s="3"/>
      <c r="C6430" s="3"/>
      <c r="D6430" s="3"/>
      <c r="E6430" s="3">
        <v>7</v>
      </c>
      <c r="F6430" s="4" t="str">
        <f>HYPERLINK("http://141.218.60.56/~jnz1568/getInfo.php?workbook=12_05.xlsx&amp;sheet=U0&amp;row=6430&amp;col=6&amp;number=3.6&amp;sourceID=14","3.6")</f>
        <v>3.6</v>
      </c>
      <c r="G6430" s="4" t="str">
        <f>HYPERLINK("http://141.218.60.56/~jnz1568/getInfo.php?workbook=12_05.xlsx&amp;sheet=U0&amp;row=6430&amp;col=7&amp;number=0.0317&amp;sourceID=14","0.0317")</f>
        <v>0.0317</v>
      </c>
    </row>
    <row r="6431" spans="1:7">
      <c r="A6431" s="3"/>
      <c r="B6431" s="3"/>
      <c r="C6431" s="3"/>
      <c r="D6431" s="3"/>
      <c r="E6431" s="3">
        <v>8</v>
      </c>
      <c r="F6431" s="4" t="str">
        <f>HYPERLINK("http://141.218.60.56/~jnz1568/getInfo.php?workbook=12_05.xlsx&amp;sheet=U0&amp;row=6431&amp;col=6&amp;number=3.7&amp;sourceID=14","3.7")</f>
        <v>3.7</v>
      </c>
      <c r="G6431" s="4" t="str">
        <f>HYPERLINK("http://141.218.60.56/~jnz1568/getInfo.php?workbook=12_05.xlsx&amp;sheet=U0&amp;row=6431&amp;col=7&amp;number=0.0317&amp;sourceID=14","0.0317")</f>
        <v>0.0317</v>
      </c>
    </row>
    <row r="6432" spans="1:7">
      <c r="A6432" s="3"/>
      <c r="B6432" s="3"/>
      <c r="C6432" s="3"/>
      <c r="D6432" s="3"/>
      <c r="E6432" s="3">
        <v>9</v>
      </c>
      <c r="F6432" s="4" t="str">
        <f>HYPERLINK("http://141.218.60.56/~jnz1568/getInfo.php?workbook=12_05.xlsx&amp;sheet=U0&amp;row=6432&amp;col=6&amp;number=3.8&amp;sourceID=14","3.8")</f>
        <v>3.8</v>
      </c>
      <c r="G6432" s="4" t="str">
        <f>HYPERLINK("http://141.218.60.56/~jnz1568/getInfo.php?workbook=12_05.xlsx&amp;sheet=U0&amp;row=6432&amp;col=7&amp;number=0.0317&amp;sourceID=14","0.0317")</f>
        <v>0.0317</v>
      </c>
    </row>
    <row r="6433" spans="1:7">
      <c r="A6433" s="3"/>
      <c r="B6433" s="3"/>
      <c r="C6433" s="3"/>
      <c r="D6433" s="3"/>
      <c r="E6433" s="3">
        <v>10</v>
      </c>
      <c r="F6433" s="4" t="str">
        <f>HYPERLINK("http://141.218.60.56/~jnz1568/getInfo.php?workbook=12_05.xlsx&amp;sheet=U0&amp;row=6433&amp;col=6&amp;number=3.9&amp;sourceID=14","3.9")</f>
        <v>3.9</v>
      </c>
      <c r="G6433" s="4" t="str">
        <f>HYPERLINK("http://141.218.60.56/~jnz1568/getInfo.php?workbook=12_05.xlsx&amp;sheet=U0&amp;row=6433&amp;col=7&amp;number=0.0317&amp;sourceID=14","0.0317")</f>
        <v>0.0317</v>
      </c>
    </row>
    <row r="6434" spans="1:7">
      <c r="A6434" s="3"/>
      <c r="B6434" s="3"/>
      <c r="C6434" s="3"/>
      <c r="D6434" s="3"/>
      <c r="E6434" s="3">
        <v>11</v>
      </c>
      <c r="F6434" s="4" t="str">
        <f>HYPERLINK("http://141.218.60.56/~jnz1568/getInfo.php?workbook=12_05.xlsx&amp;sheet=U0&amp;row=6434&amp;col=6&amp;number=4&amp;sourceID=14","4")</f>
        <v>4</v>
      </c>
      <c r="G6434" s="4" t="str">
        <f>HYPERLINK("http://141.218.60.56/~jnz1568/getInfo.php?workbook=12_05.xlsx&amp;sheet=U0&amp;row=6434&amp;col=7&amp;number=0.0317&amp;sourceID=14","0.0317")</f>
        <v>0.0317</v>
      </c>
    </row>
    <row r="6435" spans="1:7">
      <c r="A6435" s="3"/>
      <c r="B6435" s="3"/>
      <c r="C6435" s="3"/>
      <c r="D6435" s="3"/>
      <c r="E6435" s="3">
        <v>12</v>
      </c>
      <c r="F6435" s="4" t="str">
        <f>HYPERLINK("http://141.218.60.56/~jnz1568/getInfo.php?workbook=12_05.xlsx&amp;sheet=U0&amp;row=6435&amp;col=6&amp;number=4.1&amp;sourceID=14","4.1")</f>
        <v>4.1</v>
      </c>
      <c r="G6435" s="4" t="str">
        <f>HYPERLINK("http://141.218.60.56/~jnz1568/getInfo.php?workbook=12_05.xlsx&amp;sheet=U0&amp;row=6435&amp;col=7&amp;number=0.0318&amp;sourceID=14","0.0318")</f>
        <v>0.0318</v>
      </c>
    </row>
    <row r="6436" spans="1:7">
      <c r="A6436" s="3"/>
      <c r="B6436" s="3"/>
      <c r="C6436" s="3"/>
      <c r="D6436" s="3"/>
      <c r="E6436" s="3">
        <v>13</v>
      </c>
      <c r="F6436" s="4" t="str">
        <f>HYPERLINK("http://141.218.60.56/~jnz1568/getInfo.php?workbook=12_05.xlsx&amp;sheet=U0&amp;row=6436&amp;col=6&amp;number=4.2&amp;sourceID=14","4.2")</f>
        <v>4.2</v>
      </c>
      <c r="G6436" s="4" t="str">
        <f>HYPERLINK("http://141.218.60.56/~jnz1568/getInfo.php?workbook=12_05.xlsx&amp;sheet=U0&amp;row=6436&amp;col=7&amp;number=0.0318&amp;sourceID=14","0.0318")</f>
        <v>0.0318</v>
      </c>
    </row>
    <row r="6437" spans="1:7">
      <c r="A6437" s="3"/>
      <c r="B6437" s="3"/>
      <c r="C6437" s="3"/>
      <c r="D6437" s="3"/>
      <c r="E6437" s="3">
        <v>14</v>
      </c>
      <c r="F6437" s="4" t="str">
        <f>HYPERLINK("http://141.218.60.56/~jnz1568/getInfo.php?workbook=12_05.xlsx&amp;sheet=U0&amp;row=6437&amp;col=6&amp;number=4.3&amp;sourceID=14","4.3")</f>
        <v>4.3</v>
      </c>
      <c r="G6437" s="4" t="str">
        <f>HYPERLINK("http://141.218.60.56/~jnz1568/getInfo.php?workbook=12_05.xlsx&amp;sheet=U0&amp;row=6437&amp;col=7&amp;number=0.0318&amp;sourceID=14","0.0318")</f>
        <v>0.0318</v>
      </c>
    </row>
    <row r="6438" spans="1:7">
      <c r="A6438" s="3"/>
      <c r="B6438" s="3"/>
      <c r="C6438" s="3"/>
      <c r="D6438" s="3"/>
      <c r="E6438" s="3">
        <v>15</v>
      </c>
      <c r="F6438" s="4" t="str">
        <f>HYPERLINK("http://141.218.60.56/~jnz1568/getInfo.php?workbook=12_05.xlsx&amp;sheet=U0&amp;row=6438&amp;col=6&amp;number=4.4&amp;sourceID=14","4.4")</f>
        <v>4.4</v>
      </c>
      <c r="G6438" s="4" t="str">
        <f>HYPERLINK("http://141.218.60.56/~jnz1568/getInfo.php?workbook=12_05.xlsx&amp;sheet=U0&amp;row=6438&amp;col=7&amp;number=0.0319&amp;sourceID=14","0.0319")</f>
        <v>0.0319</v>
      </c>
    </row>
    <row r="6439" spans="1:7">
      <c r="A6439" s="3"/>
      <c r="B6439" s="3"/>
      <c r="C6439" s="3"/>
      <c r="D6439" s="3"/>
      <c r="E6439" s="3">
        <v>16</v>
      </c>
      <c r="F6439" s="4" t="str">
        <f>HYPERLINK("http://141.218.60.56/~jnz1568/getInfo.php?workbook=12_05.xlsx&amp;sheet=U0&amp;row=6439&amp;col=6&amp;number=4.5&amp;sourceID=14","4.5")</f>
        <v>4.5</v>
      </c>
      <c r="G6439" s="4" t="str">
        <f>HYPERLINK("http://141.218.60.56/~jnz1568/getInfo.php?workbook=12_05.xlsx&amp;sheet=U0&amp;row=6439&amp;col=7&amp;number=0.032&amp;sourceID=14","0.032")</f>
        <v>0.032</v>
      </c>
    </row>
    <row r="6440" spans="1:7">
      <c r="A6440" s="3"/>
      <c r="B6440" s="3"/>
      <c r="C6440" s="3"/>
      <c r="D6440" s="3"/>
      <c r="E6440" s="3">
        <v>17</v>
      </c>
      <c r="F6440" s="4" t="str">
        <f>HYPERLINK("http://141.218.60.56/~jnz1568/getInfo.php?workbook=12_05.xlsx&amp;sheet=U0&amp;row=6440&amp;col=6&amp;number=4.6&amp;sourceID=14","4.6")</f>
        <v>4.6</v>
      </c>
      <c r="G6440" s="4" t="str">
        <f>HYPERLINK("http://141.218.60.56/~jnz1568/getInfo.php?workbook=12_05.xlsx&amp;sheet=U0&amp;row=6440&amp;col=7&amp;number=0.0321&amp;sourceID=14","0.0321")</f>
        <v>0.0321</v>
      </c>
    </row>
    <row r="6441" spans="1:7">
      <c r="A6441" s="3"/>
      <c r="B6441" s="3"/>
      <c r="C6441" s="3"/>
      <c r="D6441" s="3"/>
      <c r="E6441" s="3">
        <v>18</v>
      </c>
      <c r="F6441" s="4" t="str">
        <f>HYPERLINK("http://141.218.60.56/~jnz1568/getInfo.php?workbook=12_05.xlsx&amp;sheet=U0&amp;row=6441&amp;col=6&amp;number=4.7&amp;sourceID=14","4.7")</f>
        <v>4.7</v>
      </c>
      <c r="G6441" s="4" t="str">
        <f>HYPERLINK("http://141.218.60.56/~jnz1568/getInfo.php?workbook=12_05.xlsx&amp;sheet=U0&amp;row=6441&amp;col=7&amp;number=0.0322&amp;sourceID=14","0.0322")</f>
        <v>0.0322</v>
      </c>
    </row>
    <row r="6442" spans="1:7">
      <c r="A6442" s="3"/>
      <c r="B6442" s="3"/>
      <c r="C6442" s="3"/>
      <c r="D6442" s="3"/>
      <c r="E6442" s="3">
        <v>19</v>
      </c>
      <c r="F6442" s="4" t="str">
        <f>HYPERLINK("http://141.218.60.56/~jnz1568/getInfo.php?workbook=12_05.xlsx&amp;sheet=U0&amp;row=6442&amp;col=6&amp;number=4.8&amp;sourceID=14","4.8")</f>
        <v>4.8</v>
      </c>
      <c r="G6442" s="4" t="str">
        <f>HYPERLINK("http://141.218.60.56/~jnz1568/getInfo.php?workbook=12_05.xlsx&amp;sheet=U0&amp;row=6442&amp;col=7&amp;number=0.0323&amp;sourceID=14","0.0323")</f>
        <v>0.0323</v>
      </c>
    </row>
    <row r="6443" spans="1:7">
      <c r="A6443" s="3"/>
      <c r="B6443" s="3"/>
      <c r="C6443" s="3"/>
      <c r="D6443" s="3"/>
      <c r="E6443" s="3">
        <v>20</v>
      </c>
      <c r="F6443" s="4" t="str">
        <f>HYPERLINK("http://141.218.60.56/~jnz1568/getInfo.php?workbook=12_05.xlsx&amp;sheet=U0&amp;row=6443&amp;col=6&amp;number=4.9&amp;sourceID=14","4.9")</f>
        <v>4.9</v>
      </c>
      <c r="G6443" s="4" t="str">
        <f>HYPERLINK("http://141.218.60.56/~jnz1568/getInfo.php?workbook=12_05.xlsx&amp;sheet=U0&amp;row=6443&amp;col=7&amp;number=0.0325&amp;sourceID=14","0.0325")</f>
        <v>0.0325</v>
      </c>
    </row>
    <row r="6444" spans="1:7">
      <c r="A6444" s="3">
        <v>12</v>
      </c>
      <c r="B6444" s="3">
        <v>5</v>
      </c>
      <c r="C6444" s="3">
        <v>4</v>
      </c>
      <c r="D6444" s="3">
        <v>77</v>
      </c>
      <c r="E6444" s="3">
        <v>1</v>
      </c>
      <c r="F6444" s="4" t="str">
        <f>HYPERLINK("http://141.218.60.56/~jnz1568/getInfo.php?workbook=12_05.xlsx&amp;sheet=U0&amp;row=6444&amp;col=6&amp;number=3&amp;sourceID=14","3")</f>
        <v>3</v>
      </c>
      <c r="G6444" s="4" t="str">
        <f>HYPERLINK("http://141.218.60.56/~jnz1568/getInfo.php?workbook=12_05.xlsx&amp;sheet=U0&amp;row=6444&amp;col=7&amp;number=0.0894&amp;sourceID=14","0.0894")</f>
        <v>0.0894</v>
      </c>
    </row>
    <row r="6445" spans="1:7">
      <c r="A6445" s="3"/>
      <c r="B6445" s="3"/>
      <c r="C6445" s="3"/>
      <c r="D6445" s="3"/>
      <c r="E6445" s="3">
        <v>2</v>
      </c>
      <c r="F6445" s="4" t="str">
        <f>HYPERLINK("http://141.218.60.56/~jnz1568/getInfo.php?workbook=12_05.xlsx&amp;sheet=U0&amp;row=6445&amp;col=6&amp;number=3.1&amp;sourceID=14","3.1")</f>
        <v>3.1</v>
      </c>
      <c r="G6445" s="4" t="str">
        <f>HYPERLINK("http://141.218.60.56/~jnz1568/getInfo.php?workbook=12_05.xlsx&amp;sheet=U0&amp;row=6445&amp;col=7&amp;number=0.0894&amp;sourceID=14","0.0894")</f>
        <v>0.0894</v>
      </c>
    </row>
    <row r="6446" spans="1:7">
      <c r="A6446" s="3"/>
      <c r="B6446" s="3"/>
      <c r="C6446" s="3"/>
      <c r="D6446" s="3"/>
      <c r="E6446" s="3">
        <v>3</v>
      </c>
      <c r="F6446" s="4" t="str">
        <f>HYPERLINK("http://141.218.60.56/~jnz1568/getInfo.php?workbook=12_05.xlsx&amp;sheet=U0&amp;row=6446&amp;col=6&amp;number=3.2&amp;sourceID=14","3.2")</f>
        <v>3.2</v>
      </c>
      <c r="G6446" s="4" t="str">
        <f>HYPERLINK("http://141.218.60.56/~jnz1568/getInfo.php?workbook=12_05.xlsx&amp;sheet=U0&amp;row=6446&amp;col=7&amp;number=0.0895&amp;sourceID=14","0.0895")</f>
        <v>0.0895</v>
      </c>
    </row>
    <row r="6447" spans="1:7">
      <c r="A6447" s="3"/>
      <c r="B6447" s="3"/>
      <c r="C6447" s="3"/>
      <c r="D6447" s="3"/>
      <c r="E6447" s="3">
        <v>4</v>
      </c>
      <c r="F6447" s="4" t="str">
        <f>HYPERLINK("http://141.218.60.56/~jnz1568/getInfo.php?workbook=12_05.xlsx&amp;sheet=U0&amp;row=6447&amp;col=6&amp;number=3.3&amp;sourceID=14","3.3")</f>
        <v>3.3</v>
      </c>
      <c r="G6447" s="4" t="str">
        <f>HYPERLINK("http://141.218.60.56/~jnz1568/getInfo.php?workbook=12_05.xlsx&amp;sheet=U0&amp;row=6447&amp;col=7&amp;number=0.0895&amp;sourceID=14","0.0895")</f>
        <v>0.0895</v>
      </c>
    </row>
    <row r="6448" spans="1:7">
      <c r="A6448" s="3"/>
      <c r="B6448" s="3"/>
      <c r="C6448" s="3"/>
      <c r="D6448" s="3"/>
      <c r="E6448" s="3">
        <v>5</v>
      </c>
      <c r="F6448" s="4" t="str">
        <f>HYPERLINK("http://141.218.60.56/~jnz1568/getInfo.php?workbook=12_05.xlsx&amp;sheet=U0&amp;row=6448&amp;col=6&amp;number=3.4&amp;sourceID=14","3.4")</f>
        <v>3.4</v>
      </c>
      <c r="G6448" s="4" t="str">
        <f>HYPERLINK("http://141.218.60.56/~jnz1568/getInfo.php?workbook=12_05.xlsx&amp;sheet=U0&amp;row=6448&amp;col=7&amp;number=0.0895&amp;sourceID=14","0.0895")</f>
        <v>0.0895</v>
      </c>
    </row>
    <row r="6449" spans="1:7">
      <c r="A6449" s="3"/>
      <c r="B6449" s="3"/>
      <c r="C6449" s="3"/>
      <c r="D6449" s="3"/>
      <c r="E6449" s="3">
        <v>6</v>
      </c>
      <c r="F6449" s="4" t="str">
        <f>HYPERLINK("http://141.218.60.56/~jnz1568/getInfo.php?workbook=12_05.xlsx&amp;sheet=U0&amp;row=6449&amp;col=6&amp;number=3.5&amp;sourceID=14","3.5")</f>
        <v>3.5</v>
      </c>
      <c r="G6449" s="4" t="str">
        <f>HYPERLINK("http://141.218.60.56/~jnz1568/getInfo.php?workbook=12_05.xlsx&amp;sheet=U0&amp;row=6449&amp;col=7&amp;number=0.0896&amp;sourceID=14","0.0896")</f>
        <v>0.0896</v>
      </c>
    </row>
    <row r="6450" spans="1:7">
      <c r="A6450" s="3"/>
      <c r="B6450" s="3"/>
      <c r="C6450" s="3"/>
      <c r="D6450" s="3"/>
      <c r="E6450" s="3">
        <v>7</v>
      </c>
      <c r="F6450" s="4" t="str">
        <f>HYPERLINK("http://141.218.60.56/~jnz1568/getInfo.php?workbook=12_05.xlsx&amp;sheet=U0&amp;row=6450&amp;col=6&amp;number=3.6&amp;sourceID=14","3.6")</f>
        <v>3.6</v>
      </c>
      <c r="G6450" s="4" t="str">
        <f>HYPERLINK("http://141.218.60.56/~jnz1568/getInfo.php?workbook=12_05.xlsx&amp;sheet=U0&amp;row=6450&amp;col=7&amp;number=0.0896&amp;sourceID=14","0.0896")</f>
        <v>0.0896</v>
      </c>
    </row>
    <row r="6451" spans="1:7">
      <c r="A6451" s="3"/>
      <c r="B6451" s="3"/>
      <c r="C6451" s="3"/>
      <c r="D6451" s="3"/>
      <c r="E6451" s="3">
        <v>8</v>
      </c>
      <c r="F6451" s="4" t="str">
        <f>HYPERLINK("http://141.218.60.56/~jnz1568/getInfo.php?workbook=12_05.xlsx&amp;sheet=U0&amp;row=6451&amp;col=6&amp;number=3.7&amp;sourceID=14","3.7")</f>
        <v>3.7</v>
      </c>
      <c r="G6451" s="4" t="str">
        <f>HYPERLINK("http://141.218.60.56/~jnz1568/getInfo.php?workbook=12_05.xlsx&amp;sheet=U0&amp;row=6451&amp;col=7&amp;number=0.0897&amp;sourceID=14","0.0897")</f>
        <v>0.0897</v>
      </c>
    </row>
    <row r="6452" spans="1:7">
      <c r="A6452" s="3"/>
      <c r="B6452" s="3"/>
      <c r="C6452" s="3"/>
      <c r="D6452" s="3"/>
      <c r="E6452" s="3">
        <v>9</v>
      </c>
      <c r="F6452" s="4" t="str">
        <f>HYPERLINK("http://141.218.60.56/~jnz1568/getInfo.php?workbook=12_05.xlsx&amp;sheet=U0&amp;row=6452&amp;col=6&amp;number=3.8&amp;sourceID=14","3.8")</f>
        <v>3.8</v>
      </c>
      <c r="G6452" s="4" t="str">
        <f>HYPERLINK("http://141.218.60.56/~jnz1568/getInfo.php?workbook=12_05.xlsx&amp;sheet=U0&amp;row=6452&amp;col=7&amp;number=0.0898&amp;sourceID=14","0.0898")</f>
        <v>0.0898</v>
      </c>
    </row>
    <row r="6453" spans="1:7">
      <c r="A6453" s="3"/>
      <c r="B6453" s="3"/>
      <c r="C6453" s="3"/>
      <c r="D6453" s="3"/>
      <c r="E6453" s="3">
        <v>10</v>
      </c>
      <c r="F6453" s="4" t="str">
        <f>HYPERLINK("http://141.218.60.56/~jnz1568/getInfo.php?workbook=12_05.xlsx&amp;sheet=U0&amp;row=6453&amp;col=6&amp;number=3.9&amp;sourceID=14","3.9")</f>
        <v>3.9</v>
      </c>
      <c r="G6453" s="4" t="str">
        <f>HYPERLINK("http://141.218.60.56/~jnz1568/getInfo.php?workbook=12_05.xlsx&amp;sheet=U0&amp;row=6453&amp;col=7&amp;number=0.0899&amp;sourceID=14","0.0899")</f>
        <v>0.0899</v>
      </c>
    </row>
    <row r="6454" spans="1:7">
      <c r="A6454" s="3"/>
      <c r="B6454" s="3"/>
      <c r="C6454" s="3"/>
      <c r="D6454" s="3"/>
      <c r="E6454" s="3">
        <v>11</v>
      </c>
      <c r="F6454" s="4" t="str">
        <f>HYPERLINK("http://141.218.60.56/~jnz1568/getInfo.php?workbook=12_05.xlsx&amp;sheet=U0&amp;row=6454&amp;col=6&amp;number=4&amp;sourceID=14","4")</f>
        <v>4</v>
      </c>
      <c r="G6454" s="4" t="str">
        <f>HYPERLINK("http://141.218.60.56/~jnz1568/getInfo.php?workbook=12_05.xlsx&amp;sheet=U0&amp;row=6454&amp;col=7&amp;number=0.09&amp;sourceID=14","0.09")</f>
        <v>0.09</v>
      </c>
    </row>
    <row r="6455" spans="1:7">
      <c r="A6455" s="3"/>
      <c r="B6455" s="3"/>
      <c r="C6455" s="3"/>
      <c r="D6455" s="3"/>
      <c r="E6455" s="3">
        <v>12</v>
      </c>
      <c r="F6455" s="4" t="str">
        <f>HYPERLINK("http://141.218.60.56/~jnz1568/getInfo.php?workbook=12_05.xlsx&amp;sheet=U0&amp;row=6455&amp;col=6&amp;number=4.1&amp;sourceID=14","4.1")</f>
        <v>4.1</v>
      </c>
      <c r="G6455" s="4" t="str">
        <f>HYPERLINK("http://141.218.60.56/~jnz1568/getInfo.php?workbook=12_05.xlsx&amp;sheet=U0&amp;row=6455&amp;col=7&amp;number=0.0902&amp;sourceID=14","0.0902")</f>
        <v>0.0902</v>
      </c>
    </row>
    <row r="6456" spans="1:7">
      <c r="A6456" s="3"/>
      <c r="B6456" s="3"/>
      <c r="C6456" s="3"/>
      <c r="D6456" s="3"/>
      <c r="E6456" s="3">
        <v>13</v>
      </c>
      <c r="F6456" s="4" t="str">
        <f>HYPERLINK("http://141.218.60.56/~jnz1568/getInfo.php?workbook=12_05.xlsx&amp;sheet=U0&amp;row=6456&amp;col=6&amp;number=4.2&amp;sourceID=14","4.2")</f>
        <v>4.2</v>
      </c>
      <c r="G6456" s="4" t="str">
        <f>HYPERLINK("http://141.218.60.56/~jnz1568/getInfo.php?workbook=12_05.xlsx&amp;sheet=U0&amp;row=6456&amp;col=7&amp;number=0.0904&amp;sourceID=14","0.0904")</f>
        <v>0.0904</v>
      </c>
    </row>
    <row r="6457" spans="1:7">
      <c r="A6457" s="3"/>
      <c r="B6457" s="3"/>
      <c r="C6457" s="3"/>
      <c r="D6457" s="3"/>
      <c r="E6457" s="3">
        <v>14</v>
      </c>
      <c r="F6457" s="4" t="str">
        <f>HYPERLINK("http://141.218.60.56/~jnz1568/getInfo.php?workbook=12_05.xlsx&amp;sheet=U0&amp;row=6457&amp;col=6&amp;number=4.3&amp;sourceID=14","4.3")</f>
        <v>4.3</v>
      </c>
      <c r="G6457" s="4" t="str">
        <f>HYPERLINK("http://141.218.60.56/~jnz1568/getInfo.php?workbook=12_05.xlsx&amp;sheet=U0&amp;row=6457&amp;col=7&amp;number=0.0907&amp;sourceID=14","0.0907")</f>
        <v>0.0907</v>
      </c>
    </row>
    <row r="6458" spans="1:7">
      <c r="A6458" s="3"/>
      <c r="B6458" s="3"/>
      <c r="C6458" s="3"/>
      <c r="D6458" s="3"/>
      <c r="E6458" s="3">
        <v>15</v>
      </c>
      <c r="F6458" s="4" t="str">
        <f>HYPERLINK("http://141.218.60.56/~jnz1568/getInfo.php?workbook=12_05.xlsx&amp;sheet=U0&amp;row=6458&amp;col=6&amp;number=4.4&amp;sourceID=14","4.4")</f>
        <v>4.4</v>
      </c>
      <c r="G6458" s="4" t="str">
        <f>HYPERLINK("http://141.218.60.56/~jnz1568/getInfo.php?workbook=12_05.xlsx&amp;sheet=U0&amp;row=6458&amp;col=7&amp;number=0.091&amp;sourceID=14","0.091")</f>
        <v>0.091</v>
      </c>
    </row>
    <row r="6459" spans="1:7">
      <c r="A6459" s="3"/>
      <c r="B6459" s="3"/>
      <c r="C6459" s="3"/>
      <c r="D6459" s="3"/>
      <c r="E6459" s="3">
        <v>16</v>
      </c>
      <c r="F6459" s="4" t="str">
        <f>HYPERLINK("http://141.218.60.56/~jnz1568/getInfo.php?workbook=12_05.xlsx&amp;sheet=U0&amp;row=6459&amp;col=6&amp;number=4.5&amp;sourceID=14","4.5")</f>
        <v>4.5</v>
      </c>
      <c r="G6459" s="4" t="str">
        <f>HYPERLINK("http://141.218.60.56/~jnz1568/getInfo.php?workbook=12_05.xlsx&amp;sheet=U0&amp;row=6459&amp;col=7&amp;number=0.0914&amp;sourceID=14","0.0914")</f>
        <v>0.0914</v>
      </c>
    </row>
    <row r="6460" spans="1:7">
      <c r="A6460" s="3"/>
      <c r="B6460" s="3"/>
      <c r="C6460" s="3"/>
      <c r="D6460" s="3"/>
      <c r="E6460" s="3">
        <v>17</v>
      </c>
      <c r="F6460" s="4" t="str">
        <f>HYPERLINK("http://141.218.60.56/~jnz1568/getInfo.php?workbook=12_05.xlsx&amp;sheet=U0&amp;row=6460&amp;col=6&amp;number=4.6&amp;sourceID=14","4.6")</f>
        <v>4.6</v>
      </c>
      <c r="G6460" s="4" t="str">
        <f>HYPERLINK("http://141.218.60.56/~jnz1568/getInfo.php?workbook=12_05.xlsx&amp;sheet=U0&amp;row=6460&amp;col=7&amp;number=0.092&amp;sourceID=14","0.092")</f>
        <v>0.092</v>
      </c>
    </row>
    <row r="6461" spans="1:7">
      <c r="A6461" s="3"/>
      <c r="B6461" s="3"/>
      <c r="C6461" s="3"/>
      <c r="D6461" s="3"/>
      <c r="E6461" s="3">
        <v>18</v>
      </c>
      <c r="F6461" s="4" t="str">
        <f>HYPERLINK("http://141.218.60.56/~jnz1568/getInfo.php?workbook=12_05.xlsx&amp;sheet=U0&amp;row=6461&amp;col=6&amp;number=4.7&amp;sourceID=14","4.7")</f>
        <v>4.7</v>
      </c>
      <c r="G6461" s="4" t="str">
        <f>HYPERLINK("http://141.218.60.56/~jnz1568/getInfo.php?workbook=12_05.xlsx&amp;sheet=U0&amp;row=6461&amp;col=7&amp;number=0.0926&amp;sourceID=14","0.0926")</f>
        <v>0.0926</v>
      </c>
    </row>
    <row r="6462" spans="1:7">
      <c r="A6462" s="3"/>
      <c r="B6462" s="3"/>
      <c r="C6462" s="3"/>
      <c r="D6462" s="3"/>
      <c r="E6462" s="3">
        <v>19</v>
      </c>
      <c r="F6462" s="4" t="str">
        <f>HYPERLINK("http://141.218.60.56/~jnz1568/getInfo.php?workbook=12_05.xlsx&amp;sheet=U0&amp;row=6462&amp;col=6&amp;number=4.8&amp;sourceID=14","4.8")</f>
        <v>4.8</v>
      </c>
      <c r="G6462" s="4" t="str">
        <f>HYPERLINK("http://141.218.60.56/~jnz1568/getInfo.php?workbook=12_05.xlsx&amp;sheet=U0&amp;row=6462&amp;col=7&amp;number=0.0935&amp;sourceID=14","0.0935")</f>
        <v>0.0935</v>
      </c>
    </row>
    <row r="6463" spans="1:7">
      <c r="A6463" s="3"/>
      <c r="B6463" s="3"/>
      <c r="C6463" s="3"/>
      <c r="D6463" s="3"/>
      <c r="E6463" s="3">
        <v>20</v>
      </c>
      <c r="F6463" s="4" t="str">
        <f>HYPERLINK("http://141.218.60.56/~jnz1568/getInfo.php?workbook=12_05.xlsx&amp;sheet=U0&amp;row=6463&amp;col=6&amp;number=4.9&amp;sourceID=14","4.9")</f>
        <v>4.9</v>
      </c>
      <c r="G6463" s="4" t="str">
        <f>HYPERLINK("http://141.218.60.56/~jnz1568/getInfo.php?workbook=12_05.xlsx&amp;sheet=U0&amp;row=6463&amp;col=7&amp;number=0.0945&amp;sourceID=14","0.0945")</f>
        <v>0.0945</v>
      </c>
    </row>
    <row r="6464" spans="1:7">
      <c r="A6464" s="3">
        <v>12</v>
      </c>
      <c r="B6464" s="3">
        <v>5</v>
      </c>
      <c r="C6464" s="3">
        <v>4</v>
      </c>
      <c r="D6464" s="3">
        <v>78</v>
      </c>
      <c r="E6464" s="3">
        <v>1</v>
      </c>
      <c r="F6464" s="4" t="str">
        <f>HYPERLINK("http://141.218.60.56/~jnz1568/getInfo.php?workbook=12_05.xlsx&amp;sheet=U0&amp;row=6464&amp;col=6&amp;number=3&amp;sourceID=14","3")</f>
        <v>3</v>
      </c>
      <c r="G6464" s="4" t="str">
        <f>HYPERLINK("http://141.218.60.56/~jnz1568/getInfo.php?workbook=12_05.xlsx&amp;sheet=U0&amp;row=6464&amp;col=7&amp;number=0.000711&amp;sourceID=14","0.000711")</f>
        <v>0.000711</v>
      </c>
    </row>
    <row r="6465" spans="1:7">
      <c r="A6465" s="3"/>
      <c r="B6465" s="3"/>
      <c r="C6465" s="3"/>
      <c r="D6465" s="3"/>
      <c r="E6465" s="3">
        <v>2</v>
      </c>
      <c r="F6465" s="4" t="str">
        <f>HYPERLINK("http://141.218.60.56/~jnz1568/getInfo.php?workbook=12_05.xlsx&amp;sheet=U0&amp;row=6465&amp;col=6&amp;number=3.1&amp;sourceID=14","3.1")</f>
        <v>3.1</v>
      </c>
      <c r="G6465" s="4" t="str">
        <f>HYPERLINK("http://141.218.60.56/~jnz1568/getInfo.php?workbook=12_05.xlsx&amp;sheet=U0&amp;row=6465&amp;col=7&amp;number=0.000711&amp;sourceID=14","0.000711")</f>
        <v>0.000711</v>
      </c>
    </row>
    <row r="6466" spans="1:7">
      <c r="A6466" s="3"/>
      <c r="B6466" s="3"/>
      <c r="C6466" s="3"/>
      <c r="D6466" s="3"/>
      <c r="E6466" s="3">
        <v>3</v>
      </c>
      <c r="F6466" s="4" t="str">
        <f>HYPERLINK("http://141.218.60.56/~jnz1568/getInfo.php?workbook=12_05.xlsx&amp;sheet=U0&amp;row=6466&amp;col=6&amp;number=3.2&amp;sourceID=14","3.2")</f>
        <v>3.2</v>
      </c>
      <c r="G6466" s="4" t="str">
        <f>HYPERLINK("http://141.218.60.56/~jnz1568/getInfo.php?workbook=12_05.xlsx&amp;sheet=U0&amp;row=6466&amp;col=7&amp;number=0.00071&amp;sourceID=14","0.00071")</f>
        <v>0.00071</v>
      </c>
    </row>
    <row r="6467" spans="1:7">
      <c r="A6467" s="3"/>
      <c r="B6467" s="3"/>
      <c r="C6467" s="3"/>
      <c r="D6467" s="3"/>
      <c r="E6467" s="3">
        <v>4</v>
      </c>
      <c r="F6467" s="4" t="str">
        <f>HYPERLINK("http://141.218.60.56/~jnz1568/getInfo.php?workbook=12_05.xlsx&amp;sheet=U0&amp;row=6467&amp;col=6&amp;number=3.3&amp;sourceID=14","3.3")</f>
        <v>3.3</v>
      </c>
      <c r="G6467" s="4" t="str">
        <f>HYPERLINK("http://141.218.60.56/~jnz1568/getInfo.php?workbook=12_05.xlsx&amp;sheet=U0&amp;row=6467&amp;col=7&amp;number=0.00071&amp;sourceID=14","0.00071")</f>
        <v>0.00071</v>
      </c>
    </row>
    <row r="6468" spans="1:7">
      <c r="A6468" s="3"/>
      <c r="B6468" s="3"/>
      <c r="C6468" s="3"/>
      <c r="D6468" s="3"/>
      <c r="E6468" s="3">
        <v>5</v>
      </c>
      <c r="F6468" s="4" t="str">
        <f>HYPERLINK("http://141.218.60.56/~jnz1568/getInfo.php?workbook=12_05.xlsx&amp;sheet=U0&amp;row=6468&amp;col=6&amp;number=3.4&amp;sourceID=14","3.4")</f>
        <v>3.4</v>
      </c>
      <c r="G6468" s="4" t="str">
        <f>HYPERLINK("http://141.218.60.56/~jnz1568/getInfo.php?workbook=12_05.xlsx&amp;sheet=U0&amp;row=6468&amp;col=7&amp;number=0.000709&amp;sourceID=14","0.000709")</f>
        <v>0.000709</v>
      </c>
    </row>
    <row r="6469" spans="1:7">
      <c r="A6469" s="3"/>
      <c r="B6469" s="3"/>
      <c r="C6469" s="3"/>
      <c r="D6469" s="3"/>
      <c r="E6469" s="3">
        <v>6</v>
      </c>
      <c r="F6469" s="4" t="str">
        <f>HYPERLINK("http://141.218.60.56/~jnz1568/getInfo.php?workbook=12_05.xlsx&amp;sheet=U0&amp;row=6469&amp;col=6&amp;number=3.5&amp;sourceID=14","3.5")</f>
        <v>3.5</v>
      </c>
      <c r="G6469" s="4" t="str">
        <f>HYPERLINK("http://141.218.60.56/~jnz1568/getInfo.php?workbook=12_05.xlsx&amp;sheet=U0&amp;row=6469&amp;col=7&amp;number=0.000709&amp;sourceID=14","0.000709")</f>
        <v>0.000709</v>
      </c>
    </row>
    <row r="6470" spans="1:7">
      <c r="A6470" s="3"/>
      <c r="B6470" s="3"/>
      <c r="C6470" s="3"/>
      <c r="D6470" s="3"/>
      <c r="E6470" s="3">
        <v>7</v>
      </c>
      <c r="F6470" s="4" t="str">
        <f>HYPERLINK("http://141.218.60.56/~jnz1568/getInfo.php?workbook=12_05.xlsx&amp;sheet=U0&amp;row=6470&amp;col=6&amp;number=3.6&amp;sourceID=14","3.6")</f>
        <v>3.6</v>
      </c>
      <c r="G6470" s="4" t="str">
        <f>HYPERLINK("http://141.218.60.56/~jnz1568/getInfo.php?workbook=12_05.xlsx&amp;sheet=U0&amp;row=6470&amp;col=7&amp;number=0.000708&amp;sourceID=14","0.000708")</f>
        <v>0.000708</v>
      </c>
    </row>
    <row r="6471" spans="1:7">
      <c r="A6471" s="3"/>
      <c r="B6471" s="3"/>
      <c r="C6471" s="3"/>
      <c r="D6471" s="3"/>
      <c r="E6471" s="3">
        <v>8</v>
      </c>
      <c r="F6471" s="4" t="str">
        <f>HYPERLINK("http://141.218.60.56/~jnz1568/getInfo.php?workbook=12_05.xlsx&amp;sheet=U0&amp;row=6471&amp;col=6&amp;number=3.7&amp;sourceID=14","3.7")</f>
        <v>3.7</v>
      </c>
      <c r="G6471" s="4" t="str">
        <f>HYPERLINK("http://141.218.60.56/~jnz1568/getInfo.php?workbook=12_05.xlsx&amp;sheet=U0&amp;row=6471&amp;col=7&amp;number=0.000707&amp;sourceID=14","0.000707")</f>
        <v>0.000707</v>
      </c>
    </row>
    <row r="6472" spans="1:7">
      <c r="A6472" s="3"/>
      <c r="B6472" s="3"/>
      <c r="C6472" s="3"/>
      <c r="D6472" s="3"/>
      <c r="E6472" s="3">
        <v>9</v>
      </c>
      <c r="F6472" s="4" t="str">
        <f>HYPERLINK("http://141.218.60.56/~jnz1568/getInfo.php?workbook=12_05.xlsx&amp;sheet=U0&amp;row=6472&amp;col=6&amp;number=3.8&amp;sourceID=14","3.8")</f>
        <v>3.8</v>
      </c>
      <c r="G6472" s="4" t="str">
        <f>HYPERLINK("http://141.218.60.56/~jnz1568/getInfo.php?workbook=12_05.xlsx&amp;sheet=U0&amp;row=6472&amp;col=7&amp;number=0.000706&amp;sourceID=14","0.000706")</f>
        <v>0.000706</v>
      </c>
    </row>
    <row r="6473" spans="1:7">
      <c r="A6473" s="3"/>
      <c r="B6473" s="3"/>
      <c r="C6473" s="3"/>
      <c r="D6473" s="3"/>
      <c r="E6473" s="3">
        <v>10</v>
      </c>
      <c r="F6473" s="4" t="str">
        <f>HYPERLINK("http://141.218.60.56/~jnz1568/getInfo.php?workbook=12_05.xlsx&amp;sheet=U0&amp;row=6473&amp;col=6&amp;number=3.9&amp;sourceID=14","3.9")</f>
        <v>3.9</v>
      </c>
      <c r="G6473" s="4" t="str">
        <f>HYPERLINK("http://141.218.60.56/~jnz1568/getInfo.php?workbook=12_05.xlsx&amp;sheet=U0&amp;row=6473&amp;col=7&amp;number=0.000705&amp;sourceID=14","0.000705")</f>
        <v>0.000705</v>
      </c>
    </row>
    <row r="6474" spans="1:7">
      <c r="A6474" s="3"/>
      <c r="B6474" s="3"/>
      <c r="C6474" s="3"/>
      <c r="D6474" s="3"/>
      <c r="E6474" s="3">
        <v>11</v>
      </c>
      <c r="F6474" s="4" t="str">
        <f>HYPERLINK("http://141.218.60.56/~jnz1568/getInfo.php?workbook=12_05.xlsx&amp;sheet=U0&amp;row=6474&amp;col=6&amp;number=4&amp;sourceID=14","4")</f>
        <v>4</v>
      </c>
      <c r="G6474" s="4" t="str">
        <f>HYPERLINK("http://141.218.60.56/~jnz1568/getInfo.php?workbook=12_05.xlsx&amp;sheet=U0&amp;row=6474&amp;col=7&amp;number=0.000703&amp;sourceID=14","0.000703")</f>
        <v>0.000703</v>
      </c>
    </row>
    <row r="6475" spans="1:7">
      <c r="A6475" s="3"/>
      <c r="B6475" s="3"/>
      <c r="C6475" s="3"/>
      <c r="D6475" s="3"/>
      <c r="E6475" s="3">
        <v>12</v>
      </c>
      <c r="F6475" s="4" t="str">
        <f>HYPERLINK("http://141.218.60.56/~jnz1568/getInfo.php?workbook=12_05.xlsx&amp;sheet=U0&amp;row=6475&amp;col=6&amp;number=4.1&amp;sourceID=14","4.1")</f>
        <v>4.1</v>
      </c>
      <c r="G6475" s="4" t="str">
        <f>HYPERLINK("http://141.218.60.56/~jnz1568/getInfo.php?workbook=12_05.xlsx&amp;sheet=U0&amp;row=6475&amp;col=7&amp;number=0.000701&amp;sourceID=14","0.000701")</f>
        <v>0.000701</v>
      </c>
    </row>
    <row r="6476" spans="1:7">
      <c r="A6476" s="3"/>
      <c r="B6476" s="3"/>
      <c r="C6476" s="3"/>
      <c r="D6476" s="3"/>
      <c r="E6476" s="3">
        <v>13</v>
      </c>
      <c r="F6476" s="4" t="str">
        <f>HYPERLINK("http://141.218.60.56/~jnz1568/getInfo.php?workbook=12_05.xlsx&amp;sheet=U0&amp;row=6476&amp;col=6&amp;number=4.2&amp;sourceID=14","4.2")</f>
        <v>4.2</v>
      </c>
      <c r="G6476" s="4" t="str">
        <f>HYPERLINK("http://141.218.60.56/~jnz1568/getInfo.php?workbook=12_05.xlsx&amp;sheet=U0&amp;row=6476&amp;col=7&amp;number=0.000698&amp;sourceID=14","0.000698")</f>
        <v>0.000698</v>
      </c>
    </row>
    <row r="6477" spans="1:7">
      <c r="A6477" s="3"/>
      <c r="B6477" s="3"/>
      <c r="C6477" s="3"/>
      <c r="D6477" s="3"/>
      <c r="E6477" s="3">
        <v>14</v>
      </c>
      <c r="F6477" s="4" t="str">
        <f>HYPERLINK("http://141.218.60.56/~jnz1568/getInfo.php?workbook=12_05.xlsx&amp;sheet=U0&amp;row=6477&amp;col=6&amp;number=4.3&amp;sourceID=14","4.3")</f>
        <v>4.3</v>
      </c>
      <c r="G6477" s="4" t="str">
        <f>HYPERLINK("http://141.218.60.56/~jnz1568/getInfo.php?workbook=12_05.xlsx&amp;sheet=U0&amp;row=6477&amp;col=7&amp;number=0.000695&amp;sourceID=14","0.000695")</f>
        <v>0.000695</v>
      </c>
    </row>
    <row r="6478" spans="1:7">
      <c r="A6478" s="3"/>
      <c r="B6478" s="3"/>
      <c r="C6478" s="3"/>
      <c r="D6478" s="3"/>
      <c r="E6478" s="3">
        <v>15</v>
      </c>
      <c r="F6478" s="4" t="str">
        <f>HYPERLINK("http://141.218.60.56/~jnz1568/getInfo.php?workbook=12_05.xlsx&amp;sheet=U0&amp;row=6478&amp;col=6&amp;number=4.4&amp;sourceID=14","4.4")</f>
        <v>4.4</v>
      </c>
      <c r="G6478" s="4" t="str">
        <f>HYPERLINK("http://141.218.60.56/~jnz1568/getInfo.php?workbook=12_05.xlsx&amp;sheet=U0&amp;row=6478&amp;col=7&amp;number=0.00069&amp;sourceID=14","0.00069")</f>
        <v>0.00069</v>
      </c>
    </row>
    <row r="6479" spans="1:7">
      <c r="A6479" s="3"/>
      <c r="B6479" s="3"/>
      <c r="C6479" s="3"/>
      <c r="D6479" s="3"/>
      <c r="E6479" s="3">
        <v>16</v>
      </c>
      <c r="F6479" s="4" t="str">
        <f>HYPERLINK("http://141.218.60.56/~jnz1568/getInfo.php?workbook=12_05.xlsx&amp;sheet=U0&amp;row=6479&amp;col=6&amp;number=4.5&amp;sourceID=14","4.5")</f>
        <v>4.5</v>
      </c>
      <c r="G6479" s="4" t="str">
        <f>HYPERLINK("http://141.218.60.56/~jnz1568/getInfo.php?workbook=12_05.xlsx&amp;sheet=U0&amp;row=6479&amp;col=7&amp;number=0.000685&amp;sourceID=14","0.000685")</f>
        <v>0.000685</v>
      </c>
    </row>
    <row r="6480" spans="1:7">
      <c r="A6480" s="3"/>
      <c r="B6480" s="3"/>
      <c r="C6480" s="3"/>
      <c r="D6480" s="3"/>
      <c r="E6480" s="3">
        <v>17</v>
      </c>
      <c r="F6480" s="4" t="str">
        <f>HYPERLINK("http://141.218.60.56/~jnz1568/getInfo.php?workbook=12_05.xlsx&amp;sheet=U0&amp;row=6480&amp;col=6&amp;number=4.6&amp;sourceID=14","4.6")</f>
        <v>4.6</v>
      </c>
      <c r="G6480" s="4" t="str">
        <f>HYPERLINK("http://141.218.60.56/~jnz1568/getInfo.php?workbook=12_05.xlsx&amp;sheet=U0&amp;row=6480&amp;col=7&amp;number=0.000678&amp;sourceID=14","0.000678")</f>
        <v>0.000678</v>
      </c>
    </row>
    <row r="6481" spans="1:7">
      <c r="A6481" s="3"/>
      <c r="B6481" s="3"/>
      <c r="C6481" s="3"/>
      <c r="D6481" s="3"/>
      <c r="E6481" s="3">
        <v>18</v>
      </c>
      <c r="F6481" s="4" t="str">
        <f>HYPERLINK("http://141.218.60.56/~jnz1568/getInfo.php?workbook=12_05.xlsx&amp;sheet=U0&amp;row=6481&amp;col=6&amp;number=4.7&amp;sourceID=14","4.7")</f>
        <v>4.7</v>
      </c>
      <c r="G6481" s="4" t="str">
        <f>HYPERLINK("http://141.218.60.56/~jnz1568/getInfo.php?workbook=12_05.xlsx&amp;sheet=U0&amp;row=6481&amp;col=7&amp;number=0.00067&amp;sourceID=14","0.00067")</f>
        <v>0.00067</v>
      </c>
    </row>
    <row r="6482" spans="1:7">
      <c r="A6482" s="3"/>
      <c r="B6482" s="3"/>
      <c r="C6482" s="3"/>
      <c r="D6482" s="3"/>
      <c r="E6482" s="3">
        <v>19</v>
      </c>
      <c r="F6482" s="4" t="str">
        <f>HYPERLINK("http://141.218.60.56/~jnz1568/getInfo.php?workbook=12_05.xlsx&amp;sheet=U0&amp;row=6482&amp;col=6&amp;number=4.8&amp;sourceID=14","4.8")</f>
        <v>4.8</v>
      </c>
      <c r="G6482" s="4" t="str">
        <f>HYPERLINK("http://141.218.60.56/~jnz1568/getInfo.php?workbook=12_05.xlsx&amp;sheet=U0&amp;row=6482&amp;col=7&amp;number=0.00066&amp;sourceID=14","0.00066")</f>
        <v>0.00066</v>
      </c>
    </row>
    <row r="6483" spans="1:7">
      <c r="A6483" s="3"/>
      <c r="B6483" s="3"/>
      <c r="C6483" s="3"/>
      <c r="D6483" s="3"/>
      <c r="E6483" s="3">
        <v>20</v>
      </c>
      <c r="F6483" s="4" t="str">
        <f>HYPERLINK("http://141.218.60.56/~jnz1568/getInfo.php?workbook=12_05.xlsx&amp;sheet=U0&amp;row=6483&amp;col=6&amp;number=4.9&amp;sourceID=14","4.9")</f>
        <v>4.9</v>
      </c>
      <c r="G6483" s="4" t="str">
        <f>HYPERLINK("http://141.218.60.56/~jnz1568/getInfo.php?workbook=12_05.xlsx&amp;sheet=U0&amp;row=6483&amp;col=7&amp;number=0.000647&amp;sourceID=14","0.000647")</f>
        <v>0.000647</v>
      </c>
    </row>
    <row r="6484" spans="1:7">
      <c r="A6484" s="3">
        <v>12</v>
      </c>
      <c r="B6484" s="3">
        <v>5</v>
      </c>
      <c r="C6484" s="3">
        <v>4</v>
      </c>
      <c r="D6484" s="3">
        <v>79</v>
      </c>
      <c r="E6484" s="3">
        <v>1</v>
      </c>
      <c r="F6484" s="4" t="str">
        <f>HYPERLINK("http://141.218.60.56/~jnz1568/getInfo.php?workbook=12_05.xlsx&amp;sheet=U0&amp;row=6484&amp;col=6&amp;number=3&amp;sourceID=14","3")</f>
        <v>3</v>
      </c>
      <c r="G6484" s="4" t="str">
        <f>HYPERLINK("http://141.218.60.56/~jnz1568/getInfo.php?workbook=12_05.xlsx&amp;sheet=U0&amp;row=6484&amp;col=7&amp;number=0.00917&amp;sourceID=14","0.00917")</f>
        <v>0.00917</v>
      </c>
    </row>
    <row r="6485" spans="1:7">
      <c r="A6485" s="3"/>
      <c r="B6485" s="3"/>
      <c r="C6485" s="3"/>
      <c r="D6485" s="3"/>
      <c r="E6485" s="3">
        <v>2</v>
      </c>
      <c r="F6485" s="4" t="str">
        <f>HYPERLINK("http://141.218.60.56/~jnz1568/getInfo.php?workbook=12_05.xlsx&amp;sheet=U0&amp;row=6485&amp;col=6&amp;number=3.1&amp;sourceID=14","3.1")</f>
        <v>3.1</v>
      </c>
      <c r="G6485" s="4" t="str">
        <f>HYPERLINK("http://141.218.60.56/~jnz1568/getInfo.php?workbook=12_05.xlsx&amp;sheet=U0&amp;row=6485&amp;col=7&amp;number=0.00917&amp;sourceID=14","0.00917")</f>
        <v>0.00917</v>
      </c>
    </row>
    <row r="6486" spans="1:7">
      <c r="A6486" s="3"/>
      <c r="B6486" s="3"/>
      <c r="C6486" s="3"/>
      <c r="D6486" s="3"/>
      <c r="E6486" s="3">
        <v>3</v>
      </c>
      <c r="F6486" s="4" t="str">
        <f>HYPERLINK("http://141.218.60.56/~jnz1568/getInfo.php?workbook=12_05.xlsx&amp;sheet=U0&amp;row=6486&amp;col=6&amp;number=3.2&amp;sourceID=14","3.2")</f>
        <v>3.2</v>
      </c>
      <c r="G6486" s="4" t="str">
        <f>HYPERLINK("http://141.218.60.56/~jnz1568/getInfo.php?workbook=12_05.xlsx&amp;sheet=U0&amp;row=6486&amp;col=7&amp;number=0.00917&amp;sourceID=14","0.00917")</f>
        <v>0.00917</v>
      </c>
    </row>
    <row r="6487" spans="1:7">
      <c r="A6487" s="3"/>
      <c r="B6487" s="3"/>
      <c r="C6487" s="3"/>
      <c r="D6487" s="3"/>
      <c r="E6487" s="3">
        <v>4</v>
      </c>
      <c r="F6487" s="4" t="str">
        <f>HYPERLINK("http://141.218.60.56/~jnz1568/getInfo.php?workbook=12_05.xlsx&amp;sheet=U0&amp;row=6487&amp;col=6&amp;number=3.3&amp;sourceID=14","3.3")</f>
        <v>3.3</v>
      </c>
      <c r="G6487" s="4" t="str">
        <f>HYPERLINK("http://141.218.60.56/~jnz1568/getInfo.php?workbook=12_05.xlsx&amp;sheet=U0&amp;row=6487&amp;col=7&amp;number=0.00916&amp;sourceID=14","0.00916")</f>
        <v>0.00916</v>
      </c>
    </row>
    <row r="6488" spans="1:7">
      <c r="A6488" s="3"/>
      <c r="B6488" s="3"/>
      <c r="C6488" s="3"/>
      <c r="D6488" s="3"/>
      <c r="E6488" s="3">
        <v>5</v>
      </c>
      <c r="F6488" s="4" t="str">
        <f>HYPERLINK("http://141.218.60.56/~jnz1568/getInfo.php?workbook=12_05.xlsx&amp;sheet=U0&amp;row=6488&amp;col=6&amp;number=3.4&amp;sourceID=14","3.4")</f>
        <v>3.4</v>
      </c>
      <c r="G6488" s="4" t="str">
        <f>HYPERLINK("http://141.218.60.56/~jnz1568/getInfo.php?workbook=12_05.xlsx&amp;sheet=U0&amp;row=6488&amp;col=7&amp;number=0.00916&amp;sourceID=14","0.00916")</f>
        <v>0.00916</v>
      </c>
    </row>
    <row r="6489" spans="1:7">
      <c r="A6489" s="3"/>
      <c r="B6489" s="3"/>
      <c r="C6489" s="3"/>
      <c r="D6489" s="3"/>
      <c r="E6489" s="3">
        <v>6</v>
      </c>
      <c r="F6489" s="4" t="str">
        <f>HYPERLINK("http://141.218.60.56/~jnz1568/getInfo.php?workbook=12_05.xlsx&amp;sheet=U0&amp;row=6489&amp;col=6&amp;number=3.5&amp;sourceID=14","3.5")</f>
        <v>3.5</v>
      </c>
      <c r="G6489" s="4" t="str">
        <f>HYPERLINK("http://141.218.60.56/~jnz1568/getInfo.php?workbook=12_05.xlsx&amp;sheet=U0&amp;row=6489&amp;col=7&amp;number=0.00915&amp;sourceID=14","0.00915")</f>
        <v>0.00915</v>
      </c>
    </row>
    <row r="6490" spans="1:7">
      <c r="A6490" s="3"/>
      <c r="B6490" s="3"/>
      <c r="C6490" s="3"/>
      <c r="D6490" s="3"/>
      <c r="E6490" s="3">
        <v>7</v>
      </c>
      <c r="F6490" s="4" t="str">
        <f>HYPERLINK("http://141.218.60.56/~jnz1568/getInfo.php?workbook=12_05.xlsx&amp;sheet=U0&amp;row=6490&amp;col=6&amp;number=3.6&amp;sourceID=14","3.6")</f>
        <v>3.6</v>
      </c>
      <c r="G6490" s="4" t="str">
        <f>HYPERLINK("http://141.218.60.56/~jnz1568/getInfo.php?workbook=12_05.xlsx&amp;sheet=U0&amp;row=6490&amp;col=7&amp;number=0.00914&amp;sourceID=14","0.00914")</f>
        <v>0.00914</v>
      </c>
    </row>
    <row r="6491" spans="1:7">
      <c r="A6491" s="3"/>
      <c r="B6491" s="3"/>
      <c r="C6491" s="3"/>
      <c r="D6491" s="3"/>
      <c r="E6491" s="3">
        <v>8</v>
      </c>
      <c r="F6491" s="4" t="str">
        <f>HYPERLINK("http://141.218.60.56/~jnz1568/getInfo.php?workbook=12_05.xlsx&amp;sheet=U0&amp;row=6491&amp;col=6&amp;number=3.7&amp;sourceID=14","3.7")</f>
        <v>3.7</v>
      </c>
      <c r="G6491" s="4" t="str">
        <f>HYPERLINK("http://141.218.60.56/~jnz1568/getInfo.php?workbook=12_05.xlsx&amp;sheet=U0&amp;row=6491&amp;col=7&amp;number=0.00913&amp;sourceID=14","0.00913")</f>
        <v>0.00913</v>
      </c>
    </row>
    <row r="6492" spans="1:7">
      <c r="A6492" s="3"/>
      <c r="B6492" s="3"/>
      <c r="C6492" s="3"/>
      <c r="D6492" s="3"/>
      <c r="E6492" s="3">
        <v>9</v>
      </c>
      <c r="F6492" s="4" t="str">
        <f>HYPERLINK("http://141.218.60.56/~jnz1568/getInfo.php?workbook=12_05.xlsx&amp;sheet=U0&amp;row=6492&amp;col=6&amp;number=3.8&amp;sourceID=14","3.8")</f>
        <v>3.8</v>
      </c>
      <c r="G6492" s="4" t="str">
        <f>HYPERLINK("http://141.218.60.56/~jnz1568/getInfo.php?workbook=12_05.xlsx&amp;sheet=U0&amp;row=6492&amp;col=7&amp;number=0.00912&amp;sourceID=14","0.00912")</f>
        <v>0.00912</v>
      </c>
    </row>
    <row r="6493" spans="1:7">
      <c r="A6493" s="3"/>
      <c r="B6493" s="3"/>
      <c r="C6493" s="3"/>
      <c r="D6493" s="3"/>
      <c r="E6493" s="3">
        <v>10</v>
      </c>
      <c r="F6493" s="4" t="str">
        <f>HYPERLINK("http://141.218.60.56/~jnz1568/getInfo.php?workbook=12_05.xlsx&amp;sheet=U0&amp;row=6493&amp;col=6&amp;number=3.9&amp;sourceID=14","3.9")</f>
        <v>3.9</v>
      </c>
      <c r="G6493" s="4" t="str">
        <f>HYPERLINK("http://141.218.60.56/~jnz1568/getInfo.php?workbook=12_05.xlsx&amp;sheet=U0&amp;row=6493&amp;col=7&amp;number=0.0091&amp;sourceID=14","0.0091")</f>
        <v>0.0091</v>
      </c>
    </row>
    <row r="6494" spans="1:7">
      <c r="A6494" s="3"/>
      <c r="B6494" s="3"/>
      <c r="C6494" s="3"/>
      <c r="D6494" s="3"/>
      <c r="E6494" s="3">
        <v>11</v>
      </c>
      <c r="F6494" s="4" t="str">
        <f>HYPERLINK("http://141.218.60.56/~jnz1568/getInfo.php?workbook=12_05.xlsx&amp;sheet=U0&amp;row=6494&amp;col=6&amp;number=4&amp;sourceID=14","4")</f>
        <v>4</v>
      </c>
      <c r="G6494" s="4" t="str">
        <f>HYPERLINK("http://141.218.60.56/~jnz1568/getInfo.php?workbook=12_05.xlsx&amp;sheet=U0&amp;row=6494&amp;col=7&amp;number=0.00908&amp;sourceID=14","0.00908")</f>
        <v>0.00908</v>
      </c>
    </row>
    <row r="6495" spans="1:7">
      <c r="A6495" s="3"/>
      <c r="B6495" s="3"/>
      <c r="C6495" s="3"/>
      <c r="D6495" s="3"/>
      <c r="E6495" s="3">
        <v>12</v>
      </c>
      <c r="F6495" s="4" t="str">
        <f>HYPERLINK("http://141.218.60.56/~jnz1568/getInfo.php?workbook=12_05.xlsx&amp;sheet=U0&amp;row=6495&amp;col=6&amp;number=4.1&amp;sourceID=14","4.1")</f>
        <v>4.1</v>
      </c>
      <c r="G6495" s="4" t="str">
        <f>HYPERLINK("http://141.218.60.56/~jnz1568/getInfo.php?workbook=12_05.xlsx&amp;sheet=U0&amp;row=6495&amp;col=7&amp;number=0.00906&amp;sourceID=14","0.00906")</f>
        <v>0.00906</v>
      </c>
    </row>
    <row r="6496" spans="1:7">
      <c r="A6496" s="3"/>
      <c r="B6496" s="3"/>
      <c r="C6496" s="3"/>
      <c r="D6496" s="3"/>
      <c r="E6496" s="3">
        <v>13</v>
      </c>
      <c r="F6496" s="4" t="str">
        <f>HYPERLINK("http://141.218.60.56/~jnz1568/getInfo.php?workbook=12_05.xlsx&amp;sheet=U0&amp;row=6496&amp;col=6&amp;number=4.2&amp;sourceID=14","4.2")</f>
        <v>4.2</v>
      </c>
      <c r="G6496" s="4" t="str">
        <f>HYPERLINK("http://141.218.60.56/~jnz1568/getInfo.php?workbook=12_05.xlsx&amp;sheet=U0&amp;row=6496&amp;col=7&amp;number=0.00902&amp;sourceID=14","0.00902")</f>
        <v>0.00902</v>
      </c>
    </row>
    <row r="6497" spans="1:7">
      <c r="A6497" s="3"/>
      <c r="B6497" s="3"/>
      <c r="C6497" s="3"/>
      <c r="D6497" s="3"/>
      <c r="E6497" s="3">
        <v>14</v>
      </c>
      <c r="F6497" s="4" t="str">
        <f>HYPERLINK("http://141.218.60.56/~jnz1568/getInfo.php?workbook=12_05.xlsx&amp;sheet=U0&amp;row=6497&amp;col=6&amp;number=4.3&amp;sourceID=14","4.3")</f>
        <v>4.3</v>
      </c>
      <c r="G6497" s="4" t="str">
        <f>HYPERLINK("http://141.218.60.56/~jnz1568/getInfo.php?workbook=12_05.xlsx&amp;sheet=U0&amp;row=6497&amp;col=7&amp;number=0.00898&amp;sourceID=14","0.00898")</f>
        <v>0.00898</v>
      </c>
    </row>
    <row r="6498" spans="1:7">
      <c r="A6498" s="3"/>
      <c r="B6498" s="3"/>
      <c r="C6498" s="3"/>
      <c r="D6498" s="3"/>
      <c r="E6498" s="3">
        <v>15</v>
      </c>
      <c r="F6498" s="4" t="str">
        <f>HYPERLINK("http://141.218.60.56/~jnz1568/getInfo.php?workbook=12_05.xlsx&amp;sheet=U0&amp;row=6498&amp;col=6&amp;number=4.4&amp;sourceID=14","4.4")</f>
        <v>4.4</v>
      </c>
      <c r="G6498" s="4" t="str">
        <f>HYPERLINK("http://141.218.60.56/~jnz1568/getInfo.php?workbook=12_05.xlsx&amp;sheet=U0&amp;row=6498&amp;col=7&amp;number=0.00893&amp;sourceID=14","0.00893")</f>
        <v>0.00893</v>
      </c>
    </row>
    <row r="6499" spans="1:7">
      <c r="A6499" s="3"/>
      <c r="B6499" s="3"/>
      <c r="C6499" s="3"/>
      <c r="D6499" s="3"/>
      <c r="E6499" s="3">
        <v>16</v>
      </c>
      <c r="F6499" s="4" t="str">
        <f>HYPERLINK("http://141.218.60.56/~jnz1568/getInfo.php?workbook=12_05.xlsx&amp;sheet=U0&amp;row=6499&amp;col=6&amp;number=4.5&amp;sourceID=14","4.5")</f>
        <v>4.5</v>
      </c>
      <c r="G6499" s="4" t="str">
        <f>HYPERLINK("http://141.218.60.56/~jnz1568/getInfo.php?workbook=12_05.xlsx&amp;sheet=U0&amp;row=6499&amp;col=7&amp;number=0.00887&amp;sourceID=14","0.00887")</f>
        <v>0.00887</v>
      </c>
    </row>
    <row r="6500" spans="1:7">
      <c r="A6500" s="3"/>
      <c r="B6500" s="3"/>
      <c r="C6500" s="3"/>
      <c r="D6500" s="3"/>
      <c r="E6500" s="3">
        <v>17</v>
      </c>
      <c r="F6500" s="4" t="str">
        <f>HYPERLINK("http://141.218.60.56/~jnz1568/getInfo.php?workbook=12_05.xlsx&amp;sheet=U0&amp;row=6500&amp;col=6&amp;number=4.6&amp;sourceID=14","4.6")</f>
        <v>4.6</v>
      </c>
      <c r="G6500" s="4" t="str">
        <f>HYPERLINK("http://141.218.60.56/~jnz1568/getInfo.php?workbook=12_05.xlsx&amp;sheet=U0&amp;row=6500&amp;col=7&amp;number=0.00879&amp;sourceID=14","0.00879")</f>
        <v>0.00879</v>
      </c>
    </row>
    <row r="6501" spans="1:7">
      <c r="A6501" s="3"/>
      <c r="B6501" s="3"/>
      <c r="C6501" s="3"/>
      <c r="D6501" s="3"/>
      <c r="E6501" s="3">
        <v>18</v>
      </c>
      <c r="F6501" s="4" t="str">
        <f>HYPERLINK("http://141.218.60.56/~jnz1568/getInfo.php?workbook=12_05.xlsx&amp;sheet=U0&amp;row=6501&amp;col=6&amp;number=4.7&amp;sourceID=14","4.7")</f>
        <v>4.7</v>
      </c>
      <c r="G6501" s="4" t="str">
        <f>HYPERLINK("http://141.218.60.56/~jnz1568/getInfo.php?workbook=12_05.xlsx&amp;sheet=U0&amp;row=6501&amp;col=7&amp;number=0.00869&amp;sourceID=14","0.00869")</f>
        <v>0.00869</v>
      </c>
    </row>
    <row r="6502" spans="1:7">
      <c r="A6502" s="3"/>
      <c r="B6502" s="3"/>
      <c r="C6502" s="3"/>
      <c r="D6502" s="3"/>
      <c r="E6502" s="3">
        <v>19</v>
      </c>
      <c r="F6502" s="4" t="str">
        <f>HYPERLINK("http://141.218.60.56/~jnz1568/getInfo.php?workbook=12_05.xlsx&amp;sheet=U0&amp;row=6502&amp;col=6&amp;number=4.8&amp;sourceID=14","4.8")</f>
        <v>4.8</v>
      </c>
      <c r="G6502" s="4" t="str">
        <f>HYPERLINK("http://141.218.60.56/~jnz1568/getInfo.php?workbook=12_05.xlsx&amp;sheet=U0&amp;row=6502&amp;col=7&amp;number=0.00857&amp;sourceID=14","0.00857")</f>
        <v>0.00857</v>
      </c>
    </row>
    <row r="6503" spans="1:7">
      <c r="A6503" s="3"/>
      <c r="B6503" s="3"/>
      <c r="C6503" s="3"/>
      <c r="D6503" s="3"/>
      <c r="E6503" s="3">
        <v>20</v>
      </c>
      <c r="F6503" s="4" t="str">
        <f>HYPERLINK("http://141.218.60.56/~jnz1568/getInfo.php?workbook=12_05.xlsx&amp;sheet=U0&amp;row=6503&amp;col=6&amp;number=4.9&amp;sourceID=14","4.9")</f>
        <v>4.9</v>
      </c>
      <c r="G6503" s="4" t="str">
        <f>HYPERLINK("http://141.218.60.56/~jnz1568/getInfo.php?workbook=12_05.xlsx&amp;sheet=U0&amp;row=6503&amp;col=7&amp;number=0.00842&amp;sourceID=14","0.00842")</f>
        <v>0.00842</v>
      </c>
    </row>
    <row r="6504" spans="1:7">
      <c r="A6504" s="3">
        <v>12</v>
      </c>
      <c r="B6504" s="3">
        <v>5</v>
      </c>
      <c r="C6504" s="3">
        <v>4</v>
      </c>
      <c r="D6504" s="3">
        <v>81</v>
      </c>
      <c r="E6504" s="3">
        <v>1</v>
      </c>
      <c r="F6504" s="4" t="str">
        <f>HYPERLINK("http://141.218.60.56/~jnz1568/getInfo.php?workbook=12_05.xlsx&amp;sheet=U0&amp;row=6504&amp;col=6&amp;number=3&amp;sourceID=14","3")</f>
        <v>3</v>
      </c>
      <c r="G6504" s="4" t="str">
        <f>HYPERLINK("http://141.218.60.56/~jnz1568/getInfo.php?workbook=12_05.xlsx&amp;sheet=U0&amp;row=6504&amp;col=7&amp;number=0.00151&amp;sourceID=14","0.00151")</f>
        <v>0.00151</v>
      </c>
    </row>
    <row r="6505" spans="1:7">
      <c r="A6505" s="3"/>
      <c r="B6505" s="3"/>
      <c r="C6505" s="3"/>
      <c r="D6505" s="3"/>
      <c r="E6505" s="3">
        <v>2</v>
      </c>
      <c r="F6505" s="4" t="str">
        <f>HYPERLINK("http://141.218.60.56/~jnz1568/getInfo.php?workbook=12_05.xlsx&amp;sheet=U0&amp;row=6505&amp;col=6&amp;number=3.1&amp;sourceID=14","3.1")</f>
        <v>3.1</v>
      </c>
      <c r="G6505" s="4" t="str">
        <f>HYPERLINK("http://141.218.60.56/~jnz1568/getInfo.php?workbook=12_05.xlsx&amp;sheet=U0&amp;row=6505&amp;col=7&amp;number=0.00151&amp;sourceID=14","0.00151")</f>
        <v>0.00151</v>
      </c>
    </row>
    <row r="6506" spans="1:7">
      <c r="A6506" s="3"/>
      <c r="B6506" s="3"/>
      <c r="C6506" s="3"/>
      <c r="D6506" s="3"/>
      <c r="E6506" s="3">
        <v>3</v>
      </c>
      <c r="F6506" s="4" t="str">
        <f>HYPERLINK("http://141.218.60.56/~jnz1568/getInfo.php?workbook=12_05.xlsx&amp;sheet=U0&amp;row=6506&amp;col=6&amp;number=3.2&amp;sourceID=14","3.2")</f>
        <v>3.2</v>
      </c>
      <c r="G6506" s="4" t="str">
        <f>HYPERLINK("http://141.218.60.56/~jnz1568/getInfo.php?workbook=12_05.xlsx&amp;sheet=U0&amp;row=6506&amp;col=7&amp;number=0.00151&amp;sourceID=14","0.00151")</f>
        <v>0.00151</v>
      </c>
    </row>
    <row r="6507" spans="1:7">
      <c r="A6507" s="3"/>
      <c r="B6507" s="3"/>
      <c r="C6507" s="3"/>
      <c r="D6507" s="3"/>
      <c r="E6507" s="3">
        <v>4</v>
      </c>
      <c r="F6507" s="4" t="str">
        <f>HYPERLINK("http://141.218.60.56/~jnz1568/getInfo.php?workbook=12_05.xlsx&amp;sheet=U0&amp;row=6507&amp;col=6&amp;number=3.3&amp;sourceID=14","3.3")</f>
        <v>3.3</v>
      </c>
      <c r="G6507" s="4" t="str">
        <f>HYPERLINK("http://141.218.60.56/~jnz1568/getInfo.php?workbook=12_05.xlsx&amp;sheet=U0&amp;row=6507&amp;col=7&amp;number=0.00151&amp;sourceID=14","0.00151")</f>
        <v>0.00151</v>
      </c>
    </row>
    <row r="6508" spans="1:7">
      <c r="A6508" s="3"/>
      <c r="B6508" s="3"/>
      <c r="C6508" s="3"/>
      <c r="D6508" s="3"/>
      <c r="E6508" s="3">
        <v>5</v>
      </c>
      <c r="F6508" s="4" t="str">
        <f>HYPERLINK("http://141.218.60.56/~jnz1568/getInfo.php?workbook=12_05.xlsx&amp;sheet=U0&amp;row=6508&amp;col=6&amp;number=3.4&amp;sourceID=14","3.4")</f>
        <v>3.4</v>
      </c>
      <c r="G6508" s="4" t="str">
        <f>HYPERLINK("http://141.218.60.56/~jnz1568/getInfo.php?workbook=12_05.xlsx&amp;sheet=U0&amp;row=6508&amp;col=7&amp;number=0.00151&amp;sourceID=14","0.00151")</f>
        <v>0.00151</v>
      </c>
    </row>
    <row r="6509" spans="1:7">
      <c r="A6509" s="3"/>
      <c r="B6509" s="3"/>
      <c r="C6509" s="3"/>
      <c r="D6509" s="3"/>
      <c r="E6509" s="3">
        <v>6</v>
      </c>
      <c r="F6509" s="4" t="str">
        <f>HYPERLINK("http://141.218.60.56/~jnz1568/getInfo.php?workbook=12_05.xlsx&amp;sheet=U0&amp;row=6509&amp;col=6&amp;number=3.5&amp;sourceID=14","3.5")</f>
        <v>3.5</v>
      </c>
      <c r="G6509" s="4" t="str">
        <f>HYPERLINK("http://141.218.60.56/~jnz1568/getInfo.php?workbook=12_05.xlsx&amp;sheet=U0&amp;row=6509&amp;col=7&amp;number=0.00151&amp;sourceID=14","0.00151")</f>
        <v>0.00151</v>
      </c>
    </row>
    <row r="6510" spans="1:7">
      <c r="A6510" s="3"/>
      <c r="B6510" s="3"/>
      <c r="C6510" s="3"/>
      <c r="D6510" s="3"/>
      <c r="E6510" s="3">
        <v>7</v>
      </c>
      <c r="F6510" s="4" t="str">
        <f>HYPERLINK("http://141.218.60.56/~jnz1568/getInfo.php?workbook=12_05.xlsx&amp;sheet=U0&amp;row=6510&amp;col=6&amp;number=3.6&amp;sourceID=14","3.6")</f>
        <v>3.6</v>
      </c>
      <c r="G6510" s="4" t="str">
        <f>HYPERLINK("http://141.218.60.56/~jnz1568/getInfo.php?workbook=12_05.xlsx&amp;sheet=U0&amp;row=6510&amp;col=7&amp;number=0.0015&amp;sourceID=14","0.0015")</f>
        <v>0.0015</v>
      </c>
    </row>
    <row r="6511" spans="1:7">
      <c r="A6511" s="3"/>
      <c r="B6511" s="3"/>
      <c r="C6511" s="3"/>
      <c r="D6511" s="3"/>
      <c r="E6511" s="3">
        <v>8</v>
      </c>
      <c r="F6511" s="4" t="str">
        <f>HYPERLINK("http://141.218.60.56/~jnz1568/getInfo.php?workbook=12_05.xlsx&amp;sheet=U0&amp;row=6511&amp;col=6&amp;number=3.7&amp;sourceID=14","3.7")</f>
        <v>3.7</v>
      </c>
      <c r="G6511" s="4" t="str">
        <f>HYPERLINK("http://141.218.60.56/~jnz1568/getInfo.php?workbook=12_05.xlsx&amp;sheet=U0&amp;row=6511&amp;col=7&amp;number=0.0015&amp;sourceID=14","0.0015")</f>
        <v>0.0015</v>
      </c>
    </row>
    <row r="6512" spans="1:7">
      <c r="A6512" s="3"/>
      <c r="B6512" s="3"/>
      <c r="C6512" s="3"/>
      <c r="D6512" s="3"/>
      <c r="E6512" s="3">
        <v>9</v>
      </c>
      <c r="F6512" s="4" t="str">
        <f>HYPERLINK("http://141.218.60.56/~jnz1568/getInfo.php?workbook=12_05.xlsx&amp;sheet=U0&amp;row=6512&amp;col=6&amp;number=3.8&amp;sourceID=14","3.8")</f>
        <v>3.8</v>
      </c>
      <c r="G6512" s="4" t="str">
        <f>HYPERLINK("http://141.218.60.56/~jnz1568/getInfo.php?workbook=12_05.xlsx&amp;sheet=U0&amp;row=6512&amp;col=7&amp;number=0.0015&amp;sourceID=14","0.0015")</f>
        <v>0.0015</v>
      </c>
    </row>
    <row r="6513" spans="1:7">
      <c r="A6513" s="3"/>
      <c r="B6513" s="3"/>
      <c r="C6513" s="3"/>
      <c r="D6513" s="3"/>
      <c r="E6513" s="3">
        <v>10</v>
      </c>
      <c r="F6513" s="4" t="str">
        <f>HYPERLINK("http://141.218.60.56/~jnz1568/getInfo.php?workbook=12_05.xlsx&amp;sheet=U0&amp;row=6513&amp;col=6&amp;number=3.9&amp;sourceID=14","3.9")</f>
        <v>3.9</v>
      </c>
      <c r="G6513" s="4" t="str">
        <f>HYPERLINK("http://141.218.60.56/~jnz1568/getInfo.php?workbook=12_05.xlsx&amp;sheet=U0&amp;row=6513&amp;col=7&amp;number=0.0015&amp;sourceID=14","0.0015")</f>
        <v>0.0015</v>
      </c>
    </row>
    <row r="6514" spans="1:7">
      <c r="A6514" s="3"/>
      <c r="B6514" s="3"/>
      <c r="C6514" s="3"/>
      <c r="D6514" s="3"/>
      <c r="E6514" s="3">
        <v>11</v>
      </c>
      <c r="F6514" s="4" t="str">
        <f>HYPERLINK("http://141.218.60.56/~jnz1568/getInfo.php?workbook=12_05.xlsx&amp;sheet=U0&amp;row=6514&amp;col=6&amp;number=4&amp;sourceID=14","4")</f>
        <v>4</v>
      </c>
      <c r="G6514" s="4" t="str">
        <f>HYPERLINK("http://141.218.60.56/~jnz1568/getInfo.php?workbook=12_05.xlsx&amp;sheet=U0&amp;row=6514&amp;col=7&amp;number=0.0015&amp;sourceID=14","0.0015")</f>
        <v>0.0015</v>
      </c>
    </row>
    <row r="6515" spans="1:7">
      <c r="A6515" s="3"/>
      <c r="B6515" s="3"/>
      <c r="C6515" s="3"/>
      <c r="D6515" s="3"/>
      <c r="E6515" s="3">
        <v>12</v>
      </c>
      <c r="F6515" s="4" t="str">
        <f>HYPERLINK("http://141.218.60.56/~jnz1568/getInfo.php?workbook=12_05.xlsx&amp;sheet=U0&amp;row=6515&amp;col=6&amp;number=4.1&amp;sourceID=14","4.1")</f>
        <v>4.1</v>
      </c>
      <c r="G6515" s="4" t="str">
        <f>HYPERLINK("http://141.218.60.56/~jnz1568/getInfo.php?workbook=12_05.xlsx&amp;sheet=U0&amp;row=6515&amp;col=7&amp;number=0.00149&amp;sourceID=14","0.00149")</f>
        <v>0.00149</v>
      </c>
    </row>
    <row r="6516" spans="1:7">
      <c r="A6516" s="3"/>
      <c r="B6516" s="3"/>
      <c r="C6516" s="3"/>
      <c r="D6516" s="3"/>
      <c r="E6516" s="3">
        <v>13</v>
      </c>
      <c r="F6516" s="4" t="str">
        <f>HYPERLINK("http://141.218.60.56/~jnz1568/getInfo.php?workbook=12_05.xlsx&amp;sheet=U0&amp;row=6516&amp;col=6&amp;number=4.2&amp;sourceID=14","4.2")</f>
        <v>4.2</v>
      </c>
      <c r="G6516" s="4" t="str">
        <f>HYPERLINK("http://141.218.60.56/~jnz1568/getInfo.php?workbook=12_05.xlsx&amp;sheet=U0&amp;row=6516&amp;col=7&amp;number=0.00149&amp;sourceID=14","0.00149")</f>
        <v>0.00149</v>
      </c>
    </row>
    <row r="6517" spans="1:7">
      <c r="A6517" s="3"/>
      <c r="B6517" s="3"/>
      <c r="C6517" s="3"/>
      <c r="D6517" s="3"/>
      <c r="E6517" s="3">
        <v>14</v>
      </c>
      <c r="F6517" s="4" t="str">
        <f>HYPERLINK("http://141.218.60.56/~jnz1568/getInfo.php?workbook=12_05.xlsx&amp;sheet=U0&amp;row=6517&amp;col=6&amp;number=4.3&amp;sourceID=14","4.3")</f>
        <v>4.3</v>
      </c>
      <c r="G6517" s="4" t="str">
        <f>HYPERLINK("http://141.218.60.56/~jnz1568/getInfo.php?workbook=12_05.xlsx&amp;sheet=U0&amp;row=6517&amp;col=7&amp;number=0.00148&amp;sourceID=14","0.00148")</f>
        <v>0.00148</v>
      </c>
    </row>
    <row r="6518" spans="1:7">
      <c r="A6518" s="3"/>
      <c r="B6518" s="3"/>
      <c r="C6518" s="3"/>
      <c r="D6518" s="3"/>
      <c r="E6518" s="3">
        <v>15</v>
      </c>
      <c r="F6518" s="4" t="str">
        <f>HYPERLINK("http://141.218.60.56/~jnz1568/getInfo.php?workbook=12_05.xlsx&amp;sheet=U0&amp;row=6518&amp;col=6&amp;number=4.4&amp;sourceID=14","4.4")</f>
        <v>4.4</v>
      </c>
      <c r="G6518" s="4" t="str">
        <f>HYPERLINK("http://141.218.60.56/~jnz1568/getInfo.php?workbook=12_05.xlsx&amp;sheet=U0&amp;row=6518&amp;col=7&amp;number=0.00148&amp;sourceID=14","0.00148")</f>
        <v>0.00148</v>
      </c>
    </row>
    <row r="6519" spans="1:7">
      <c r="A6519" s="3"/>
      <c r="B6519" s="3"/>
      <c r="C6519" s="3"/>
      <c r="D6519" s="3"/>
      <c r="E6519" s="3">
        <v>16</v>
      </c>
      <c r="F6519" s="4" t="str">
        <f>HYPERLINK("http://141.218.60.56/~jnz1568/getInfo.php?workbook=12_05.xlsx&amp;sheet=U0&amp;row=6519&amp;col=6&amp;number=4.5&amp;sourceID=14","4.5")</f>
        <v>4.5</v>
      </c>
      <c r="G6519" s="4" t="str">
        <f>HYPERLINK("http://141.218.60.56/~jnz1568/getInfo.php?workbook=12_05.xlsx&amp;sheet=U0&amp;row=6519&amp;col=7&amp;number=0.00147&amp;sourceID=14","0.00147")</f>
        <v>0.00147</v>
      </c>
    </row>
    <row r="6520" spans="1:7">
      <c r="A6520" s="3"/>
      <c r="B6520" s="3"/>
      <c r="C6520" s="3"/>
      <c r="D6520" s="3"/>
      <c r="E6520" s="3">
        <v>17</v>
      </c>
      <c r="F6520" s="4" t="str">
        <f>HYPERLINK("http://141.218.60.56/~jnz1568/getInfo.php?workbook=12_05.xlsx&amp;sheet=U0&amp;row=6520&amp;col=6&amp;number=4.6&amp;sourceID=14","4.6")</f>
        <v>4.6</v>
      </c>
      <c r="G6520" s="4" t="str">
        <f>HYPERLINK("http://141.218.60.56/~jnz1568/getInfo.php?workbook=12_05.xlsx&amp;sheet=U0&amp;row=6520&amp;col=7&amp;number=0.00146&amp;sourceID=14","0.00146")</f>
        <v>0.00146</v>
      </c>
    </row>
    <row r="6521" spans="1:7">
      <c r="A6521" s="3"/>
      <c r="B6521" s="3"/>
      <c r="C6521" s="3"/>
      <c r="D6521" s="3"/>
      <c r="E6521" s="3">
        <v>18</v>
      </c>
      <c r="F6521" s="4" t="str">
        <f>HYPERLINK("http://141.218.60.56/~jnz1568/getInfo.php?workbook=12_05.xlsx&amp;sheet=U0&amp;row=6521&amp;col=6&amp;number=4.7&amp;sourceID=14","4.7")</f>
        <v>4.7</v>
      </c>
      <c r="G6521" s="4" t="str">
        <f>HYPERLINK("http://141.218.60.56/~jnz1568/getInfo.php?workbook=12_05.xlsx&amp;sheet=U0&amp;row=6521&amp;col=7&amp;number=0.00145&amp;sourceID=14","0.00145")</f>
        <v>0.00145</v>
      </c>
    </row>
    <row r="6522" spans="1:7">
      <c r="A6522" s="3"/>
      <c r="B6522" s="3"/>
      <c r="C6522" s="3"/>
      <c r="D6522" s="3"/>
      <c r="E6522" s="3">
        <v>19</v>
      </c>
      <c r="F6522" s="4" t="str">
        <f>HYPERLINK("http://141.218.60.56/~jnz1568/getInfo.php?workbook=12_05.xlsx&amp;sheet=U0&amp;row=6522&amp;col=6&amp;number=4.8&amp;sourceID=14","4.8")</f>
        <v>4.8</v>
      </c>
      <c r="G6522" s="4" t="str">
        <f>HYPERLINK("http://141.218.60.56/~jnz1568/getInfo.php?workbook=12_05.xlsx&amp;sheet=U0&amp;row=6522&amp;col=7&amp;number=0.00143&amp;sourceID=14","0.00143")</f>
        <v>0.00143</v>
      </c>
    </row>
    <row r="6523" spans="1:7">
      <c r="A6523" s="3"/>
      <c r="B6523" s="3"/>
      <c r="C6523" s="3"/>
      <c r="D6523" s="3"/>
      <c r="E6523" s="3">
        <v>20</v>
      </c>
      <c r="F6523" s="4" t="str">
        <f>HYPERLINK("http://141.218.60.56/~jnz1568/getInfo.php?workbook=12_05.xlsx&amp;sheet=U0&amp;row=6523&amp;col=6&amp;number=4.9&amp;sourceID=14","4.9")</f>
        <v>4.9</v>
      </c>
      <c r="G6523" s="4" t="str">
        <f>HYPERLINK("http://141.218.60.56/~jnz1568/getInfo.php?workbook=12_05.xlsx&amp;sheet=U0&amp;row=6523&amp;col=7&amp;number=0.00141&amp;sourceID=14","0.00141")</f>
        <v>0.00141</v>
      </c>
    </row>
    <row r="6524" spans="1:7">
      <c r="A6524" s="3">
        <v>12</v>
      </c>
      <c r="B6524" s="3">
        <v>5</v>
      </c>
      <c r="C6524" s="3">
        <v>4</v>
      </c>
      <c r="D6524" s="3">
        <v>82</v>
      </c>
      <c r="E6524" s="3">
        <v>1</v>
      </c>
      <c r="F6524" s="4" t="str">
        <f>HYPERLINK("http://141.218.60.56/~jnz1568/getInfo.php?workbook=12_05.xlsx&amp;sheet=U0&amp;row=6524&amp;col=6&amp;number=3&amp;sourceID=14","3")</f>
        <v>3</v>
      </c>
      <c r="G6524" s="4" t="str">
        <f>HYPERLINK("http://141.218.60.56/~jnz1568/getInfo.php?workbook=12_05.xlsx&amp;sheet=U0&amp;row=6524&amp;col=7&amp;number=0.0012&amp;sourceID=14","0.0012")</f>
        <v>0.0012</v>
      </c>
    </row>
    <row r="6525" spans="1:7">
      <c r="A6525" s="3"/>
      <c r="B6525" s="3"/>
      <c r="C6525" s="3"/>
      <c r="D6525" s="3"/>
      <c r="E6525" s="3">
        <v>2</v>
      </c>
      <c r="F6525" s="4" t="str">
        <f>HYPERLINK("http://141.218.60.56/~jnz1568/getInfo.php?workbook=12_05.xlsx&amp;sheet=U0&amp;row=6525&amp;col=6&amp;number=3.1&amp;sourceID=14","3.1")</f>
        <v>3.1</v>
      </c>
      <c r="G6525" s="4" t="str">
        <f>HYPERLINK("http://141.218.60.56/~jnz1568/getInfo.php?workbook=12_05.xlsx&amp;sheet=U0&amp;row=6525&amp;col=7&amp;number=0.0012&amp;sourceID=14","0.0012")</f>
        <v>0.0012</v>
      </c>
    </row>
    <row r="6526" spans="1:7">
      <c r="A6526" s="3"/>
      <c r="B6526" s="3"/>
      <c r="C6526" s="3"/>
      <c r="D6526" s="3"/>
      <c r="E6526" s="3">
        <v>3</v>
      </c>
      <c r="F6526" s="4" t="str">
        <f>HYPERLINK("http://141.218.60.56/~jnz1568/getInfo.php?workbook=12_05.xlsx&amp;sheet=U0&amp;row=6526&amp;col=6&amp;number=3.2&amp;sourceID=14","3.2")</f>
        <v>3.2</v>
      </c>
      <c r="G6526" s="4" t="str">
        <f>HYPERLINK("http://141.218.60.56/~jnz1568/getInfo.php?workbook=12_05.xlsx&amp;sheet=U0&amp;row=6526&amp;col=7&amp;number=0.0012&amp;sourceID=14","0.0012")</f>
        <v>0.0012</v>
      </c>
    </row>
    <row r="6527" spans="1:7">
      <c r="A6527" s="3"/>
      <c r="B6527" s="3"/>
      <c r="C6527" s="3"/>
      <c r="D6527" s="3"/>
      <c r="E6527" s="3">
        <v>4</v>
      </c>
      <c r="F6527" s="4" t="str">
        <f>HYPERLINK("http://141.218.60.56/~jnz1568/getInfo.php?workbook=12_05.xlsx&amp;sheet=U0&amp;row=6527&amp;col=6&amp;number=3.3&amp;sourceID=14","3.3")</f>
        <v>3.3</v>
      </c>
      <c r="G6527" s="4" t="str">
        <f>HYPERLINK("http://141.218.60.56/~jnz1568/getInfo.php?workbook=12_05.xlsx&amp;sheet=U0&amp;row=6527&amp;col=7&amp;number=0.0012&amp;sourceID=14","0.0012")</f>
        <v>0.0012</v>
      </c>
    </row>
    <row r="6528" spans="1:7">
      <c r="A6528" s="3"/>
      <c r="B6528" s="3"/>
      <c r="C6528" s="3"/>
      <c r="D6528" s="3"/>
      <c r="E6528" s="3">
        <v>5</v>
      </c>
      <c r="F6528" s="4" t="str">
        <f>HYPERLINK("http://141.218.60.56/~jnz1568/getInfo.php?workbook=12_05.xlsx&amp;sheet=U0&amp;row=6528&amp;col=6&amp;number=3.4&amp;sourceID=14","3.4")</f>
        <v>3.4</v>
      </c>
      <c r="G6528" s="4" t="str">
        <f>HYPERLINK("http://141.218.60.56/~jnz1568/getInfo.php?workbook=12_05.xlsx&amp;sheet=U0&amp;row=6528&amp;col=7&amp;number=0.0012&amp;sourceID=14","0.0012")</f>
        <v>0.0012</v>
      </c>
    </row>
    <row r="6529" spans="1:7">
      <c r="A6529" s="3"/>
      <c r="B6529" s="3"/>
      <c r="C6529" s="3"/>
      <c r="D6529" s="3"/>
      <c r="E6529" s="3">
        <v>6</v>
      </c>
      <c r="F6529" s="4" t="str">
        <f>HYPERLINK("http://141.218.60.56/~jnz1568/getInfo.php?workbook=12_05.xlsx&amp;sheet=U0&amp;row=6529&amp;col=6&amp;number=3.5&amp;sourceID=14","3.5")</f>
        <v>3.5</v>
      </c>
      <c r="G6529" s="4" t="str">
        <f>HYPERLINK("http://141.218.60.56/~jnz1568/getInfo.php?workbook=12_05.xlsx&amp;sheet=U0&amp;row=6529&amp;col=7&amp;number=0.0012&amp;sourceID=14","0.0012")</f>
        <v>0.0012</v>
      </c>
    </row>
    <row r="6530" spans="1:7">
      <c r="A6530" s="3"/>
      <c r="B6530" s="3"/>
      <c r="C6530" s="3"/>
      <c r="D6530" s="3"/>
      <c r="E6530" s="3">
        <v>7</v>
      </c>
      <c r="F6530" s="4" t="str">
        <f>HYPERLINK("http://141.218.60.56/~jnz1568/getInfo.php?workbook=12_05.xlsx&amp;sheet=U0&amp;row=6530&amp;col=6&amp;number=3.6&amp;sourceID=14","3.6")</f>
        <v>3.6</v>
      </c>
      <c r="G6530" s="4" t="str">
        <f>HYPERLINK("http://141.218.60.56/~jnz1568/getInfo.php?workbook=12_05.xlsx&amp;sheet=U0&amp;row=6530&amp;col=7&amp;number=0.0012&amp;sourceID=14","0.0012")</f>
        <v>0.0012</v>
      </c>
    </row>
    <row r="6531" spans="1:7">
      <c r="A6531" s="3"/>
      <c r="B6531" s="3"/>
      <c r="C6531" s="3"/>
      <c r="D6531" s="3"/>
      <c r="E6531" s="3">
        <v>8</v>
      </c>
      <c r="F6531" s="4" t="str">
        <f>HYPERLINK("http://141.218.60.56/~jnz1568/getInfo.php?workbook=12_05.xlsx&amp;sheet=U0&amp;row=6531&amp;col=6&amp;number=3.7&amp;sourceID=14","3.7")</f>
        <v>3.7</v>
      </c>
      <c r="G6531" s="4" t="str">
        <f>HYPERLINK("http://141.218.60.56/~jnz1568/getInfo.php?workbook=12_05.xlsx&amp;sheet=U0&amp;row=6531&amp;col=7&amp;number=0.0012&amp;sourceID=14","0.0012")</f>
        <v>0.0012</v>
      </c>
    </row>
    <row r="6532" spans="1:7">
      <c r="A6532" s="3"/>
      <c r="B6532" s="3"/>
      <c r="C6532" s="3"/>
      <c r="D6532" s="3"/>
      <c r="E6532" s="3">
        <v>9</v>
      </c>
      <c r="F6532" s="4" t="str">
        <f>HYPERLINK("http://141.218.60.56/~jnz1568/getInfo.php?workbook=12_05.xlsx&amp;sheet=U0&amp;row=6532&amp;col=6&amp;number=3.8&amp;sourceID=14","3.8")</f>
        <v>3.8</v>
      </c>
      <c r="G6532" s="4" t="str">
        <f>HYPERLINK("http://141.218.60.56/~jnz1568/getInfo.php?workbook=12_05.xlsx&amp;sheet=U0&amp;row=6532&amp;col=7&amp;number=0.0012&amp;sourceID=14","0.0012")</f>
        <v>0.0012</v>
      </c>
    </row>
    <row r="6533" spans="1:7">
      <c r="A6533" s="3"/>
      <c r="B6533" s="3"/>
      <c r="C6533" s="3"/>
      <c r="D6533" s="3"/>
      <c r="E6533" s="3">
        <v>10</v>
      </c>
      <c r="F6533" s="4" t="str">
        <f>HYPERLINK("http://141.218.60.56/~jnz1568/getInfo.php?workbook=12_05.xlsx&amp;sheet=U0&amp;row=6533&amp;col=6&amp;number=3.9&amp;sourceID=14","3.9")</f>
        <v>3.9</v>
      </c>
      <c r="G6533" s="4" t="str">
        <f>HYPERLINK("http://141.218.60.56/~jnz1568/getInfo.php?workbook=12_05.xlsx&amp;sheet=U0&amp;row=6533&amp;col=7&amp;number=0.0012&amp;sourceID=14","0.0012")</f>
        <v>0.0012</v>
      </c>
    </row>
    <row r="6534" spans="1:7">
      <c r="A6534" s="3"/>
      <c r="B6534" s="3"/>
      <c r="C6534" s="3"/>
      <c r="D6534" s="3"/>
      <c r="E6534" s="3">
        <v>11</v>
      </c>
      <c r="F6534" s="4" t="str">
        <f>HYPERLINK("http://141.218.60.56/~jnz1568/getInfo.php?workbook=12_05.xlsx&amp;sheet=U0&amp;row=6534&amp;col=6&amp;number=4&amp;sourceID=14","4")</f>
        <v>4</v>
      </c>
      <c r="G6534" s="4" t="str">
        <f>HYPERLINK("http://141.218.60.56/~jnz1568/getInfo.php?workbook=12_05.xlsx&amp;sheet=U0&amp;row=6534&amp;col=7&amp;number=0.0012&amp;sourceID=14","0.0012")</f>
        <v>0.0012</v>
      </c>
    </row>
    <row r="6535" spans="1:7">
      <c r="A6535" s="3"/>
      <c r="B6535" s="3"/>
      <c r="C6535" s="3"/>
      <c r="D6535" s="3"/>
      <c r="E6535" s="3">
        <v>12</v>
      </c>
      <c r="F6535" s="4" t="str">
        <f>HYPERLINK("http://141.218.60.56/~jnz1568/getInfo.php?workbook=12_05.xlsx&amp;sheet=U0&amp;row=6535&amp;col=6&amp;number=4.1&amp;sourceID=14","4.1")</f>
        <v>4.1</v>
      </c>
      <c r="G6535" s="4" t="str">
        <f>HYPERLINK("http://141.218.60.56/~jnz1568/getInfo.php?workbook=12_05.xlsx&amp;sheet=U0&amp;row=6535&amp;col=7&amp;number=0.0012&amp;sourceID=14","0.0012")</f>
        <v>0.0012</v>
      </c>
    </row>
    <row r="6536" spans="1:7">
      <c r="A6536" s="3"/>
      <c r="B6536" s="3"/>
      <c r="C6536" s="3"/>
      <c r="D6536" s="3"/>
      <c r="E6536" s="3">
        <v>13</v>
      </c>
      <c r="F6536" s="4" t="str">
        <f>HYPERLINK("http://141.218.60.56/~jnz1568/getInfo.php?workbook=12_05.xlsx&amp;sheet=U0&amp;row=6536&amp;col=6&amp;number=4.2&amp;sourceID=14","4.2")</f>
        <v>4.2</v>
      </c>
      <c r="G6536" s="4" t="str">
        <f>HYPERLINK("http://141.218.60.56/~jnz1568/getInfo.php?workbook=12_05.xlsx&amp;sheet=U0&amp;row=6536&amp;col=7&amp;number=0.0012&amp;sourceID=14","0.0012")</f>
        <v>0.0012</v>
      </c>
    </row>
    <row r="6537" spans="1:7">
      <c r="A6537" s="3"/>
      <c r="B6537" s="3"/>
      <c r="C6537" s="3"/>
      <c r="D6537" s="3"/>
      <c r="E6537" s="3">
        <v>14</v>
      </c>
      <c r="F6537" s="4" t="str">
        <f>HYPERLINK("http://141.218.60.56/~jnz1568/getInfo.php?workbook=12_05.xlsx&amp;sheet=U0&amp;row=6537&amp;col=6&amp;number=4.3&amp;sourceID=14","4.3")</f>
        <v>4.3</v>
      </c>
      <c r="G6537" s="4" t="str">
        <f>HYPERLINK("http://141.218.60.56/~jnz1568/getInfo.php?workbook=12_05.xlsx&amp;sheet=U0&amp;row=6537&amp;col=7&amp;number=0.0012&amp;sourceID=14","0.0012")</f>
        <v>0.0012</v>
      </c>
    </row>
    <row r="6538" spans="1:7">
      <c r="A6538" s="3"/>
      <c r="B6538" s="3"/>
      <c r="C6538" s="3"/>
      <c r="D6538" s="3"/>
      <c r="E6538" s="3">
        <v>15</v>
      </c>
      <c r="F6538" s="4" t="str">
        <f>HYPERLINK("http://141.218.60.56/~jnz1568/getInfo.php?workbook=12_05.xlsx&amp;sheet=U0&amp;row=6538&amp;col=6&amp;number=4.4&amp;sourceID=14","4.4")</f>
        <v>4.4</v>
      </c>
      <c r="G6538" s="4" t="str">
        <f>HYPERLINK("http://141.218.60.56/~jnz1568/getInfo.php?workbook=12_05.xlsx&amp;sheet=U0&amp;row=6538&amp;col=7&amp;number=0.0012&amp;sourceID=14","0.0012")</f>
        <v>0.0012</v>
      </c>
    </row>
    <row r="6539" spans="1:7">
      <c r="A6539" s="3"/>
      <c r="B6539" s="3"/>
      <c r="C6539" s="3"/>
      <c r="D6539" s="3"/>
      <c r="E6539" s="3">
        <v>16</v>
      </c>
      <c r="F6539" s="4" t="str">
        <f>HYPERLINK("http://141.218.60.56/~jnz1568/getInfo.php?workbook=12_05.xlsx&amp;sheet=U0&amp;row=6539&amp;col=6&amp;number=4.5&amp;sourceID=14","4.5")</f>
        <v>4.5</v>
      </c>
      <c r="G6539" s="4" t="str">
        <f>HYPERLINK("http://141.218.60.56/~jnz1568/getInfo.php?workbook=12_05.xlsx&amp;sheet=U0&amp;row=6539&amp;col=7&amp;number=0.0012&amp;sourceID=14","0.0012")</f>
        <v>0.0012</v>
      </c>
    </row>
    <row r="6540" spans="1:7">
      <c r="A6540" s="3"/>
      <c r="B6540" s="3"/>
      <c r="C6540" s="3"/>
      <c r="D6540" s="3"/>
      <c r="E6540" s="3">
        <v>17</v>
      </c>
      <c r="F6540" s="4" t="str">
        <f>HYPERLINK("http://141.218.60.56/~jnz1568/getInfo.php?workbook=12_05.xlsx&amp;sheet=U0&amp;row=6540&amp;col=6&amp;number=4.6&amp;sourceID=14","4.6")</f>
        <v>4.6</v>
      </c>
      <c r="G6540" s="4" t="str">
        <f>HYPERLINK("http://141.218.60.56/~jnz1568/getInfo.php?workbook=12_05.xlsx&amp;sheet=U0&amp;row=6540&amp;col=7&amp;number=0.0012&amp;sourceID=14","0.0012")</f>
        <v>0.0012</v>
      </c>
    </row>
    <row r="6541" spans="1:7">
      <c r="A6541" s="3"/>
      <c r="B6541" s="3"/>
      <c r="C6541" s="3"/>
      <c r="D6541" s="3"/>
      <c r="E6541" s="3">
        <v>18</v>
      </c>
      <c r="F6541" s="4" t="str">
        <f>HYPERLINK("http://141.218.60.56/~jnz1568/getInfo.php?workbook=12_05.xlsx&amp;sheet=U0&amp;row=6541&amp;col=6&amp;number=4.7&amp;sourceID=14","4.7")</f>
        <v>4.7</v>
      </c>
      <c r="G6541" s="4" t="str">
        <f>HYPERLINK("http://141.218.60.56/~jnz1568/getInfo.php?workbook=12_05.xlsx&amp;sheet=U0&amp;row=6541&amp;col=7&amp;number=0.0012&amp;sourceID=14","0.0012")</f>
        <v>0.0012</v>
      </c>
    </row>
    <row r="6542" spans="1:7">
      <c r="A6542" s="3"/>
      <c r="B6542" s="3"/>
      <c r="C6542" s="3"/>
      <c r="D6542" s="3"/>
      <c r="E6542" s="3">
        <v>19</v>
      </c>
      <c r="F6542" s="4" t="str">
        <f>HYPERLINK("http://141.218.60.56/~jnz1568/getInfo.php?workbook=12_05.xlsx&amp;sheet=U0&amp;row=6542&amp;col=6&amp;number=4.8&amp;sourceID=14","4.8")</f>
        <v>4.8</v>
      </c>
      <c r="G6542" s="4" t="str">
        <f>HYPERLINK("http://141.218.60.56/~jnz1568/getInfo.php?workbook=12_05.xlsx&amp;sheet=U0&amp;row=6542&amp;col=7&amp;number=0.0012&amp;sourceID=14","0.0012")</f>
        <v>0.0012</v>
      </c>
    </row>
    <row r="6543" spans="1:7">
      <c r="A6543" s="3"/>
      <c r="B6543" s="3"/>
      <c r="C6543" s="3"/>
      <c r="D6543" s="3"/>
      <c r="E6543" s="3">
        <v>20</v>
      </c>
      <c r="F6543" s="4" t="str">
        <f>HYPERLINK("http://141.218.60.56/~jnz1568/getInfo.php?workbook=12_05.xlsx&amp;sheet=U0&amp;row=6543&amp;col=6&amp;number=4.9&amp;sourceID=14","4.9")</f>
        <v>4.9</v>
      </c>
      <c r="G6543" s="4" t="str">
        <f>HYPERLINK("http://141.218.60.56/~jnz1568/getInfo.php?workbook=12_05.xlsx&amp;sheet=U0&amp;row=6543&amp;col=7&amp;number=0.0012&amp;sourceID=14","0.0012")</f>
        <v>0.0012</v>
      </c>
    </row>
    <row r="6544" spans="1:7">
      <c r="A6544" s="3">
        <v>12</v>
      </c>
      <c r="B6544" s="3">
        <v>5</v>
      </c>
      <c r="C6544" s="3">
        <v>4</v>
      </c>
      <c r="D6544" s="3">
        <v>83</v>
      </c>
      <c r="E6544" s="3">
        <v>1</v>
      </c>
      <c r="F6544" s="4" t="str">
        <f>HYPERLINK("http://141.218.60.56/~jnz1568/getInfo.php?workbook=12_05.xlsx&amp;sheet=U0&amp;row=6544&amp;col=6&amp;number=3&amp;sourceID=14","3")</f>
        <v>3</v>
      </c>
      <c r="G6544" s="4" t="str">
        <f>HYPERLINK("http://141.218.60.56/~jnz1568/getInfo.php?workbook=12_05.xlsx&amp;sheet=U0&amp;row=6544&amp;col=7&amp;number=0.00323&amp;sourceID=14","0.00323")</f>
        <v>0.00323</v>
      </c>
    </row>
    <row r="6545" spans="1:7">
      <c r="A6545" s="3"/>
      <c r="B6545" s="3"/>
      <c r="C6545" s="3"/>
      <c r="D6545" s="3"/>
      <c r="E6545" s="3">
        <v>2</v>
      </c>
      <c r="F6545" s="4" t="str">
        <f>HYPERLINK("http://141.218.60.56/~jnz1568/getInfo.php?workbook=12_05.xlsx&amp;sheet=U0&amp;row=6545&amp;col=6&amp;number=3.1&amp;sourceID=14","3.1")</f>
        <v>3.1</v>
      </c>
      <c r="G6545" s="4" t="str">
        <f>HYPERLINK("http://141.218.60.56/~jnz1568/getInfo.php?workbook=12_05.xlsx&amp;sheet=U0&amp;row=6545&amp;col=7&amp;number=0.00323&amp;sourceID=14","0.00323")</f>
        <v>0.00323</v>
      </c>
    </row>
    <row r="6546" spans="1:7">
      <c r="A6546" s="3"/>
      <c r="B6546" s="3"/>
      <c r="C6546" s="3"/>
      <c r="D6546" s="3"/>
      <c r="E6546" s="3">
        <v>3</v>
      </c>
      <c r="F6546" s="4" t="str">
        <f>HYPERLINK("http://141.218.60.56/~jnz1568/getInfo.php?workbook=12_05.xlsx&amp;sheet=U0&amp;row=6546&amp;col=6&amp;number=3.2&amp;sourceID=14","3.2")</f>
        <v>3.2</v>
      </c>
      <c r="G6546" s="4" t="str">
        <f>HYPERLINK("http://141.218.60.56/~jnz1568/getInfo.php?workbook=12_05.xlsx&amp;sheet=U0&amp;row=6546&amp;col=7&amp;number=0.00323&amp;sourceID=14","0.00323")</f>
        <v>0.00323</v>
      </c>
    </row>
    <row r="6547" spans="1:7">
      <c r="A6547" s="3"/>
      <c r="B6547" s="3"/>
      <c r="C6547" s="3"/>
      <c r="D6547" s="3"/>
      <c r="E6547" s="3">
        <v>4</v>
      </c>
      <c r="F6547" s="4" t="str">
        <f>HYPERLINK("http://141.218.60.56/~jnz1568/getInfo.php?workbook=12_05.xlsx&amp;sheet=U0&amp;row=6547&amp;col=6&amp;number=3.3&amp;sourceID=14","3.3")</f>
        <v>3.3</v>
      </c>
      <c r="G6547" s="4" t="str">
        <f>HYPERLINK("http://141.218.60.56/~jnz1568/getInfo.php?workbook=12_05.xlsx&amp;sheet=U0&amp;row=6547&amp;col=7&amp;number=0.00323&amp;sourceID=14","0.00323")</f>
        <v>0.00323</v>
      </c>
    </row>
    <row r="6548" spans="1:7">
      <c r="A6548" s="3"/>
      <c r="B6548" s="3"/>
      <c r="C6548" s="3"/>
      <c r="D6548" s="3"/>
      <c r="E6548" s="3">
        <v>5</v>
      </c>
      <c r="F6548" s="4" t="str">
        <f>HYPERLINK("http://141.218.60.56/~jnz1568/getInfo.php?workbook=12_05.xlsx&amp;sheet=U0&amp;row=6548&amp;col=6&amp;number=3.4&amp;sourceID=14","3.4")</f>
        <v>3.4</v>
      </c>
      <c r="G6548" s="4" t="str">
        <f>HYPERLINK("http://141.218.60.56/~jnz1568/getInfo.php?workbook=12_05.xlsx&amp;sheet=U0&amp;row=6548&amp;col=7&amp;number=0.00324&amp;sourceID=14","0.00324")</f>
        <v>0.00324</v>
      </c>
    </row>
    <row r="6549" spans="1:7">
      <c r="A6549" s="3"/>
      <c r="B6549" s="3"/>
      <c r="C6549" s="3"/>
      <c r="D6549" s="3"/>
      <c r="E6549" s="3">
        <v>6</v>
      </c>
      <c r="F6549" s="4" t="str">
        <f>HYPERLINK("http://141.218.60.56/~jnz1568/getInfo.php?workbook=12_05.xlsx&amp;sheet=U0&amp;row=6549&amp;col=6&amp;number=3.5&amp;sourceID=14","3.5")</f>
        <v>3.5</v>
      </c>
      <c r="G6549" s="4" t="str">
        <f>HYPERLINK("http://141.218.60.56/~jnz1568/getInfo.php?workbook=12_05.xlsx&amp;sheet=U0&amp;row=6549&amp;col=7&amp;number=0.00324&amp;sourceID=14","0.00324")</f>
        <v>0.00324</v>
      </c>
    </row>
    <row r="6550" spans="1:7">
      <c r="A6550" s="3"/>
      <c r="B6550" s="3"/>
      <c r="C6550" s="3"/>
      <c r="D6550" s="3"/>
      <c r="E6550" s="3">
        <v>7</v>
      </c>
      <c r="F6550" s="4" t="str">
        <f>HYPERLINK("http://141.218.60.56/~jnz1568/getInfo.php?workbook=12_05.xlsx&amp;sheet=U0&amp;row=6550&amp;col=6&amp;number=3.6&amp;sourceID=14","3.6")</f>
        <v>3.6</v>
      </c>
      <c r="G6550" s="4" t="str">
        <f>HYPERLINK("http://141.218.60.56/~jnz1568/getInfo.php?workbook=12_05.xlsx&amp;sheet=U0&amp;row=6550&amp;col=7&amp;number=0.00324&amp;sourceID=14","0.00324")</f>
        <v>0.00324</v>
      </c>
    </row>
    <row r="6551" spans="1:7">
      <c r="A6551" s="3"/>
      <c r="B6551" s="3"/>
      <c r="C6551" s="3"/>
      <c r="D6551" s="3"/>
      <c r="E6551" s="3">
        <v>8</v>
      </c>
      <c r="F6551" s="4" t="str">
        <f>HYPERLINK("http://141.218.60.56/~jnz1568/getInfo.php?workbook=12_05.xlsx&amp;sheet=U0&amp;row=6551&amp;col=6&amp;number=3.7&amp;sourceID=14","3.7")</f>
        <v>3.7</v>
      </c>
      <c r="G6551" s="4" t="str">
        <f>HYPERLINK("http://141.218.60.56/~jnz1568/getInfo.php?workbook=12_05.xlsx&amp;sheet=U0&amp;row=6551&amp;col=7&amp;number=0.00325&amp;sourceID=14","0.00325")</f>
        <v>0.00325</v>
      </c>
    </row>
    <row r="6552" spans="1:7">
      <c r="A6552" s="3"/>
      <c r="B6552" s="3"/>
      <c r="C6552" s="3"/>
      <c r="D6552" s="3"/>
      <c r="E6552" s="3">
        <v>9</v>
      </c>
      <c r="F6552" s="4" t="str">
        <f>HYPERLINK("http://141.218.60.56/~jnz1568/getInfo.php?workbook=12_05.xlsx&amp;sheet=U0&amp;row=6552&amp;col=6&amp;number=3.8&amp;sourceID=14","3.8")</f>
        <v>3.8</v>
      </c>
      <c r="G6552" s="4" t="str">
        <f>HYPERLINK("http://141.218.60.56/~jnz1568/getInfo.php?workbook=12_05.xlsx&amp;sheet=U0&amp;row=6552&amp;col=7&amp;number=0.00326&amp;sourceID=14","0.00326")</f>
        <v>0.00326</v>
      </c>
    </row>
    <row r="6553" spans="1:7">
      <c r="A6553" s="3"/>
      <c r="B6553" s="3"/>
      <c r="C6553" s="3"/>
      <c r="D6553" s="3"/>
      <c r="E6553" s="3">
        <v>10</v>
      </c>
      <c r="F6553" s="4" t="str">
        <f>HYPERLINK("http://141.218.60.56/~jnz1568/getInfo.php?workbook=12_05.xlsx&amp;sheet=U0&amp;row=6553&amp;col=6&amp;number=3.9&amp;sourceID=14","3.9")</f>
        <v>3.9</v>
      </c>
      <c r="G6553" s="4" t="str">
        <f>HYPERLINK("http://141.218.60.56/~jnz1568/getInfo.php?workbook=12_05.xlsx&amp;sheet=U0&amp;row=6553&amp;col=7&amp;number=0.00326&amp;sourceID=14","0.00326")</f>
        <v>0.00326</v>
      </c>
    </row>
    <row r="6554" spans="1:7">
      <c r="A6554" s="3"/>
      <c r="B6554" s="3"/>
      <c r="C6554" s="3"/>
      <c r="D6554" s="3"/>
      <c r="E6554" s="3">
        <v>11</v>
      </c>
      <c r="F6554" s="4" t="str">
        <f>HYPERLINK("http://141.218.60.56/~jnz1568/getInfo.php?workbook=12_05.xlsx&amp;sheet=U0&amp;row=6554&amp;col=6&amp;number=4&amp;sourceID=14","4")</f>
        <v>4</v>
      </c>
      <c r="G6554" s="4" t="str">
        <f>HYPERLINK("http://141.218.60.56/~jnz1568/getInfo.php?workbook=12_05.xlsx&amp;sheet=U0&amp;row=6554&amp;col=7&amp;number=0.00328&amp;sourceID=14","0.00328")</f>
        <v>0.00328</v>
      </c>
    </row>
    <row r="6555" spans="1:7">
      <c r="A6555" s="3"/>
      <c r="B6555" s="3"/>
      <c r="C6555" s="3"/>
      <c r="D6555" s="3"/>
      <c r="E6555" s="3">
        <v>12</v>
      </c>
      <c r="F6555" s="4" t="str">
        <f>HYPERLINK("http://141.218.60.56/~jnz1568/getInfo.php?workbook=12_05.xlsx&amp;sheet=U0&amp;row=6555&amp;col=6&amp;number=4.1&amp;sourceID=14","4.1")</f>
        <v>4.1</v>
      </c>
      <c r="G6555" s="4" t="str">
        <f>HYPERLINK("http://141.218.60.56/~jnz1568/getInfo.php?workbook=12_05.xlsx&amp;sheet=U0&amp;row=6555&amp;col=7&amp;number=0.00329&amp;sourceID=14","0.00329")</f>
        <v>0.00329</v>
      </c>
    </row>
    <row r="6556" spans="1:7">
      <c r="A6556" s="3"/>
      <c r="B6556" s="3"/>
      <c r="C6556" s="3"/>
      <c r="D6556" s="3"/>
      <c r="E6556" s="3">
        <v>13</v>
      </c>
      <c r="F6556" s="4" t="str">
        <f>HYPERLINK("http://141.218.60.56/~jnz1568/getInfo.php?workbook=12_05.xlsx&amp;sheet=U0&amp;row=6556&amp;col=6&amp;number=4.2&amp;sourceID=14","4.2")</f>
        <v>4.2</v>
      </c>
      <c r="G6556" s="4" t="str">
        <f>HYPERLINK("http://141.218.60.56/~jnz1568/getInfo.php?workbook=12_05.xlsx&amp;sheet=U0&amp;row=6556&amp;col=7&amp;number=0.00331&amp;sourceID=14","0.00331")</f>
        <v>0.00331</v>
      </c>
    </row>
    <row r="6557" spans="1:7">
      <c r="A6557" s="3"/>
      <c r="B6557" s="3"/>
      <c r="C6557" s="3"/>
      <c r="D6557" s="3"/>
      <c r="E6557" s="3">
        <v>14</v>
      </c>
      <c r="F6557" s="4" t="str">
        <f>HYPERLINK("http://141.218.60.56/~jnz1568/getInfo.php?workbook=12_05.xlsx&amp;sheet=U0&amp;row=6557&amp;col=6&amp;number=4.3&amp;sourceID=14","4.3")</f>
        <v>4.3</v>
      </c>
      <c r="G6557" s="4" t="str">
        <f>HYPERLINK("http://141.218.60.56/~jnz1568/getInfo.php?workbook=12_05.xlsx&amp;sheet=U0&amp;row=6557&amp;col=7&amp;number=0.00333&amp;sourceID=14","0.00333")</f>
        <v>0.00333</v>
      </c>
    </row>
    <row r="6558" spans="1:7">
      <c r="A6558" s="3"/>
      <c r="B6558" s="3"/>
      <c r="C6558" s="3"/>
      <c r="D6558" s="3"/>
      <c r="E6558" s="3">
        <v>15</v>
      </c>
      <c r="F6558" s="4" t="str">
        <f>HYPERLINK("http://141.218.60.56/~jnz1568/getInfo.php?workbook=12_05.xlsx&amp;sheet=U0&amp;row=6558&amp;col=6&amp;number=4.4&amp;sourceID=14","4.4")</f>
        <v>4.4</v>
      </c>
      <c r="G6558" s="4" t="str">
        <f>HYPERLINK("http://141.218.60.56/~jnz1568/getInfo.php?workbook=12_05.xlsx&amp;sheet=U0&amp;row=6558&amp;col=7&amp;number=0.00335&amp;sourceID=14","0.00335")</f>
        <v>0.00335</v>
      </c>
    </row>
    <row r="6559" spans="1:7">
      <c r="A6559" s="3"/>
      <c r="B6559" s="3"/>
      <c r="C6559" s="3"/>
      <c r="D6559" s="3"/>
      <c r="E6559" s="3">
        <v>16</v>
      </c>
      <c r="F6559" s="4" t="str">
        <f>HYPERLINK("http://141.218.60.56/~jnz1568/getInfo.php?workbook=12_05.xlsx&amp;sheet=U0&amp;row=6559&amp;col=6&amp;number=4.5&amp;sourceID=14","4.5")</f>
        <v>4.5</v>
      </c>
      <c r="G6559" s="4" t="str">
        <f>HYPERLINK("http://141.218.60.56/~jnz1568/getInfo.php?workbook=12_05.xlsx&amp;sheet=U0&amp;row=6559&amp;col=7&amp;number=0.00339&amp;sourceID=14","0.00339")</f>
        <v>0.00339</v>
      </c>
    </row>
    <row r="6560" spans="1:7">
      <c r="A6560" s="3"/>
      <c r="B6560" s="3"/>
      <c r="C6560" s="3"/>
      <c r="D6560" s="3"/>
      <c r="E6560" s="3">
        <v>17</v>
      </c>
      <c r="F6560" s="4" t="str">
        <f>HYPERLINK("http://141.218.60.56/~jnz1568/getInfo.php?workbook=12_05.xlsx&amp;sheet=U0&amp;row=6560&amp;col=6&amp;number=4.6&amp;sourceID=14","4.6")</f>
        <v>4.6</v>
      </c>
      <c r="G6560" s="4" t="str">
        <f>HYPERLINK("http://141.218.60.56/~jnz1568/getInfo.php?workbook=12_05.xlsx&amp;sheet=U0&amp;row=6560&amp;col=7&amp;number=0.00343&amp;sourceID=14","0.00343")</f>
        <v>0.00343</v>
      </c>
    </row>
    <row r="6561" spans="1:7">
      <c r="A6561" s="3"/>
      <c r="B6561" s="3"/>
      <c r="C6561" s="3"/>
      <c r="D6561" s="3"/>
      <c r="E6561" s="3">
        <v>18</v>
      </c>
      <c r="F6561" s="4" t="str">
        <f>HYPERLINK("http://141.218.60.56/~jnz1568/getInfo.php?workbook=12_05.xlsx&amp;sheet=U0&amp;row=6561&amp;col=6&amp;number=4.7&amp;sourceID=14","4.7")</f>
        <v>4.7</v>
      </c>
      <c r="G6561" s="4" t="str">
        <f>HYPERLINK("http://141.218.60.56/~jnz1568/getInfo.php?workbook=12_05.xlsx&amp;sheet=U0&amp;row=6561&amp;col=7&amp;number=0.00348&amp;sourceID=14","0.00348")</f>
        <v>0.00348</v>
      </c>
    </row>
    <row r="6562" spans="1:7">
      <c r="A6562" s="3"/>
      <c r="B6562" s="3"/>
      <c r="C6562" s="3"/>
      <c r="D6562" s="3"/>
      <c r="E6562" s="3">
        <v>19</v>
      </c>
      <c r="F6562" s="4" t="str">
        <f>HYPERLINK("http://141.218.60.56/~jnz1568/getInfo.php?workbook=12_05.xlsx&amp;sheet=U0&amp;row=6562&amp;col=6&amp;number=4.8&amp;sourceID=14","4.8")</f>
        <v>4.8</v>
      </c>
      <c r="G6562" s="4" t="str">
        <f>HYPERLINK("http://141.218.60.56/~jnz1568/getInfo.php?workbook=12_05.xlsx&amp;sheet=U0&amp;row=6562&amp;col=7&amp;number=0.00355&amp;sourceID=14","0.00355")</f>
        <v>0.00355</v>
      </c>
    </row>
    <row r="6563" spans="1:7">
      <c r="A6563" s="3"/>
      <c r="B6563" s="3"/>
      <c r="C6563" s="3"/>
      <c r="D6563" s="3"/>
      <c r="E6563" s="3">
        <v>20</v>
      </c>
      <c r="F6563" s="4" t="str">
        <f>HYPERLINK("http://141.218.60.56/~jnz1568/getInfo.php?workbook=12_05.xlsx&amp;sheet=U0&amp;row=6563&amp;col=6&amp;number=4.9&amp;sourceID=14","4.9")</f>
        <v>4.9</v>
      </c>
      <c r="G6563" s="4" t="str">
        <f>HYPERLINK("http://141.218.60.56/~jnz1568/getInfo.php?workbook=12_05.xlsx&amp;sheet=U0&amp;row=6563&amp;col=7&amp;number=0.00363&amp;sourceID=14","0.00363")</f>
        <v>0.00363</v>
      </c>
    </row>
    <row r="6564" spans="1:7">
      <c r="A6564" s="3">
        <v>12</v>
      </c>
      <c r="B6564" s="3">
        <v>5</v>
      </c>
      <c r="C6564" s="3">
        <v>4</v>
      </c>
      <c r="D6564" s="3">
        <v>84</v>
      </c>
      <c r="E6564" s="3">
        <v>1</v>
      </c>
      <c r="F6564" s="4" t="str">
        <f>HYPERLINK("http://141.218.60.56/~jnz1568/getInfo.php?workbook=12_05.xlsx&amp;sheet=U0&amp;row=6564&amp;col=6&amp;number=3&amp;sourceID=14","3")</f>
        <v>3</v>
      </c>
      <c r="G6564" s="4" t="str">
        <f>HYPERLINK("http://141.218.60.56/~jnz1568/getInfo.php?workbook=12_05.xlsx&amp;sheet=U0&amp;row=6564&amp;col=7&amp;number=0.001&amp;sourceID=14","0.001")</f>
        <v>0.001</v>
      </c>
    </row>
    <row r="6565" spans="1:7">
      <c r="A6565" s="3"/>
      <c r="B6565" s="3"/>
      <c r="C6565" s="3"/>
      <c r="D6565" s="3"/>
      <c r="E6565" s="3">
        <v>2</v>
      </c>
      <c r="F6565" s="4" t="str">
        <f>HYPERLINK("http://141.218.60.56/~jnz1568/getInfo.php?workbook=12_05.xlsx&amp;sheet=U0&amp;row=6565&amp;col=6&amp;number=3.1&amp;sourceID=14","3.1")</f>
        <v>3.1</v>
      </c>
      <c r="G6565" s="4" t="str">
        <f>HYPERLINK("http://141.218.60.56/~jnz1568/getInfo.php?workbook=12_05.xlsx&amp;sheet=U0&amp;row=6565&amp;col=7&amp;number=0.001&amp;sourceID=14","0.001")</f>
        <v>0.001</v>
      </c>
    </row>
    <row r="6566" spans="1:7">
      <c r="A6566" s="3"/>
      <c r="B6566" s="3"/>
      <c r="C6566" s="3"/>
      <c r="D6566" s="3"/>
      <c r="E6566" s="3">
        <v>3</v>
      </c>
      <c r="F6566" s="4" t="str">
        <f>HYPERLINK("http://141.218.60.56/~jnz1568/getInfo.php?workbook=12_05.xlsx&amp;sheet=U0&amp;row=6566&amp;col=6&amp;number=3.2&amp;sourceID=14","3.2")</f>
        <v>3.2</v>
      </c>
      <c r="G6566" s="4" t="str">
        <f>HYPERLINK("http://141.218.60.56/~jnz1568/getInfo.php?workbook=12_05.xlsx&amp;sheet=U0&amp;row=6566&amp;col=7&amp;number=0.001&amp;sourceID=14","0.001")</f>
        <v>0.001</v>
      </c>
    </row>
    <row r="6567" spans="1:7">
      <c r="A6567" s="3"/>
      <c r="B6567" s="3"/>
      <c r="C6567" s="3"/>
      <c r="D6567" s="3"/>
      <c r="E6567" s="3">
        <v>4</v>
      </c>
      <c r="F6567" s="4" t="str">
        <f>HYPERLINK("http://141.218.60.56/~jnz1568/getInfo.php?workbook=12_05.xlsx&amp;sheet=U0&amp;row=6567&amp;col=6&amp;number=3.3&amp;sourceID=14","3.3")</f>
        <v>3.3</v>
      </c>
      <c r="G6567" s="4" t="str">
        <f>HYPERLINK("http://141.218.60.56/~jnz1568/getInfo.php?workbook=12_05.xlsx&amp;sheet=U0&amp;row=6567&amp;col=7&amp;number=0.001&amp;sourceID=14","0.001")</f>
        <v>0.001</v>
      </c>
    </row>
    <row r="6568" spans="1:7">
      <c r="A6568" s="3"/>
      <c r="B6568" s="3"/>
      <c r="C6568" s="3"/>
      <c r="D6568" s="3"/>
      <c r="E6568" s="3">
        <v>5</v>
      </c>
      <c r="F6568" s="4" t="str">
        <f>HYPERLINK("http://141.218.60.56/~jnz1568/getInfo.php?workbook=12_05.xlsx&amp;sheet=U0&amp;row=6568&amp;col=6&amp;number=3.4&amp;sourceID=14","3.4")</f>
        <v>3.4</v>
      </c>
      <c r="G6568" s="4" t="str">
        <f>HYPERLINK("http://141.218.60.56/~jnz1568/getInfo.php?workbook=12_05.xlsx&amp;sheet=U0&amp;row=6568&amp;col=7&amp;number=0.001&amp;sourceID=14","0.001")</f>
        <v>0.001</v>
      </c>
    </row>
    <row r="6569" spans="1:7">
      <c r="A6569" s="3"/>
      <c r="B6569" s="3"/>
      <c r="C6569" s="3"/>
      <c r="D6569" s="3"/>
      <c r="E6569" s="3">
        <v>6</v>
      </c>
      <c r="F6569" s="4" t="str">
        <f>HYPERLINK("http://141.218.60.56/~jnz1568/getInfo.php?workbook=12_05.xlsx&amp;sheet=U0&amp;row=6569&amp;col=6&amp;number=3.5&amp;sourceID=14","3.5")</f>
        <v>3.5</v>
      </c>
      <c r="G6569" s="4" t="str">
        <f>HYPERLINK("http://141.218.60.56/~jnz1568/getInfo.php?workbook=12_05.xlsx&amp;sheet=U0&amp;row=6569&amp;col=7&amp;number=0.000999&amp;sourceID=14","0.000999")</f>
        <v>0.000999</v>
      </c>
    </row>
    <row r="6570" spans="1:7">
      <c r="A6570" s="3"/>
      <c r="B6570" s="3"/>
      <c r="C6570" s="3"/>
      <c r="D6570" s="3"/>
      <c r="E6570" s="3">
        <v>7</v>
      </c>
      <c r="F6570" s="4" t="str">
        <f>HYPERLINK("http://141.218.60.56/~jnz1568/getInfo.php?workbook=12_05.xlsx&amp;sheet=U0&amp;row=6570&amp;col=6&amp;number=3.6&amp;sourceID=14","3.6")</f>
        <v>3.6</v>
      </c>
      <c r="G6570" s="4" t="str">
        <f>HYPERLINK("http://141.218.60.56/~jnz1568/getInfo.php?workbook=12_05.xlsx&amp;sheet=U0&amp;row=6570&amp;col=7&amp;number=0.000999&amp;sourceID=14","0.000999")</f>
        <v>0.000999</v>
      </c>
    </row>
    <row r="6571" spans="1:7">
      <c r="A6571" s="3"/>
      <c r="B6571" s="3"/>
      <c r="C6571" s="3"/>
      <c r="D6571" s="3"/>
      <c r="E6571" s="3">
        <v>8</v>
      </c>
      <c r="F6571" s="4" t="str">
        <f>HYPERLINK("http://141.218.60.56/~jnz1568/getInfo.php?workbook=12_05.xlsx&amp;sheet=U0&amp;row=6571&amp;col=6&amp;number=3.7&amp;sourceID=14","3.7")</f>
        <v>3.7</v>
      </c>
      <c r="G6571" s="4" t="str">
        <f>HYPERLINK("http://141.218.60.56/~jnz1568/getInfo.php?workbook=12_05.xlsx&amp;sheet=U0&amp;row=6571&amp;col=7&amp;number=0.000998&amp;sourceID=14","0.000998")</f>
        <v>0.000998</v>
      </c>
    </row>
    <row r="6572" spans="1:7">
      <c r="A6572" s="3"/>
      <c r="B6572" s="3"/>
      <c r="C6572" s="3"/>
      <c r="D6572" s="3"/>
      <c r="E6572" s="3">
        <v>9</v>
      </c>
      <c r="F6572" s="4" t="str">
        <f>HYPERLINK("http://141.218.60.56/~jnz1568/getInfo.php?workbook=12_05.xlsx&amp;sheet=U0&amp;row=6572&amp;col=6&amp;number=3.8&amp;sourceID=14","3.8")</f>
        <v>3.8</v>
      </c>
      <c r="G6572" s="4" t="str">
        <f>HYPERLINK("http://141.218.60.56/~jnz1568/getInfo.php?workbook=12_05.xlsx&amp;sheet=U0&amp;row=6572&amp;col=7&amp;number=0.000997&amp;sourceID=14","0.000997")</f>
        <v>0.000997</v>
      </c>
    </row>
    <row r="6573" spans="1:7">
      <c r="A6573" s="3"/>
      <c r="B6573" s="3"/>
      <c r="C6573" s="3"/>
      <c r="D6573" s="3"/>
      <c r="E6573" s="3">
        <v>10</v>
      </c>
      <c r="F6573" s="4" t="str">
        <f>HYPERLINK("http://141.218.60.56/~jnz1568/getInfo.php?workbook=12_05.xlsx&amp;sheet=U0&amp;row=6573&amp;col=6&amp;number=3.9&amp;sourceID=14","3.9")</f>
        <v>3.9</v>
      </c>
      <c r="G6573" s="4" t="str">
        <f>HYPERLINK("http://141.218.60.56/~jnz1568/getInfo.php?workbook=12_05.xlsx&amp;sheet=U0&amp;row=6573&amp;col=7&amp;number=0.000996&amp;sourceID=14","0.000996")</f>
        <v>0.000996</v>
      </c>
    </row>
    <row r="6574" spans="1:7">
      <c r="A6574" s="3"/>
      <c r="B6574" s="3"/>
      <c r="C6574" s="3"/>
      <c r="D6574" s="3"/>
      <c r="E6574" s="3">
        <v>11</v>
      </c>
      <c r="F6574" s="4" t="str">
        <f>HYPERLINK("http://141.218.60.56/~jnz1568/getInfo.php?workbook=12_05.xlsx&amp;sheet=U0&amp;row=6574&amp;col=6&amp;number=4&amp;sourceID=14","4")</f>
        <v>4</v>
      </c>
      <c r="G6574" s="4" t="str">
        <f>HYPERLINK("http://141.218.60.56/~jnz1568/getInfo.php?workbook=12_05.xlsx&amp;sheet=U0&amp;row=6574&amp;col=7&amp;number=0.000994&amp;sourceID=14","0.000994")</f>
        <v>0.000994</v>
      </c>
    </row>
    <row r="6575" spans="1:7">
      <c r="A6575" s="3"/>
      <c r="B6575" s="3"/>
      <c r="C6575" s="3"/>
      <c r="D6575" s="3"/>
      <c r="E6575" s="3">
        <v>12</v>
      </c>
      <c r="F6575" s="4" t="str">
        <f>HYPERLINK("http://141.218.60.56/~jnz1568/getInfo.php?workbook=12_05.xlsx&amp;sheet=U0&amp;row=6575&amp;col=6&amp;number=4.1&amp;sourceID=14","4.1")</f>
        <v>4.1</v>
      </c>
      <c r="G6575" s="4" t="str">
        <f>HYPERLINK("http://141.218.60.56/~jnz1568/getInfo.php?workbook=12_05.xlsx&amp;sheet=U0&amp;row=6575&amp;col=7&amp;number=0.000992&amp;sourceID=14","0.000992")</f>
        <v>0.000992</v>
      </c>
    </row>
    <row r="6576" spans="1:7">
      <c r="A6576" s="3"/>
      <c r="B6576" s="3"/>
      <c r="C6576" s="3"/>
      <c r="D6576" s="3"/>
      <c r="E6576" s="3">
        <v>13</v>
      </c>
      <c r="F6576" s="4" t="str">
        <f>HYPERLINK("http://141.218.60.56/~jnz1568/getInfo.php?workbook=12_05.xlsx&amp;sheet=U0&amp;row=6576&amp;col=6&amp;number=4.2&amp;sourceID=14","4.2")</f>
        <v>4.2</v>
      </c>
      <c r="G6576" s="4" t="str">
        <f>HYPERLINK("http://141.218.60.56/~jnz1568/getInfo.php?workbook=12_05.xlsx&amp;sheet=U0&amp;row=6576&amp;col=7&amp;number=0.000989&amp;sourceID=14","0.000989")</f>
        <v>0.000989</v>
      </c>
    </row>
    <row r="6577" spans="1:7">
      <c r="A6577" s="3"/>
      <c r="B6577" s="3"/>
      <c r="C6577" s="3"/>
      <c r="D6577" s="3"/>
      <c r="E6577" s="3">
        <v>14</v>
      </c>
      <c r="F6577" s="4" t="str">
        <f>HYPERLINK("http://141.218.60.56/~jnz1568/getInfo.php?workbook=12_05.xlsx&amp;sheet=U0&amp;row=6577&amp;col=6&amp;number=4.3&amp;sourceID=14","4.3")</f>
        <v>4.3</v>
      </c>
      <c r="G6577" s="4" t="str">
        <f>HYPERLINK("http://141.218.60.56/~jnz1568/getInfo.php?workbook=12_05.xlsx&amp;sheet=U0&amp;row=6577&amp;col=7&amp;number=0.000986&amp;sourceID=14","0.000986")</f>
        <v>0.000986</v>
      </c>
    </row>
    <row r="6578" spans="1:7">
      <c r="A6578" s="3"/>
      <c r="B6578" s="3"/>
      <c r="C6578" s="3"/>
      <c r="D6578" s="3"/>
      <c r="E6578" s="3">
        <v>15</v>
      </c>
      <c r="F6578" s="4" t="str">
        <f>HYPERLINK("http://141.218.60.56/~jnz1568/getInfo.php?workbook=12_05.xlsx&amp;sheet=U0&amp;row=6578&amp;col=6&amp;number=4.4&amp;sourceID=14","4.4")</f>
        <v>4.4</v>
      </c>
      <c r="G6578" s="4" t="str">
        <f>HYPERLINK("http://141.218.60.56/~jnz1568/getInfo.php?workbook=12_05.xlsx&amp;sheet=U0&amp;row=6578&amp;col=7&amp;number=0.000982&amp;sourceID=14","0.000982")</f>
        <v>0.000982</v>
      </c>
    </row>
    <row r="6579" spans="1:7">
      <c r="A6579" s="3"/>
      <c r="B6579" s="3"/>
      <c r="C6579" s="3"/>
      <c r="D6579" s="3"/>
      <c r="E6579" s="3">
        <v>16</v>
      </c>
      <c r="F6579" s="4" t="str">
        <f>HYPERLINK("http://141.218.60.56/~jnz1568/getInfo.php?workbook=12_05.xlsx&amp;sheet=U0&amp;row=6579&amp;col=6&amp;number=4.5&amp;sourceID=14","4.5")</f>
        <v>4.5</v>
      </c>
      <c r="G6579" s="4" t="str">
        <f>HYPERLINK("http://141.218.60.56/~jnz1568/getInfo.php?workbook=12_05.xlsx&amp;sheet=U0&amp;row=6579&amp;col=7&amp;number=0.000977&amp;sourceID=14","0.000977")</f>
        <v>0.000977</v>
      </c>
    </row>
    <row r="6580" spans="1:7">
      <c r="A6580" s="3"/>
      <c r="B6580" s="3"/>
      <c r="C6580" s="3"/>
      <c r="D6580" s="3"/>
      <c r="E6580" s="3">
        <v>17</v>
      </c>
      <c r="F6580" s="4" t="str">
        <f>HYPERLINK("http://141.218.60.56/~jnz1568/getInfo.php?workbook=12_05.xlsx&amp;sheet=U0&amp;row=6580&amp;col=6&amp;number=4.6&amp;sourceID=14","4.6")</f>
        <v>4.6</v>
      </c>
      <c r="G6580" s="4" t="str">
        <f>HYPERLINK("http://141.218.60.56/~jnz1568/getInfo.php?workbook=12_05.xlsx&amp;sheet=U0&amp;row=6580&amp;col=7&amp;number=0.00097&amp;sourceID=14","0.00097")</f>
        <v>0.00097</v>
      </c>
    </row>
    <row r="6581" spans="1:7">
      <c r="A6581" s="3"/>
      <c r="B6581" s="3"/>
      <c r="C6581" s="3"/>
      <c r="D6581" s="3"/>
      <c r="E6581" s="3">
        <v>18</v>
      </c>
      <c r="F6581" s="4" t="str">
        <f>HYPERLINK("http://141.218.60.56/~jnz1568/getInfo.php?workbook=12_05.xlsx&amp;sheet=U0&amp;row=6581&amp;col=6&amp;number=4.7&amp;sourceID=14","4.7")</f>
        <v>4.7</v>
      </c>
      <c r="G6581" s="4" t="str">
        <f>HYPERLINK("http://141.218.60.56/~jnz1568/getInfo.php?workbook=12_05.xlsx&amp;sheet=U0&amp;row=6581&amp;col=7&amp;number=0.000963&amp;sourceID=14","0.000963")</f>
        <v>0.000963</v>
      </c>
    </row>
    <row r="6582" spans="1:7">
      <c r="A6582" s="3"/>
      <c r="B6582" s="3"/>
      <c r="C6582" s="3"/>
      <c r="D6582" s="3"/>
      <c r="E6582" s="3">
        <v>19</v>
      </c>
      <c r="F6582" s="4" t="str">
        <f>HYPERLINK("http://141.218.60.56/~jnz1568/getInfo.php?workbook=12_05.xlsx&amp;sheet=U0&amp;row=6582&amp;col=6&amp;number=4.8&amp;sourceID=14","4.8")</f>
        <v>4.8</v>
      </c>
      <c r="G6582" s="4" t="str">
        <f>HYPERLINK("http://141.218.60.56/~jnz1568/getInfo.php?workbook=12_05.xlsx&amp;sheet=U0&amp;row=6582&amp;col=7&amp;number=0.000953&amp;sourceID=14","0.000953")</f>
        <v>0.000953</v>
      </c>
    </row>
    <row r="6583" spans="1:7">
      <c r="A6583" s="3"/>
      <c r="B6583" s="3"/>
      <c r="C6583" s="3"/>
      <c r="D6583" s="3"/>
      <c r="E6583" s="3">
        <v>20</v>
      </c>
      <c r="F6583" s="4" t="str">
        <f>HYPERLINK("http://141.218.60.56/~jnz1568/getInfo.php?workbook=12_05.xlsx&amp;sheet=U0&amp;row=6583&amp;col=6&amp;number=4.9&amp;sourceID=14","4.9")</f>
        <v>4.9</v>
      </c>
      <c r="G6583" s="4" t="str">
        <f>HYPERLINK("http://141.218.60.56/~jnz1568/getInfo.php?workbook=12_05.xlsx&amp;sheet=U0&amp;row=6583&amp;col=7&amp;number=0.000941&amp;sourceID=14","0.000941")</f>
        <v>0.000941</v>
      </c>
    </row>
    <row r="6584" spans="1:7">
      <c r="A6584" s="3">
        <v>12</v>
      </c>
      <c r="B6584" s="3">
        <v>5</v>
      </c>
      <c r="C6584" s="3">
        <v>4</v>
      </c>
      <c r="D6584" s="3">
        <v>85</v>
      </c>
      <c r="E6584" s="3">
        <v>1</v>
      </c>
      <c r="F6584" s="4" t="str">
        <f>HYPERLINK("http://141.218.60.56/~jnz1568/getInfo.php?workbook=12_05.xlsx&amp;sheet=U0&amp;row=6584&amp;col=6&amp;number=3&amp;sourceID=14","3")</f>
        <v>3</v>
      </c>
      <c r="G6584" s="4" t="str">
        <f>HYPERLINK("http://141.218.60.56/~jnz1568/getInfo.php?workbook=12_05.xlsx&amp;sheet=U0&amp;row=6584&amp;col=7&amp;number=0.000286&amp;sourceID=14","0.000286")</f>
        <v>0.000286</v>
      </c>
    </row>
    <row r="6585" spans="1:7">
      <c r="A6585" s="3"/>
      <c r="B6585" s="3"/>
      <c r="C6585" s="3"/>
      <c r="D6585" s="3"/>
      <c r="E6585" s="3">
        <v>2</v>
      </c>
      <c r="F6585" s="4" t="str">
        <f>HYPERLINK("http://141.218.60.56/~jnz1568/getInfo.php?workbook=12_05.xlsx&amp;sheet=U0&amp;row=6585&amp;col=6&amp;number=3.1&amp;sourceID=14","3.1")</f>
        <v>3.1</v>
      </c>
      <c r="G6585" s="4" t="str">
        <f>HYPERLINK("http://141.218.60.56/~jnz1568/getInfo.php?workbook=12_05.xlsx&amp;sheet=U0&amp;row=6585&amp;col=7&amp;number=0.000286&amp;sourceID=14","0.000286")</f>
        <v>0.000286</v>
      </c>
    </row>
    <row r="6586" spans="1:7">
      <c r="A6586" s="3"/>
      <c r="B6586" s="3"/>
      <c r="C6586" s="3"/>
      <c r="D6586" s="3"/>
      <c r="E6586" s="3">
        <v>3</v>
      </c>
      <c r="F6586" s="4" t="str">
        <f>HYPERLINK("http://141.218.60.56/~jnz1568/getInfo.php?workbook=12_05.xlsx&amp;sheet=U0&amp;row=6586&amp;col=6&amp;number=3.2&amp;sourceID=14","3.2")</f>
        <v>3.2</v>
      </c>
      <c r="G6586" s="4" t="str">
        <f>HYPERLINK("http://141.218.60.56/~jnz1568/getInfo.php?workbook=12_05.xlsx&amp;sheet=U0&amp;row=6586&amp;col=7&amp;number=0.000286&amp;sourceID=14","0.000286")</f>
        <v>0.000286</v>
      </c>
    </row>
    <row r="6587" spans="1:7">
      <c r="A6587" s="3"/>
      <c r="B6587" s="3"/>
      <c r="C6587" s="3"/>
      <c r="D6587" s="3"/>
      <c r="E6587" s="3">
        <v>4</v>
      </c>
      <c r="F6587" s="4" t="str">
        <f>HYPERLINK("http://141.218.60.56/~jnz1568/getInfo.php?workbook=12_05.xlsx&amp;sheet=U0&amp;row=6587&amp;col=6&amp;number=3.3&amp;sourceID=14","3.3")</f>
        <v>3.3</v>
      </c>
      <c r="G6587" s="4" t="str">
        <f>HYPERLINK("http://141.218.60.56/~jnz1568/getInfo.php?workbook=12_05.xlsx&amp;sheet=U0&amp;row=6587&amp;col=7&amp;number=0.000286&amp;sourceID=14","0.000286")</f>
        <v>0.000286</v>
      </c>
    </row>
    <row r="6588" spans="1:7">
      <c r="A6588" s="3"/>
      <c r="B6588" s="3"/>
      <c r="C6588" s="3"/>
      <c r="D6588" s="3"/>
      <c r="E6588" s="3">
        <v>5</v>
      </c>
      <c r="F6588" s="4" t="str">
        <f>HYPERLINK("http://141.218.60.56/~jnz1568/getInfo.php?workbook=12_05.xlsx&amp;sheet=U0&amp;row=6588&amp;col=6&amp;number=3.4&amp;sourceID=14","3.4")</f>
        <v>3.4</v>
      </c>
      <c r="G6588" s="4" t="str">
        <f>HYPERLINK("http://141.218.60.56/~jnz1568/getInfo.php?workbook=12_05.xlsx&amp;sheet=U0&amp;row=6588&amp;col=7&amp;number=0.000286&amp;sourceID=14","0.000286")</f>
        <v>0.000286</v>
      </c>
    </row>
    <row r="6589" spans="1:7">
      <c r="A6589" s="3"/>
      <c r="B6589" s="3"/>
      <c r="C6589" s="3"/>
      <c r="D6589" s="3"/>
      <c r="E6589" s="3">
        <v>6</v>
      </c>
      <c r="F6589" s="4" t="str">
        <f>HYPERLINK("http://141.218.60.56/~jnz1568/getInfo.php?workbook=12_05.xlsx&amp;sheet=U0&amp;row=6589&amp;col=6&amp;number=3.5&amp;sourceID=14","3.5")</f>
        <v>3.5</v>
      </c>
      <c r="G6589" s="4" t="str">
        <f>HYPERLINK("http://141.218.60.56/~jnz1568/getInfo.php?workbook=12_05.xlsx&amp;sheet=U0&amp;row=6589&amp;col=7&amp;number=0.000286&amp;sourceID=14","0.000286")</f>
        <v>0.000286</v>
      </c>
    </row>
    <row r="6590" spans="1:7">
      <c r="A6590" s="3"/>
      <c r="B6590" s="3"/>
      <c r="C6590" s="3"/>
      <c r="D6590" s="3"/>
      <c r="E6590" s="3">
        <v>7</v>
      </c>
      <c r="F6590" s="4" t="str">
        <f>HYPERLINK("http://141.218.60.56/~jnz1568/getInfo.php?workbook=12_05.xlsx&amp;sheet=U0&amp;row=6590&amp;col=6&amp;number=3.6&amp;sourceID=14","3.6")</f>
        <v>3.6</v>
      </c>
      <c r="G6590" s="4" t="str">
        <f>HYPERLINK("http://141.218.60.56/~jnz1568/getInfo.php?workbook=12_05.xlsx&amp;sheet=U0&amp;row=6590&amp;col=7&amp;number=0.000286&amp;sourceID=14","0.000286")</f>
        <v>0.000286</v>
      </c>
    </row>
    <row r="6591" spans="1:7">
      <c r="A6591" s="3"/>
      <c r="B6591" s="3"/>
      <c r="C6591" s="3"/>
      <c r="D6591" s="3"/>
      <c r="E6591" s="3">
        <v>8</v>
      </c>
      <c r="F6591" s="4" t="str">
        <f>HYPERLINK("http://141.218.60.56/~jnz1568/getInfo.php?workbook=12_05.xlsx&amp;sheet=U0&amp;row=6591&amp;col=6&amp;number=3.7&amp;sourceID=14","3.7")</f>
        <v>3.7</v>
      </c>
      <c r="G6591" s="4" t="str">
        <f>HYPERLINK("http://141.218.60.56/~jnz1568/getInfo.php?workbook=12_05.xlsx&amp;sheet=U0&amp;row=6591&amp;col=7&amp;number=0.000286&amp;sourceID=14","0.000286")</f>
        <v>0.000286</v>
      </c>
    </row>
    <row r="6592" spans="1:7">
      <c r="A6592" s="3"/>
      <c r="B6592" s="3"/>
      <c r="C6592" s="3"/>
      <c r="D6592" s="3"/>
      <c r="E6592" s="3">
        <v>9</v>
      </c>
      <c r="F6592" s="4" t="str">
        <f>HYPERLINK("http://141.218.60.56/~jnz1568/getInfo.php?workbook=12_05.xlsx&amp;sheet=U0&amp;row=6592&amp;col=6&amp;number=3.8&amp;sourceID=14","3.8")</f>
        <v>3.8</v>
      </c>
      <c r="G6592" s="4" t="str">
        <f>HYPERLINK("http://141.218.60.56/~jnz1568/getInfo.php?workbook=12_05.xlsx&amp;sheet=U0&amp;row=6592&amp;col=7&amp;number=0.000285&amp;sourceID=14","0.000285")</f>
        <v>0.000285</v>
      </c>
    </row>
    <row r="6593" spans="1:7">
      <c r="A6593" s="3"/>
      <c r="B6593" s="3"/>
      <c r="C6593" s="3"/>
      <c r="D6593" s="3"/>
      <c r="E6593" s="3">
        <v>10</v>
      </c>
      <c r="F6593" s="4" t="str">
        <f>HYPERLINK("http://141.218.60.56/~jnz1568/getInfo.php?workbook=12_05.xlsx&amp;sheet=U0&amp;row=6593&amp;col=6&amp;number=3.9&amp;sourceID=14","3.9")</f>
        <v>3.9</v>
      </c>
      <c r="G6593" s="4" t="str">
        <f>HYPERLINK("http://141.218.60.56/~jnz1568/getInfo.php?workbook=12_05.xlsx&amp;sheet=U0&amp;row=6593&amp;col=7&amp;number=0.000285&amp;sourceID=14","0.000285")</f>
        <v>0.000285</v>
      </c>
    </row>
    <row r="6594" spans="1:7">
      <c r="A6594" s="3"/>
      <c r="B6594" s="3"/>
      <c r="C6594" s="3"/>
      <c r="D6594" s="3"/>
      <c r="E6594" s="3">
        <v>11</v>
      </c>
      <c r="F6594" s="4" t="str">
        <f>HYPERLINK("http://141.218.60.56/~jnz1568/getInfo.php?workbook=12_05.xlsx&amp;sheet=U0&amp;row=6594&amp;col=6&amp;number=4&amp;sourceID=14","4")</f>
        <v>4</v>
      </c>
      <c r="G6594" s="4" t="str">
        <f>HYPERLINK("http://141.218.60.56/~jnz1568/getInfo.php?workbook=12_05.xlsx&amp;sheet=U0&amp;row=6594&amp;col=7&amp;number=0.000284&amp;sourceID=14","0.000284")</f>
        <v>0.000284</v>
      </c>
    </row>
    <row r="6595" spans="1:7">
      <c r="A6595" s="3"/>
      <c r="B6595" s="3"/>
      <c r="C6595" s="3"/>
      <c r="D6595" s="3"/>
      <c r="E6595" s="3">
        <v>12</v>
      </c>
      <c r="F6595" s="4" t="str">
        <f>HYPERLINK("http://141.218.60.56/~jnz1568/getInfo.php?workbook=12_05.xlsx&amp;sheet=U0&amp;row=6595&amp;col=6&amp;number=4.1&amp;sourceID=14","4.1")</f>
        <v>4.1</v>
      </c>
      <c r="G6595" s="4" t="str">
        <f>HYPERLINK("http://141.218.60.56/~jnz1568/getInfo.php?workbook=12_05.xlsx&amp;sheet=U0&amp;row=6595&amp;col=7&amp;number=0.000284&amp;sourceID=14","0.000284")</f>
        <v>0.000284</v>
      </c>
    </row>
    <row r="6596" spans="1:7">
      <c r="A6596" s="3"/>
      <c r="B6596" s="3"/>
      <c r="C6596" s="3"/>
      <c r="D6596" s="3"/>
      <c r="E6596" s="3">
        <v>13</v>
      </c>
      <c r="F6596" s="4" t="str">
        <f>HYPERLINK("http://141.218.60.56/~jnz1568/getInfo.php?workbook=12_05.xlsx&amp;sheet=U0&amp;row=6596&amp;col=6&amp;number=4.2&amp;sourceID=14","4.2")</f>
        <v>4.2</v>
      </c>
      <c r="G6596" s="4" t="str">
        <f>HYPERLINK("http://141.218.60.56/~jnz1568/getInfo.php?workbook=12_05.xlsx&amp;sheet=U0&amp;row=6596&amp;col=7&amp;number=0.000283&amp;sourceID=14","0.000283")</f>
        <v>0.000283</v>
      </c>
    </row>
    <row r="6597" spans="1:7">
      <c r="A6597" s="3"/>
      <c r="B6597" s="3"/>
      <c r="C6597" s="3"/>
      <c r="D6597" s="3"/>
      <c r="E6597" s="3">
        <v>14</v>
      </c>
      <c r="F6597" s="4" t="str">
        <f>HYPERLINK("http://141.218.60.56/~jnz1568/getInfo.php?workbook=12_05.xlsx&amp;sheet=U0&amp;row=6597&amp;col=6&amp;number=4.3&amp;sourceID=14","4.3")</f>
        <v>4.3</v>
      </c>
      <c r="G6597" s="4" t="str">
        <f>HYPERLINK("http://141.218.60.56/~jnz1568/getInfo.php?workbook=12_05.xlsx&amp;sheet=U0&amp;row=6597&amp;col=7&amp;number=0.000282&amp;sourceID=14","0.000282")</f>
        <v>0.000282</v>
      </c>
    </row>
    <row r="6598" spans="1:7">
      <c r="A6598" s="3"/>
      <c r="B6598" s="3"/>
      <c r="C6598" s="3"/>
      <c r="D6598" s="3"/>
      <c r="E6598" s="3">
        <v>15</v>
      </c>
      <c r="F6598" s="4" t="str">
        <f>HYPERLINK("http://141.218.60.56/~jnz1568/getInfo.php?workbook=12_05.xlsx&amp;sheet=U0&amp;row=6598&amp;col=6&amp;number=4.4&amp;sourceID=14","4.4")</f>
        <v>4.4</v>
      </c>
      <c r="G6598" s="4" t="str">
        <f>HYPERLINK("http://141.218.60.56/~jnz1568/getInfo.php?workbook=12_05.xlsx&amp;sheet=U0&amp;row=6598&amp;col=7&amp;number=0.000281&amp;sourceID=14","0.000281")</f>
        <v>0.000281</v>
      </c>
    </row>
    <row r="6599" spans="1:7">
      <c r="A6599" s="3"/>
      <c r="B6599" s="3"/>
      <c r="C6599" s="3"/>
      <c r="D6599" s="3"/>
      <c r="E6599" s="3">
        <v>16</v>
      </c>
      <c r="F6599" s="4" t="str">
        <f>HYPERLINK("http://141.218.60.56/~jnz1568/getInfo.php?workbook=12_05.xlsx&amp;sheet=U0&amp;row=6599&amp;col=6&amp;number=4.5&amp;sourceID=14","4.5")</f>
        <v>4.5</v>
      </c>
      <c r="G6599" s="4" t="str">
        <f>HYPERLINK("http://141.218.60.56/~jnz1568/getInfo.php?workbook=12_05.xlsx&amp;sheet=U0&amp;row=6599&amp;col=7&amp;number=0.000279&amp;sourceID=14","0.000279")</f>
        <v>0.000279</v>
      </c>
    </row>
    <row r="6600" spans="1:7">
      <c r="A6600" s="3"/>
      <c r="B6600" s="3"/>
      <c r="C6600" s="3"/>
      <c r="D6600" s="3"/>
      <c r="E6600" s="3">
        <v>17</v>
      </c>
      <c r="F6600" s="4" t="str">
        <f>HYPERLINK("http://141.218.60.56/~jnz1568/getInfo.php?workbook=12_05.xlsx&amp;sheet=U0&amp;row=6600&amp;col=6&amp;number=4.6&amp;sourceID=14","4.6")</f>
        <v>4.6</v>
      </c>
      <c r="G6600" s="4" t="str">
        <f>HYPERLINK("http://141.218.60.56/~jnz1568/getInfo.php?workbook=12_05.xlsx&amp;sheet=U0&amp;row=6600&amp;col=7&amp;number=0.000278&amp;sourceID=14","0.000278")</f>
        <v>0.000278</v>
      </c>
    </row>
    <row r="6601" spans="1:7">
      <c r="A6601" s="3"/>
      <c r="B6601" s="3"/>
      <c r="C6601" s="3"/>
      <c r="D6601" s="3"/>
      <c r="E6601" s="3">
        <v>18</v>
      </c>
      <c r="F6601" s="4" t="str">
        <f>HYPERLINK("http://141.218.60.56/~jnz1568/getInfo.php?workbook=12_05.xlsx&amp;sheet=U0&amp;row=6601&amp;col=6&amp;number=4.7&amp;sourceID=14","4.7")</f>
        <v>4.7</v>
      </c>
      <c r="G6601" s="4" t="str">
        <f>HYPERLINK("http://141.218.60.56/~jnz1568/getInfo.php?workbook=12_05.xlsx&amp;sheet=U0&amp;row=6601&amp;col=7&amp;number=0.000275&amp;sourceID=14","0.000275")</f>
        <v>0.000275</v>
      </c>
    </row>
    <row r="6602" spans="1:7">
      <c r="A6602" s="3"/>
      <c r="B6602" s="3"/>
      <c r="C6602" s="3"/>
      <c r="D6602" s="3"/>
      <c r="E6602" s="3">
        <v>19</v>
      </c>
      <c r="F6602" s="4" t="str">
        <f>HYPERLINK("http://141.218.60.56/~jnz1568/getInfo.php?workbook=12_05.xlsx&amp;sheet=U0&amp;row=6602&amp;col=6&amp;number=4.8&amp;sourceID=14","4.8")</f>
        <v>4.8</v>
      </c>
      <c r="G6602" s="4" t="str">
        <f>HYPERLINK("http://141.218.60.56/~jnz1568/getInfo.php?workbook=12_05.xlsx&amp;sheet=U0&amp;row=6602&amp;col=7&amp;number=0.000273&amp;sourceID=14","0.000273")</f>
        <v>0.000273</v>
      </c>
    </row>
    <row r="6603" spans="1:7">
      <c r="A6603" s="3"/>
      <c r="B6603" s="3"/>
      <c r="C6603" s="3"/>
      <c r="D6603" s="3"/>
      <c r="E6603" s="3">
        <v>20</v>
      </c>
      <c r="F6603" s="4" t="str">
        <f>HYPERLINK("http://141.218.60.56/~jnz1568/getInfo.php?workbook=12_05.xlsx&amp;sheet=U0&amp;row=6603&amp;col=6&amp;number=4.9&amp;sourceID=14","4.9")</f>
        <v>4.9</v>
      </c>
      <c r="G6603" s="4" t="str">
        <f>HYPERLINK("http://141.218.60.56/~jnz1568/getInfo.php?workbook=12_05.xlsx&amp;sheet=U0&amp;row=6603&amp;col=7&amp;number=0.000269&amp;sourceID=14","0.000269")</f>
        <v>0.000269</v>
      </c>
    </row>
    <row r="6604" spans="1:7">
      <c r="A6604" s="3">
        <v>12</v>
      </c>
      <c r="B6604" s="3">
        <v>5</v>
      </c>
      <c r="C6604" s="3">
        <v>4</v>
      </c>
      <c r="D6604" s="3">
        <v>87</v>
      </c>
      <c r="E6604" s="3">
        <v>1</v>
      </c>
      <c r="F6604" s="4" t="str">
        <f>HYPERLINK("http://141.218.60.56/~jnz1568/getInfo.php?workbook=12_05.xlsx&amp;sheet=U0&amp;row=6604&amp;col=6&amp;number=3&amp;sourceID=14","3")</f>
        <v>3</v>
      </c>
      <c r="G6604" s="4" t="str">
        <f>HYPERLINK("http://141.218.60.56/~jnz1568/getInfo.php?workbook=12_05.xlsx&amp;sheet=U0&amp;row=6604&amp;col=7&amp;number=0.000178&amp;sourceID=14","0.000178")</f>
        <v>0.000178</v>
      </c>
    </row>
    <row r="6605" spans="1:7">
      <c r="A6605" s="3"/>
      <c r="B6605" s="3"/>
      <c r="C6605" s="3"/>
      <c r="D6605" s="3"/>
      <c r="E6605" s="3">
        <v>2</v>
      </c>
      <c r="F6605" s="4" t="str">
        <f>HYPERLINK("http://141.218.60.56/~jnz1568/getInfo.php?workbook=12_05.xlsx&amp;sheet=U0&amp;row=6605&amp;col=6&amp;number=3.1&amp;sourceID=14","3.1")</f>
        <v>3.1</v>
      </c>
      <c r="G6605" s="4" t="str">
        <f>HYPERLINK("http://141.218.60.56/~jnz1568/getInfo.php?workbook=12_05.xlsx&amp;sheet=U0&amp;row=6605&amp;col=7&amp;number=0.000178&amp;sourceID=14","0.000178")</f>
        <v>0.000178</v>
      </c>
    </row>
    <row r="6606" spans="1:7">
      <c r="A6606" s="3"/>
      <c r="B6606" s="3"/>
      <c r="C6606" s="3"/>
      <c r="D6606" s="3"/>
      <c r="E6606" s="3">
        <v>3</v>
      </c>
      <c r="F6606" s="4" t="str">
        <f>HYPERLINK("http://141.218.60.56/~jnz1568/getInfo.php?workbook=12_05.xlsx&amp;sheet=U0&amp;row=6606&amp;col=6&amp;number=3.2&amp;sourceID=14","3.2")</f>
        <v>3.2</v>
      </c>
      <c r="G6606" s="4" t="str">
        <f>HYPERLINK("http://141.218.60.56/~jnz1568/getInfo.php?workbook=12_05.xlsx&amp;sheet=U0&amp;row=6606&amp;col=7&amp;number=0.000178&amp;sourceID=14","0.000178")</f>
        <v>0.000178</v>
      </c>
    </row>
    <row r="6607" spans="1:7">
      <c r="A6607" s="3"/>
      <c r="B6607" s="3"/>
      <c r="C6607" s="3"/>
      <c r="D6607" s="3"/>
      <c r="E6607" s="3">
        <v>4</v>
      </c>
      <c r="F6607" s="4" t="str">
        <f>HYPERLINK("http://141.218.60.56/~jnz1568/getInfo.php?workbook=12_05.xlsx&amp;sheet=U0&amp;row=6607&amp;col=6&amp;number=3.3&amp;sourceID=14","3.3")</f>
        <v>3.3</v>
      </c>
      <c r="G6607" s="4" t="str">
        <f>HYPERLINK("http://141.218.60.56/~jnz1568/getInfo.php?workbook=12_05.xlsx&amp;sheet=U0&amp;row=6607&amp;col=7&amp;number=0.000178&amp;sourceID=14","0.000178")</f>
        <v>0.000178</v>
      </c>
    </row>
    <row r="6608" spans="1:7">
      <c r="A6608" s="3"/>
      <c r="B6608" s="3"/>
      <c r="C6608" s="3"/>
      <c r="D6608" s="3"/>
      <c r="E6608" s="3">
        <v>5</v>
      </c>
      <c r="F6608" s="4" t="str">
        <f>HYPERLINK("http://141.218.60.56/~jnz1568/getInfo.php?workbook=12_05.xlsx&amp;sheet=U0&amp;row=6608&amp;col=6&amp;number=3.4&amp;sourceID=14","3.4")</f>
        <v>3.4</v>
      </c>
      <c r="G6608" s="4" t="str">
        <f>HYPERLINK("http://141.218.60.56/~jnz1568/getInfo.php?workbook=12_05.xlsx&amp;sheet=U0&amp;row=6608&amp;col=7&amp;number=0.000178&amp;sourceID=14","0.000178")</f>
        <v>0.000178</v>
      </c>
    </row>
    <row r="6609" spans="1:7">
      <c r="A6609" s="3"/>
      <c r="B6609" s="3"/>
      <c r="C6609" s="3"/>
      <c r="D6609" s="3"/>
      <c r="E6609" s="3">
        <v>6</v>
      </c>
      <c r="F6609" s="4" t="str">
        <f>HYPERLINK("http://141.218.60.56/~jnz1568/getInfo.php?workbook=12_05.xlsx&amp;sheet=U0&amp;row=6609&amp;col=6&amp;number=3.5&amp;sourceID=14","3.5")</f>
        <v>3.5</v>
      </c>
      <c r="G6609" s="4" t="str">
        <f>HYPERLINK("http://141.218.60.56/~jnz1568/getInfo.php?workbook=12_05.xlsx&amp;sheet=U0&amp;row=6609&amp;col=7&amp;number=0.000178&amp;sourceID=14","0.000178")</f>
        <v>0.000178</v>
      </c>
    </row>
    <row r="6610" spans="1:7">
      <c r="A6610" s="3"/>
      <c r="B6610" s="3"/>
      <c r="C6610" s="3"/>
      <c r="D6610" s="3"/>
      <c r="E6610" s="3">
        <v>7</v>
      </c>
      <c r="F6610" s="4" t="str">
        <f>HYPERLINK("http://141.218.60.56/~jnz1568/getInfo.php?workbook=12_05.xlsx&amp;sheet=U0&amp;row=6610&amp;col=6&amp;number=3.6&amp;sourceID=14","3.6")</f>
        <v>3.6</v>
      </c>
      <c r="G6610" s="4" t="str">
        <f>HYPERLINK("http://141.218.60.56/~jnz1568/getInfo.php?workbook=12_05.xlsx&amp;sheet=U0&amp;row=6610&amp;col=7&amp;number=0.000178&amp;sourceID=14","0.000178")</f>
        <v>0.000178</v>
      </c>
    </row>
    <row r="6611" spans="1:7">
      <c r="A6611" s="3"/>
      <c r="B6611" s="3"/>
      <c r="C6611" s="3"/>
      <c r="D6611" s="3"/>
      <c r="E6611" s="3">
        <v>8</v>
      </c>
      <c r="F6611" s="4" t="str">
        <f>HYPERLINK("http://141.218.60.56/~jnz1568/getInfo.php?workbook=12_05.xlsx&amp;sheet=U0&amp;row=6611&amp;col=6&amp;number=3.7&amp;sourceID=14","3.7")</f>
        <v>3.7</v>
      </c>
      <c r="G6611" s="4" t="str">
        <f>HYPERLINK("http://141.218.60.56/~jnz1568/getInfo.php?workbook=12_05.xlsx&amp;sheet=U0&amp;row=6611&amp;col=7&amp;number=0.000177&amp;sourceID=14","0.000177")</f>
        <v>0.000177</v>
      </c>
    </row>
    <row r="6612" spans="1:7">
      <c r="A6612" s="3"/>
      <c r="B6612" s="3"/>
      <c r="C6612" s="3"/>
      <c r="D6612" s="3"/>
      <c r="E6612" s="3">
        <v>9</v>
      </c>
      <c r="F6612" s="4" t="str">
        <f>HYPERLINK("http://141.218.60.56/~jnz1568/getInfo.php?workbook=12_05.xlsx&amp;sheet=U0&amp;row=6612&amp;col=6&amp;number=3.8&amp;sourceID=14","3.8")</f>
        <v>3.8</v>
      </c>
      <c r="G6612" s="4" t="str">
        <f>HYPERLINK("http://141.218.60.56/~jnz1568/getInfo.php?workbook=12_05.xlsx&amp;sheet=U0&amp;row=6612&amp;col=7&amp;number=0.000177&amp;sourceID=14","0.000177")</f>
        <v>0.000177</v>
      </c>
    </row>
    <row r="6613" spans="1:7">
      <c r="A6613" s="3"/>
      <c r="B6613" s="3"/>
      <c r="C6613" s="3"/>
      <c r="D6613" s="3"/>
      <c r="E6613" s="3">
        <v>10</v>
      </c>
      <c r="F6613" s="4" t="str">
        <f>HYPERLINK("http://141.218.60.56/~jnz1568/getInfo.php?workbook=12_05.xlsx&amp;sheet=U0&amp;row=6613&amp;col=6&amp;number=3.9&amp;sourceID=14","3.9")</f>
        <v>3.9</v>
      </c>
      <c r="G6613" s="4" t="str">
        <f>HYPERLINK("http://141.218.60.56/~jnz1568/getInfo.php?workbook=12_05.xlsx&amp;sheet=U0&amp;row=6613&amp;col=7&amp;number=0.000177&amp;sourceID=14","0.000177")</f>
        <v>0.000177</v>
      </c>
    </row>
    <row r="6614" spans="1:7">
      <c r="A6614" s="3"/>
      <c r="B6614" s="3"/>
      <c r="C6614" s="3"/>
      <c r="D6614" s="3"/>
      <c r="E6614" s="3">
        <v>11</v>
      </c>
      <c r="F6614" s="4" t="str">
        <f>HYPERLINK("http://141.218.60.56/~jnz1568/getInfo.php?workbook=12_05.xlsx&amp;sheet=U0&amp;row=6614&amp;col=6&amp;number=4&amp;sourceID=14","4")</f>
        <v>4</v>
      </c>
      <c r="G6614" s="4" t="str">
        <f>HYPERLINK("http://141.218.60.56/~jnz1568/getInfo.php?workbook=12_05.xlsx&amp;sheet=U0&amp;row=6614&amp;col=7&amp;number=0.000177&amp;sourceID=14","0.000177")</f>
        <v>0.000177</v>
      </c>
    </row>
    <row r="6615" spans="1:7">
      <c r="A6615" s="3"/>
      <c r="B6615" s="3"/>
      <c r="C6615" s="3"/>
      <c r="D6615" s="3"/>
      <c r="E6615" s="3">
        <v>12</v>
      </c>
      <c r="F6615" s="4" t="str">
        <f>HYPERLINK("http://141.218.60.56/~jnz1568/getInfo.php?workbook=12_05.xlsx&amp;sheet=U0&amp;row=6615&amp;col=6&amp;number=4.1&amp;sourceID=14","4.1")</f>
        <v>4.1</v>
      </c>
      <c r="G6615" s="4" t="str">
        <f>HYPERLINK("http://141.218.60.56/~jnz1568/getInfo.php?workbook=12_05.xlsx&amp;sheet=U0&amp;row=6615&amp;col=7&amp;number=0.000176&amp;sourceID=14","0.000176")</f>
        <v>0.000176</v>
      </c>
    </row>
    <row r="6616" spans="1:7">
      <c r="A6616" s="3"/>
      <c r="B6616" s="3"/>
      <c r="C6616" s="3"/>
      <c r="D6616" s="3"/>
      <c r="E6616" s="3">
        <v>13</v>
      </c>
      <c r="F6616" s="4" t="str">
        <f>HYPERLINK("http://141.218.60.56/~jnz1568/getInfo.php?workbook=12_05.xlsx&amp;sheet=U0&amp;row=6616&amp;col=6&amp;number=4.2&amp;sourceID=14","4.2")</f>
        <v>4.2</v>
      </c>
      <c r="G6616" s="4" t="str">
        <f>HYPERLINK("http://141.218.60.56/~jnz1568/getInfo.php?workbook=12_05.xlsx&amp;sheet=U0&amp;row=6616&amp;col=7&amp;number=0.000176&amp;sourceID=14","0.000176")</f>
        <v>0.000176</v>
      </c>
    </row>
    <row r="6617" spans="1:7">
      <c r="A6617" s="3"/>
      <c r="B6617" s="3"/>
      <c r="C6617" s="3"/>
      <c r="D6617" s="3"/>
      <c r="E6617" s="3">
        <v>14</v>
      </c>
      <c r="F6617" s="4" t="str">
        <f>HYPERLINK("http://141.218.60.56/~jnz1568/getInfo.php?workbook=12_05.xlsx&amp;sheet=U0&amp;row=6617&amp;col=6&amp;number=4.3&amp;sourceID=14","4.3")</f>
        <v>4.3</v>
      </c>
      <c r="G6617" s="4" t="str">
        <f>HYPERLINK("http://141.218.60.56/~jnz1568/getInfo.php?workbook=12_05.xlsx&amp;sheet=U0&amp;row=6617&amp;col=7&amp;number=0.000175&amp;sourceID=14","0.000175")</f>
        <v>0.000175</v>
      </c>
    </row>
    <row r="6618" spans="1:7">
      <c r="A6618" s="3"/>
      <c r="B6618" s="3"/>
      <c r="C6618" s="3"/>
      <c r="D6618" s="3"/>
      <c r="E6618" s="3">
        <v>15</v>
      </c>
      <c r="F6618" s="4" t="str">
        <f>HYPERLINK("http://141.218.60.56/~jnz1568/getInfo.php?workbook=12_05.xlsx&amp;sheet=U0&amp;row=6618&amp;col=6&amp;number=4.4&amp;sourceID=14","4.4")</f>
        <v>4.4</v>
      </c>
      <c r="G6618" s="4" t="str">
        <f>HYPERLINK("http://141.218.60.56/~jnz1568/getInfo.php?workbook=12_05.xlsx&amp;sheet=U0&amp;row=6618&amp;col=7&amp;number=0.000174&amp;sourceID=14","0.000174")</f>
        <v>0.000174</v>
      </c>
    </row>
    <row r="6619" spans="1:7">
      <c r="A6619" s="3"/>
      <c r="B6619" s="3"/>
      <c r="C6619" s="3"/>
      <c r="D6619" s="3"/>
      <c r="E6619" s="3">
        <v>16</v>
      </c>
      <c r="F6619" s="4" t="str">
        <f>HYPERLINK("http://141.218.60.56/~jnz1568/getInfo.php?workbook=12_05.xlsx&amp;sheet=U0&amp;row=6619&amp;col=6&amp;number=4.5&amp;sourceID=14","4.5")</f>
        <v>4.5</v>
      </c>
      <c r="G6619" s="4" t="str">
        <f>HYPERLINK("http://141.218.60.56/~jnz1568/getInfo.php?workbook=12_05.xlsx&amp;sheet=U0&amp;row=6619&amp;col=7&amp;number=0.000173&amp;sourceID=14","0.000173")</f>
        <v>0.000173</v>
      </c>
    </row>
    <row r="6620" spans="1:7">
      <c r="A6620" s="3"/>
      <c r="B6620" s="3"/>
      <c r="C6620" s="3"/>
      <c r="D6620" s="3"/>
      <c r="E6620" s="3">
        <v>17</v>
      </c>
      <c r="F6620" s="4" t="str">
        <f>HYPERLINK("http://141.218.60.56/~jnz1568/getInfo.php?workbook=12_05.xlsx&amp;sheet=U0&amp;row=6620&amp;col=6&amp;number=4.6&amp;sourceID=14","4.6")</f>
        <v>4.6</v>
      </c>
      <c r="G6620" s="4" t="str">
        <f>HYPERLINK("http://141.218.60.56/~jnz1568/getInfo.php?workbook=12_05.xlsx&amp;sheet=U0&amp;row=6620&amp;col=7&amp;number=0.000172&amp;sourceID=14","0.000172")</f>
        <v>0.000172</v>
      </c>
    </row>
    <row r="6621" spans="1:7">
      <c r="A6621" s="3"/>
      <c r="B6621" s="3"/>
      <c r="C6621" s="3"/>
      <c r="D6621" s="3"/>
      <c r="E6621" s="3">
        <v>18</v>
      </c>
      <c r="F6621" s="4" t="str">
        <f>HYPERLINK("http://141.218.60.56/~jnz1568/getInfo.php?workbook=12_05.xlsx&amp;sheet=U0&amp;row=6621&amp;col=6&amp;number=4.7&amp;sourceID=14","4.7")</f>
        <v>4.7</v>
      </c>
      <c r="G6621" s="4" t="str">
        <f>HYPERLINK("http://141.218.60.56/~jnz1568/getInfo.php?workbook=12_05.xlsx&amp;sheet=U0&amp;row=6621&amp;col=7&amp;number=0.00017&amp;sourceID=14","0.00017")</f>
        <v>0.00017</v>
      </c>
    </row>
    <row r="6622" spans="1:7">
      <c r="A6622" s="3"/>
      <c r="B6622" s="3"/>
      <c r="C6622" s="3"/>
      <c r="D6622" s="3"/>
      <c r="E6622" s="3">
        <v>19</v>
      </c>
      <c r="F6622" s="4" t="str">
        <f>HYPERLINK("http://141.218.60.56/~jnz1568/getInfo.php?workbook=12_05.xlsx&amp;sheet=U0&amp;row=6622&amp;col=6&amp;number=4.8&amp;sourceID=14","4.8")</f>
        <v>4.8</v>
      </c>
      <c r="G6622" s="4" t="str">
        <f>HYPERLINK("http://141.218.60.56/~jnz1568/getInfo.php?workbook=12_05.xlsx&amp;sheet=U0&amp;row=6622&amp;col=7&amp;number=0.000168&amp;sourceID=14","0.000168")</f>
        <v>0.000168</v>
      </c>
    </row>
    <row r="6623" spans="1:7">
      <c r="A6623" s="3"/>
      <c r="B6623" s="3"/>
      <c r="C6623" s="3"/>
      <c r="D6623" s="3"/>
      <c r="E6623" s="3">
        <v>20</v>
      </c>
      <c r="F6623" s="4" t="str">
        <f>HYPERLINK("http://141.218.60.56/~jnz1568/getInfo.php?workbook=12_05.xlsx&amp;sheet=U0&amp;row=6623&amp;col=6&amp;number=4.9&amp;sourceID=14","4.9")</f>
        <v>4.9</v>
      </c>
      <c r="G6623" s="4" t="str">
        <f>HYPERLINK("http://141.218.60.56/~jnz1568/getInfo.php?workbook=12_05.xlsx&amp;sheet=U0&amp;row=6623&amp;col=7&amp;number=0.000166&amp;sourceID=14","0.000166")</f>
        <v>0.000166</v>
      </c>
    </row>
    <row r="6624" spans="1:7">
      <c r="A6624" s="3">
        <v>12</v>
      </c>
      <c r="B6624" s="3">
        <v>5</v>
      </c>
      <c r="C6624" s="3">
        <v>4</v>
      </c>
      <c r="D6624" s="3">
        <v>88</v>
      </c>
      <c r="E6624" s="3">
        <v>1</v>
      </c>
      <c r="F6624" s="4" t="str">
        <f>HYPERLINK("http://141.218.60.56/~jnz1568/getInfo.php?workbook=12_05.xlsx&amp;sheet=U0&amp;row=6624&amp;col=6&amp;number=3&amp;sourceID=14","3")</f>
        <v>3</v>
      </c>
      <c r="G6624" s="4" t="str">
        <f>HYPERLINK("http://141.218.60.56/~jnz1568/getInfo.php?workbook=12_05.xlsx&amp;sheet=U0&amp;row=6624&amp;col=7&amp;number=0.00596&amp;sourceID=14","0.00596")</f>
        <v>0.00596</v>
      </c>
    </row>
    <row r="6625" spans="1:7">
      <c r="A6625" s="3"/>
      <c r="B6625" s="3"/>
      <c r="C6625" s="3"/>
      <c r="D6625" s="3"/>
      <c r="E6625" s="3">
        <v>2</v>
      </c>
      <c r="F6625" s="4" t="str">
        <f>HYPERLINK("http://141.218.60.56/~jnz1568/getInfo.php?workbook=12_05.xlsx&amp;sheet=U0&amp;row=6625&amp;col=6&amp;number=3.1&amp;sourceID=14","3.1")</f>
        <v>3.1</v>
      </c>
      <c r="G6625" s="4" t="str">
        <f>HYPERLINK("http://141.218.60.56/~jnz1568/getInfo.php?workbook=12_05.xlsx&amp;sheet=U0&amp;row=6625&amp;col=7&amp;number=0.00596&amp;sourceID=14","0.00596")</f>
        <v>0.00596</v>
      </c>
    </row>
    <row r="6626" spans="1:7">
      <c r="A6626" s="3"/>
      <c r="B6626" s="3"/>
      <c r="C6626" s="3"/>
      <c r="D6626" s="3"/>
      <c r="E6626" s="3">
        <v>3</v>
      </c>
      <c r="F6626" s="4" t="str">
        <f>HYPERLINK("http://141.218.60.56/~jnz1568/getInfo.php?workbook=12_05.xlsx&amp;sheet=U0&amp;row=6626&amp;col=6&amp;number=3.2&amp;sourceID=14","3.2")</f>
        <v>3.2</v>
      </c>
      <c r="G6626" s="4" t="str">
        <f>HYPERLINK("http://141.218.60.56/~jnz1568/getInfo.php?workbook=12_05.xlsx&amp;sheet=U0&amp;row=6626&amp;col=7&amp;number=0.00596&amp;sourceID=14","0.00596")</f>
        <v>0.00596</v>
      </c>
    </row>
    <row r="6627" spans="1:7">
      <c r="A6627" s="3"/>
      <c r="B6627" s="3"/>
      <c r="C6627" s="3"/>
      <c r="D6627" s="3"/>
      <c r="E6627" s="3">
        <v>4</v>
      </c>
      <c r="F6627" s="4" t="str">
        <f>HYPERLINK("http://141.218.60.56/~jnz1568/getInfo.php?workbook=12_05.xlsx&amp;sheet=U0&amp;row=6627&amp;col=6&amp;number=3.3&amp;sourceID=14","3.3")</f>
        <v>3.3</v>
      </c>
      <c r="G6627" s="4" t="str">
        <f>HYPERLINK("http://141.218.60.56/~jnz1568/getInfo.php?workbook=12_05.xlsx&amp;sheet=U0&amp;row=6627&amp;col=7&amp;number=0.00596&amp;sourceID=14","0.00596")</f>
        <v>0.00596</v>
      </c>
    </row>
    <row r="6628" spans="1:7">
      <c r="A6628" s="3"/>
      <c r="B6628" s="3"/>
      <c r="C6628" s="3"/>
      <c r="D6628" s="3"/>
      <c r="E6628" s="3">
        <v>5</v>
      </c>
      <c r="F6628" s="4" t="str">
        <f>HYPERLINK("http://141.218.60.56/~jnz1568/getInfo.php?workbook=12_05.xlsx&amp;sheet=U0&amp;row=6628&amp;col=6&amp;number=3.4&amp;sourceID=14","3.4")</f>
        <v>3.4</v>
      </c>
      <c r="G6628" s="4" t="str">
        <f>HYPERLINK("http://141.218.60.56/~jnz1568/getInfo.php?workbook=12_05.xlsx&amp;sheet=U0&amp;row=6628&amp;col=7&amp;number=0.00596&amp;sourceID=14","0.00596")</f>
        <v>0.00596</v>
      </c>
    </row>
    <row r="6629" spans="1:7">
      <c r="A6629" s="3"/>
      <c r="B6629" s="3"/>
      <c r="C6629" s="3"/>
      <c r="D6629" s="3"/>
      <c r="E6629" s="3">
        <v>6</v>
      </c>
      <c r="F6629" s="4" t="str">
        <f>HYPERLINK("http://141.218.60.56/~jnz1568/getInfo.php?workbook=12_05.xlsx&amp;sheet=U0&amp;row=6629&amp;col=6&amp;number=3.5&amp;sourceID=14","3.5")</f>
        <v>3.5</v>
      </c>
      <c r="G6629" s="4" t="str">
        <f>HYPERLINK("http://141.218.60.56/~jnz1568/getInfo.php?workbook=12_05.xlsx&amp;sheet=U0&amp;row=6629&amp;col=7&amp;number=0.00596&amp;sourceID=14","0.00596")</f>
        <v>0.00596</v>
      </c>
    </row>
    <row r="6630" spans="1:7">
      <c r="A6630" s="3"/>
      <c r="B6630" s="3"/>
      <c r="C6630" s="3"/>
      <c r="D6630" s="3"/>
      <c r="E6630" s="3">
        <v>7</v>
      </c>
      <c r="F6630" s="4" t="str">
        <f>HYPERLINK("http://141.218.60.56/~jnz1568/getInfo.php?workbook=12_05.xlsx&amp;sheet=U0&amp;row=6630&amp;col=6&amp;number=3.6&amp;sourceID=14","3.6")</f>
        <v>3.6</v>
      </c>
      <c r="G6630" s="4" t="str">
        <f>HYPERLINK("http://141.218.60.56/~jnz1568/getInfo.php?workbook=12_05.xlsx&amp;sheet=U0&amp;row=6630&amp;col=7&amp;number=0.00596&amp;sourceID=14","0.00596")</f>
        <v>0.00596</v>
      </c>
    </row>
    <row r="6631" spans="1:7">
      <c r="A6631" s="3"/>
      <c r="B6631" s="3"/>
      <c r="C6631" s="3"/>
      <c r="D6631" s="3"/>
      <c r="E6631" s="3">
        <v>8</v>
      </c>
      <c r="F6631" s="4" t="str">
        <f>HYPERLINK("http://141.218.60.56/~jnz1568/getInfo.php?workbook=12_05.xlsx&amp;sheet=U0&amp;row=6631&amp;col=6&amp;number=3.7&amp;sourceID=14","3.7")</f>
        <v>3.7</v>
      </c>
      <c r="G6631" s="4" t="str">
        <f>HYPERLINK("http://141.218.60.56/~jnz1568/getInfo.php?workbook=12_05.xlsx&amp;sheet=U0&amp;row=6631&amp;col=7&amp;number=0.00597&amp;sourceID=14","0.00597")</f>
        <v>0.00597</v>
      </c>
    </row>
    <row r="6632" spans="1:7">
      <c r="A6632" s="3"/>
      <c r="B6632" s="3"/>
      <c r="C6632" s="3"/>
      <c r="D6632" s="3"/>
      <c r="E6632" s="3">
        <v>9</v>
      </c>
      <c r="F6632" s="4" t="str">
        <f>HYPERLINK("http://141.218.60.56/~jnz1568/getInfo.php?workbook=12_05.xlsx&amp;sheet=U0&amp;row=6632&amp;col=6&amp;number=3.8&amp;sourceID=14","3.8")</f>
        <v>3.8</v>
      </c>
      <c r="G6632" s="4" t="str">
        <f>HYPERLINK("http://141.218.60.56/~jnz1568/getInfo.php?workbook=12_05.xlsx&amp;sheet=U0&amp;row=6632&amp;col=7&amp;number=0.00597&amp;sourceID=14","0.00597")</f>
        <v>0.00597</v>
      </c>
    </row>
    <row r="6633" spans="1:7">
      <c r="A6633" s="3"/>
      <c r="B6633" s="3"/>
      <c r="C6633" s="3"/>
      <c r="D6633" s="3"/>
      <c r="E6633" s="3">
        <v>10</v>
      </c>
      <c r="F6633" s="4" t="str">
        <f>HYPERLINK("http://141.218.60.56/~jnz1568/getInfo.php?workbook=12_05.xlsx&amp;sheet=U0&amp;row=6633&amp;col=6&amp;number=3.9&amp;sourceID=14","3.9")</f>
        <v>3.9</v>
      </c>
      <c r="G6633" s="4" t="str">
        <f>HYPERLINK("http://141.218.60.56/~jnz1568/getInfo.php?workbook=12_05.xlsx&amp;sheet=U0&amp;row=6633&amp;col=7&amp;number=0.00597&amp;sourceID=14","0.00597")</f>
        <v>0.00597</v>
      </c>
    </row>
    <row r="6634" spans="1:7">
      <c r="A6634" s="3"/>
      <c r="B6634" s="3"/>
      <c r="C6634" s="3"/>
      <c r="D6634" s="3"/>
      <c r="E6634" s="3">
        <v>11</v>
      </c>
      <c r="F6634" s="4" t="str">
        <f>HYPERLINK("http://141.218.60.56/~jnz1568/getInfo.php?workbook=12_05.xlsx&amp;sheet=U0&amp;row=6634&amp;col=6&amp;number=4&amp;sourceID=14","4")</f>
        <v>4</v>
      </c>
      <c r="G6634" s="4" t="str">
        <f>HYPERLINK("http://141.218.60.56/~jnz1568/getInfo.php?workbook=12_05.xlsx&amp;sheet=U0&amp;row=6634&amp;col=7&amp;number=0.00597&amp;sourceID=14","0.00597")</f>
        <v>0.00597</v>
      </c>
    </row>
    <row r="6635" spans="1:7">
      <c r="A6635" s="3"/>
      <c r="B6635" s="3"/>
      <c r="C6635" s="3"/>
      <c r="D6635" s="3"/>
      <c r="E6635" s="3">
        <v>12</v>
      </c>
      <c r="F6635" s="4" t="str">
        <f>HYPERLINK("http://141.218.60.56/~jnz1568/getInfo.php?workbook=12_05.xlsx&amp;sheet=U0&amp;row=6635&amp;col=6&amp;number=4.1&amp;sourceID=14","4.1")</f>
        <v>4.1</v>
      </c>
      <c r="G6635" s="4" t="str">
        <f>HYPERLINK("http://141.218.60.56/~jnz1568/getInfo.php?workbook=12_05.xlsx&amp;sheet=U0&amp;row=6635&amp;col=7&amp;number=0.00598&amp;sourceID=14","0.00598")</f>
        <v>0.00598</v>
      </c>
    </row>
    <row r="6636" spans="1:7">
      <c r="A6636" s="3"/>
      <c r="B6636" s="3"/>
      <c r="C6636" s="3"/>
      <c r="D6636" s="3"/>
      <c r="E6636" s="3">
        <v>13</v>
      </c>
      <c r="F6636" s="4" t="str">
        <f>HYPERLINK("http://141.218.60.56/~jnz1568/getInfo.php?workbook=12_05.xlsx&amp;sheet=U0&amp;row=6636&amp;col=6&amp;number=4.2&amp;sourceID=14","4.2")</f>
        <v>4.2</v>
      </c>
      <c r="G6636" s="4" t="str">
        <f>HYPERLINK("http://141.218.60.56/~jnz1568/getInfo.php?workbook=12_05.xlsx&amp;sheet=U0&amp;row=6636&amp;col=7&amp;number=0.00598&amp;sourceID=14","0.00598")</f>
        <v>0.00598</v>
      </c>
    </row>
    <row r="6637" spans="1:7">
      <c r="A6637" s="3"/>
      <c r="B6637" s="3"/>
      <c r="C6637" s="3"/>
      <c r="D6637" s="3"/>
      <c r="E6637" s="3">
        <v>14</v>
      </c>
      <c r="F6637" s="4" t="str">
        <f>HYPERLINK("http://141.218.60.56/~jnz1568/getInfo.php?workbook=12_05.xlsx&amp;sheet=U0&amp;row=6637&amp;col=6&amp;number=4.3&amp;sourceID=14","4.3")</f>
        <v>4.3</v>
      </c>
      <c r="G6637" s="4" t="str">
        <f>HYPERLINK("http://141.218.60.56/~jnz1568/getInfo.php?workbook=12_05.xlsx&amp;sheet=U0&amp;row=6637&amp;col=7&amp;number=0.00599&amp;sourceID=14","0.00599")</f>
        <v>0.00599</v>
      </c>
    </row>
    <row r="6638" spans="1:7">
      <c r="A6638" s="3"/>
      <c r="B6638" s="3"/>
      <c r="C6638" s="3"/>
      <c r="D6638" s="3"/>
      <c r="E6638" s="3">
        <v>15</v>
      </c>
      <c r="F6638" s="4" t="str">
        <f>HYPERLINK("http://141.218.60.56/~jnz1568/getInfo.php?workbook=12_05.xlsx&amp;sheet=U0&amp;row=6638&amp;col=6&amp;number=4.4&amp;sourceID=14","4.4")</f>
        <v>4.4</v>
      </c>
      <c r="G6638" s="4" t="str">
        <f>HYPERLINK("http://141.218.60.56/~jnz1568/getInfo.php?workbook=12_05.xlsx&amp;sheet=U0&amp;row=6638&amp;col=7&amp;number=0.006&amp;sourceID=14","0.006")</f>
        <v>0.006</v>
      </c>
    </row>
    <row r="6639" spans="1:7">
      <c r="A6639" s="3"/>
      <c r="B6639" s="3"/>
      <c r="C6639" s="3"/>
      <c r="D6639" s="3"/>
      <c r="E6639" s="3">
        <v>16</v>
      </c>
      <c r="F6639" s="4" t="str">
        <f>HYPERLINK("http://141.218.60.56/~jnz1568/getInfo.php?workbook=12_05.xlsx&amp;sheet=U0&amp;row=6639&amp;col=6&amp;number=4.5&amp;sourceID=14","4.5")</f>
        <v>4.5</v>
      </c>
      <c r="G6639" s="4" t="str">
        <f>HYPERLINK("http://141.218.60.56/~jnz1568/getInfo.php?workbook=12_05.xlsx&amp;sheet=U0&amp;row=6639&amp;col=7&amp;number=0.00601&amp;sourceID=14","0.00601")</f>
        <v>0.00601</v>
      </c>
    </row>
    <row r="6640" spans="1:7">
      <c r="A6640" s="3"/>
      <c r="B6640" s="3"/>
      <c r="C6640" s="3"/>
      <c r="D6640" s="3"/>
      <c r="E6640" s="3">
        <v>17</v>
      </c>
      <c r="F6640" s="4" t="str">
        <f>HYPERLINK("http://141.218.60.56/~jnz1568/getInfo.php?workbook=12_05.xlsx&amp;sheet=U0&amp;row=6640&amp;col=6&amp;number=4.6&amp;sourceID=14","4.6")</f>
        <v>4.6</v>
      </c>
      <c r="G6640" s="4" t="str">
        <f>HYPERLINK("http://141.218.60.56/~jnz1568/getInfo.php?workbook=12_05.xlsx&amp;sheet=U0&amp;row=6640&amp;col=7&amp;number=0.00602&amp;sourceID=14","0.00602")</f>
        <v>0.00602</v>
      </c>
    </row>
    <row r="6641" spans="1:7">
      <c r="A6641" s="3"/>
      <c r="B6641" s="3"/>
      <c r="C6641" s="3"/>
      <c r="D6641" s="3"/>
      <c r="E6641" s="3">
        <v>18</v>
      </c>
      <c r="F6641" s="4" t="str">
        <f>HYPERLINK("http://141.218.60.56/~jnz1568/getInfo.php?workbook=12_05.xlsx&amp;sheet=U0&amp;row=6641&amp;col=6&amp;number=4.7&amp;sourceID=14","4.7")</f>
        <v>4.7</v>
      </c>
      <c r="G6641" s="4" t="str">
        <f>HYPERLINK("http://141.218.60.56/~jnz1568/getInfo.php?workbook=12_05.xlsx&amp;sheet=U0&amp;row=6641&amp;col=7&amp;number=0.00604&amp;sourceID=14","0.00604")</f>
        <v>0.00604</v>
      </c>
    </row>
    <row r="6642" spans="1:7">
      <c r="A6642" s="3"/>
      <c r="B6642" s="3"/>
      <c r="C6642" s="3"/>
      <c r="D6642" s="3"/>
      <c r="E6642" s="3">
        <v>19</v>
      </c>
      <c r="F6642" s="4" t="str">
        <f>HYPERLINK("http://141.218.60.56/~jnz1568/getInfo.php?workbook=12_05.xlsx&amp;sheet=U0&amp;row=6642&amp;col=6&amp;number=4.8&amp;sourceID=14","4.8")</f>
        <v>4.8</v>
      </c>
      <c r="G6642" s="4" t="str">
        <f>HYPERLINK("http://141.218.60.56/~jnz1568/getInfo.php?workbook=12_05.xlsx&amp;sheet=U0&amp;row=6642&amp;col=7&amp;number=0.00606&amp;sourceID=14","0.00606")</f>
        <v>0.00606</v>
      </c>
    </row>
    <row r="6643" spans="1:7">
      <c r="A6643" s="3"/>
      <c r="B6643" s="3"/>
      <c r="C6643" s="3"/>
      <c r="D6643" s="3"/>
      <c r="E6643" s="3">
        <v>20</v>
      </c>
      <c r="F6643" s="4" t="str">
        <f>HYPERLINK("http://141.218.60.56/~jnz1568/getInfo.php?workbook=12_05.xlsx&amp;sheet=U0&amp;row=6643&amp;col=6&amp;number=4.9&amp;sourceID=14","4.9")</f>
        <v>4.9</v>
      </c>
      <c r="G6643" s="4" t="str">
        <f>HYPERLINK("http://141.218.60.56/~jnz1568/getInfo.php?workbook=12_05.xlsx&amp;sheet=U0&amp;row=6643&amp;col=7&amp;number=0.00609&amp;sourceID=14","0.00609")</f>
        <v>0.00609</v>
      </c>
    </row>
    <row r="6644" spans="1:7">
      <c r="A6644" s="3">
        <v>12</v>
      </c>
      <c r="B6644" s="3">
        <v>5</v>
      </c>
      <c r="C6644" s="3">
        <v>4</v>
      </c>
      <c r="D6644" s="3">
        <v>89</v>
      </c>
      <c r="E6644" s="3">
        <v>1</v>
      </c>
      <c r="F6644" s="4" t="str">
        <f>HYPERLINK("http://141.218.60.56/~jnz1568/getInfo.php?workbook=12_05.xlsx&amp;sheet=U0&amp;row=6644&amp;col=6&amp;number=3&amp;sourceID=14","3")</f>
        <v>3</v>
      </c>
      <c r="G6644" s="4" t="str">
        <f>HYPERLINK("http://141.218.60.56/~jnz1568/getInfo.php?workbook=12_05.xlsx&amp;sheet=U0&amp;row=6644&amp;col=7&amp;number=0.0054&amp;sourceID=14","0.0054")</f>
        <v>0.0054</v>
      </c>
    </row>
    <row r="6645" spans="1:7">
      <c r="A6645" s="3"/>
      <c r="B6645" s="3"/>
      <c r="C6645" s="3"/>
      <c r="D6645" s="3"/>
      <c r="E6645" s="3">
        <v>2</v>
      </c>
      <c r="F6645" s="4" t="str">
        <f>HYPERLINK("http://141.218.60.56/~jnz1568/getInfo.php?workbook=12_05.xlsx&amp;sheet=U0&amp;row=6645&amp;col=6&amp;number=3.1&amp;sourceID=14","3.1")</f>
        <v>3.1</v>
      </c>
      <c r="G6645" s="4" t="str">
        <f>HYPERLINK("http://141.218.60.56/~jnz1568/getInfo.php?workbook=12_05.xlsx&amp;sheet=U0&amp;row=6645&amp;col=7&amp;number=0.00539&amp;sourceID=14","0.00539")</f>
        <v>0.00539</v>
      </c>
    </row>
    <row r="6646" spans="1:7">
      <c r="A6646" s="3"/>
      <c r="B6646" s="3"/>
      <c r="C6646" s="3"/>
      <c r="D6646" s="3"/>
      <c r="E6646" s="3">
        <v>3</v>
      </c>
      <c r="F6646" s="4" t="str">
        <f>HYPERLINK("http://141.218.60.56/~jnz1568/getInfo.php?workbook=12_05.xlsx&amp;sheet=U0&amp;row=6646&amp;col=6&amp;number=3.2&amp;sourceID=14","3.2")</f>
        <v>3.2</v>
      </c>
      <c r="G6646" s="4" t="str">
        <f>HYPERLINK("http://141.218.60.56/~jnz1568/getInfo.php?workbook=12_05.xlsx&amp;sheet=U0&amp;row=6646&amp;col=7&amp;number=0.00539&amp;sourceID=14","0.00539")</f>
        <v>0.00539</v>
      </c>
    </row>
    <row r="6647" spans="1:7">
      <c r="A6647" s="3"/>
      <c r="B6647" s="3"/>
      <c r="C6647" s="3"/>
      <c r="D6647" s="3"/>
      <c r="E6647" s="3">
        <v>4</v>
      </c>
      <c r="F6647" s="4" t="str">
        <f>HYPERLINK("http://141.218.60.56/~jnz1568/getInfo.php?workbook=12_05.xlsx&amp;sheet=U0&amp;row=6647&amp;col=6&amp;number=3.3&amp;sourceID=14","3.3")</f>
        <v>3.3</v>
      </c>
      <c r="G6647" s="4" t="str">
        <f>HYPERLINK("http://141.218.60.56/~jnz1568/getInfo.php?workbook=12_05.xlsx&amp;sheet=U0&amp;row=6647&amp;col=7&amp;number=0.00539&amp;sourceID=14","0.00539")</f>
        <v>0.00539</v>
      </c>
    </row>
    <row r="6648" spans="1:7">
      <c r="A6648" s="3"/>
      <c r="B6648" s="3"/>
      <c r="C6648" s="3"/>
      <c r="D6648" s="3"/>
      <c r="E6648" s="3">
        <v>5</v>
      </c>
      <c r="F6648" s="4" t="str">
        <f>HYPERLINK("http://141.218.60.56/~jnz1568/getInfo.php?workbook=12_05.xlsx&amp;sheet=U0&amp;row=6648&amp;col=6&amp;number=3.4&amp;sourceID=14","3.4")</f>
        <v>3.4</v>
      </c>
      <c r="G6648" s="4" t="str">
        <f>HYPERLINK("http://141.218.60.56/~jnz1568/getInfo.php?workbook=12_05.xlsx&amp;sheet=U0&amp;row=6648&amp;col=7&amp;number=0.00539&amp;sourceID=14","0.00539")</f>
        <v>0.00539</v>
      </c>
    </row>
    <row r="6649" spans="1:7">
      <c r="A6649" s="3"/>
      <c r="B6649" s="3"/>
      <c r="C6649" s="3"/>
      <c r="D6649" s="3"/>
      <c r="E6649" s="3">
        <v>6</v>
      </c>
      <c r="F6649" s="4" t="str">
        <f>HYPERLINK("http://141.218.60.56/~jnz1568/getInfo.php?workbook=12_05.xlsx&amp;sheet=U0&amp;row=6649&amp;col=6&amp;number=3.5&amp;sourceID=14","3.5")</f>
        <v>3.5</v>
      </c>
      <c r="G6649" s="4" t="str">
        <f>HYPERLINK("http://141.218.60.56/~jnz1568/getInfo.php?workbook=12_05.xlsx&amp;sheet=U0&amp;row=6649&amp;col=7&amp;number=0.00538&amp;sourceID=14","0.00538")</f>
        <v>0.00538</v>
      </c>
    </row>
    <row r="6650" spans="1:7">
      <c r="A6650" s="3"/>
      <c r="B6650" s="3"/>
      <c r="C6650" s="3"/>
      <c r="D6650" s="3"/>
      <c r="E6650" s="3">
        <v>7</v>
      </c>
      <c r="F6650" s="4" t="str">
        <f>HYPERLINK("http://141.218.60.56/~jnz1568/getInfo.php?workbook=12_05.xlsx&amp;sheet=U0&amp;row=6650&amp;col=6&amp;number=3.6&amp;sourceID=14","3.6")</f>
        <v>3.6</v>
      </c>
      <c r="G6650" s="4" t="str">
        <f>HYPERLINK("http://141.218.60.56/~jnz1568/getInfo.php?workbook=12_05.xlsx&amp;sheet=U0&amp;row=6650&amp;col=7&amp;number=0.00538&amp;sourceID=14","0.00538")</f>
        <v>0.00538</v>
      </c>
    </row>
    <row r="6651" spans="1:7">
      <c r="A6651" s="3"/>
      <c r="B6651" s="3"/>
      <c r="C6651" s="3"/>
      <c r="D6651" s="3"/>
      <c r="E6651" s="3">
        <v>8</v>
      </c>
      <c r="F6651" s="4" t="str">
        <f>HYPERLINK("http://141.218.60.56/~jnz1568/getInfo.php?workbook=12_05.xlsx&amp;sheet=U0&amp;row=6651&amp;col=6&amp;number=3.7&amp;sourceID=14","3.7")</f>
        <v>3.7</v>
      </c>
      <c r="G6651" s="4" t="str">
        <f>HYPERLINK("http://141.218.60.56/~jnz1568/getInfo.php?workbook=12_05.xlsx&amp;sheet=U0&amp;row=6651&amp;col=7&amp;number=0.00538&amp;sourceID=14","0.00538")</f>
        <v>0.00538</v>
      </c>
    </row>
    <row r="6652" spans="1:7">
      <c r="A6652" s="3"/>
      <c r="B6652" s="3"/>
      <c r="C6652" s="3"/>
      <c r="D6652" s="3"/>
      <c r="E6652" s="3">
        <v>9</v>
      </c>
      <c r="F6652" s="4" t="str">
        <f>HYPERLINK("http://141.218.60.56/~jnz1568/getInfo.php?workbook=12_05.xlsx&amp;sheet=U0&amp;row=6652&amp;col=6&amp;number=3.8&amp;sourceID=14","3.8")</f>
        <v>3.8</v>
      </c>
      <c r="G6652" s="4" t="str">
        <f>HYPERLINK("http://141.218.60.56/~jnz1568/getInfo.php?workbook=12_05.xlsx&amp;sheet=U0&amp;row=6652&amp;col=7&amp;number=0.00537&amp;sourceID=14","0.00537")</f>
        <v>0.00537</v>
      </c>
    </row>
    <row r="6653" spans="1:7">
      <c r="A6653" s="3"/>
      <c r="B6653" s="3"/>
      <c r="C6653" s="3"/>
      <c r="D6653" s="3"/>
      <c r="E6653" s="3">
        <v>10</v>
      </c>
      <c r="F6653" s="4" t="str">
        <f>HYPERLINK("http://141.218.60.56/~jnz1568/getInfo.php?workbook=12_05.xlsx&amp;sheet=U0&amp;row=6653&amp;col=6&amp;number=3.9&amp;sourceID=14","3.9")</f>
        <v>3.9</v>
      </c>
      <c r="G6653" s="4" t="str">
        <f>HYPERLINK("http://141.218.60.56/~jnz1568/getInfo.php?workbook=12_05.xlsx&amp;sheet=U0&amp;row=6653&amp;col=7&amp;number=0.00536&amp;sourceID=14","0.00536")</f>
        <v>0.00536</v>
      </c>
    </row>
    <row r="6654" spans="1:7">
      <c r="A6654" s="3"/>
      <c r="B6654" s="3"/>
      <c r="C6654" s="3"/>
      <c r="D6654" s="3"/>
      <c r="E6654" s="3">
        <v>11</v>
      </c>
      <c r="F6654" s="4" t="str">
        <f>HYPERLINK("http://141.218.60.56/~jnz1568/getInfo.php?workbook=12_05.xlsx&amp;sheet=U0&amp;row=6654&amp;col=6&amp;number=4&amp;sourceID=14","4")</f>
        <v>4</v>
      </c>
      <c r="G6654" s="4" t="str">
        <f>HYPERLINK("http://141.218.60.56/~jnz1568/getInfo.php?workbook=12_05.xlsx&amp;sheet=U0&amp;row=6654&amp;col=7&amp;number=0.00535&amp;sourceID=14","0.00535")</f>
        <v>0.00535</v>
      </c>
    </row>
    <row r="6655" spans="1:7">
      <c r="A6655" s="3"/>
      <c r="B6655" s="3"/>
      <c r="C6655" s="3"/>
      <c r="D6655" s="3"/>
      <c r="E6655" s="3">
        <v>12</v>
      </c>
      <c r="F6655" s="4" t="str">
        <f>HYPERLINK("http://141.218.60.56/~jnz1568/getInfo.php?workbook=12_05.xlsx&amp;sheet=U0&amp;row=6655&amp;col=6&amp;number=4.1&amp;sourceID=14","4.1")</f>
        <v>4.1</v>
      </c>
      <c r="G6655" s="4" t="str">
        <f>HYPERLINK("http://141.218.60.56/~jnz1568/getInfo.php?workbook=12_05.xlsx&amp;sheet=U0&amp;row=6655&amp;col=7&amp;number=0.00534&amp;sourceID=14","0.00534")</f>
        <v>0.00534</v>
      </c>
    </row>
    <row r="6656" spans="1:7">
      <c r="A6656" s="3"/>
      <c r="B6656" s="3"/>
      <c r="C6656" s="3"/>
      <c r="D6656" s="3"/>
      <c r="E6656" s="3">
        <v>13</v>
      </c>
      <c r="F6656" s="4" t="str">
        <f>HYPERLINK("http://141.218.60.56/~jnz1568/getInfo.php?workbook=12_05.xlsx&amp;sheet=U0&amp;row=6656&amp;col=6&amp;number=4.2&amp;sourceID=14","4.2")</f>
        <v>4.2</v>
      </c>
      <c r="G6656" s="4" t="str">
        <f>HYPERLINK("http://141.218.60.56/~jnz1568/getInfo.php?workbook=12_05.xlsx&amp;sheet=U0&amp;row=6656&amp;col=7&amp;number=0.00532&amp;sourceID=14","0.00532")</f>
        <v>0.00532</v>
      </c>
    </row>
    <row r="6657" spans="1:7">
      <c r="A6657" s="3"/>
      <c r="B6657" s="3"/>
      <c r="C6657" s="3"/>
      <c r="D6657" s="3"/>
      <c r="E6657" s="3">
        <v>14</v>
      </c>
      <c r="F6657" s="4" t="str">
        <f>HYPERLINK("http://141.218.60.56/~jnz1568/getInfo.php?workbook=12_05.xlsx&amp;sheet=U0&amp;row=6657&amp;col=6&amp;number=4.3&amp;sourceID=14","4.3")</f>
        <v>4.3</v>
      </c>
      <c r="G6657" s="4" t="str">
        <f>HYPERLINK("http://141.218.60.56/~jnz1568/getInfo.php?workbook=12_05.xlsx&amp;sheet=U0&amp;row=6657&amp;col=7&amp;number=0.0053&amp;sourceID=14","0.0053")</f>
        <v>0.0053</v>
      </c>
    </row>
    <row r="6658" spans="1:7">
      <c r="A6658" s="3"/>
      <c r="B6658" s="3"/>
      <c r="C6658" s="3"/>
      <c r="D6658" s="3"/>
      <c r="E6658" s="3">
        <v>15</v>
      </c>
      <c r="F6658" s="4" t="str">
        <f>HYPERLINK("http://141.218.60.56/~jnz1568/getInfo.php?workbook=12_05.xlsx&amp;sheet=U0&amp;row=6658&amp;col=6&amp;number=4.4&amp;sourceID=14","4.4")</f>
        <v>4.4</v>
      </c>
      <c r="G6658" s="4" t="str">
        <f>HYPERLINK("http://141.218.60.56/~jnz1568/getInfo.php?workbook=12_05.xlsx&amp;sheet=U0&amp;row=6658&amp;col=7&amp;number=0.00528&amp;sourceID=14","0.00528")</f>
        <v>0.00528</v>
      </c>
    </row>
    <row r="6659" spans="1:7">
      <c r="A6659" s="3"/>
      <c r="B6659" s="3"/>
      <c r="C6659" s="3"/>
      <c r="D6659" s="3"/>
      <c r="E6659" s="3">
        <v>16</v>
      </c>
      <c r="F6659" s="4" t="str">
        <f>HYPERLINK("http://141.218.60.56/~jnz1568/getInfo.php?workbook=12_05.xlsx&amp;sheet=U0&amp;row=6659&amp;col=6&amp;number=4.5&amp;sourceID=14","4.5")</f>
        <v>4.5</v>
      </c>
      <c r="G6659" s="4" t="str">
        <f>HYPERLINK("http://141.218.60.56/~jnz1568/getInfo.php?workbook=12_05.xlsx&amp;sheet=U0&amp;row=6659&amp;col=7&amp;number=0.00525&amp;sourceID=14","0.00525")</f>
        <v>0.00525</v>
      </c>
    </row>
    <row r="6660" spans="1:7">
      <c r="A6660" s="3"/>
      <c r="B6660" s="3"/>
      <c r="C6660" s="3"/>
      <c r="D6660" s="3"/>
      <c r="E6660" s="3">
        <v>17</v>
      </c>
      <c r="F6660" s="4" t="str">
        <f>HYPERLINK("http://141.218.60.56/~jnz1568/getInfo.php?workbook=12_05.xlsx&amp;sheet=U0&amp;row=6660&amp;col=6&amp;number=4.6&amp;sourceID=14","4.6")</f>
        <v>4.6</v>
      </c>
      <c r="G6660" s="4" t="str">
        <f>HYPERLINK("http://141.218.60.56/~jnz1568/getInfo.php?workbook=12_05.xlsx&amp;sheet=U0&amp;row=6660&amp;col=7&amp;number=0.00521&amp;sourceID=14","0.00521")</f>
        <v>0.00521</v>
      </c>
    </row>
    <row r="6661" spans="1:7">
      <c r="A6661" s="3"/>
      <c r="B6661" s="3"/>
      <c r="C6661" s="3"/>
      <c r="D6661" s="3"/>
      <c r="E6661" s="3">
        <v>18</v>
      </c>
      <c r="F6661" s="4" t="str">
        <f>HYPERLINK("http://141.218.60.56/~jnz1568/getInfo.php?workbook=12_05.xlsx&amp;sheet=U0&amp;row=6661&amp;col=6&amp;number=4.7&amp;sourceID=14","4.7")</f>
        <v>4.7</v>
      </c>
      <c r="G6661" s="4" t="str">
        <f>HYPERLINK("http://141.218.60.56/~jnz1568/getInfo.php?workbook=12_05.xlsx&amp;sheet=U0&amp;row=6661&amp;col=7&amp;number=0.00517&amp;sourceID=14","0.00517")</f>
        <v>0.00517</v>
      </c>
    </row>
    <row r="6662" spans="1:7">
      <c r="A6662" s="3"/>
      <c r="B6662" s="3"/>
      <c r="C6662" s="3"/>
      <c r="D6662" s="3"/>
      <c r="E6662" s="3">
        <v>19</v>
      </c>
      <c r="F6662" s="4" t="str">
        <f>HYPERLINK("http://141.218.60.56/~jnz1568/getInfo.php?workbook=12_05.xlsx&amp;sheet=U0&amp;row=6662&amp;col=6&amp;number=4.8&amp;sourceID=14","4.8")</f>
        <v>4.8</v>
      </c>
      <c r="G6662" s="4" t="str">
        <f>HYPERLINK("http://141.218.60.56/~jnz1568/getInfo.php?workbook=12_05.xlsx&amp;sheet=U0&amp;row=6662&amp;col=7&amp;number=0.00511&amp;sourceID=14","0.00511")</f>
        <v>0.00511</v>
      </c>
    </row>
    <row r="6663" spans="1:7">
      <c r="A6663" s="3"/>
      <c r="B6663" s="3"/>
      <c r="C6663" s="3"/>
      <c r="D6663" s="3"/>
      <c r="E6663" s="3">
        <v>20</v>
      </c>
      <c r="F6663" s="4" t="str">
        <f>HYPERLINK("http://141.218.60.56/~jnz1568/getInfo.php?workbook=12_05.xlsx&amp;sheet=U0&amp;row=6663&amp;col=6&amp;number=4.9&amp;sourceID=14","4.9")</f>
        <v>4.9</v>
      </c>
      <c r="G6663" s="4" t="str">
        <f>HYPERLINK("http://141.218.60.56/~jnz1568/getInfo.php?workbook=12_05.xlsx&amp;sheet=U0&amp;row=6663&amp;col=7&amp;number=0.00504&amp;sourceID=14","0.00504")</f>
        <v>0.00504</v>
      </c>
    </row>
    <row r="6664" spans="1:7">
      <c r="A6664" s="3">
        <v>12</v>
      </c>
      <c r="B6664" s="3">
        <v>5</v>
      </c>
      <c r="C6664" s="3">
        <v>4</v>
      </c>
      <c r="D6664" s="3">
        <v>90</v>
      </c>
      <c r="E6664" s="3">
        <v>1</v>
      </c>
      <c r="F6664" s="4" t="str">
        <f>HYPERLINK("http://141.218.60.56/~jnz1568/getInfo.php?workbook=12_05.xlsx&amp;sheet=U0&amp;row=6664&amp;col=6&amp;number=3&amp;sourceID=14","3")</f>
        <v>3</v>
      </c>
      <c r="G6664" s="4" t="str">
        <f>HYPERLINK("http://141.218.60.56/~jnz1568/getInfo.php?workbook=12_05.xlsx&amp;sheet=U0&amp;row=6664&amp;col=7&amp;number=0.0218&amp;sourceID=14","0.0218")</f>
        <v>0.0218</v>
      </c>
    </row>
    <row r="6665" spans="1:7">
      <c r="A6665" s="3"/>
      <c r="B6665" s="3"/>
      <c r="C6665" s="3"/>
      <c r="D6665" s="3"/>
      <c r="E6665" s="3">
        <v>2</v>
      </c>
      <c r="F6665" s="4" t="str">
        <f>HYPERLINK("http://141.218.60.56/~jnz1568/getInfo.php?workbook=12_05.xlsx&amp;sheet=U0&amp;row=6665&amp;col=6&amp;number=3.1&amp;sourceID=14","3.1")</f>
        <v>3.1</v>
      </c>
      <c r="G6665" s="4" t="str">
        <f>HYPERLINK("http://141.218.60.56/~jnz1568/getInfo.php?workbook=12_05.xlsx&amp;sheet=U0&amp;row=6665&amp;col=7&amp;number=0.0218&amp;sourceID=14","0.0218")</f>
        <v>0.0218</v>
      </c>
    </row>
    <row r="6666" spans="1:7">
      <c r="A6666" s="3"/>
      <c r="B6666" s="3"/>
      <c r="C6666" s="3"/>
      <c r="D6666" s="3"/>
      <c r="E6666" s="3">
        <v>3</v>
      </c>
      <c r="F6666" s="4" t="str">
        <f>HYPERLINK("http://141.218.60.56/~jnz1568/getInfo.php?workbook=12_05.xlsx&amp;sheet=U0&amp;row=6666&amp;col=6&amp;number=3.2&amp;sourceID=14","3.2")</f>
        <v>3.2</v>
      </c>
      <c r="G6666" s="4" t="str">
        <f>HYPERLINK("http://141.218.60.56/~jnz1568/getInfo.php?workbook=12_05.xlsx&amp;sheet=U0&amp;row=6666&amp;col=7&amp;number=0.0218&amp;sourceID=14","0.0218")</f>
        <v>0.0218</v>
      </c>
    </row>
    <row r="6667" spans="1:7">
      <c r="A6667" s="3"/>
      <c r="B6667" s="3"/>
      <c r="C6667" s="3"/>
      <c r="D6667" s="3"/>
      <c r="E6667" s="3">
        <v>4</v>
      </c>
      <c r="F6667" s="4" t="str">
        <f>HYPERLINK("http://141.218.60.56/~jnz1568/getInfo.php?workbook=12_05.xlsx&amp;sheet=U0&amp;row=6667&amp;col=6&amp;number=3.3&amp;sourceID=14","3.3")</f>
        <v>3.3</v>
      </c>
      <c r="G6667" s="4" t="str">
        <f>HYPERLINK("http://141.218.60.56/~jnz1568/getInfo.php?workbook=12_05.xlsx&amp;sheet=U0&amp;row=6667&amp;col=7&amp;number=0.0218&amp;sourceID=14","0.0218")</f>
        <v>0.0218</v>
      </c>
    </row>
    <row r="6668" spans="1:7">
      <c r="A6668" s="3"/>
      <c r="B6668" s="3"/>
      <c r="C6668" s="3"/>
      <c r="D6668" s="3"/>
      <c r="E6668" s="3">
        <v>5</v>
      </c>
      <c r="F6668" s="4" t="str">
        <f>HYPERLINK("http://141.218.60.56/~jnz1568/getInfo.php?workbook=12_05.xlsx&amp;sheet=U0&amp;row=6668&amp;col=6&amp;number=3.4&amp;sourceID=14","3.4")</f>
        <v>3.4</v>
      </c>
      <c r="G6668" s="4" t="str">
        <f>HYPERLINK("http://141.218.60.56/~jnz1568/getInfo.php?workbook=12_05.xlsx&amp;sheet=U0&amp;row=6668&amp;col=7&amp;number=0.0218&amp;sourceID=14","0.0218")</f>
        <v>0.0218</v>
      </c>
    </row>
    <row r="6669" spans="1:7">
      <c r="A6669" s="3"/>
      <c r="B6669" s="3"/>
      <c r="C6669" s="3"/>
      <c r="D6669" s="3"/>
      <c r="E6669" s="3">
        <v>6</v>
      </c>
      <c r="F6669" s="4" t="str">
        <f>HYPERLINK("http://141.218.60.56/~jnz1568/getInfo.php?workbook=12_05.xlsx&amp;sheet=U0&amp;row=6669&amp;col=6&amp;number=3.5&amp;sourceID=14","3.5")</f>
        <v>3.5</v>
      </c>
      <c r="G6669" s="4" t="str">
        <f>HYPERLINK("http://141.218.60.56/~jnz1568/getInfo.php?workbook=12_05.xlsx&amp;sheet=U0&amp;row=6669&amp;col=7&amp;number=0.0218&amp;sourceID=14","0.0218")</f>
        <v>0.0218</v>
      </c>
    </row>
    <row r="6670" spans="1:7">
      <c r="A6670" s="3"/>
      <c r="B6670" s="3"/>
      <c r="C6670" s="3"/>
      <c r="D6670" s="3"/>
      <c r="E6670" s="3">
        <v>7</v>
      </c>
      <c r="F6670" s="4" t="str">
        <f>HYPERLINK("http://141.218.60.56/~jnz1568/getInfo.php?workbook=12_05.xlsx&amp;sheet=U0&amp;row=6670&amp;col=6&amp;number=3.6&amp;sourceID=14","3.6")</f>
        <v>3.6</v>
      </c>
      <c r="G6670" s="4" t="str">
        <f>HYPERLINK("http://141.218.60.56/~jnz1568/getInfo.php?workbook=12_05.xlsx&amp;sheet=U0&amp;row=6670&amp;col=7&amp;number=0.0218&amp;sourceID=14","0.0218")</f>
        <v>0.0218</v>
      </c>
    </row>
    <row r="6671" spans="1:7">
      <c r="A6671" s="3"/>
      <c r="B6671" s="3"/>
      <c r="C6671" s="3"/>
      <c r="D6671" s="3"/>
      <c r="E6671" s="3">
        <v>8</v>
      </c>
      <c r="F6671" s="4" t="str">
        <f>HYPERLINK("http://141.218.60.56/~jnz1568/getInfo.php?workbook=12_05.xlsx&amp;sheet=U0&amp;row=6671&amp;col=6&amp;number=3.7&amp;sourceID=14","3.7")</f>
        <v>3.7</v>
      </c>
      <c r="G6671" s="4" t="str">
        <f>HYPERLINK("http://141.218.60.56/~jnz1568/getInfo.php?workbook=12_05.xlsx&amp;sheet=U0&amp;row=6671&amp;col=7&amp;number=0.0218&amp;sourceID=14","0.0218")</f>
        <v>0.0218</v>
      </c>
    </row>
    <row r="6672" spans="1:7">
      <c r="A6672" s="3"/>
      <c r="B6672" s="3"/>
      <c r="C6672" s="3"/>
      <c r="D6672" s="3"/>
      <c r="E6672" s="3">
        <v>9</v>
      </c>
      <c r="F6672" s="4" t="str">
        <f>HYPERLINK("http://141.218.60.56/~jnz1568/getInfo.php?workbook=12_05.xlsx&amp;sheet=U0&amp;row=6672&amp;col=6&amp;number=3.8&amp;sourceID=14","3.8")</f>
        <v>3.8</v>
      </c>
      <c r="G6672" s="4" t="str">
        <f>HYPERLINK("http://141.218.60.56/~jnz1568/getInfo.php?workbook=12_05.xlsx&amp;sheet=U0&amp;row=6672&amp;col=7&amp;number=0.0217&amp;sourceID=14","0.0217")</f>
        <v>0.0217</v>
      </c>
    </row>
    <row r="6673" spans="1:7">
      <c r="A6673" s="3"/>
      <c r="B6673" s="3"/>
      <c r="C6673" s="3"/>
      <c r="D6673" s="3"/>
      <c r="E6673" s="3">
        <v>10</v>
      </c>
      <c r="F6673" s="4" t="str">
        <f>HYPERLINK("http://141.218.60.56/~jnz1568/getInfo.php?workbook=12_05.xlsx&amp;sheet=U0&amp;row=6673&amp;col=6&amp;number=3.9&amp;sourceID=14","3.9")</f>
        <v>3.9</v>
      </c>
      <c r="G6673" s="4" t="str">
        <f>HYPERLINK("http://141.218.60.56/~jnz1568/getInfo.php?workbook=12_05.xlsx&amp;sheet=U0&amp;row=6673&amp;col=7&amp;number=0.0217&amp;sourceID=14","0.0217")</f>
        <v>0.0217</v>
      </c>
    </row>
    <row r="6674" spans="1:7">
      <c r="A6674" s="3"/>
      <c r="B6674" s="3"/>
      <c r="C6674" s="3"/>
      <c r="D6674" s="3"/>
      <c r="E6674" s="3">
        <v>11</v>
      </c>
      <c r="F6674" s="4" t="str">
        <f>HYPERLINK("http://141.218.60.56/~jnz1568/getInfo.php?workbook=12_05.xlsx&amp;sheet=U0&amp;row=6674&amp;col=6&amp;number=4&amp;sourceID=14","4")</f>
        <v>4</v>
      </c>
      <c r="G6674" s="4" t="str">
        <f>HYPERLINK("http://141.218.60.56/~jnz1568/getInfo.php?workbook=12_05.xlsx&amp;sheet=U0&amp;row=6674&amp;col=7&amp;number=0.0217&amp;sourceID=14","0.0217")</f>
        <v>0.0217</v>
      </c>
    </row>
    <row r="6675" spans="1:7">
      <c r="A6675" s="3"/>
      <c r="B6675" s="3"/>
      <c r="C6675" s="3"/>
      <c r="D6675" s="3"/>
      <c r="E6675" s="3">
        <v>12</v>
      </c>
      <c r="F6675" s="4" t="str">
        <f>HYPERLINK("http://141.218.60.56/~jnz1568/getInfo.php?workbook=12_05.xlsx&amp;sheet=U0&amp;row=6675&amp;col=6&amp;number=4.1&amp;sourceID=14","4.1")</f>
        <v>4.1</v>
      </c>
      <c r="G6675" s="4" t="str">
        <f>HYPERLINK("http://141.218.60.56/~jnz1568/getInfo.php?workbook=12_05.xlsx&amp;sheet=U0&amp;row=6675&amp;col=7&amp;number=0.0217&amp;sourceID=14","0.0217")</f>
        <v>0.0217</v>
      </c>
    </row>
    <row r="6676" spans="1:7">
      <c r="A6676" s="3"/>
      <c r="B6676" s="3"/>
      <c r="C6676" s="3"/>
      <c r="D6676" s="3"/>
      <c r="E6676" s="3">
        <v>13</v>
      </c>
      <c r="F6676" s="4" t="str">
        <f>HYPERLINK("http://141.218.60.56/~jnz1568/getInfo.php?workbook=12_05.xlsx&amp;sheet=U0&amp;row=6676&amp;col=6&amp;number=4.2&amp;sourceID=14","4.2")</f>
        <v>4.2</v>
      </c>
      <c r="G6676" s="4" t="str">
        <f>HYPERLINK("http://141.218.60.56/~jnz1568/getInfo.php?workbook=12_05.xlsx&amp;sheet=U0&amp;row=6676&amp;col=7&amp;number=0.0216&amp;sourceID=14","0.0216")</f>
        <v>0.0216</v>
      </c>
    </row>
    <row r="6677" spans="1:7">
      <c r="A6677" s="3"/>
      <c r="B6677" s="3"/>
      <c r="C6677" s="3"/>
      <c r="D6677" s="3"/>
      <c r="E6677" s="3">
        <v>14</v>
      </c>
      <c r="F6677" s="4" t="str">
        <f>HYPERLINK("http://141.218.60.56/~jnz1568/getInfo.php?workbook=12_05.xlsx&amp;sheet=U0&amp;row=6677&amp;col=6&amp;number=4.3&amp;sourceID=14","4.3")</f>
        <v>4.3</v>
      </c>
      <c r="G6677" s="4" t="str">
        <f>HYPERLINK("http://141.218.60.56/~jnz1568/getInfo.php?workbook=12_05.xlsx&amp;sheet=U0&amp;row=6677&amp;col=7&amp;number=0.0215&amp;sourceID=14","0.0215")</f>
        <v>0.0215</v>
      </c>
    </row>
    <row r="6678" spans="1:7">
      <c r="A6678" s="3"/>
      <c r="B6678" s="3"/>
      <c r="C6678" s="3"/>
      <c r="D6678" s="3"/>
      <c r="E6678" s="3">
        <v>15</v>
      </c>
      <c r="F6678" s="4" t="str">
        <f>HYPERLINK("http://141.218.60.56/~jnz1568/getInfo.php?workbook=12_05.xlsx&amp;sheet=U0&amp;row=6678&amp;col=6&amp;number=4.4&amp;sourceID=14","4.4")</f>
        <v>4.4</v>
      </c>
      <c r="G6678" s="4" t="str">
        <f>HYPERLINK("http://141.218.60.56/~jnz1568/getInfo.php?workbook=12_05.xlsx&amp;sheet=U0&amp;row=6678&amp;col=7&amp;number=0.0215&amp;sourceID=14","0.0215")</f>
        <v>0.0215</v>
      </c>
    </row>
    <row r="6679" spans="1:7">
      <c r="A6679" s="3"/>
      <c r="B6679" s="3"/>
      <c r="C6679" s="3"/>
      <c r="D6679" s="3"/>
      <c r="E6679" s="3">
        <v>16</v>
      </c>
      <c r="F6679" s="4" t="str">
        <f>HYPERLINK("http://141.218.60.56/~jnz1568/getInfo.php?workbook=12_05.xlsx&amp;sheet=U0&amp;row=6679&amp;col=6&amp;number=4.5&amp;sourceID=14","4.5")</f>
        <v>4.5</v>
      </c>
      <c r="G6679" s="4" t="str">
        <f>HYPERLINK("http://141.218.60.56/~jnz1568/getInfo.php?workbook=12_05.xlsx&amp;sheet=U0&amp;row=6679&amp;col=7&amp;number=0.0214&amp;sourceID=14","0.0214")</f>
        <v>0.0214</v>
      </c>
    </row>
    <row r="6680" spans="1:7">
      <c r="A6680" s="3"/>
      <c r="B6680" s="3"/>
      <c r="C6680" s="3"/>
      <c r="D6680" s="3"/>
      <c r="E6680" s="3">
        <v>17</v>
      </c>
      <c r="F6680" s="4" t="str">
        <f>HYPERLINK("http://141.218.60.56/~jnz1568/getInfo.php?workbook=12_05.xlsx&amp;sheet=U0&amp;row=6680&amp;col=6&amp;number=4.6&amp;sourceID=14","4.6")</f>
        <v>4.6</v>
      </c>
      <c r="G6680" s="4" t="str">
        <f>HYPERLINK("http://141.218.60.56/~jnz1568/getInfo.php?workbook=12_05.xlsx&amp;sheet=U0&amp;row=6680&amp;col=7&amp;number=0.0213&amp;sourceID=14","0.0213")</f>
        <v>0.0213</v>
      </c>
    </row>
    <row r="6681" spans="1:7">
      <c r="A6681" s="3"/>
      <c r="B6681" s="3"/>
      <c r="C6681" s="3"/>
      <c r="D6681" s="3"/>
      <c r="E6681" s="3">
        <v>18</v>
      </c>
      <c r="F6681" s="4" t="str">
        <f>HYPERLINK("http://141.218.60.56/~jnz1568/getInfo.php?workbook=12_05.xlsx&amp;sheet=U0&amp;row=6681&amp;col=6&amp;number=4.7&amp;sourceID=14","4.7")</f>
        <v>4.7</v>
      </c>
      <c r="G6681" s="4" t="str">
        <f>HYPERLINK("http://141.218.60.56/~jnz1568/getInfo.php?workbook=12_05.xlsx&amp;sheet=U0&amp;row=6681&amp;col=7&amp;number=0.0211&amp;sourceID=14","0.0211")</f>
        <v>0.0211</v>
      </c>
    </row>
    <row r="6682" spans="1:7">
      <c r="A6682" s="3"/>
      <c r="B6682" s="3"/>
      <c r="C6682" s="3"/>
      <c r="D6682" s="3"/>
      <c r="E6682" s="3">
        <v>19</v>
      </c>
      <c r="F6682" s="4" t="str">
        <f>HYPERLINK("http://141.218.60.56/~jnz1568/getInfo.php?workbook=12_05.xlsx&amp;sheet=U0&amp;row=6682&amp;col=6&amp;number=4.8&amp;sourceID=14","4.8")</f>
        <v>4.8</v>
      </c>
      <c r="G6682" s="4" t="str">
        <f>HYPERLINK("http://141.218.60.56/~jnz1568/getInfo.php?workbook=12_05.xlsx&amp;sheet=U0&amp;row=6682&amp;col=7&amp;number=0.0209&amp;sourceID=14","0.0209")</f>
        <v>0.0209</v>
      </c>
    </row>
    <row r="6683" spans="1:7">
      <c r="A6683" s="3"/>
      <c r="B6683" s="3"/>
      <c r="C6683" s="3"/>
      <c r="D6683" s="3"/>
      <c r="E6683" s="3">
        <v>20</v>
      </c>
      <c r="F6683" s="4" t="str">
        <f>HYPERLINK("http://141.218.60.56/~jnz1568/getInfo.php?workbook=12_05.xlsx&amp;sheet=U0&amp;row=6683&amp;col=6&amp;number=4.9&amp;sourceID=14","4.9")</f>
        <v>4.9</v>
      </c>
      <c r="G6683" s="4" t="str">
        <f>HYPERLINK("http://141.218.60.56/~jnz1568/getInfo.php?workbook=12_05.xlsx&amp;sheet=U0&amp;row=6683&amp;col=7&amp;number=0.0207&amp;sourceID=14","0.0207")</f>
        <v>0.0207</v>
      </c>
    </row>
    <row r="6684" spans="1:7">
      <c r="A6684" s="3">
        <v>12</v>
      </c>
      <c r="B6684" s="3">
        <v>5</v>
      </c>
      <c r="C6684" s="3">
        <v>4</v>
      </c>
      <c r="D6684" s="3">
        <v>91</v>
      </c>
      <c r="E6684" s="3">
        <v>1</v>
      </c>
      <c r="F6684" s="4" t="str">
        <f>HYPERLINK("http://141.218.60.56/~jnz1568/getInfo.php?workbook=12_05.xlsx&amp;sheet=U0&amp;row=6684&amp;col=6&amp;number=3&amp;sourceID=14","3")</f>
        <v>3</v>
      </c>
      <c r="G6684" s="4" t="str">
        <f>HYPERLINK("http://141.218.60.56/~jnz1568/getInfo.php?workbook=12_05.xlsx&amp;sheet=U0&amp;row=6684&amp;col=7&amp;number=0.17&amp;sourceID=14","0.17")</f>
        <v>0.17</v>
      </c>
    </row>
    <row r="6685" spans="1:7">
      <c r="A6685" s="3"/>
      <c r="B6685" s="3"/>
      <c r="C6685" s="3"/>
      <c r="D6685" s="3"/>
      <c r="E6685" s="3">
        <v>2</v>
      </c>
      <c r="F6685" s="4" t="str">
        <f>HYPERLINK("http://141.218.60.56/~jnz1568/getInfo.php?workbook=12_05.xlsx&amp;sheet=U0&amp;row=6685&amp;col=6&amp;number=3.1&amp;sourceID=14","3.1")</f>
        <v>3.1</v>
      </c>
      <c r="G6685" s="4" t="str">
        <f>HYPERLINK("http://141.218.60.56/~jnz1568/getInfo.php?workbook=12_05.xlsx&amp;sheet=U0&amp;row=6685&amp;col=7&amp;number=0.17&amp;sourceID=14","0.17")</f>
        <v>0.17</v>
      </c>
    </row>
    <row r="6686" spans="1:7">
      <c r="A6686" s="3"/>
      <c r="B6686" s="3"/>
      <c r="C6686" s="3"/>
      <c r="D6686" s="3"/>
      <c r="E6686" s="3">
        <v>3</v>
      </c>
      <c r="F6686" s="4" t="str">
        <f>HYPERLINK("http://141.218.60.56/~jnz1568/getInfo.php?workbook=12_05.xlsx&amp;sheet=U0&amp;row=6686&amp;col=6&amp;number=3.2&amp;sourceID=14","3.2")</f>
        <v>3.2</v>
      </c>
      <c r="G6686" s="4" t="str">
        <f>HYPERLINK("http://141.218.60.56/~jnz1568/getInfo.php?workbook=12_05.xlsx&amp;sheet=U0&amp;row=6686&amp;col=7&amp;number=0.17&amp;sourceID=14","0.17")</f>
        <v>0.17</v>
      </c>
    </row>
    <row r="6687" spans="1:7">
      <c r="A6687" s="3"/>
      <c r="B6687" s="3"/>
      <c r="C6687" s="3"/>
      <c r="D6687" s="3"/>
      <c r="E6687" s="3">
        <v>4</v>
      </c>
      <c r="F6687" s="4" t="str">
        <f>HYPERLINK("http://141.218.60.56/~jnz1568/getInfo.php?workbook=12_05.xlsx&amp;sheet=U0&amp;row=6687&amp;col=6&amp;number=3.3&amp;sourceID=14","3.3")</f>
        <v>3.3</v>
      </c>
      <c r="G6687" s="4" t="str">
        <f>HYPERLINK("http://141.218.60.56/~jnz1568/getInfo.php?workbook=12_05.xlsx&amp;sheet=U0&amp;row=6687&amp;col=7&amp;number=0.17&amp;sourceID=14","0.17")</f>
        <v>0.17</v>
      </c>
    </row>
    <row r="6688" spans="1:7">
      <c r="A6688" s="3"/>
      <c r="B6688" s="3"/>
      <c r="C6688" s="3"/>
      <c r="D6688" s="3"/>
      <c r="E6688" s="3">
        <v>5</v>
      </c>
      <c r="F6688" s="4" t="str">
        <f>HYPERLINK("http://141.218.60.56/~jnz1568/getInfo.php?workbook=12_05.xlsx&amp;sheet=U0&amp;row=6688&amp;col=6&amp;number=3.4&amp;sourceID=14","3.4")</f>
        <v>3.4</v>
      </c>
      <c r="G6688" s="4" t="str">
        <f>HYPERLINK("http://141.218.60.56/~jnz1568/getInfo.php?workbook=12_05.xlsx&amp;sheet=U0&amp;row=6688&amp;col=7&amp;number=0.17&amp;sourceID=14","0.17")</f>
        <v>0.17</v>
      </c>
    </row>
    <row r="6689" spans="1:7">
      <c r="A6689" s="3"/>
      <c r="B6689" s="3"/>
      <c r="C6689" s="3"/>
      <c r="D6689" s="3"/>
      <c r="E6689" s="3">
        <v>6</v>
      </c>
      <c r="F6689" s="4" t="str">
        <f>HYPERLINK("http://141.218.60.56/~jnz1568/getInfo.php?workbook=12_05.xlsx&amp;sheet=U0&amp;row=6689&amp;col=6&amp;number=3.5&amp;sourceID=14","3.5")</f>
        <v>3.5</v>
      </c>
      <c r="G6689" s="4" t="str">
        <f>HYPERLINK("http://141.218.60.56/~jnz1568/getInfo.php?workbook=12_05.xlsx&amp;sheet=U0&amp;row=6689&amp;col=7&amp;number=0.17&amp;sourceID=14","0.17")</f>
        <v>0.17</v>
      </c>
    </row>
    <row r="6690" spans="1:7">
      <c r="A6690" s="3"/>
      <c r="B6690" s="3"/>
      <c r="C6690" s="3"/>
      <c r="D6690" s="3"/>
      <c r="E6690" s="3">
        <v>7</v>
      </c>
      <c r="F6690" s="4" t="str">
        <f>HYPERLINK("http://141.218.60.56/~jnz1568/getInfo.php?workbook=12_05.xlsx&amp;sheet=U0&amp;row=6690&amp;col=6&amp;number=3.6&amp;sourceID=14","3.6")</f>
        <v>3.6</v>
      </c>
      <c r="G6690" s="4" t="str">
        <f>HYPERLINK("http://141.218.60.56/~jnz1568/getInfo.php?workbook=12_05.xlsx&amp;sheet=U0&amp;row=6690&amp;col=7&amp;number=0.17&amp;sourceID=14","0.17")</f>
        <v>0.17</v>
      </c>
    </row>
    <row r="6691" spans="1:7">
      <c r="A6691" s="3"/>
      <c r="B6691" s="3"/>
      <c r="C6691" s="3"/>
      <c r="D6691" s="3"/>
      <c r="E6691" s="3">
        <v>8</v>
      </c>
      <c r="F6691" s="4" t="str">
        <f>HYPERLINK("http://141.218.60.56/~jnz1568/getInfo.php?workbook=12_05.xlsx&amp;sheet=U0&amp;row=6691&amp;col=6&amp;number=3.7&amp;sourceID=14","3.7")</f>
        <v>3.7</v>
      </c>
      <c r="G6691" s="4" t="str">
        <f>HYPERLINK("http://141.218.60.56/~jnz1568/getInfo.php?workbook=12_05.xlsx&amp;sheet=U0&amp;row=6691&amp;col=7&amp;number=0.17&amp;sourceID=14","0.17")</f>
        <v>0.17</v>
      </c>
    </row>
    <row r="6692" spans="1:7">
      <c r="A6692" s="3"/>
      <c r="B6692" s="3"/>
      <c r="C6692" s="3"/>
      <c r="D6692" s="3"/>
      <c r="E6692" s="3">
        <v>9</v>
      </c>
      <c r="F6692" s="4" t="str">
        <f>HYPERLINK("http://141.218.60.56/~jnz1568/getInfo.php?workbook=12_05.xlsx&amp;sheet=U0&amp;row=6692&amp;col=6&amp;number=3.8&amp;sourceID=14","3.8")</f>
        <v>3.8</v>
      </c>
      <c r="G6692" s="4" t="str">
        <f>HYPERLINK("http://141.218.60.56/~jnz1568/getInfo.php?workbook=12_05.xlsx&amp;sheet=U0&amp;row=6692&amp;col=7&amp;number=0.17&amp;sourceID=14","0.17")</f>
        <v>0.17</v>
      </c>
    </row>
    <row r="6693" spans="1:7">
      <c r="A6693" s="3"/>
      <c r="B6693" s="3"/>
      <c r="C6693" s="3"/>
      <c r="D6693" s="3"/>
      <c r="E6693" s="3">
        <v>10</v>
      </c>
      <c r="F6693" s="4" t="str">
        <f>HYPERLINK("http://141.218.60.56/~jnz1568/getInfo.php?workbook=12_05.xlsx&amp;sheet=U0&amp;row=6693&amp;col=6&amp;number=3.9&amp;sourceID=14","3.9")</f>
        <v>3.9</v>
      </c>
      <c r="G6693" s="4" t="str">
        <f>HYPERLINK("http://141.218.60.56/~jnz1568/getInfo.php?workbook=12_05.xlsx&amp;sheet=U0&amp;row=6693&amp;col=7&amp;number=0.171&amp;sourceID=14","0.171")</f>
        <v>0.171</v>
      </c>
    </row>
    <row r="6694" spans="1:7">
      <c r="A6694" s="3"/>
      <c r="B6694" s="3"/>
      <c r="C6694" s="3"/>
      <c r="D6694" s="3"/>
      <c r="E6694" s="3">
        <v>11</v>
      </c>
      <c r="F6694" s="4" t="str">
        <f>HYPERLINK("http://141.218.60.56/~jnz1568/getInfo.php?workbook=12_05.xlsx&amp;sheet=U0&amp;row=6694&amp;col=6&amp;number=4&amp;sourceID=14","4")</f>
        <v>4</v>
      </c>
      <c r="G6694" s="4" t="str">
        <f>HYPERLINK("http://141.218.60.56/~jnz1568/getInfo.php?workbook=12_05.xlsx&amp;sheet=U0&amp;row=6694&amp;col=7&amp;number=0.171&amp;sourceID=14","0.171")</f>
        <v>0.171</v>
      </c>
    </row>
    <row r="6695" spans="1:7">
      <c r="A6695" s="3"/>
      <c r="B6695" s="3"/>
      <c r="C6695" s="3"/>
      <c r="D6695" s="3"/>
      <c r="E6695" s="3">
        <v>12</v>
      </c>
      <c r="F6695" s="4" t="str">
        <f>HYPERLINK("http://141.218.60.56/~jnz1568/getInfo.php?workbook=12_05.xlsx&amp;sheet=U0&amp;row=6695&amp;col=6&amp;number=4.1&amp;sourceID=14","4.1")</f>
        <v>4.1</v>
      </c>
      <c r="G6695" s="4" t="str">
        <f>HYPERLINK("http://141.218.60.56/~jnz1568/getInfo.php?workbook=12_05.xlsx&amp;sheet=U0&amp;row=6695&amp;col=7&amp;number=0.171&amp;sourceID=14","0.171")</f>
        <v>0.171</v>
      </c>
    </row>
    <row r="6696" spans="1:7">
      <c r="A6696" s="3"/>
      <c r="B6696" s="3"/>
      <c r="C6696" s="3"/>
      <c r="D6696" s="3"/>
      <c r="E6696" s="3">
        <v>13</v>
      </c>
      <c r="F6696" s="4" t="str">
        <f>HYPERLINK("http://141.218.60.56/~jnz1568/getInfo.php?workbook=12_05.xlsx&amp;sheet=U0&amp;row=6696&amp;col=6&amp;number=4.2&amp;sourceID=14","4.2")</f>
        <v>4.2</v>
      </c>
      <c r="G6696" s="4" t="str">
        <f>HYPERLINK("http://141.218.60.56/~jnz1568/getInfo.php?workbook=12_05.xlsx&amp;sheet=U0&amp;row=6696&amp;col=7&amp;number=0.172&amp;sourceID=14","0.172")</f>
        <v>0.172</v>
      </c>
    </row>
    <row r="6697" spans="1:7">
      <c r="A6697" s="3"/>
      <c r="B6697" s="3"/>
      <c r="C6697" s="3"/>
      <c r="D6697" s="3"/>
      <c r="E6697" s="3">
        <v>14</v>
      </c>
      <c r="F6697" s="4" t="str">
        <f>HYPERLINK("http://141.218.60.56/~jnz1568/getInfo.php?workbook=12_05.xlsx&amp;sheet=U0&amp;row=6697&amp;col=6&amp;number=4.3&amp;sourceID=14","4.3")</f>
        <v>4.3</v>
      </c>
      <c r="G6697" s="4" t="str">
        <f>HYPERLINK("http://141.218.60.56/~jnz1568/getInfo.php?workbook=12_05.xlsx&amp;sheet=U0&amp;row=6697&amp;col=7&amp;number=0.172&amp;sourceID=14","0.172")</f>
        <v>0.172</v>
      </c>
    </row>
    <row r="6698" spans="1:7">
      <c r="A6698" s="3"/>
      <c r="B6698" s="3"/>
      <c r="C6698" s="3"/>
      <c r="D6698" s="3"/>
      <c r="E6698" s="3">
        <v>15</v>
      </c>
      <c r="F6698" s="4" t="str">
        <f>HYPERLINK("http://141.218.60.56/~jnz1568/getInfo.php?workbook=12_05.xlsx&amp;sheet=U0&amp;row=6698&amp;col=6&amp;number=4.4&amp;sourceID=14","4.4")</f>
        <v>4.4</v>
      </c>
      <c r="G6698" s="4" t="str">
        <f>HYPERLINK("http://141.218.60.56/~jnz1568/getInfo.php?workbook=12_05.xlsx&amp;sheet=U0&amp;row=6698&amp;col=7&amp;number=0.173&amp;sourceID=14","0.173")</f>
        <v>0.173</v>
      </c>
    </row>
    <row r="6699" spans="1:7">
      <c r="A6699" s="3"/>
      <c r="B6699" s="3"/>
      <c r="C6699" s="3"/>
      <c r="D6699" s="3"/>
      <c r="E6699" s="3">
        <v>16</v>
      </c>
      <c r="F6699" s="4" t="str">
        <f>HYPERLINK("http://141.218.60.56/~jnz1568/getInfo.php?workbook=12_05.xlsx&amp;sheet=U0&amp;row=6699&amp;col=6&amp;number=4.5&amp;sourceID=14","4.5")</f>
        <v>4.5</v>
      </c>
      <c r="G6699" s="4" t="str">
        <f>HYPERLINK("http://141.218.60.56/~jnz1568/getInfo.php?workbook=12_05.xlsx&amp;sheet=U0&amp;row=6699&amp;col=7&amp;number=0.174&amp;sourceID=14","0.174")</f>
        <v>0.174</v>
      </c>
    </row>
    <row r="6700" spans="1:7">
      <c r="A6700" s="3"/>
      <c r="B6700" s="3"/>
      <c r="C6700" s="3"/>
      <c r="D6700" s="3"/>
      <c r="E6700" s="3">
        <v>17</v>
      </c>
      <c r="F6700" s="4" t="str">
        <f>HYPERLINK("http://141.218.60.56/~jnz1568/getInfo.php?workbook=12_05.xlsx&amp;sheet=U0&amp;row=6700&amp;col=6&amp;number=4.6&amp;sourceID=14","4.6")</f>
        <v>4.6</v>
      </c>
      <c r="G6700" s="4" t="str">
        <f>HYPERLINK("http://141.218.60.56/~jnz1568/getInfo.php?workbook=12_05.xlsx&amp;sheet=U0&amp;row=6700&amp;col=7&amp;number=0.175&amp;sourceID=14","0.175")</f>
        <v>0.175</v>
      </c>
    </row>
    <row r="6701" spans="1:7">
      <c r="A6701" s="3"/>
      <c r="B6701" s="3"/>
      <c r="C6701" s="3"/>
      <c r="D6701" s="3"/>
      <c r="E6701" s="3">
        <v>18</v>
      </c>
      <c r="F6701" s="4" t="str">
        <f>HYPERLINK("http://141.218.60.56/~jnz1568/getInfo.php?workbook=12_05.xlsx&amp;sheet=U0&amp;row=6701&amp;col=6&amp;number=4.7&amp;sourceID=14","4.7")</f>
        <v>4.7</v>
      </c>
      <c r="G6701" s="4" t="str">
        <f>HYPERLINK("http://141.218.60.56/~jnz1568/getInfo.php?workbook=12_05.xlsx&amp;sheet=U0&amp;row=6701&amp;col=7&amp;number=0.176&amp;sourceID=14","0.176")</f>
        <v>0.176</v>
      </c>
    </row>
    <row r="6702" spans="1:7">
      <c r="A6702" s="3"/>
      <c r="B6702" s="3"/>
      <c r="C6702" s="3"/>
      <c r="D6702" s="3"/>
      <c r="E6702" s="3">
        <v>19</v>
      </c>
      <c r="F6702" s="4" t="str">
        <f>HYPERLINK("http://141.218.60.56/~jnz1568/getInfo.php?workbook=12_05.xlsx&amp;sheet=U0&amp;row=6702&amp;col=6&amp;number=4.8&amp;sourceID=14","4.8")</f>
        <v>4.8</v>
      </c>
      <c r="G6702" s="4" t="str">
        <f>HYPERLINK("http://141.218.60.56/~jnz1568/getInfo.php?workbook=12_05.xlsx&amp;sheet=U0&amp;row=6702&amp;col=7&amp;number=0.178&amp;sourceID=14","0.178")</f>
        <v>0.178</v>
      </c>
    </row>
    <row r="6703" spans="1:7">
      <c r="A6703" s="3"/>
      <c r="B6703" s="3"/>
      <c r="C6703" s="3"/>
      <c r="D6703" s="3"/>
      <c r="E6703" s="3">
        <v>20</v>
      </c>
      <c r="F6703" s="4" t="str">
        <f>HYPERLINK("http://141.218.60.56/~jnz1568/getInfo.php?workbook=12_05.xlsx&amp;sheet=U0&amp;row=6703&amp;col=6&amp;number=4.9&amp;sourceID=14","4.9")</f>
        <v>4.9</v>
      </c>
      <c r="G6703" s="4" t="str">
        <f>HYPERLINK("http://141.218.60.56/~jnz1568/getInfo.php?workbook=12_05.xlsx&amp;sheet=U0&amp;row=6703&amp;col=7&amp;number=0.18&amp;sourceID=14","0.18")</f>
        <v>0.18</v>
      </c>
    </row>
    <row r="6704" spans="1:7">
      <c r="A6704" s="3">
        <v>12</v>
      </c>
      <c r="B6704" s="3">
        <v>5</v>
      </c>
      <c r="C6704" s="3">
        <v>4</v>
      </c>
      <c r="D6704" s="3">
        <v>92</v>
      </c>
      <c r="E6704" s="3">
        <v>1</v>
      </c>
      <c r="F6704" s="4" t="str">
        <f>HYPERLINK("http://141.218.60.56/~jnz1568/getInfo.php?workbook=12_05.xlsx&amp;sheet=U0&amp;row=6704&amp;col=6&amp;number=3&amp;sourceID=14","3")</f>
        <v>3</v>
      </c>
      <c r="G6704" s="4" t="str">
        <f>HYPERLINK("http://141.218.60.56/~jnz1568/getInfo.php?workbook=12_05.xlsx&amp;sheet=U0&amp;row=6704&amp;col=7&amp;number=0.0441&amp;sourceID=14","0.0441")</f>
        <v>0.0441</v>
      </c>
    </row>
    <row r="6705" spans="1:7">
      <c r="A6705" s="3"/>
      <c r="B6705" s="3"/>
      <c r="C6705" s="3"/>
      <c r="D6705" s="3"/>
      <c r="E6705" s="3">
        <v>2</v>
      </c>
      <c r="F6705" s="4" t="str">
        <f>HYPERLINK("http://141.218.60.56/~jnz1568/getInfo.php?workbook=12_05.xlsx&amp;sheet=U0&amp;row=6705&amp;col=6&amp;number=3.1&amp;sourceID=14","3.1")</f>
        <v>3.1</v>
      </c>
      <c r="G6705" s="4" t="str">
        <f>HYPERLINK("http://141.218.60.56/~jnz1568/getInfo.php?workbook=12_05.xlsx&amp;sheet=U0&amp;row=6705&amp;col=7&amp;number=0.0441&amp;sourceID=14","0.0441")</f>
        <v>0.0441</v>
      </c>
    </row>
    <row r="6706" spans="1:7">
      <c r="A6706" s="3"/>
      <c r="B6706" s="3"/>
      <c r="C6706" s="3"/>
      <c r="D6706" s="3"/>
      <c r="E6706" s="3">
        <v>3</v>
      </c>
      <c r="F6706" s="4" t="str">
        <f>HYPERLINK("http://141.218.60.56/~jnz1568/getInfo.php?workbook=12_05.xlsx&amp;sheet=U0&amp;row=6706&amp;col=6&amp;number=3.2&amp;sourceID=14","3.2")</f>
        <v>3.2</v>
      </c>
      <c r="G6706" s="4" t="str">
        <f>HYPERLINK("http://141.218.60.56/~jnz1568/getInfo.php?workbook=12_05.xlsx&amp;sheet=U0&amp;row=6706&amp;col=7&amp;number=0.044&amp;sourceID=14","0.044")</f>
        <v>0.044</v>
      </c>
    </row>
    <row r="6707" spans="1:7">
      <c r="A6707" s="3"/>
      <c r="B6707" s="3"/>
      <c r="C6707" s="3"/>
      <c r="D6707" s="3"/>
      <c r="E6707" s="3">
        <v>4</v>
      </c>
      <c r="F6707" s="4" t="str">
        <f>HYPERLINK("http://141.218.60.56/~jnz1568/getInfo.php?workbook=12_05.xlsx&amp;sheet=U0&amp;row=6707&amp;col=6&amp;number=3.3&amp;sourceID=14","3.3")</f>
        <v>3.3</v>
      </c>
      <c r="G6707" s="4" t="str">
        <f>HYPERLINK("http://141.218.60.56/~jnz1568/getInfo.php?workbook=12_05.xlsx&amp;sheet=U0&amp;row=6707&amp;col=7&amp;number=0.044&amp;sourceID=14","0.044")</f>
        <v>0.044</v>
      </c>
    </row>
    <row r="6708" spans="1:7">
      <c r="A6708" s="3"/>
      <c r="B6708" s="3"/>
      <c r="C6708" s="3"/>
      <c r="D6708" s="3"/>
      <c r="E6708" s="3">
        <v>5</v>
      </c>
      <c r="F6708" s="4" t="str">
        <f>HYPERLINK("http://141.218.60.56/~jnz1568/getInfo.php?workbook=12_05.xlsx&amp;sheet=U0&amp;row=6708&amp;col=6&amp;number=3.4&amp;sourceID=14","3.4")</f>
        <v>3.4</v>
      </c>
      <c r="G6708" s="4" t="str">
        <f>HYPERLINK("http://141.218.60.56/~jnz1568/getInfo.php?workbook=12_05.xlsx&amp;sheet=U0&amp;row=6708&amp;col=7&amp;number=0.044&amp;sourceID=14","0.044")</f>
        <v>0.044</v>
      </c>
    </row>
    <row r="6709" spans="1:7">
      <c r="A6709" s="3"/>
      <c r="B6709" s="3"/>
      <c r="C6709" s="3"/>
      <c r="D6709" s="3"/>
      <c r="E6709" s="3">
        <v>6</v>
      </c>
      <c r="F6709" s="4" t="str">
        <f>HYPERLINK("http://141.218.60.56/~jnz1568/getInfo.php?workbook=12_05.xlsx&amp;sheet=U0&amp;row=6709&amp;col=6&amp;number=3.5&amp;sourceID=14","3.5")</f>
        <v>3.5</v>
      </c>
      <c r="G6709" s="4" t="str">
        <f>HYPERLINK("http://141.218.60.56/~jnz1568/getInfo.php?workbook=12_05.xlsx&amp;sheet=U0&amp;row=6709&amp;col=7&amp;number=0.044&amp;sourceID=14","0.044")</f>
        <v>0.044</v>
      </c>
    </row>
    <row r="6710" spans="1:7">
      <c r="A6710" s="3"/>
      <c r="B6710" s="3"/>
      <c r="C6710" s="3"/>
      <c r="D6710" s="3"/>
      <c r="E6710" s="3">
        <v>7</v>
      </c>
      <c r="F6710" s="4" t="str">
        <f>HYPERLINK("http://141.218.60.56/~jnz1568/getInfo.php?workbook=12_05.xlsx&amp;sheet=U0&amp;row=6710&amp;col=6&amp;number=3.6&amp;sourceID=14","3.6")</f>
        <v>3.6</v>
      </c>
      <c r="G6710" s="4" t="str">
        <f>HYPERLINK("http://141.218.60.56/~jnz1568/getInfo.php?workbook=12_05.xlsx&amp;sheet=U0&amp;row=6710&amp;col=7&amp;number=0.044&amp;sourceID=14","0.044")</f>
        <v>0.044</v>
      </c>
    </row>
    <row r="6711" spans="1:7">
      <c r="A6711" s="3"/>
      <c r="B6711" s="3"/>
      <c r="C6711" s="3"/>
      <c r="D6711" s="3"/>
      <c r="E6711" s="3">
        <v>8</v>
      </c>
      <c r="F6711" s="4" t="str">
        <f>HYPERLINK("http://141.218.60.56/~jnz1568/getInfo.php?workbook=12_05.xlsx&amp;sheet=U0&amp;row=6711&amp;col=6&amp;number=3.7&amp;sourceID=14","3.7")</f>
        <v>3.7</v>
      </c>
      <c r="G6711" s="4" t="str">
        <f>HYPERLINK("http://141.218.60.56/~jnz1568/getInfo.php?workbook=12_05.xlsx&amp;sheet=U0&amp;row=6711&amp;col=7&amp;number=0.0439&amp;sourceID=14","0.0439")</f>
        <v>0.0439</v>
      </c>
    </row>
    <row r="6712" spans="1:7">
      <c r="A6712" s="3"/>
      <c r="B6712" s="3"/>
      <c r="C6712" s="3"/>
      <c r="D6712" s="3"/>
      <c r="E6712" s="3">
        <v>9</v>
      </c>
      <c r="F6712" s="4" t="str">
        <f>HYPERLINK("http://141.218.60.56/~jnz1568/getInfo.php?workbook=12_05.xlsx&amp;sheet=U0&amp;row=6712&amp;col=6&amp;number=3.8&amp;sourceID=14","3.8")</f>
        <v>3.8</v>
      </c>
      <c r="G6712" s="4" t="str">
        <f>HYPERLINK("http://141.218.60.56/~jnz1568/getInfo.php?workbook=12_05.xlsx&amp;sheet=U0&amp;row=6712&amp;col=7&amp;number=0.0439&amp;sourceID=14","0.0439")</f>
        <v>0.0439</v>
      </c>
    </row>
    <row r="6713" spans="1:7">
      <c r="A6713" s="3"/>
      <c r="B6713" s="3"/>
      <c r="C6713" s="3"/>
      <c r="D6713" s="3"/>
      <c r="E6713" s="3">
        <v>10</v>
      </c>
      <c r="F6713" s="4" t="str">
        <f>HYPERLINK("http://141.218.60.56/~jnz1568/getInfo.php?workbook=12_05.xlsx&amp;sheet=U0&amp;row=6713&amp;col=6&amp;number=3.9&amp;sourceID=14","3.9")</f>
        <v>3.9</v>
      </c>
      <c r="G6713" s="4" t="str">
        <f>HYPERLINK("http://141.218.60.56/~jnz1568/getInfo.php?workbook=12_05.xlsx&amp;sheet=U0&amp;row=6713&amp;col=7&amp;number=0.0438&amp;sourceID=14","0.0438")</f>
        <v>0.0438</v>
      </c>
    </row>
    <row r="6714" spans="1:7">
      <c r="A6714" s="3"/>
      <c r="B6714" s="3"/>
      <c r="C6714" s="3"/>
      <c r="D6714" s="3"/>
      <c r="E6714" s="3">
        <v>11</v>
      </c>
      <c r="F6714" s="4" t="str">
        <f>HYPERLINK("http://141.218.60.56/~jnz1568/getInfo.php?workbook=12_05.xlsx&amp;sheet=U0&amp;row=6714&amp;col=6&amp;number=4&amp;sourceID=14","4")</f>
        <v>4</v>
      </c>
      <c r="G6714" s="4" t="str">
        <f>HYPERLINK("http://141.218.60.56/~jnz1568/getInfo.php?workbook=12_05.xlsx&amp;sheet=U0&amp;row=6714&amp;col=7&amp;number=0.0437&amp;sourceID=14","0.0437")</f>
        <v>0.0437</v>
      </c>
    </row>
    <row r="6715" spans="1:7">
      <c r="A6715" s="3"/>
      <c r="B6715" s="3"/>
      <c r="C6715" s="3"/>
      <c r="D6715" s="3"/>
      <c r="E6715" s="3">
        <v>12</v>
      </c>
      <c r="F6715" s="4" t="str">
        <f>HYPERLINK("http://141.218.60.56/~jnz1568/getInfo.php?workbook=12_05.xlsx&amp;sheet=U0&amp;row=6715&amp;col=6&amp;number=4.1&amp;sourceID=14","4.1")</f>
        <v>4.1</v>
      </c>
      <c r="G6715" s="4" t="str">
        <f>HYPERLINK("http://141.218.60.56/~jnz1568/getInfo.php?workbook=12_05.xlsx&amp;sheet=U0&amp;row=6715&amp;col=7&amp;number=0.0436&amp;sourceID=14","0.0436")</f>
        <v>0.0436</v>
      </c>
    </row>
    <row r="6716" spans="1:7">
      <c r="A6716" s="3"/>
      <c r="B6716" s="3"/>
      <c r="C6716" s="3"/>
      <c r="D6716" s="3"/>
      <c r="E6716" s="3">
        <v>13</v>
      </c>
      <c r="F6716" s="4" t="str">
        <f>HYPERLINK("http://141.218.60.56/~jnz1568/getInfo.php?workbook=12_05.xlsx&amp;sheet=U0&amp;row=6716&amp;col=6&amp;number=4.2&amp;sourceID=14","4.2")</f>
        <v>4.2</v>
      </c>
      <c r="G6716" s="4" t="str">
        <f>HYPERLINK("http://141.218.60.56/~jnz1568/getInfo.php?workbook=12_05.xlsx&amp;sheet=U0&amp;row=6716&amp;col=7&amp;number=0.0435&amp;sourceID=14","0.0435")</f>
        <v>0.0435</v>
      </c>
    </row>
    <row r="6717" spans="1:7">
      <c r="A6717" s="3"/>
      <c r="B6717" s="3"/>
      <c r="C6717" s="3"/>
      <c r="D6717" s="3"/>
      <c r="E6717" s="3">
        <v>14</v>
      </c>
      <c r="F6717" s="4" t="str">
        <f>HYPERLINK("http://141.218.60.56/~jnz1568/getInfo.php?workbook=12_05.xlsx&amp;sheet=U0&amp;row=6717&amp;col=6&amp;number=4.3&amp;sourceID=14","4.3")</f>
        <v>4.3</v>
      </c>
      <c r="G6717" s="4" t="str">
        <f>HYPERLINK("http://141.218.60.56/~jnz1568/getInfo.php?workbook=12_05.xlsx&amp;sheet=U0&amp;row=6717&amp;col=7&amp;number=0.0434&amp;sourceID=14","0.0434")</f>
        <v>0.0434</v>
      </c>
    </row>
    <row r="6718" spans="1:7">
      <c r="A6718" s="3"/>
      <c r="B6718" s="3"/>
      <c r="C6718" s="3"/>
      <c r="D6718" s="3"/>
      <c r="E6718" s="3">
        <v>15</v>
      </c>
      <c r="F6718" s="4" t="str">
        <f>HYPERLINK("http://141.218.60.56/~jnz1568/getInfo.php?workbook=12_05.xlsx&amp;sheet=U0&amp;row=6718&amp;col=6&amp;number=4.4&amp;sourceID=14","4.4")</f>
        <v>4.4</v>
      </c>
      <c r="G6718" s="4" t="str">
        <f>HYPERLINK("http://141.218.60.56/~jnz1568/getInfo.php?workbook=12_05.xlsx&amp;sheet=U0&amp;row=6718&amp;col=7&amp;number=0.0432&amp;sourceID=14","0.0432")</f>
        <v>0.0432</v>
      </c>
    </row>
    <row r="6719" spans="1:7">
      <c r="A6719" s="3"/>
      <c r="B6719" s="3"/>
      <c r="C6719" s="3"/>
      <c r="D6719" s="3"/>
      <c r="E6719" s="3">
        <v>16</v>
      </c>
      <c r="F6719" s="4" t="str">
        <f>HYPERLINK("http://141.218.60.56/~jnz1568/getInfo.php?workbook=12_05.xlsx&amp;sheet=U0&amp;row=6719&amp;col=6&amp;number=4.5&amp;sourceID=14","4.5")</f>
        <v>4.5</v>
      </c>
      <c r="G6719" s="4" t="str">
        <f>HYPERLINK("http://141.218.60.56/~jnz1568/getInfo.php?workbook=12_05.xlsx&amp;sheet=U0&amp;row=6719&amp;col=7&amp;number=0.0429&amp;sourceID=14","0.0429")</f>
        <v>0.0429</v>
      </c>
    </row>
    <row r="6720" spans="1:7">
      <c r="A6720" s="3"/>
      <c r="B6720" s="3"/>
      <c r="C6720" s="3"/>
      <c r="D6720" s="3"/>
      <c r="E6720" s="3">
        <v>17</v>
      </c>
      <c r="F6720" s="4" t="str">
        <f>HYPERLINK("http://141.218.60.56/~jnz1568/getInfo.php?workbook=12_05.xlsx&amp;sheet=U0&amp;row=6720&amp;col=6&amp;number=4.6&amp;sourceID=14","4.6")</f>
        <v>4.6</v>
      </c>
      <c r="G6720" s="4" t="str">
        <f>HYPERLINK("http://141.218.60.56/~jnz1568/getInfo.php?workbook=12_05.xlsx&amp;sheet=U0&amp;row=6720&amp;col=7&amp;number=0.0426&amp;sourceID=14","0.0426")</f>
        <v>0.0426</v>
      </c>
    </row>
    <row r="6721" spans="1:7">
      <c r="A6721" s="3"/>
      <c r="B6721" s="3"/>
      <c r="C6721" s="3"/>
      <c r="D6721" s="3"/>
      <c r="E6721" s="3">
        <v>18</v>
      </c>
      <c r="F6721" s="4" t="str">
        <f>HYPERLINK("http://141.218.60.56/~jnz1568/getInfo.php?workbook=12_05.xlsx&amp;sheet=U0&amp;row=6721&amp;col=6&amp;number=4.7&amp;sourceID=14","4.7")</f>
        <v>4.7</v>
      </c>
      <c r="G6721" s="4" t="str">
        <f>HYPERLINK("http://141.218.60.56/~jnz1568/getInfo.php?workbook=12_05.xlsx&amp;sheet=U0&amp;row=6721&amp;col=7&amp;number=0.0422&amp;sourceID=14","0.0422")</f>
        <v>0.0422</v>
      </c>
    </row>
    <row r="6722" spans="1:7">
      <c r="A6722" s="3"/>
      <c r="B6722" s="3"/>
      <c r="C6722" s="3"/>
      <c r="D6722" s="3"/>
      <c r="E6722" s="3">
        <v>19</v>
      </c>
      <c r="F6722" s="4" t="str">
        <f>HYPERLINK("http://141.218.60.56/~jnz1568/getInfo.php?workbook=12_05.xlsx&amp;sheet=U0&amp;row=6722&amp;col=6&amp;number=4.8&amp;sourceID=14","4.8")</f>
        <v>4.8</v>
      </c>
      <c r="G6722" s="4" t="str">
        <f>HYPERLINK("http://141.218.60.56/~jnz1568/getInfo.php?workbook=12_05.xlsx&amp;sheet=U0&amp;row=6722&amp;col=7&amp;number=0.0418&amp;sourceID=14","0.0418")</f>
        <v>0.0418</v>
      </c>
    </row>
    <row r="6723" spans="1:7">
      <c r="A6723" s="3"/>
      <c r="B6723" s="3"/>
      <c r="C6723" s="3"/>
      <c r="D6723" s="3"/>
      <c r="E6723" s="3">
        <v>20</v>
      </c>
      <c r="F6723" s="4" t="str">
        <f>HYPERLINK("http://141.218.60.56/~jnz1568/getInfo.php?workbook=12_05.xlsx&amp;sheet=U0&amp;row=6723&amp;col=6&amp;number=4.9&amp;sourceID=14","4.9")</f>
        <v>4.9</v>
      </c>
      <c r="G6723" s="4" t="str">
        <f>HYPERLINK("http://141.218.60.56/~jnz1568/getInfo.php?workbook=12_05.xlsx&amp;sheet=U0&amp;row=6723&amp;col=7&amp;number=0.0412&amp;sourceID=14","0.0412")</f>
        <v>0.0412</v>
      </c>
    </row>
    <row r="6724" spans="1:7">
      <c r="A6724" s="3">
        <v>12</v>
      </c>
      <c r="B6724" s="3">
        <v>5</v>
      </c>
      <c r="C6724" s="3">
        <v>4</v>
      </c>
      <c r="D6724" s="3">
        <v>93</v>
      </c>
      <c r="E6724" s="3">
        <v>1</v>
      </c>
      <c r="F6724" s="4" t="str">
        <f>HYPERLINK("http://141.218.60.56/~jnz1568/getInfo.php?workbook=12_05.xlsx&amp;sheet=U0&amp;row=6724&amp;col=6&amp;number=3&amp;sourceID=14","3")</f>
        <v>3</v>
      </c>
      <c r="G6724" s="4" t="str">
        <f>HYPERLINK("http://141.218.60.56/~jnz1568/getInfo.php?workbook=12_05.xlsx&amp;sheet=U0&amp;row=6724&amp;col=7&amp;number=0.0594&amp;sourceID=14","0.0594")</f>
        <v>0.0594</v>
      </c>
    </row>
    <row r="6725" spans="1:7">
      <c r="A6725" s="3"/>
      <c r="B6725" s="3"/>
      <c r="C6725" s="3"/>
      <c r="D6725" s="3"/>
      <c r="E6725" s="3">
        <v>2</v>
      </c>
      <c r="F6725" s="4" t="str">
        <f>HYPERLINK("http://141.218.60.56/~jnz1568/getInfo.php?workbook=12_05.xlsx&amp;sheet=U0&amp;row=6725&amp;col=6&amp;number=3.1&amp;sourceID=14","3.1")</f>
        <v>3.1</v>
      </c>
      <c r="G6725" s="4" t="str">
        <f>HYPERLINK("http://141.218.60.56/~jnz1568/getInfo.php?workbook=12_05.xlsx&amp;sheet=U0&amp;row=6725&amp;col=7&amp;number=0.0594&amp;sourceID=14","0.0594")</f>
        <v>0.0594</v>
      </c>
    </row>
    <row r="6726" spans="1:7">
      <c r="A6726" s="3"/>
      <c r="B6726" s="3"/>
      <c r="C6726" s="3"/>
      <c r="D6726" s="3"/>
      <c r="E6726" s="3">
        <v>3</v>
      </c>
      <c r="F6726" s="4" t="str">
        <f>HYPERLINK("http://141.218.60.56/~jnz1568/getInfo.php?workbook=12_05.xlsx&amp;sheet=U0&amp;row=6726&amp;col=6&amp;number=3.2&amp;sourceID=14","3.2")</f>
        <v>3.2</v>
      </c>
      <c r="G6726" s="4" t="str">
        <f>HYPERLINK("http://141.218.60.56/~jnz1568/getInfo.php?workbook=12_05.xlsx&amp;sheet=U0&amp;row=6726&amp;col=7&amp;number=0.0594&amp;sourceID=14","0.0594")</f>
        <v>0.0594</v>
      </c>
    </row>
    <row r="6727" spans="1:7">
      <c r="A6727" s="3"/>
      <c r="B6727" s="3"/>
      <c r="C6727" s="3"/>
      <c r="D6727" s="3"/>
      <c r="E6727" s="3">
        <v>4</v>
      </c>
      <c r="F6727" s="4" t="str">
        <f>HYPERLINK("http://141.218.60.56/~jnz1568/getInfo.php?workbook=12_05.xlsx&amp;sheet=U0&amp;row=6727&amp;col=6&amp;number=3.3&amp;sourceID=14","3.3")</f>
        <v>3.3</v>
      </c>
      <c r="G6727" s="4" t="str">
        <f>HYPERLINK("http://141.218.60.56/~jnz1568/getInfo.php?workbook=12_05.xlsx&amp;sheet=U0&amp;row=6727&amp;col=7&amp;number=0.0594&amp;sourceID=14","0.0594")</f>
        <v>0.0594</v>
      </c>
    </row>
    <row r="6728" spans="1:7">
      <c r="A6728" s="3"/>
      <c r="B6728" s="3"/>
      <c r="C6728" s="3"/>
      <c r="D6728" s="3"/>
      <c r="E6728" s="3">
        <v>5</v>
      </c>
      <c r="F6728" s="4" t="str">
        <f>HYPERLINK("http://141.218.60.56/~jnz1568/getInfo.php?workbook=12_05.xlsx&amp;sheet=U0&amp;row=6728&amp;col=6&amp;number=3.4&amp;sourceID=14","3.4")</f>
        <v>3.4</v>
      </c>
      <c r="G6728" s="4" t="str">
        <f>HYPERLINK("http://141.218.60.56/~jnz1568/getInfo.php?workbook=12_05.xlsx&amp;sheet=U0&amp;row=6728&amp;col=7&amp;number=0.0594&amp;sourceID=14","0.0594")</f>
        <v>0.0594</v>
      </c>
    </row>
    <row r="6729" spans="1:7">
      <c r="A6729" s="3"/>
      <c r="B6729" s="3"/>
      <c r="C6729" s="3"/>
      <c r="D6729" s="3"/>
      <c r="E6729" s="3">
        <v>6</v>
      </c>
      <c r="F6729" s="4" t="str">
        <f>HYPERLINK("http://141.218.60.56/~jnz1568/getInfo.php?workbook=12_05.xlsx&amp;sheet=U0&amp;row=6729&amp;col=6&amp;number=3.5&amp;sourceID=14","3.5")</f>
        <v>3.5</v>
      </c>
      <c r="G6729" s="4" t="str">
        <f>HYPERLINK("http://141.218.60.56/~jnz1568/getInfo.php?workbook=12_05.xlsx&amp;sheet=U0&amp;row=6729&amp;col=7&amp;number=0.0594&amp;sourceID=14","0.0594")</f>
        <v>0.0594</v>
      </c>
    </row>
    <row r="6730" spans="1:7">
      <c r="A6730" s="3"/>
      <c r="B6730" s="3"/>
      <c r="C6730" s="3"/>
      <c r="D6730" s="3"/>
      <c r="E6730" s="3">
        <v>7</v>
      </c>
      <c r="F6730" s="4" t="str">
        <f>HYPERLINK("http://141.218.60.56/~jnz1568/getInfo.php?workbook=12_05.xlsx&amp;sheet=U0&amp;row=6730&amp;col=6&amp;number=3.6&amp;sourceID=14","3.6")</f>
        <v>3.6</v>
      </c>
      <c r="G6730" s="4" t="str">
        <f>HYPERLINK("http://141.218.60.56/~jnz1568/getInfo.php?workbook=12_05.xlsx&amp;sheet=U0&amp;row=6730&amp;col=7&amp;number=0.0595&amp;sourceID=14","0.0595")</f>
        <v>0.0595</v>
      </c>
    </row>
    <row r="6731" spans="1:7">
      <c r="A6731" s="3"/>
      <c r="B6731" s="3"/>
      <c r="C6731" s="3"/>
      <c r="D6731" s="3"/>
      <c r="E6731" s="3">
        <v>8</v>
      </c>
      <c r="F6731" s="4" t="str">
        <f>HYPERLINK("http://141.218.60.56/~jnz1568/getInfo.php?workbook=12_05.xlsx&amp;sheet=U0&amp;row=6731&amp;col=6&amp;number=3.7&amp;sourceID=14","3.7")</f>
        <v>3.7</v>
      </c>
      <c r="G6731" s="4" t="str">
        <f>HYPERLINK("http://141.218.60.56/~jnz1568/getInfo.php?workbook=12_05.xlsx&amp;sheet=U0&amp;row=6731&amp;col=7&amp;number=0.0595&amp;sourceID=14","0.0595")</f>
        <v>0.0595</v>
      </c>
    </row>
    <row r="6732" spans="1:7">
      <c r="A6732" s="3"/>
      <c r="B6732" s="3"/>
      <c r="C6732" s="3"/>
      <c r="D6732" s="3"/>
      <c r="E6732" s="3">
        <v>9</v>
      </c>
      <c r="F6732" s="4" t="str">
        <f>HYPERLINK("http://141.218.60.56/~jnz1568/getInfo.php?workbook=12_05.xlsx&amp;sheet=U0&amp;row=6732&amp;col=6&amp;number=3.8&amp;sourceID=14","3.8")</f>
        <v>3.8</v>
      </c>
      <c r="G6732" s="4" t="str">
        <f>HYPERLINK("http://141.218.60.56/~jnz1568/getInfo.php?workbook=12_05.xlsx&amp;sheet=U0&amp;row=6732&amp;col=7&amp;number=0.0595&amp;sourceID=14","0.0595")</f>
        <v>0.0595</v>
      </c>
    </row>
    <row r="6733" spans="1:7">
      <c r="A6733" s="3"/>
      <c r="B6733" s="3"/>
      <c r="C6733" s="3"/>
      <c r="D6733" s="3"/>
      <c r="E6733" s="3">
        <v>10</v>
      </c>
      <c r="F6733" s="4" t="str">
        <f>HYPERLINK("http://141.218.60.56/~jnz1568/getInfo.php?workbook=12_05.xlsx&amp;sheet=U0&amp;row=6733&amp;col=6&amp;number=3.9&amp;sourceID=14","3.9")</f>
        <v>3.9</v>
      </c>
      <c r="G6733" s="4" t="str">
        <f>HYPERLINK("http://141.218.60.56/~jnz1568/getInfo.php?workbook=12_05.xlsx&amp;sheet=U0&amp;row=6733&amp;col=7&amp;number=0.0596&amp;sourceID=14","0.0596")</f>
        <v>0.0596</v>
      </c>
    </row>
    <row r="6734" spans="1:7">
      <c r="A6734" s="3"/>
      <c r="B6734" s="3"/>
      <c r="C6734" s="3"/>
      <c r="D6734" s="3"/>
      <c r="E6734" s="3">
        <v>11</v>
      </c>
      <c r="F6734" s="4" t="str">
        <f>HYPERLINK("http://141.218.60.56/~jnz1568/getInfo.php?workbook=12_05.xlsx&amp;sheet=U0&amp;row=6734&amp;col=6&amp;number=4&amp;sourceID=14","4")</f>
        <v>4</v>
      </c>
      <c r="G6734" s="4" t="str">
        <f>HYPERLINK("http://141.218.60.56/~jnz1568/getInfo.php?workbook=12_05.xlsx&amp;sheet=U0&amp;row=6734&amp;col=7&amp;number=0.0596&amp;sourceID=14","0.0596")</f>
        <v>0.0596</v>
      </c>
    </row>
    <row r="6735" spans="1:7">
      <c r="A6735" s="3"/>
      <c r="B6735" s="3"/>
      <c r="C6735" s="3"/>
      <c r="D6735" s="3"/>
      <c r="E6735" s="3">
        <v>12</v>
      </c>
      <c r="F6735" s="4" t="str">
        <f>HYPERLINK("http://141.218.60.56/~jnz1568/getInfo.php?workbook=12_05.xlsx&amp;sheet=U0&amp;row=6735&amp;col=6&amp;number=4.1&amp;sourceID=14","4.1")</f>
        <v>4.1</v>
      </c>
      <c r="G6735" s="4" t="str">
        <f>HYPERLINK("http://141.218.60.56/~jnz1568/getInfo.php?workbook=12_05.xlsx&amp;sheet=U0&amp;row=6735&amp;col=7&amp;number=0.0597&amp;sourceID=14","0.0597")</f>
        <v>0.0597</v>
      </c>
    </row>
    <row r="6736" spans="1:7">
      <c r="A6736" s="3"/>
      <c r="B6736" s="3"/>
      <c r="C6736" s="3"/>
      <c r="D6736" s="3"/>
      <c r="E6736" s="3">
        <v>13</v>
      </c>
      <c r="F6736" s="4" t="str">
        <f>HYPERLINK("http://141.218.60.56/~jnz1568/getInfo.php?workbook=12_05.xlsx&amp;sheet=U0&amp;row=6736&amp;col=6&amp;number=4.2&amp;sourceID=14","4.2")</f>
        <v>4.2</v>
      </c>
      <c r="G6736" s="4" t="str">
        <f>HYPERLINK("http://141.218.60.56/~jnz1568/getInfo.php?workbook=12_05.xlsx&amp;sheet=U0&amp;row=6736&amp;col=7&amp;number=0.0598&amp;sourceID=14","0.0598")</f>
        <v>0.0598</v>
      </c>
    </row>
    <row r="6737" spans="1:7">
      <c r="A6737" s="3"/>
      <c r="B6737" s="3"/>
      <c r="C6737" s="3"/>
      <c r="D6737" s="3"/>
      <c r="E6737" s="3">
        <v>14</v>
      </c>
      <c r="F6737" s="4" t="str">
        <f>HYPERLINK("http://141.218.60.56/~jnz1568/getInfo.php?workbook=12_05.xlsx&amp;sheet=U0&amp;row=6737&amp;col=6&amp;number=4.3&amp;sourceID=14","4.3")</f>
        <v>4.3</v>
      </c>
      <c r="G6737" s="4" t="str">
        <f>HYPERLINK("http://141.218.60.56/~jnz1568/getInfo.php?workbook=12_05.xlsx&amp;sheet=U0&amp;row=6737&amp;col=7&amp;number=0.0599&amp;sourceID=14","0.0599")</f>
        <v>0.0599</v>
      </c>
    </row>
    <row r="6738" spans="1:7">
      <c r="A6738" s="3"/>
      <c r="B6738" s="3"/>
      <c r="C6738" s="3"/>
      <c r="D6738" s="3"/>
      <c r="E6738" s="3">
        <v>15</v>
      </c>
      <c r="F6738" s="4" t="str">
        <f>HYPERLINK("http://141.218.60.56/~jnz1568/getInfo.php?workbook=12_05.xlsx&amp;sheet=U0&amp;row=6738&amp;col=6&amp;number=4.4&amp;sourceID=14","4.4")</f>
        <v>4.4</v>
      </c>
      <c r="G6738" s="4" t="str">
        <f>HYPERLINK("http://141.218.60.56/~jnz1568/getInfo.php?workbook=12_05.xlsx&amp;sheet=U0&amp;row=6738&amp;col=7&amp;number=0.06&amp;sourceID=14","0.06")</f>
        <v>0.06</v>
      </c>
    </row>
    <row r="6739" spans="1:7">
      <c r="A6739" s="3"/>
      <c r="B6739" s="3"/>
      <c r="C6739" s="3"/>
      <c r="D6739" s="3"/>
      <c r="E6739" s="3">
        <v>16</v>
      </c>
      <c r="F6739" s="4" t="str">
        <f>HYPERLINK("http://141.218.60.56/~jnz1568/getInfo.php?workbook=12_05.xlsx&amp;sheet=U0&amp;row=6739&amp;col=6&amp;number=4.5&amp;sourceID=14","4.5")</f>
        <v>4.5</v>
      </c>
      <c r="G6739" s="4" t="str">
        <f>HYPERLINK("http://141.218.60.56/~jnz1568/getInfo.php?workbook=12_05.xlsx&amp;sheet=U0&amp;row=6739&amp;col=7&amp;number=0.0602&amp;sourceID=14","0.0602")</f>
        <v>0.0602</v>
      </c>
    </row>
    <row r="6740" spans="1:7">
      <c r="A6740" s="3"/>
      <c r="B6740" s="3"/>
      <c r="C6740" s="3"/>
      <c r="D6740" s="3"/>
      <c r="E6740" s="3">
        <v>17</v>
      </c>
      <c r="F6740" s="4" t="str">
        <f>HYPERLINK("http://141.218.60.56/~jnz1568/getInfo.php?workbook=12_05.xlsx&amp;sheet=U0&amp;row=6740&amp;col=6&amp;number=4.6&amp;sourceID=14","4.6")</f>
        <v>4.6</v>
      </c>
      <c r="G6740" s="4" t="str">
        <f>HYPERLINK("http://141.218.60.56/~jnz1568/getInfo.php?workbook=12_05.xlsx&amp;sheet=U0&amp;row=6740&amp;col=7&amp;number=0.0604&amp;sourceID=14","0.0604")</f>
        <v>0.0604</v>
      </c>
    </row>
    <row r="6741" spans="1:7">
      <c r="A6741" s="3"/>
      <c r="B6741" s="3"/>
      <c r="C6741" s="3"/>
      <c r="D6741" s="3"/>
      <c r="E6741" s="3">
        <v>18</v>
      </c>
      <c r="F6741" s="4" t="str">
        <f>HYPERLINK("http://141.218.60.56/~jnz1568/getInfo.php?workbook=12_05.xlsx&amp;sheet=U0&amp;row=6741&amp;col=6&amp;number=4.7&amp;sourceID=14","4.7")</f>
        <v>4.7</v>
      </c>
      <c r="G6741" s="4" t="str">
        <f>HYPERLINK("http://141.218.60.56/~jnz1568/getInfo.php?workbook=12_05.xlsx&amp;sheet=U0&amp;row=6741&amp;col=7&amp;number=0.0607&amp;sourceID=14","0.0607")</f>
        <v>0.0607</v>
      </c>
    </row>
    <row r="6742" spans="1:7">
      <c r="A6742" s="3"/>
      <c r="B6742" s="3"/>
      <c r="C6742" s="3"/>
      <c r="D6742" s="3"/>
      <c r="E6742" s="3">
        <v>19</v>
      </c>
      <c r="F6742" s="4" t="str">
        <f>HYPERLINK("http://141.218.60.56/~jnz1568/getInfo.php?workbook=12_05.xlsx&amp;sheet=U0&amp;row=6742&amp;col=6&amp;number=4.8&amp;sourceID=14","4.8")</f>
        <v>4.8</v>
      </c>
      <c r="G6742" s="4" t="str">
        <f>HYPERLINK("http://141.218.60.56/~jnz1568/getInfo.php?workbook=12_05.xlsx&amp;sheet=U0&amp;row=6742&amp;col=7&amp;number=0.061&amp;sourceID=14","0.061")</f>
        <v>0.061</v>
      </c>
    </row>
    <row r="6743" spans="1:7">
      <c r="A6743" s="3"/>
      <c r="B6743" s="3"/>
      <c r="C6743" s="3"/>
      <c r="D6743" s="3"/>
      <c r="E6743" s="3">
        <v>20</v>
      </c>
      <c r="F6743" s="4" t="str">
        <f>HYPERLINK("http://141.218.60.56/~jnz1568/getInfo.php?workbook=12_05.xlsx&amp;sheet=U0&amp;row=6743&amp;col=6&amp;number=4.9&amp;sourceID=14","4.9")</f>
        <v>4.9</v>
      </c>
      <c r="G6743" s="4" t="str">
        <f>HYPERLINK("http://141.218.60.56/~jnz1568/getInfo.php?workbook=12_05.xlsx&amp;sheet=U0&amp;row=6743&amp;col=7&amp;number=0.0615&amp;sourceID=14","0.0615")</f>
        <v>0.0615</v>
      </c>
    </row>
    <row r="6744" spans="1:7">
      <c r="A6744" s="3">
        <v>12</v>
      </c>
      <c r="B6744" s="3">
        <v>5</v>
      </c>
      <c r="C6744" s="3">
        <v>4</v>
      </c>
      <c r="D6744" s="3">
        <v>94</v>
      </c>
      <c r="E6744" s="3">
        <v>1</v>
      </c>
      <c r="F6744" s="4" t="str">
        <f>HYPERLINK("http://141.218.60.56/~jnz1568/getInfo.php?workbook=12_05.xlsx&amp;sheet=U0&amp;row=6744&amp;col=6&amp;number=3&amp;sourceID=14","3")</f>
        <v>3</v>
      </c>
      <c r="G6744" s="4" t="str">
        <f>HYPERLINK("http://141.218.60.56/~jnz1568/getInfo.php?workbook=12_05.xlsx&amp;sheet=U0&amp;row=6744&amp;col=7&amp;number=0.00138&amp;sourceID=14","0.00138")</f>
        <v>0.00138</v>
      </c>
    </row>
    <row r="6745" spans="1:7">
      <c r="A6745" s="3"/>
      <c r="B6745" s="3"/>
      <c r="C6745" s="3"/>
      <c r="D6745" s="3"/>
      <c r="E6745" s="3">
        <v>2</v>
      </c>
      <c r="F6745" s="4" t="str">
        <f>HYPERLINK("http://141.218.60.56/~jnz1568/getInfo.php?workbook=12_05.xlsx&amp;sheet=U0&amp;row=6745&amp;col=6&amp;number=3.1&amp;sourceID=14","3.1")</f>
        <v>3.1</v>
      </c>
      <c r="G6745" s="4" t="str">
        <f>HYPERLINK("http://141.218.60.56/~jnz1568/getInfo.php?workbook=12_05.xlsx&amp;sheet=U0&amp;row=6745&amp;col=7&amp;number=0.00138&amp;sourceID=14","0.00138")</f>
        <v>0.00138</v>
      </c>
    </row>
    <row r="6746" spans="1:7">
      <c r="A6746" s="3"/>
      <c r="B6746" s="3"/>
      <c r="C6746" s="3"/>
      <c r="D6746" s="3"/>
      <c r="E6746" s="3">
        <v>3</v>
      </c>
      <c r="F6746" s="4" t="str">
        <f>HYPERLINK("http://141.218.60.56/~jnz1568/getInfo.php?workbook=12_05.xlsx&amp;sheet=U0&amp;row=6746&amp;col=6&amp;number=3.2&amp;sourceID=14","3.2")</f>
        <v>3.2</v>
      </c>
      <c r="G6746" s="4" t="str">
        <f>HYPERLINK("http://141.218.60.56/~jnz1568/getInfo.php?workbook=12_05.xlsx&amp;sheet=U0&amp;row=6746&amp;col=7&amp;number=0.00138&amp;sourceID=14","0.00138")</f>
        <v>0.00138</v>
      </c>
    </row>
    <row r="6747" spans="1:7">
      <c r="A6747" s="3"/>
      <c r="B6747" s="3"/>
      <c r="C6747" s="3"/>
      <c r="D6747" s="3"/>
      <c r="E6747" s="3">
        <v>4</v>
      </c>
      <c r="F6747" s="4" t="str">
        <f>HYPERLINK("http://141.218.60.56/~jnz1568/getInfo.php?workbook=12_05.xlsx&amp;sheet=U0&amp;row=6747&amp;col=6&amp;number=3.3&amp;sourceID=14","3.3")</f>
        <v>3.3</v>
      </c>
      <c r="G6747" s="4" t="str">
        <f>HYPERLINK("http://141.218.60.56/~jnz1568/getInfo.php?workbook=12_05.xlsx&amp;sheet=U0&amp;row=6747&amp;col=7&amp;number=0.00138&amp;sourceID=14","0.00138")</f>
        <v>0.00138</v>
      </c>
    </row>
    <row r="6748" spans="1:7">
      <c r="A6748" s="3"/>
      <c r="B6748" s="3"/>
      <c r="C6748" s="3"/>
      <c r="D6748" s="3"/>
      <c r="E6748" s="3">
        <v>5</v>
      </c>
      <c r="F6748" s="4" t="str">
        <f>HYPERLINK("http://141.218.60.56/~jnz1568/getInfo.php?workbook=12_05.xlsx&amp;sheet=U0&amp;row=6748&amp;col=6&amp;number=3.4&amp;sourceID=14","3.4")</f>
        <v>3.4</v>
      </c>
      <c r="G6748" s="4" t="str">
        <f>HYPERLINK("http://141.218.60.56/~jnz1568/getInfo.php?workbook=12_05.xlsx&amp;sheet=U0&amp;row=6748&amp;col=7&amp;number=0.00137&amp;sourceID=14","0.00137")</f>
        <v>0.00137</v>
      </c>
    </row>
    <row r="6749" spans="1:7">
      <c r="A6749" s="3"/>
      <c r="B6749" s="3"/>
      <c r="C6749" s="3"/>
      <c r="D6749" s="3"/>
      <c r="E6749" s="3">
        <v>6</v>
      </c>
      <c r="F6749" s="4" t="str">
        <f>HYPERLINK("http://141.218.60.56/~jnz1568/getInfo.php?workbook=12_05.xlsx&amp;sheet=U0&amp;row=6749&amp;col=6&amp;number=3.5&amp;sourceID=14","3.5")</f>
        <v>3.5</v>
      </c>
      <c r="G6749" s="4" t="str">
        <f>HYPERLINK("http://141.218.60.56/~jnz1568/getInfo.php?workbook=12_05.xlsx&amp;sheet=U0&amp;row=6749&amp;col=7&amp;number=0.00137&amp;sourceID=14","0.00137")</f>
        <v>0.00137</v>
      </c>
    </row>
    <row r="6750" spans="1:7">
      <c r="A6750" s="3"/>
      <c r="B6750" s="3"/>
      <c r="C6750" s="3"/>
      <c r="D6750" s="3"/>
      <c r="E6750" s="3">
        <v>7</v>
      </c>
      <c r="F6750" s="4" t="str">
        <f>HYPERLINK("http://141.218.60.56/~jnz1568/getInfo.php?workbook=12_05.xlsx&amp;sheet=U0&amp;row=6750&amp;col=6&amp;number=3.6&amp;sourceID=14","3.6")</f>
        <v>3.6</v>
      </c>
      <c r="G6750" s="4" t="str">
        <f>HYPERLINK("http://141.218.60.56/~jnz1568/getInfo.php?workbook=12_05.xlsx&amp;sheet=U0&amp;row=6750&amp;col=7&amp;number=0.00137&amp;sourceID=14","0.00137")</f>
        <v>0.00137</v>
      </c>
    </row>
    <row r="6751" spans="1:7">
      <c r="A6751" s="3"/>
      <c r="B6751" s="3"/>
      <c r="C6751" s="3"/>
      <c r="D6751" s="3"/>
      <c r="E6751" s="3">
        <v>8</v>
      </c>
      <c r="F6751" s="4" t="str">
        <f>HYPERLINK("http://141.218.60.56/~jnz1568/getInfo.php?workbook=12_05.xlsx&amp;sheet=U0&amp;row=6751&amp;col=6&amp;number=3.7&amp;sourceID=14","3.7")</f>
        <v>3.7</v>
      </c>
      <c r="G6751" s="4" t="str">
        <f>HYPERLINK("http://141.218.60.56/~jnz1568/getInfo.php?workbook=12_05.xlsx&amp;sheet=U0&amp;row=6751&amp;col=7&amp;number=0.00137&amp;sourceID=14","0.00137")</f>
        <v>0.00137</v>
      </c>
    </row>
    <row r="6752" spans="1:7">
      <c r="A6752" s="3"/>
      <c r="B6752" s="3"/>
      <c r="C6752" s="3"/>
      <c r="D6752" s="3"/>
      <c r="E6752" s="3">
        <v>9</v>
      </c>
      <c r="F6752" s="4" t="str">
        <f>HYPERLINK("http://141.218.60.56/~jnz1568/getInfo.php?workbook=12_05.xlsx&amp;sheet=U0&amp;row=6752&amp;col=6&amp;number=3.8&amp;sourceID=14","3.8")</f>
        <v>3.8</v>
      </c>
      <c r="G6752" s="4" t="str">
        <f>HYPERLINK("http://141.218.60.56/~jnz1568/getInfo.php?workbook=12_05.xlsx&amp;sheet=U0&amp;row=6752&amp;col=7&amp;number=0.00137&amp;sourceID=14","0.00137")</f>
        <v>0.00137</v>
      </c>
    </row>
    <row r="6753" spans="1:7">
      <c r="A6753" s="3"/>
      <c r="B6753" s="3"/>
      <c r="C6753" s="3"/>
      <c r="D6753" s="3"/>
      <c r="E6753" s="3">
        <v>10</v>
      </c>
      <c r="F6753" s="4" t="str">
        <f>HYPERLINK("http://141.218.60.56/~jnz1568/getInfo.php?workbook=12_05.xlsx&amp;sheet=U0&amp;row=6753&amp;col=6&amp;number=3.9&amp;sourceID=14","3.9")</f>
        <v>3.9</v>
      </c>
      <c r="G6753" s="4" t="str">
        <f>HYPERLINK("http://141.218.60.56/~jnz1568/getInfo.php?workbook=12_05.xlsx&amp;sheet=U0&amp;row=6753&amp;col=7&amp;number=0.00136&amp;sourceID=14","0.00136")</f>
        <v>0.00136</v>
      </c>
    </row>
    <row r="6754" spans="1:7">
      <c r="A6754" s="3"/>
      <c r="B6754" s="3"/>
      <c r="C6754" s="3"/>
      <c r="D6754" s="3"/>
      <c r="E6754" s="3">
        <v>11</v>
      </c>
      <c r="F6754" s="4" t="str">
        <f>HYPERLINK("http://141.218.60.56/~jnz1568/getInfo.php?workbook=12_05.xlsx&amp;sheet=U0&amp;row=6754&amp;col=6&amp;number=4&amp;sourceID=14","4")</f>
        <v>4</v>
      </c>
      <c r="G6754" s="4" t="str">
        <f>HYPERLINK("http://141.218.60.56/~jnz1568/getInfo.php?workbook=12_05.xlsx&amp;sheet=U0&amp;row=6754&amp;col=7&amp;number=0.00136&amp;sourceID=14","0.00136")</f>
        <v>0.00136</v>
      </c>
    </row>
    <row r="6755" spans="1:7">
      <c r="A6755" s="3"/>
      <c r="B6755" s="3"/>
      <c r="C6755" s="3"/>
      <c r="D6755" s="3"/>
      <c r="E6755" s="3">
        <v>12</v>
      </c>
      <c r="F6755" s="4" t="str">
        <f>HYPERLINK("http://141.218.60.56/~jnz1568/getInfo.php?workbook=12_05.xlsx&amp;sheet=U0&amp;row=6755&amp;col=6&amp;number=4.1&amp;sourceID=14","4.1")</f>
        <v>4.1</v>
      </c>
      <c r="G6755" s="4" t="str">
        <f>HYPERLINK("http://141.218.60.56/~jnz1568/getInfo.php?workbook=12_05.xlsx&amp;sheet=U0&amp;row=6755&amp;col=7&amp;number=0.00136&amp;sourceID=14","0.00136")</f>
        <v>0.00136</v>
      </c>
    </row>
    <row r="6756" spans="1:7">
      <c r="A6756" s="3"/>
      <c r="B6756" s="3"/>
      <c r="C6756" s="3"/>
      <c r="D6756" s="3"/>
      <c r="E6756" s="3">
        <v>13</v>
      </c>
      <c r="F6756" s="4" t="str">
        <f>HYPERLINK("http://141.218.60.56/~jnz1568/getInfo.php?workbook=12_05.xlsx&amp;sheet=U0&amp;row=6756&amp;col=6&amp;number=4.2&amp;sourceID=14","4.2")</f>
        <v>4.2</v>
      </c>
      <c r="G6756" s="4" t="str">
        <f>HYPERLINK("http://141.218.60.56/~jnz1568/getInfo.php?workbook=12_05.xlsx&amp;sheet=U0&amp;row=6756&amp;col=7&amp;number=0.00135&amp;sourceID=14","0.00135")</f>
        <v>0.00135</v>
      </c>
    </row>
    <row r="6757" spans="1:7">
      <c r="A6757" s="3"/>
      <c r="B6757" s="3"/>
      <c r="C6757" s="3"/>
      <c r="D6757" s="3"/>
      <c r="E6757" s="3">
        <v>14</v>
      </c>
      <c r="F6757" s="4" t="str">
        <f>HYPERLINK("http://141.218.60.56/~jnz1568/getInfo.php?workbook=12_05.xlsx&amp;sheet=U0&amp;row=6757&amp;col=6&amp;number=4.3&amp;sourceID=14","4.3")</f>
        <v>4.3</v>
      </c>
      <c r="G6757" s="4" t="str">
        <f>HYPERLINK("http://141.218.60.56/~jnz1568/getInfo.php?workbook=12_05.xlsx&amp;sheet=U0&amp;row=6757&amp;col=7&amp;number=0.00134&amp;sourceID=14","0.00134")</f>
        <v>0.00134</v>
      </c>
    </row>
    <row r="6758" spans="1:7">
      <c r="A6758" s="3"/>
      <c r="B6758" s="3"/>
      <c r="C6758" s="3"/>
      <c r="D6758" s="3"/>
      <c r="E6758" s="3">
        <v>15</v>
      </c>
      <c r="F6758" s="4" t="str">
        <f>HYPERLINK("http://141.218.60.56/~jnz1568/getInfo.php?workbook=12_05.xlsx&amp;sheet=U0&amp;row=6758&amp;col=6&amp;number=4.4&amp;sourceID=14","4.4")</f>
        <v>4.4</v>
      </c>
      <c r="G6758" s="4" t="str">
        <f>HYPERLINK("http://141.218.60.56/~jnz1568/getInfo.php?workbook=12_05.xlsx&amp;sheet=U0&amp;row=6758&amp;col=7&amp;number=0.00134&amp;sourceID=14","0.00134")</f>
        <v>0.00134</v>
      </c>
    </row>
    <row r="6759" spans="1:7">
      <c r="A6759" s="3"/>
      <c r="B6759" s="3"/>
      <c r="C6759" s="3"/>
      <c r="D6759" s="3"/>
      <c r="E6759" s="3">
        <v>16</v>
      </c>
      <c r="F6759" s="4" t="str">
        <f>HYPERLINK("http://141.218.60.56/~jnz1568/getInfo.php?workbook=12_05.xlsx&amp;sheet=U0&amp;row=6759&amp;col=6&amp;number=4.5&amp;sourceID=14","4.5")</f>
        <v>4.5</v>
      </c>
      <c r="G6759" s="4" t="str">
        <f>HYPERLINK("http://141.218.60.56/~jnz1568/getInfo.php?workbook=12_05.xlsx&amp;sheet=U0&amp;row=6759&amp;col=7&amp;number=0.00132&amp;sourceID=14","0.00132")</f>
        <v>0.00132</v>
      </c>
    </row>
    <row r="6760" spans="1:7">
      <c r="A6760" s="3"/>
      <c r="B6760" s="3"/>
      <c r="C6760" s="3"/>
      <c r="D6760" s="3"/>
      <c r="E6760" s="3">
        <v>17</v>
      </c>
      <c r="F6760" s="4" t="str">
        <f>HYPERLINK("http://141.218.60.56/~jnz1568/getInfo.php?workbook=12_05.xlsx&amp;sheet=U0&amp;row=6760&amp;col=6&amp;number=4.6&amp;sourceID=14","4.6")</f>
        <v>4.6</v>
      </c>
      <c r="G6760" s="4" t="str">
        <f>HYPERLINK("http://141.218.60.56/~jnz1568/getInfo.php?workbook=12_05.xlsx&amp;sheet=U0&amp;row=6760&amp;col=7&amp;number=0.00131&amp;sourceID=14","0.00131")</f>
        <v>0.00131</v>
      </c>
    </row>
    <row r="6761" spans="1:7">
      <c r="A6761" s="3"/>
      <c r="B6761" s="3"/>
      <c r="C6761" s="3"/>
      <c r="D6761" s="3"/>
      <c r="E6761" s="3">
        <v>18</v>
      </c>
      <c r="F6761" s="4" t="str">
        <f>HYPERLINK("http://141.218.60.56/~jnz1568/getInfo.php?workbook=12_05.xlsx&amp;sheet=U0&amp;row=6761&amp;col=6&amp;number=4.7&amp;sourceID=14","4.7")</f>
        <v>4.7</v>
      </c>
      <c r="G6761" s="4" t="str">
        <f>HYPERLINK("http://141.218.60.56/~jnz1568/getInfo.php?workbook=12_05.xlsx&amp;sheet=U0&amp;row=6761&amp;col=7&amp;number=0.00129&amp;sourceID=14","0.00129")</f>
        <v>0.00129</v>
      </c>
    </row>
    <row r="6762" spans="1:7">
      <c r="A6762" s="3"/>
      <c r="B6762" s="3"/>
      <c r="C6762" s="3"/>
      <c r="D6762" s="3"/>
      <c r="E6762" s="3">
        <v>19</v>
      </c>
      <c r="F6762" s="4" t="str">
        <f>HYPERLINK("http://141.218.60.56/~jnz1568/getInfo.php?workbook=12_05.xlsx&amp;sheet=U0&amp;row=6762&amp;col=6&amp;number=4.8&amp;sourceID=14","4.8")</f>
        <v>4.8</v>
      </c>
      <c r="G6762" s="4" t="str">
        <f>HYPERLINK("http://141.218.60.56/~jnz1568/getInfo.php?workbook=12_05.xlsx&amp;sheet=U0&amp;row=6762&amp;col=7&amp;number=0.00127&amp;sourceID=14","0.00127")</f>
        <v>0.00127</v>
      </c>
    </row>
    <row r="6763" spans="1:7">
      <c r="A6763" s="3"/>
      <c r="B6763" s="3"/>
      <c r="C6763" s="3"/>
      <c r="D6763" s="3"/>
      <c r="E6763" s="3">
        <v>20</v>
      </c>
      <c r="F6763" s="4" t="str">
        <f>HYPERLINK("http://141.218.60.56/~jnz1568/getInfo.php?workbook=12_05.xlsx&amp;sheet=U0&amp;row=6763&amp;col=6&amp;number=4.9&amp;sourceID=14","4.9")</f>
        <v>4.9</v>
      </c>
      <c r="G6763" s="4" t="str">
        <f>HYPERLINK("http://141.218.60.56/~jnz1568/getInfo.php?workbook=12_05.xlsx&amp;sheet=U0&amp;row=6763&amp;col=7&amp;number=0.00125&amp;sourceID=14","0.00125")</f>
        <v>0.00125</v>
      </c>
    </row>
    <row r="6764" spans="1:7">
      <c r="A6764" s="3">
        <v>12</v>
      </c>
      <c r="B6764" s="3">
        <v>5</v>
      </c>
      <c r="C6764" s="3">
        <v>4</v>
      </c>
      <c r="D6764" s="3">
        <v>95</v>
      </c>
      <c r="E6764" s="3">
        <v>1</v>
      </c>
      <c r="F6764" s="4" t="str">
        <f>HYPERLINK("http://141.218.60.56/~jnz1568/getInfo.php?workbook=12_05.xlsx&amp;sheet=U0&amp;row=6764&amp;col=6&amp;number=3&amp;sourceID=14","3")</f>
        <v>3</v>
      </c>
      <c r="G6764" s="4" t="str">
        <f>HYPERLINK("http://141.218.60.56/~jnz1568/getInfo.php?workbook=12_05.xlsx&amp;sheet=U0&amp;row=6764&amp;col=7&amp;number=0.0157&amp;sourceID=14","0.0157")</f>
        <v>0.0157</v>
      </c>
    </row>
    <row r="6765" spans="1:7">
      <c r="A6765" s="3"/>
      <c r="B6765" s="3"/>
      <c r="C6765" s="3"/>
      <c r="D6765" s="3"/>
      <c r="E6765" s="3">
        <v>2</v>
      </c>
      <c r="F6765" s="4" t="str">
        <f>HYPERLINK("http://141.218.60.56/~jnz1568/getInfo.php?workbook=12_05.xlsx&amp;sheet=U0&amp;row=6765&amp;col=6&amp;number=3.1&amp;sourceID=14","3.1")</f>
        <v>3.1</v>
      </c>
      <c r="G6765" s="4" t="str">
        <f>HYPERLINK("http://141.218.60.56/~jnz1568/getInfo.php?workbook=12_05.xlsx&amp;sheet=U0&amp;row=6765&amp;col=7&amp;number=0.0157&amp;sourceID=14","0.0157")</f>
        <v>0.0157</v>
      </c>
    </row>
    <row r="6766" spans="1:7">
      <c r="A6766" s="3"/>
      <c r="B6766" s="3"/>
      <c r="C6766" s="3"/>
      <c r="D6766" s="3"/>
      <c r="E6766" s="3">
        <v>3</v>
      </c>
      <c r="F6766" s="4" t="str">
        <f>HYPERLINK("http://141.218.60.56/~jnz1568/getInfo.php?workbook=12_05.xlsx&amp;sheet=U0&amp;row=6766&amp;col=6&amp;number=3.2&amp;sourceID=14","3.2")</f>
        <v>3.2</v>
      </c>
      <c r="G6766" s="4" t="str">
        <f>HYPERLINK("http://141.218.60.56/~jnz1568/getInfo.php?workbook=12_05.xlsx&amp;sheet=U0&amp;row=6766&amp;col=7&amp;number=0.0157&amp;sourceID=14","0.0157")</f>
        <v>0.0157</v>
      </c>
    </row>
    <row r="6767" spans="1:7">
      <c r="A6767" s="3"/>
      <c r="B6767" s="3"/>
      <c r="C6767" s="3"/>
      <c r="D6767" s="3"/>
      <c r="E6767" s="3">
        <v>4</v>
      </c>
      <c r="F6767" s="4" t="str">
        <f>HYPERLINK("http://141.218.60.56/~jnz1568/getInfo.php?workbook=12_05.xlsx&amp;sheet=U0&amp;row=6767&amp;col=6&amp;number=3.3&amp;sourceID=14","3.3")</f>
        <v>3.3</v>
      </c>
      <c r="G6767" s="4" t="str">
        <f>HYPERLINK("http://141.218.60.56/~jnz1568/getInfo.php?workbook=12_05.xlsx&amp;sheet=U0&amp;row=6767&amp;col=7&amp;number=0.0157&amp;sourceID=14","0.0157")</f>
        <v>0.0157</v>
      </c>
    </row>
    <row r="6768" spans="1:7">
      <c r="A6768" s="3"/>
      <c r="B6768" s="3"/>
      <c r="C6768" s="3"/>
      <c r="D6768" s="3"/>
      <c r="E6768" s="3">
        <v>5</v>
      </c>
      <c r="F6768" s="4" t="str">
        <f>HYPERLINK("http://141.218.60.56/~jnz1568/getInfo.php?workbook=12_05.xlsx&amp;sheet=U0&amp;row=6768&amp;col=6&amp;number=3.4&amp;sourceID=14","3.4")</f>
        <v>3.4</v>
      </c>
      <c r="G6768" s="4" t="str">
        <f>HYPERLINK("http://141.218.60.56/~jnz1568/getInfo.php?workbook=12_05.xlsx&amp;sheet=U0&amp;row=6768&amp;col=7&amp;number=0.0157&amp;sourceID=14","0.0157")</f>
        <v>0.0157</v>
      </c>
    </row>
    <row r="6769" spans="1:7">
      <c r="A6769" s="3"/>
      <c r="B6769" s="3"/>
      <c r="C6769" s="3"/>
      <c r="D6769" s="3"/>
      <c r="E6769" s="3">
        <v>6</v>
      </c>
      <c r="F6769" s="4" t="str">
        <f>HYPERLINK("http://141.218.60.56/~jnz1568/getInfo.php?workbook=12_05.xlsx&amp;sheet=U0&amp;row=6769&amp;col=6&amp;number=3.5&amp;sourceID=14","3.5")</f>
        <v>3.5</v>
      </c>
      <c r="G6769" s="4" t="str">
        <f>HYPERLINK("http://141.218.60.56/~jnz1568/getInfo.php?workbook=12_05.xlsx&amp;sheet=U0&amp;row=6769&amp;col=7&amp;number=0.0157&amp;sourceID=14","0.0157")</f>
        <v>0.0157</v>
      </c>
    </row>
    <row r="6770" spans="1:7">
      <c r="A6770" s="3"/>
      <c r="B6770" s="3"/>
      <c r="C6770" s="3"/>
      <c r="D6770" s="3"/>
      <c r="E6770" s="3">
        <v>7</v>
      </c>
      <c r="F6770" s="4" t="str">
        <f>HYPERLINK("http://141.218.60.56/~jnz1568/getInfo.php?workbook=12_05.xlsx&amp;sheet=U0&amp;row=6770&amp;col=6&amp;number=3.6&amp;sourceID=14","3.6")</f>
        <v>3.6</v>
      </c>
      <c r="G6770" s="4" t="str">
        <f>HYPERLINK("http://141.218.60.56/~jnz1568/getInfo.php?workbook=12_05.xlsx&amp;sheet=U0&amp;row=6770&amp;col=7&amp;number=0.0157&amp;sourceID=14","0.0157")</f>
        <v>0.0157</v>
      </c>
    </row>
    <row r="6771" spans="1:7">
      <c r="A6771" s="3"/>
      <c r="B6771" s="3"/>
      <c r="C6771" s="3"/>
      <c r="D6771" s="3"/>
      <c r="E6771" s="3">
        <v>8</v>
      </c>
      <c r="F6771" s="4" t="str">
        <f>HYPERLINK("http://141.218.60.56/~jnz1568/getInfo.php?workbook=12_05.xlsx&amp;sheet=U0&amp;row=6771&amp;col=6&amp;number=3.7&amp;sourceID=14","3.7")</f>
        <v>3.7</v>
      </c>
      <c r="G6771" s="4" t="str">
        <f>HYPERLINK("http://141.218.60.56/~jnz1568/getInfo.php?workbook=12_05.xlsx&amp;sheet=U0&amp;row=6771&amp;col=7&amp;number=0.0156&amp;sourceID=14","0.0156")</f>
        <v>0.0156</v>
      </c>
    </row>
    <row r="6772" spans="1:7">
      <c r="A6772" s="3"/>
      <c r="B6772" s="3"/>
      <c r="C6772" s="3"/>
      <c r="D6772" s="3"/>
      <c r="E6772" s="3">
        <v>9</v>
      </c>
      <c r="F6772" s="4" t="str">
        <f>HYPERLINK("http://141.218.60.56/~jnz1568/getInfo.php?workbook=12_05.xlsx&amp;sheet=U0&amp;row=6772&amp;col=6&amp;number=3.8&amp;sourceID=14","3.8")</f>
        <v>3.8</v>
      </c>
      <c r="G6772" s="4" t="str">
        <f>HYPERLINK("http://141.218.60.56/~jnz1568/getInfo.php?workbook=12_05.xlsx&amp;sheet=U0&amp;row=6772&amp;col=7&amp;number=0.0156&amp;sourceID=14","0.0156")</f>
        <v>0.0156</v>
      </c>
    </row>
    <row r="6773" spans="1:7">
      <c r="A6773" s="3"/>
      <c r="B6773" s="3"/>
      <c r="C6773" s="3"/>
      <c r="D6773" s="3"/>
      <c r="E6773" s="3">
        <v>10</v>
      </c>
      <c r="F6773" s="4" t="str">
        <f>HYPERLINK("http://141.218.60.56/~jnz1568/getInfo.php?workbook=12_05.xlsx&amp;sheet=U0&amp;row=6773&amp;col=6&amp;number=3.9&amp;sourceID=14","3.9")</f>
        <v>3.9</v>
      </c>
      <c r="G6773" s="4" t="str">
        <f>HYPERLINK("http://141.218.60.56/~jnz1568/getInfo.php?workbook=12_05.xlsx&amp;sheet=U0&amp;row=6773&amp;col=7&amp;number=0.0156&amp;sourceID=14","0.0156")</f>
        <v>0.0156</v>
      </c>
    </row>
    <row r="6774" spans="1:7">
      <c r="A6774" s="3"/>
      <c r="B6774" s="3"/>
      <c r="C6774" s="3"/>
      <c r="D6774" s="3"/>
      <c r="E6774" s="3">
        <v>11</v>
      </c>
      <c r="F6774" s="4" t="str">
        <f>HYPERLINK("http://141.218.60.56/~jnz1568/getInfo.php?workbook=12_05.xlsx&amp;sheet=U0&amp;row=6774&amp;col=6&amp;number=4&amp;sourceID=14","4")</f>
        <v>4</v>
      </c>
      <c r="G6774" s="4" t="str">
        <f>HYPERLINK("http://141.218.60.56/~jnz1568/getInfo.php?workbook=12_05.xlsx&amp;sheet=U0&amp;row=6774&amp;col=7&amp;number=0.0155&amp;sourceID=14","0.0155")</f>
        <v>0.0155</v>
      </c>
    </row>
    <row r="6775" spans="1:7">
      <c r="A6775" s="3"/>
      <c r="B6775" s="3"/>
      <c r="C6775" s="3"/>
      <c r="D6775" s="3"/>
      <c r="E6775" s="3">
        <v>12</v>
      </c>
      <c r="F6775" s="4" t="str">
        <f>HYPERLINK("http://141.218.60.56/~jnz1568/getInfo.php?workbook=12_05.xlsx&amp;sheet=U0&amp;row=6775&amp;col=6&amp;number=4.1&amp;sourceID=14","4.1")</f>
        <v>4.1</v>
      </c>
      <c r="G6775" s="4" t="str">
        <f>HYPERLINK("http://141.218.60.56/~jnz1568/getInfo.php?workbook=12_05.xlsx&amp;sheet=U0&amp;row=6775&amp;col=7&amp;number=0.0155&amp;sourceID=14","0.0155")</f>
        <v>0.0155</v>
      </c>
    </row>
    <row r="6776" spans="1:7">
      <c r="A6776" s="3"/>
      <c r="B6776" s="3"/>
      <c r="C6776" s="3"/>
      <c r="D6776" s="3"/>
      <c r="E6776" s="3">
        <v>13</v>
      </c>
      <c r="F6776" s="4" t="str">
        <f>HYPERLINK("http://141.218.60.56/~jnz1568/getInfo.php?workbook=12_05.xlsx&amp;sheet=U0&amp;row=6776&amp;col=6&amp;number=4.2&amp;sourceID=14","4.2")</f>
        <v>4.2</v>
      </c>
      <c r="G6776" s="4" t="str">
        <f>HYPERLINK("http://141.218.60.56/~jnz1568/getInfo.php?workbook=12_05.xlsx&amp;sheet=U0&amp;row=6776&amp;col=7&amp;number=0.0154&amp;sourceID=14","0.0154")</f>
        <v>0.0154</v>
      </c>
    </row>
    <row r="6777" spans="1:7">
      <c r="A6777" s="3"/>
      <c r="B6777" s="3"/>
      <c r="C6777" s="3"/>
      <c r="D6777" s="3"/>
      <c r="E6777" s="3">
        <v>14</v>
      </c>
      <c r="F6777" s="4" t="str">
        <f>HYPERLINK("http://141.218.60.56/~jnz1568/getInfo.php?workbook=12_05.xlsx&amp;sheet=U0&amp;row=6777&amp;col=6&amp;number=4.3&amp;sourceID=14","4.3")</f>
        <v>4.3</v>
      </c>
      <c r="G6777" s="4" t="str">
        <f>HYPERLINK("http://141.218.60.56/~jnz1568/getInfo.php?workbook=12_05.xlsx&amp;sheet=U0&amp;row=6777&amp;col=7&amp;number=0.0153&amp;sourceID=14","0.0153")</f>
        <v>0.0153</v>
      </c>
    </row>
    <row r="6778" spans="1:7">
      <c r="A6778" s="3"/>
      <c r="B6778" s="3"/>
      <c r="C6778" s="3"/>
      <c r="D6778" s="3"/>
      <c r="E6778" s="3">
        <v>15</v>
      </c>
      <c r="F6778" s="4" t="str">
        <f>HYPERLINK("http://141.218.60.56/~jnz1568/getInfo.php?workbook=12_05.xlsx&amp;sheet=U0&amp;row=6778&amp;col=6&amp;number=4.4&amp;sourceID=14","4.4")</f>
        <v>4.4</v>
      </c>
      <c r="G6778" s="4" t="str">
        <f>HYPERLINK("http://141.218.60.56/~jnz1568/getInfo.php?workbook=12_05.xlsx&amp;sheet=U0&amp;row=6778&amp;col=7&amp;number=0.0152&amp;sourceID=14","0.0152")</f>
        <v>0.0152</v>
      </c>
    </row>
    <row r="6779" spans="1:7">
      <c r="A6779" s="3"/>
      <c r="B6779" s="3"/>
      <c r="C6779" s="3"/>
      <c r="D6779" s="3"/>
      <c r="E6779" s="3">
        <v>16</v>
      </c>
      <c r="F6779" s="4" t="str">
        <f>HYPERLINK("http://141.218.60.56/~jnz1568/getInfo.php?workbook=12_05.xlsx&amp;sheet=U0&amp;row=6779&amp;col=6&amp;number=4.5&amp;sourceID=14","4.5")</f>
        <v>4.5</v>
      </c>
      <c r="G6779" s="4" t="str">
        <f>HYPERLINK("http://141.218.60.56/~jnz1568/getInfo.php?workbook=12_05.xlsx&amp;sheet=U0&amp;row=6779&amp;col=7&amp;number=0.0151&amp;sourceID=14","0.0151")</f>
        <v>0.0151</v>
      </c>
    </row>
    <row r="6780" spans="1:7">
      <c r="A6780" s="3"/>
      <c r="B6780" s="3"/>
      <c r="C6780" s="3"/>
      <c r="D6780" s="3"/>
      <c r="E6780" s="3">
        <v>17</v>
      </c>
      <c r="F6780" s="4" t="str">
        <f>HYPERLINK("http://141.218.60.56/~jnz1568/getInfo.php?workbook=12_05.xlsx&amp;sheet=U0&amp;row=6780&amp;col=6&amp;number=4.6&amp;sourceID=14","4.6")</f>
        <v>4.6</v>
      </c>
      <c r="G6780" s="4" t="str">
        <f>HYPERLINK("http://141.218.60.56/~jnz1568/getInfo.php?workbook=12_05.xlsx&amp;sheet=U0&amp;row=6780&amp;col=7&amp;number=0.015&amp;sourceID=14","0.015")</f>
        <v>0.015</v>
      </c>
    </row>
    <row r="6781" spans="1:7">
      <c r="A6781" s="3"/>
      <c r="B6781" s="3"/>
      <c r="C6781" s="3"/>
      <c r="D6781" s="3"/>
      <c r="E6781" s="3">
        <v>18</v>
      </c>
      <c r="F6781" s="4" t="str">
        <f>HYPERLINK("http://141.218.60.56/~jnz1568/getInfo.php?workbook=12_05.xlsx&amp;sheet=U0&amp;row=6781&amp;col=6&amp;number=4.7&amp;sourceID=14","4.7")</f>
        <v>4.7</v>
      </c>
      <c r="G6781" s="4" t="str">
        <f>HYPERLINK("http://141.218.60.56/~jnz1568/getInfo.php?workbook=12_05.xlsx&amp;sheet=U0&amp;row=6781&amp;col=7&amp;number=0.0148&amp;sourceID=14","0.0148")</f>
        <v>0.0148</v>
      </c>
    </row>
    <row r="6782" spans="1:7">
      <c r="A6782" s="3"/>
      <c r="B6782" s="3"/>
      <c r="C6782" s="3"/>
      <c r="D6782" s="3"/>
      <c r="E6782" s="3">
        <v>19</v>
      </c>
      <c r="F6782" s="4" t="str">
        <f>HYPERLINK("http://141.218.60.56/~jnz1568/getInfo.php?workbook=12_05.xlsx&amp;sheet=U0&amp;row=6782&amp;col=6&amp;number=4.8&amp;sourceID=14","4.8")</f>
        <v>4.8</v>
      </c>
      <c r="G6782" s="4" t="str">
        <f>HYPERLINK("http://141.218.60.56/~jnz1568/getInfo.php?workbook=12_05.xlsx&amp;sheet=U0&amp;row=6782&amp;col=7&amp;number=0.0145&amp;sourceID=14","0.0145")</f>
        <v>0.0145</v>
      </c>
    </row>
    <row r="6783" spans="1:7">
      <c r="A6783" s="3"/>
      <c r="B6783" s="3"/>
      <c r="C6783" s="3"/>
      <c r="D6783" s="3"/>
      <c r="E6783" s="3">
        <v>20</v>
      </c>
      <c r="F6783" s="4" t="str">
        <f>HYPERLINK("http://141.218.60.56/~jnz1568/getInfo.php?workbook=12_05.xlsx&amp;sheet=U0&amp;row=6783&amp;col=6&amp;number=4.9&amp;sourceID=14","4.9")</f>
        <v>4.9</v>
      </c>
      <c r="G6783" s="4" t="str">
        <f>HYPERLINK("http://141.218.60.56/~jnz1568/getInfo.php?workbook=12_05.xlsx&amp;sheet=U0&amp;row=6783&amp;col=7&amp;number=0.0143&amp;sourceID=14","0.0143")</f>
        <v>0.0143</v>
      </c>
    </row>
    <row r="6784" spans="1:7">
      <c r="A6784" s="3">
        <v>12</v>
      </c>
      <c r="B6784" s="3">
        <v>5</v>
      </c>
      <c r="C6784" s="3">
        <v>4</v>
      </c>
      <c r="D6784" s="3">
        <v>96</v>
      </c>
      <c r="E6784" s="3">
        <v>1</v>
      </c>
      <c r="F6784" s="4" t="str">
        <f>HYPERLINK("http://141.218.60.56/~jnz1568/getInfo.php?workbook=12_05.xlsx&amp;sheet=U0&amp;row=6784&amp;col=6&amp;number=3&amp;sourceID=14","3")</f>
        <v>3</v>
      </c>
      <c r="G6784" s="4" t="str">
        <f>HYPERLINK("http://141.218.60.56/~jnz1568/getInfo.php?workbook=12_05.xlsx&amp;sheet=U0&amp;row=6784&amp;col=7&amp;number=0.000368&amp;sourceID=14","0.000368")</f>
        <v>0.000368</v>
      </c>
    </row>
    <row r="6785" spans="1:7">
      <c r="A6785" s="3"/>
      <c r="B6785" s="3"/>
      <c r="C6785" s="3"/>
      <c r="D6785" s="3"/>
      <c r="E6785" s="3">
        <v>2</v>
      </c>
      <c r="F6785" s="4" t="str">
        <f>HYPERLINK("http://141.218.60.56/~jnz1568/getInfo.php?workbook=12_05.xlsx&amp;sheet=U0&amp;row=6785&amp;col=6&amp;number=3.1&amp;sourceID=14","3.1")</f>
        <v>3.1</v>
      </c>
      <c r="G6785" s="4" t="str">
        <f>HYPERLINK("http://141.218.60.56/~jnz1568/getInfo.php?workbook=12_05.xlsx&amp;sheet=U0&amp;row=6785&amp;col=7&amp;number=0.000368&amp;sourceID=14","0.000368")</f>
        <v>0.000368</v>
      </c>
    </row>
    <row r="6786" spans="1:7">
      <c r="A6786" s="3"/>
      <c r="B6786" s="3"/>
      <c r="C6786" s="3"/>
      <c r="D6786" s="3"/>
      <c r="E6786" s="3">
        <v>3</v>
      </c>
      <c r="F6786" s="4" t="str">
        <f>HYPERLINK("http://141.218.60.56/~jnz1568/getInfo.php?workbook=12_05.xlsx&amp;sheet=U0&amp;row=6786&amp;col=6&amp;number=3.2&amp;sourceID=14","3.2")</f>
        <v>3.2</v>
      </c>
      <c r="G6786" s="4" t="str">
        <f>HYPERLINK("http://141.218.60.56/~jnz1568/getInfo.php?workbook=12_05.xlsx&amp;sheet=U0&amp;row=6786&amp;col=7&amp;number=0.000367&amp;sourceID=14","0.000367")</f>
        <v>0.000367</v>
      </c>
    </row>
    <row r="6787" spans="1:7">
      <c r="A6787" s="3"/>
      <c r="B6787" s="3"/>
      <c r="C6787" s="3"/>
      <c r="D6787" s="3"/>
      <c r="E6787" s="3">
        <v>4</v>
      </c>
      <c r="F6787" s="4" t="str">
        <f>HYPERLINK("http://141.218.60.56/~jnz1568/getInfo.php?workbook=12_05.xlsx&amp;sheet=U0&amp;row=6787&amp;col=6&amp;number=3.3&amp;sourceID=14","3.3")</f>
        <v>3.3</v>
      </c>
      <c r="G6787" s="4" t="str">
        <f>HYPERLINK("http://141.218.60.56/~jnz1568/getInfo.php?workbook=12_05.xlsx&amp;sheet=U0&amp;row=6787&amp;col=7&amp;number=0.000367&amp;sourceID=14","0.000367")</f>
        <v>0.000367</v>
      </c>
    </row>
    <row r="6788" spans="1:7">
      <c r="A6788" s="3"/>
      <c r="B6788" s="3"/>
      <c r="C6788" s="3"/>
      <c r="D6788" s="3"/>
      <c r="E6788" s="3">
        <v>5</v>
      </c>
      <c r="F6788" s="4" t="str">
        <f>HYPERLINK("http://141.218.60.56/~jnz1568/getInfo.php?workbook=12_05.xlsx&amp;sheet=U0&amp;row=6788&amp;col=6&amp;number=3.4&amp;sourceID=14","3.4")</f>
        <v>3.4</v>
      </c>
      <c r="G6788" s="4" t="str">
        <f>HYPERLINK("http://141.218.60.56/~jnz1568/getInfo.php?workbook=12_05.xlsx&amp;sheet=U0&amp;row=6788&amp;col=7&amp;number=0.000367&amp;sourceID=14","0.000367")</f>
        <v>0.000367</v>
      </c>
    </row>
    <row r="6789" spans="1:7">
      <c r="A6789" s="3"/>
      <c r="B6789" s="3"/>
      <c r="C6789" s="3"/>
      <c r="D6789" s="3"/>
      <c r="E6789" s="3">
        <v>6</v>
      </c>
      <c r="F6789" s="4" t="str">
        <f>HYPERLINK("http://141.218.60.56/~jnz1568/getInfo.php?workbook=12_05.xlsx&amp;sheet=U0&amp;row=6789&amp;col=6&amp;number=3.5&amp;sourceID=14","3.5")</f>
        <v>3.5</v>
      </c>
      <c r="G6789" s="4" t="str">
        <f>HYPERLINK("http://141.218.60.56/~jnz1568/getInfo.php?workbook=12_05.xlsx&amp;sheet=U0&amp;row=6789&amp;col=7&amp;number=0.000367&amp;sourceID=14","0.000367")</f>
        <v>0.000367</v>
      </c>
    </row>
    <row r="6790" spans="1:7">
      <c r="A6790" s="3"/>
      <c r="B6790" s="3"/>
      <c r="C6790" s="3"/>
      <c r="D6790" s="3"/>
      <c r="E6790" s="3">
        <v>7</v>
      </c>
      <c r="F6790" s="4" t="str">
        <f>HYPERLINK("http://141.218.60.56/~jnz1568/getInfo.php?workbook=12_05.xlsx&amp;sheet=U0&amp;row=6790&amp;col=6&amp;number=3.6&amp;sourceID=14","3.6")</f>
        <v>3.6</v>
      </c>
      <c r="G6790" s="4" t="str">
        <f>HYPERLINK("http://141.218.60.56/~jnz1568/getInfo.php?workbook=12_05.xlsx&amp;sheet=U0&amp;row=6790&amp;col=7&amp;number=0.000366&amp;sourceID=14","0.000366")</f>
        <v>0.000366</v>
      </c>
    </row>
    <row r="6791" spans="1:7">
      <c r="A6791" s="3"/>
      <c r="B6791" s="3"/>
      <c r="C6791" s="3"/>
      <c r="D6791" s="3"/>
      <c r="E6791" s="3">
        <v>8</v>
      </c>
      <c r="F6791" s="4" t="str">
        <f>HYPERLINK("http://141.218.60.56/~jnz1568/getInfo.php?workbook=12_05.xlsx&amp;sheet=U0&amp;row=6791&amp;col=6&amp;number=3.7&amp;sourceID=14","3.7")</f>
        <v>3.7</v>
      </c>
      <c r="G6791" s="4" t="str">
        <f>HYPERLINK("http://141.218.60.56/~jnz1568/getInfo.php?workbook=12_05.xlsx&amp;sheet=U0&amp;row=6791&amp;col=7&amp;number=0.000366&amp;sourceID=14","0.000366")</f>
        <v>0.000366</v>
      </c>
    </row>
    <row r="6792" spans="1:7">
      <c r="A6792" s="3"/>
      <c r="B6792" s="3"/>
      <c r="C6792" s="3"/>
      <c r="D6792" s="3"/>
      <c r="E6792" s="3">
        <v>9</v>
      </c>
      <c r="F6792" s="4" t="str">
        <f>HYPERLINK("http://141.218.60.56/~jnz1568/getInfo.php?workbook=12_05.xlsx&amp;sheet=U0&amp;row=6792&amp;col=6&amp;number=3.8&amp;sourceID=14","3.8")</f>
        <v>3.8</v>
      </c>
      <c r="G6792" s="4" t="str">
        <f>HYPERLINK("http://141.218.60.56/~jnz1568/getInfo.php?workbook=12_05.xlsx&amp;sheet=U0&amp;row=6792&amp;col=7&amp;number=0.000366&amp;sourceID=14","0.000366")</f>
        <v>0.000366</v>
      </c>
    </row>
    <row r="6793" spans="1:7">
      <c r="A6793" s="3"/>
      <c r="B6793" s="3"/>
      <c r="C6793" s="3"/>
      <c r="D6793" s="3"/>
      <c r="E6793" s="3">
        <v>10</v>
      </c>
      <c r="F6793" s="4" t="str">
        <f>HYPERLINK("http://141.218.60.56/~jnz1568/getInfo.php?workbook=12_05.xlsx&amp;sheet=U0&amp;row=6793&amp;col=6&amp;number=3.9&amp;sourceID=14","3.9")</f>
        <v>3.9</v>
      </c>
      <c r="G6793" s="4" t="str">
        <f>HYPERLINK("http://141.218.60.56/~jnz1568/getInfo.php?workbook=12_05.xlsx&amp;sheet=U0&amp;row=6793&amp;col=7&amp;number=0.000365&amp;sourceID=14","0.000365")</f>
        <v>0.000365</v>
      </c>
    </row>
    <row r="6794" spans="1:7">
      <c r="A6794" s="3"/>
      <c r="B6794" s="3"/>
      <c r="C6794" s="3"/>
      <c r="D6794" s="3"/>
      <c r="E6794" s="3">
        <v>11</v>
      </c>
      <c r="F6794" s="4" t="str">
        <f>HYPERLINK("http://141.218.60.56/~jnz1568/getInfo.php?workbook=12_05.xlsx&amp;sheet=U0&amp;row=6794&amp;col=6&amp;number=4&amp;sourceID=14","4")</f>
        <v>4</v>
      </c>
      <c r="G6794" s="4" t="str">
        <f>HYPERLINK("http://141.218.60.56/~jnz1568/getInfo.php?workbook=12_05.xlsx&amp;sheet=U0&amp;row=6794&amp;col=7&amp;number=0.000364&amp;sourceID=14","0.000364")</f>
        <v>0.000364</v>
      </c>
    </row>
    <row r="6795" spans="1:7">
      <c r="A6795" s="3"/>
      <c r="B6795" s="3"/>
      <c r="C6795" s="3"/>
      <c r="D6795" s="3"/>
      <c r="E6795" s="3">
        <v>12</v>
      </c>
      <c r="F6795" s="4" t="str">
        <f>HYPERLINK("http://141.218.60.56/~jnz1568/getInfo.php?workbook=12_05.xlsx&amp;sheet=U0&amp;row=6795&amp;col=6&amp;number=4.1&amp;sourceID=14","4.1")</f>
        <v>4.1</v>
      </c>
      <c r="G6795" s="4" t="str">
        <f>HYPERLINK("http://141.218.60.56/~jnz1568/getInfo.php?workbook=12_05.xlsx&amp;sheet=U0&amp;row=6795&amp;col=7&amp;number=0.000363&amp;sourceID=14","0.000363")</f>
        <v>0.000363</v>
      </c>
    </row>
    <row r="6796" spans="1:7">
      <c r="A6796" s="3"/>
      <c r="B6796" s="3"/>
      <c r="C6796" s="3"/>
      <c r="D6796" s="3"/>
      <c r="E6796" s="3">
        <v>13</v>
      </c>
      <c r="F6796" s="4" t="str">
        <f>HYPERLINK("http://141.218.60.56/~jnz1568/getInfo.php?workbook=12_05.xlsx&amp;sheet=U0&amp;row=6796&amp;col=6&amp;number=4.2&amp;sourceID=14","4.2")</f>
        <v>4.2</v>
      </c>
      <c r="G6796" s="4" t="str">
        <f>HYPERLINK("http://141.218.60.56/~jnz1568/getInfo.php?workbook=12_05.xlsx&amp;sheet=U0&amp;row=6796&amp;col=7&amp;number=0.000362&amp;sourceID=14","0.000362")</f>
        <v>0.000362</v>
      </c>
    </row>
    <row r="6797" spans="1:7">
      <c r="A6797" s="3"/>
      <c r="B6797" s="3"/>
      <c r="C6797" s="3"/>
      <c r="D6797" s="3"/>
      <c r="E6797" s="3">
        <v>14</v>
      </c>
      <c r="F6797" s="4" t="str">
        <f>HYPERLINK("http://141.218.60.56/~jnz1568/getInfo.php?workbook=12_05.xlsx&amp;sheet=U0&amp;row=6797&amp;col=6&amp;number=4.3&amp;sourceID=14","4.3")</f>
        <v>4.3</v>
      </c>
      <c r="G6797" s="4" t="str">
        <f>HYPERLINK("http://141.218.60.56/~jnz1568/getInfo.php?workbook=12_05.xlsx&amp;sheet=U0&amp;row=6797&amp;col=7&amp;number=0.00036&amp;sourceID=14","0.00036")</f>
        <v>0.00036</v>
      </c>
    </row>
    <row r="6798" spans="1:7">
      <c r="A6798" s="3"/>
      <c r="B6798" s="3"/>
      <c r="C6798" s="3"/>
      <c r="D6798" s="3"/>
      <c r="E6798" s="3">
        <v>15</v>
      </c>
      <c r="F6798" s="4" t="str">
        <f>HYPERLINK("http://141.218.60.56/~jnz1568/getInfo.php?workbook=12_05.xlsx&amp;sheet=U0&amp;row=6798&amp;col=6&amp;number=4.4&amp;sourceID=14","4.4")</f>
        <v>4.4</v>
      </c>
      <c r="G6798" s="4" t="str">
        <f>HYPERLINK("http://141.218.60.56/~jnz1568/getInfo.php?workbook=12_05.xlsx&amp;sheet=U0&amp;row=6798&amp;col=7&amp;number=0.000358&amp;sourceID=14","0.000358")</f>
        <v>0.000358</v>
      </c>
    </row>
    <row r="6799" spans="1:7">
      <c r="A6799" s="3"/>
      <c r="B6799" s="3"/>
      <c r="C6799" s="3"/>
      <c r="D6799" s="3"/>
      <c r="E6799" s="3">
        <v>16</v>
      </c>
      <c r="F6799" s="4" t="str">
        <f>HYPERLINK("http://141.218.60.56/~jnz1568/getInfo.php?workbook=12_05.xlsx&amp;sheet=U0&amp;row=6799&amp;col=6&amp;number=4.5&amp;sourceID=14","4.5")</f>
        <v>4.5</v>
      </c>
      <c r="G6799" s="4" t="str">
        <f>HYPERLINK("http://141.218.60.56/~jnz1568/getInfo.php?workbook=12_05.xlsx&amp;sheet=U0&amp;row=6799&amp;col=7&amp;number=0.000356&amp;sourceID=14","0.000356")</f>
        <v>0.000356</v>
      </c>
    </row>
    <row r="6800" spans="1:7">
      <c r="A6800" s="3"/>
      <c r="B6800" s="3"/>
      <c r="C6800" s="3"/>
      <c r="D6800" s="3"/>
      <c r="E6800" s="3">
        <v>17</v>
      </c>
      <c r="F6800" s="4" t="str">
        <f>HYPERLINK("http://141.218.60.56/~jnz1568/getInfo.php?workbook=12_05.xlsx&amp;sheet=U0&amp;row=6800&amp;col=6&amp;number=4.6&amp;sourceID=14","4.6")</f>
        <v>4.6</v>
      </c>
      <c r="G6800" s="4" t="str">
        <f>HYPERLINK("http://141.218.60.56/~jnz1568/getInfo.php?workbook=12_05.xlsx&amp;sheet=U0&amp;row=6800&amp;col=7&amp;number=0.000352&amp;sourceID=14","0.000352")</f>
        <v>0.000352</v>
      </c>
    </row>
    <row r="6801" spans="1:7">
      <c r="A6801" s="3"/>
      <c r="B6801" s="3"/>
      <c r="C6801" s="3"/>
      <c r="D6801" s="3"/>
      <c r="E6801" s="3">
        <v>18</v>
      </c>
      <c r="F6801" s="4" t="str">
        <f>HYPERLINK("http://141.218.60.56/~jnz1568/getInfo.php?workbook=12_05.xlsx&amp;sheet=U0&amp;row=6801&amp;col=6&amp;number=4.7&amp;sourceID=14","4.7")</f>
        <v>4.7</v>
      </c>
      <c r="G6801" s="4" t="str">
        <f>HYPERLINK("http://141.218.60.56/~jnz1568/getInfo.php?workbook=12_05.xlsx&amp;sheet=U0&amp;row=6801&amp;col=7&amp;number=0.000348&amp;sourceID=14","0.000348")</f>
        <v>0.000348</v>
      </c>
    </row>
    <row r="6802" spans="1:7">
      <c r="A6802" s="3"/>
      <c r="B6802" s="3"/>
      <c r="C6802" s="3"/>
      <c r="D6802" s="3"/>
      <c r="E6802" s="3">
        <v>19</v>
      </c>
      <c r="F6802" s="4" t="str">
        <f>HYPERLINK("http://141.218.60.56/~jnz1568/getInfo.php?workbook=12_05.xlsx&amp;sheet=U0&amp;row=6802&amp;col=6&amp;number=4.8&amp;sourceID=14","4.8")</f>
        <v>4.8</v>
      </c>
      <c r="G6802" s="4" t="str">
        <f>HYPERLINK("http://141.218.60.56/~jnz1568/getInfo.php?workbook=12_05.xlsx&amp;sheet=U0&amp;row=6802&amp;col=7&amp;number=0.000344&amp;sourceID=14","0.000344")</f>
        <v>0.000344</v>
      </c>
    </row>
    <row r="6803" spans="1:7">
      <c r="A6803" s="3"/>
      <c r="B6803" s="3"/>
      <c r="C6803" s="3"/>
      <c r="D6803" s="3"/>
      <c r="E6803" s="3">
        <v>20</v>
      </c>
      <c r="F6803" s="4" t="str">
        <f>HYPERLINK("http://141.218.60.56/~jnz1568/getInfo.php?workbook=12_05.xlsx&amp;sheet=U0&amp;row=6803&amp;col=6&amp;number=4.9&amp;sourceID=14","4.9")</f>
        <v>4.9</v>
      </c>
      <c r="G6803" s="4" t="str">
        <f>HYPERLINK("http://141.218.60.56/~jnz1568/getInfo.php?workbook=12_05.xlsx&amp;sheet=U0&amp;row=6803&amp;col=7&amp;number=0.000338&amp;sourceID=14","0.000338")</f>
        <v>0.000338</v>
      </c>
    </row>
    <row r="6804" spans="1:7">
      <c r="A6804" s="3">
        <v>12</v>
      </c>
      <c r="B6804" s="3">
        <v>5</v>
      </c>
      <c r="C6804" s="3">
        <v>4</v>
      </c>
      <c r="D6804" s="3">
        <v>98</v>
      </c>
      <c r="E6804" s="3">
        <v>1</v>
      </c>
      <c r="F6804" s="4" t="str">
        <f>HYPERLINK("http://141.218.60.56/~jnz1568/getInfo.php?workbook=12_05.xlsx&amp;sheet=U0&amp;row=6804&amp;col=6&amp;number=3&amp;sourceID=14","3")</f>
        <v>3</v>
      </c>
      <c r="G6804" s="4" t="str">
        <f>HYPERLINK("http://141.218.60.56/~jnz1568/getInfo.php?workbook=12_05.xlsx&amp;sheet=U0&amp;row=6804&amp;col=7&amp;number=0.00369&amp;sourceID=14","0.00369")</f>
        <v>0.00369</v>
      </c>
    </row>
    <row r="6805" spans="1:7">
      <c r="A6805" s="3"/>
      <c r="B6805" s="3"/>
      <c r="C6805" s="3"/>
      <c r="D6805" s="3"/>
      <c r="E6805" s="3">
        <v>2</v>
      </c>
      <c r="F6805" s="4" t="str">
        <f>HYPERLINK("http://141.218.60.56/~jnz1568/getInfo.php?workbook=12_05.xlsx&amp;sheet=U0&amp;row=6805&amp;col=6&amp;number=3.1&amp;sourceID=14","3.1")</f>
        <v>3.1</v>
      </c>
      <c r="G6805" s="4" t="str">
        <f>HYPERLINK("http://141.218.60.56/~jnz1568/getInfo.php?workbook=12_05.xlsx&amp;sheet=U0&amp;row=6805&amp;col=7&amp;number=0.00369&amp;sourceID=14","0.00369")</f>
        <v>0.00369</v>
      </c>
    </row>
    <row r="6806" spans="1:7">
      <c r="A6806" s="3"/>
      <c r="B6806" s="3"/>
      <c r="C6806" s="3"/>
      <c r="D6806" s="3"/>
      <c r="E6806" s="3">
        <v>3</v>
      </c>
      <c r="F6806" s="4" t="str">
        <f>HYPERLINK("http://141.218.60.56/~jnz1568/getInfo.php?workbook=12_05.xlsx&amp;sheet=U0&amp;row=6806&amp;col=6&amp;number=3.2&amp;sourceID=14","3.2")</f>
        <v>3.2</v>
      </c>
      <c r="G6806" s="4" t="str">
        <f>HYPERLINK("http://141.218.60.56/~jnz1568/getInfo.php?workbook=12_05.xlsx&amp;sheet=U0&amp;row=6806&amp;col=7&amp;number=0.00369&amp;sourceID=14","0.00369")</f>
        <v>0.00369</v>
      </c>
    </row>
    <row r="6807" spans="1:7">
      <c r="A6807" s="3"/>
      <c r="B6807" s="3"/>
      <c r="C6807" s="3"/>
      <c r="D6807" s="3"/>
      <c r="E6807" s="3">
        <v>4</v>
      </c>
      <c r="F6807" s="4" t="str">
        <f>HYPERLINK("http://141.218.60.56/~jnz1568/getInfo.php?workbook=12_05.xlsx&amp;sheet=U0&amp;row=6807&amp;col=6&amp;number=3.3&amp;sourceID=14","3.3")</f>
        <v>3.3</v>
      </c>
      <c r="G6807" s="4" t="str">
        <f>HYPERLINK("http://141.218.60.56/~jnz1568/getInfo.php?workbook=12_05.xlsx&amp;sheet=U0&amp;row=6807&amp;col=7&amp;number=0.0037&amp;sourceID=14","0.0037")</f>
        <v>0.0037</v>
      </c>
    </row>
    <row r="6808" spans="1:7">
      <c r="A6808" s="3"/>
      <c r="B6808" s="3"/>
      <c r="C6808" s="3"/>
      <c r="D6808" s="3"/>
      <c r="E6808" s="3">
        <v>5</v>
      </c>
      <c r="F6808" s="4" t="str">
        <f>HYPERLINK("http://141.218.60.56/~jnz1568/getInfo.php?workbook=12_05.xlsx&amp;sheet=U0&amp;row=6808&amp;col=6&amp;number=3.4&amp;sourceID=14","3.4")</f>
        <v>3.4</v>
      </c>
      <c r="G6808" s="4" t="str">
        <f>HYPERLINK("http://141.218.60.56/~jnz1568/getInfo.php?workbook=12_05.xlsx&amp;sheet=U0&amp;row=6808&amp;col=7&amp;number=0.0037&amp;sourceID=14","0.0037")</f>
        <v>0.0037</v>
      </c>
    </row>
    <row r="6809" spans="1:7">
      <c r="A6809" s="3"/>
      <c r="B6809" s="3"/>
      <c r="C6809" s="3"/>
      <c r="D6809" s="3"/>
      <c r="E6809" s="3">
        <v>6</v>
      </c>
      <c r="F6809" s="4" t="str">
        <f>HYPERLINK("http://141.218.60.56/~jnz1568/getInfo.php?workbook=12_05.xlsx&amp;sheet=U0&amp;row=6809&amp;col=6&amp;number=3.5&amp;sourceID=14","3.5")</f>
        <v>3.5</v>
      </c>
      <c r="G6809" s="4" t="str">
        <f>HYPERLINK("http://141.218.60.56/~jnz1568/getInfo.php?workbook=12_05.xlsx&amp;sheet=U0&amp;row=6809&amp;col=7&amp;number=0.0037&amp;sourceID=14","0.0037")</f>
        <v>0.0037</v>
      </c>
    </row>
    <row r="6810" spans="1:7">
      <c r="A6810" s="3"/>
      <c r="B6810" s="3"/>
      <c r="C6810" s="3"/>
      <c r="D6810" s="3"/>
      <c r="E6810" s="3">
        <v>7</v>
      </c>
      <c r="F6810" s="4" t="str">
        <f>HYPERLINK("http://141.218.60.56/~jnz1568/getInfo.php?workbook=12_05.xlsx&amp;sheet=U0&amp;row=6810&amp;col=6&amp;number=3.6&amp;sourceID=14","3.6")</f>
        <v>3.6</v>
      </c>
      <c r="G6810" s="4" t="str">
        <f>HYPERLINK("http://141.218.60.56/~jnz1568/getInfo.php?workbook=12_05.xlsx&amp;sheet=U0&amp;row=6810&amp;col=7&amp;number=0.0037&amp;sourceID=14","0.0037")</f>
        <v>0.0037</v>
      </c>
    </row>
    <row r="6811" spans="1:7">
      <c r="A6811" s="3"/>
      <c r="B6811" s="3"/>
      <c r="C6811" s="3"/>
      <c r="D6811" s="3"/>
      <c r="E6811" s="3">
        <v>8</v>
      </c>
      <c r="F6811" s="4" t="str">
        <f>HYPERLINK("http://141.218.60.56/~jnz1568/getInfo.php?workbook=12_05.xlsx&amp;sheet=U0&amp;row=6811&amp;col=6&amp;number=3.7&amp;sourceID=14","3.7")</f>
        <v>3.7</v>
      </c>
      <c r="G6811" s="4" t="str">
        <f>HYPERLINK("http://141.218.60.56/~jnz1568/getInfo.php?workbook=12_05.xlsx&amp;sheet=U0&amp;row=6811&amp;col=7&amp;number=0.0037&amp;sourceID=14","0.0037")</f>
        <v>0.0037</v>
      </c>
    </row>
    <row r="6812" spans="1:7">
      <c r="A6812" s="3"/>
      <c r="B6812" s="3"/>
      <c r="C6812" s="3"/>
      <c r="D6812" s="3"/>
      <c r="E6812" s="3">
        <v>9</v>
      </c>
      <c r="F6812" s="4" t="str">
        <f>HYPERLINK("http://141.218.60.56/~jnz1568/getInfo.php?workbook=12_05.xlsx&amp;sheet=U0&amp;row=6812&amp;col=6&amp;number=3.8&amp;sourceID=14","3.8")</f>
        <v>3.8</v>
      </c>
      <c r="G6812" s="4" t="str">
        <f>HYPERLINK("http://141.218.60.56/~jnz1568/getInfo.php?workbook=12_05.xlsx&amp;sheet=U0&amp;row=6812&amp;col=7&amp;number=0.00371&amp;sourceID=14","0.00371")</f>
        <v>0.00371</v>
      </c>
    </row>
    <row r="6813" spans="1:7">
      <c r="A6813" s="3"/>
      <c r="B6813" s="3"/>
      <c r="C6813" s="3"/>
      <c r="D6813" s="3"/>
      <c r="E6813" s="3">
        <v>10</v>
      </c>
      <c r="F6813" s="4" t="str">
        <f>HYPERLINK("http://141.218.60.56/~jnz1568/getInfo.php?workbook=12_05.xlsx&amp;sheet=U0&amp;row=6813&amp;col=6&amp;number=3.9&amp;sourceID=14","3.9")</f>
        <v>3.9</v>
      </c>
      <c r="G6813" s="4" t="str">
        <f>HYPERLINK("http://141.218.60.56/~jnz1568/getInfo.php?workbook=12_05.xlsx&amp;sheet=U0&amp;row=6813&amp;col=7&amp;number=0.00371&amp;sourceID=14","0.00371")</f>
        <v>0.00371</v>
      </c>
    </row>
    <row r="6814" spans="1:7">
      <c r="A6814" s="3"/>
      <c r="B6814" s="3"/>
      <c r="C6814" s="3"/>
      <c r="D6814" s="3"/>
      <c r="E6814" s="3">
        <v>11</v>
      </c>
      <c r="F6814" s="4" t="str">
        <f>HYPERLINK("http://141.218.60.56/~jnz1568/getInfo.php?workbook=12_05.xlsx&amp;sheet=U0&amp;row=6814&amp;col=6&amp;number=4&amp;sourceID=14","4")</f>
        <v>4</v>
      </c>
      <c r="G6814" s="4" t="str">
        <f>HYPERLINK("http://141.218.60.56/~jnz1568/getInfo.php?workbook=12_05.xlsx&amp;sheet=U0&amp;row=6814&amp;col=7&amp;number=0.00372&amp;sourceID=14","0.00372")</f>
        <v>0.00372</v>
      </c>
    </row>
    <row r="6815" spans="1:7">
      <c r="A6815" s="3"/>
      <c r="B6815" s="3"/>
      <c r="C6815" s="3"/>
      <c r="D6815" s="3"/>
      <c r="E6815" s="3">
        <v>12</v>
      </c>
      <c r="F6815" s="4" t="str">
        <f>HYPERLINK("http://141.218.60.56/~jnz1568/getInfo.php?workbook=12_05.xlsx&amp;sheet=U0&amp;row=6815&amp;col=6&amp;number=4.1&amp;sourceID=14","4.1")</f>
        <v>4.1</v>
      </c>
      <c r="G6815" s="4" t="str">
        <f>HYPERLINK("http://141.218.60.56/~jnz1568/getInfo.php?workbook=12_05.xlsx&amp;sheet=U0&amp;row=6815&amp;col=7&amp;number=0.00373&amp;sourceID=14","0.00373")</f>
        <v>0.00373</v>
      </c>
    </row>
    <row r="6816" spans="1:7">
      <c r="A6816" s="3"/>
      <c r="B6816" s="3"/>
      <c r="C6816" s="3"/>
      <c r="D6816" s="3"/>
      <c r="E6816" s="3">
        <v>13</v>
      </c>
      <c r="F6816" s="4" t="str">
        <f>HYPERLINK("http://141.218.60.56/~jnz1568/getInfo.php?workbook=12_05.xlsx&amp;sheet=U0&amp;row=6816&amp;col=6&amp;number=4.2&amp;sourceID=14","4.2")</f>
        <v>4.2</v>
      </c>
      <c r="G6816" s="4" t="str">
        <f>HYPERLINK("http://141.218.60.56/~jnz1568/getInfo.php?workbook=12_05.xlsx&amp;sheet=U0&amp;row=6816&amp;col=7&amp;number=0.00374&amp;sourceID=14","0.00374")</f>
        <v>0.00374</v>
      </c>
    </row>
    <row r="6817" spans="1:7">
      <c r="A6817" s="3"/>
      <c r="B6817" s="3"/>
      <c r="C6817" s="3"/>
      <c r="D6817" s="3"/>
      <c r="E6817" s="3">
        <v>14</v>
      </c>
      <c r="F6817" s="4" t="str">
        <f>HYPERLINK("http://141.218.60.56/~jnz1568/getInfo.php?workbook=12_05.xlsx&amp;sheet=U0&amp;row=6817&amp;col=6&amp;number=4.3&amp;sourceID=14","4.3")</f>
        <v>4.3</v>
      </c>
      <c r="G6817" s="4" t="str">
        <f>HYPERLINK("http://141.218.60.56/~jnz1568/getInfo.php?workbook=12_05.xlsx&amp;sheet=U0&amp;row=6817&amp;col=7&amp;number=0.00375&amp;sourceID=14","0.00375")</f>
        <v>0.00375</v>
      </c>
    </row>
    <row r="6818" spans="1:7">
      <c r="A6818" s="3"/>
      <c r="B6818" s="3"/>
      <c r="C6818" s="3"/>
      <c r="D6818" s="3"/>
      <c r="E6818" s="3">
        <v>15</v>
      </c>
      <c r="F6818" s="4" t="str">
        <f>HYPERLINK("http://141.218.60.56/~jnz1568/getInfo.php?workbook=12_05.xlsx&amp;sheet=U0&amp;row=6818&amp;col=6&amp;number=4.4&amp;sourceID=14","4.4")</f>
        <v>4.4</v>
      </c>
      <c r="G6818" s="4" t="str">
        <f>HYPERLINK("http://141.218.60.56/~jnz1568/getInfo.php?workbook=12_05.xlsx&amp;sheet=U0&amp;row=6818&amp;col=7&amp;number=0.00376&amp;sourceID=14","0.00376")</f>
        <v>0.00376</v>
      </c>
    </row>
    <row r="6819" spans="1:7">
      <c r="A6819" s="3"/>
      <c r="B6819" s="3"/>
      <c r="C6819" s="3"/>
      <c r="D6819" s="3"/>
      <c r="E6819" s="3">
        <v>16</v>
      </c>
      <c r="F6819" s="4" t="str">
        <f>HYPERLINK("http://141.218.60.56/~jnz1568/getInfo.php?workbook=12_05.xlsx&amp;sheet=U0&amp;row=6819&amp;col=6&amp;number=4.5&amp;sourceID=14","4.5")</f>
        <v>4.5</v>
      </c>
      <c r="G6819" s="4" t="str">
        <f>HYPERLINK("http://141.218.60.56/~jnz1568/getInfo.php?workbook=12_05.xlsx&amp;sheet=U0&amp;row=6819&amp;col=7&amp;number=0.00378&amp;sourceID=14","0.00378")</f>
        <v>0.00378</v>
      </c>
    </row>
    <row r="6820" spans="1:7">
      <c r="A6820" s="3"/>
      <c r="B6820" s="3"/>
      <c r="C6820" s="3"/>
      <c r="D6820" s="3"/>
      <c r="E6820" s="3">
        <v>17</v>
      </c>
      <c r="F6820" s="4" t="str">
        <f>HYPERLINK("http://141.218.60.56/~jnz1568/getInfo.php?workbook=12_05.xlsx&amp;sheet=U0&amp;row=6820&amp;col=6&amp;number=4.6&amp;sourceID=14","4.6")</f>
        <v>4.6</v>
      </c>
      <c r="G6820" s="4" t="str">
        <f>HYPERLINK("http://141.218.60.56/~jnz1568/getInfo.php?workbook=12_05.xlsx&amp;sheet=U0&amp;row=6820&amp;col=7&amp;number=0.00381&amp;sourceID=14","0.00381")</f>
        <v>0.00381</v>
      </c>
    </row>
    <row r="6821" spans="1:7">
      <c r="A6821" s="3"/>
      <c r="B6821" s="3"/>
      <c r="C6821" s="3"/>
      <c r="D6821" s="3"/>
      <c r="E6821" s="3">
        <v>18</v>
      </c>
      <c r="F6821" s="4" t="str">
        <f>HYPERLINK("http://141.218.60.56/~jnz1568/getInfo.php?workbook=12_05.xlsx&amp;sheet=U0&amp;row=6821&amp;col=6&amp;number=4.7&amp;sourceID=14","4.7")</f>
        <v>4.7</v>
      </c>
      <c r="G6821" s="4" t="str">
        <f>HYPERLINK("http://141.218.60.56/~jnz1568/getInfo.php?workbook=12_05.xlsx&amp;sheet=U0&amp;row=6821&amp;col=7&amp;number=0.00384&amp;sourceID=14","0.00384")</f>
        <v>0.00384</v>
      </c>
    </row>
    <row r="6822" spans="1:7">
      <c r="A6822" s="3"/>
      <c r="B6822" s="3"/>
      <c r="C6822" s="3"/>
      <c r="D6822" s="3"/>
      <c r="E6822" s="3">
        <v>19</v>
      </c>
      <c r="F6822" s="4" t="str">
        <f>HYPERLINK("http://141.218.60.56/~jnz1568/getInfo.php?workbook=12_05.xlsx&amp;sheet=U0&amp;row=6822&amp;col=6&amp;number=4.8&amp;sourceID=14","4.8")</f>
        <v>4.8</v>
      </c>
      <c r="G6822" s="4" t="str">
        <f>HYPERLINK("http://141.218.60.56/~jnz1568/getInfo.php?workbook=12_05.xlsx&amp;sheet=U0&amp;row=6822&amp;col=7&amp;number=0.00388&amp;sourceID=14","0.00388")</f>
        <v>0.00388</v>
      </c>
    </row>
    <row r="6823" spans="1:7">
      <c r="A6823" s="3"/>
      <c r="B6823" s="3"/>
      <c r="C6823" s="3"/>
      <c r="D6823" s="3"/>
      <c r="E6823" s="3">
        <v>20</v>
      </c>
      <c r="F6823" s="4" t="str">
        <f>HYPERLINK("http://141.218.60.56/~jnz1568/getInfo.php?workbook=12_05.xlsx&amp;sheet=U0&amp;row=6823&amp;col=6&amp;number=4.9&amp;sourceID=14","4.9")</f>
        <v>4.9</v>
      </c>
      <c r="G6823" s="4" t="str">
        <f>HYPERLINK("http://141.218.60.56/~jnz1568/getInfo.php?workbook=12_05.xlsx&amp;sheet=U0&amp;row=6823&amp;col=7&amp;number=0.00392&amp;sourceID=14","0.00392")</f>
        <v>0.00392</v>
      </c>
    </row>
    <row r="6824" spans="1:7">
      <c r="A6824" s="3">
        <v>12</v>
      </c>
      <c r="B6824" s="3">
        <v>5</v>
      </c>
      <c r="C6824" s="3">
        <v>4</v>
      </c>
      <c r="D6824" s="3">
        <v>99</v>
      </c>
      <c r="E6824" s="3">
        <v>1</v>
      </c>
      <c r="F6824" s="4" t="str">
        <f>HYPERLINK("http://141.218.60.56/~jnz1568/getInfo.php?workbook=12_05.xlsx&amp;sheet=U0&amp;row=6824&amp;col=6&amp;number=3&amp;sourceID=14","3")</f>
        <v>3</v>
      </c>
      <c r="G6824" s="4" t="str">
        <f>HYPERLINK("http://141.218.60.56/~jnz1568/getInfo.php?workbook=12_05.xlsx&amp;sheet=U0&amp;row=6824&amp;col=7&amp;number=0.00218&amp;sourceID=14","0.00218")</f>
        <v>0.00218</v>
      </c>
    </row>
    <row r="6825" spans="1:7">
      <c r="A6825" s="3"/>
      <c r="B6825" s="3"/>
      <c r="C6825" s="3"/>
      <c r="D6825" s="3"/>
      <c r="E6825" s="3">
        <v>2</v>
      </c>
      <c r="F6825" s="4" t="str">
        <f>HYPERLINK("http://141.218.60.56/~jnz1568/getInfo.php?workbook=12_05.xlsx&amp;sheet=U0&amp;row=6825&amp;col=6&amp;number=3.1&amp;sourceID=14","3.1")</f>
        <v>3.1</v>
      </c>
      <c r="G6825" s="4" t="str">
        <f>HYPERLINK("http://141.218.60.56/~jnz1568/getInfo.php?workbook=12_05.xlsx&amp;sheet=U0&amp;row=6825&amp;col=7&amp;number=0.00218&amp;sourceID=14","0.00218")</f>
        <v>0.00218</v>
      </c>
    </row>
    <row r="6826" spans="1:7">
      <c r="A6826" s="3"/>
      <c r="B6826" s="3"/>
      <c r="C6826" s="3"/>
      <c r="D6826" s="3"/>
      <c r="E6826" s="3">
        <v>3</v>
      </c>
      <c r="F6826" s="4" t="str">
        <f>HYPERLINK("http://141.218.60.56/~jnz1568/getInfo.php?workbook=12_05.xlsx&amp;sheet=U0&amp;row=6826&amp;col=6&amp;number=3.2&amp;sourceID=14","3.2")</f>
        <v>3.2</v>
      </c>
      <c r="G6826" s="4" t="str">
        <f>HYPERLINK("http://141.218.60.56/~jnz1568/getInfo.php?workbook=12_05.xlsx&amp;sheet=U0&amp;row=6826&amp;col=7&amp;number=0.00218&amp;sourceID=14","0.00218")</f>
        <v>0.00218</v>
      </c>
    </row>
    <row r="6827" spans="1:7">
      <c r="A6827" s="3"/>
      <c r="B6827" s="3"/>
      <c r="C6827" s="3"/>
      <c r="D6827" s="3"/>
      <c r="E6827" s="3">
        <v>4</v>
      </c>
      <c r="F6827" s="4" t="str">
        <f>HYPERLINK("http://141.218.60.56/~jnz1568/getInfo.php?workbook=12_05.xlsx&amp;sheet=U0&amp;row=6827&amp;col=6&amp;number=3.3&amp;sourceID=14","3.3")</f>
        <v>3.3</v>
      </c>
      <c r="G6827" s="4" t="str">
        <f>HYPERLINK("http://141.218.60.56/~jnz1568/getInfo.php?workbook=12_05.xlsx&amp;sheet=U0&amp;row=6827&amp;col=7&amp;number=0.00218&amp;sourceID=14","0.00218")</f>
        <v>0.00218</v>
      </c>
    </row>
    <row r="6828" spans="1:7">
      <c r="A6828" s="3"/>
      <c r="B6828" s="3"/>
      <c r="C6828" s="3"/>
      <c r="D6828" s="3"/>
      <c r="E6828" s="3">
        <v>5</v>
      </c>
      <c r="F6828" s="4" t="str">
        <f>HYPERLINK("http://141.218.60.56/~jnz1568/getInfo.php?workbook=12_05.xlsx&amp;sheet=U0&amp;row=6828&amp;col=6&amp;number=3.4&amp;sourceID=14","3.4")</f>
        <v>3.4</v>
      </c>
      <c r="G6828" s="4" t="str">
        <f>HYPERLINK("http://141.218.60.56/~jnz1568/getInfo.php?workbook=12_05.xlsx&amp;sheet=U0&amp;row=6828&amp;col=7&amp;number=0.00218&amp;sourceID=14","0.00218")</f>
        <v>0.00218</v>
      </c>
    </row>
    <row r="6829" spans="1:7">
      <c r="A6829" s="3"/>
      <c r="B6829" s="3"/>
      <c r="C6829" s="3"/>
      <c r="D6829" s="3"/>
      <c r="E6829" s="3">
        <v>6</v>
      </c>
      <c r="F6829" s="4" t="str">
        <f>HYPERLINK("http://141.218.60.56/~jnz1568/getInfo.php?workbook=12_05.xlsx&amp;sheet=U0&amp;row=6829&amp;col=6&amp;number=3.5&amp;sourceID=14","3.5")</f>
        <v>3.5</v>
      </c>
      <c r="G6829" s="4" t="str">
        <f>HYPERLINK("http://141.218.60.56/~jnz1568/getInfo.php?workbook=12_05.xlsx&amp;sheet=U0&amp;row=6829&amp;col=7&amp;number=0.00219&amp;sourceID=14","0.00219")</f>
        <v>0.00219</v>
      </c>
    </row>
    <row r="6830" spans="1:7">
      <c r="A6830" s="3"/>
      <c r="B6830" s="3"/>
      <c r="C6830" s="3"/>
      <c r="D6830" s="3"/>
      <c r="E6830" s="3">
        <v>7</v>
      </c>
      <c r="F6830" s="4" t="str">
        <f>HYPERLINK("http://141.218.60.56/~jnz1568/getInfo.php?workbook=12_05.xlsx&amp;sheet=U0&amp;row=6830&amp;col=6&amp;number=3.6&amp;sourceID=14","3.6")</f>
        <v>3.6</v>
      </c>
      <c r="G6830" s="4" t="str">
        <f>HYPERLINK("http://141.218.60.56/~jnz1568/getInfo.php?workbook=12_05.xlsx&amp;sheet=U0&amp;row=6830&amp;col=7&amp;number=0.00219&amp;sourceID=14","0.00219")</f>
        <v>0.00219</v>
      </c>
    </row>
    <row r="6831" spans="1:7">
      <c r="A6831" s="3"/>
      <c r="B6831" s="3"/>
      <c r="C6831" s="3"/>
      <c r="D6831" s="3"/>
      <c r="E6831" s="3">
        <v>8</v>
      </c>
      <c r="F6831" s="4" t="str">
        <f>HYPERLINK("http://141.218.60.56/~jnz1568/getInfo.php?workbook=12_05.xlsx&amp;sheet=U0&amp;row=6831&amp;col=6&amp;number=3.7&amp;sourceID=14","3.7")</f>
        <v>3.7</v>
      </c>
      <c r="G6831" s="4" t="str">
        <f>HYPERLINK("http://141.218.60.56/~jnz1568/getInfo.php?workbook=12_05.xlsx&amp;sheet=U0&amp;row=6831&amp;col=7&amp;number=0.00219&amp;sourceID=14","0.00219")</f>
        <v>0.00219</v>
      </c>
    </row>
    <row r="6832" spans="1:7">
      <c r="A6832" s="3"/>
      <c r="B6832" s="3"/>
      <c r="C6832" s="3"/>
      <c r="D6832" s="3"/>
      <c r="E6832" s="3">
        <v>9</v>
      </c>
      <c r="F6832" s="4" t="str">
        <f>HYPERLINK("http://141.218.60.56/~jnz1568/getInfo.php?workbook=12_05.xlsx&amp;sheet=U0&amp;row=6832&amp;col=6&amp;number=3.8&amp;sourceID=14","3.8")</f>
        <v>3.8</v>
      </c>
      <c r="G6832" s="4" t="str">
        <f>HYPERLINK("http://141.218.60.56/~jnz1568/getInfo.php?workbook=12_05.xlsx&amp;sheet=U0&amp;row=6832&amp;col=7&amp;number=0.00219&amp;sourceID=14","0.00219")</f>
        <v>0.00219</v>
      </c>
    </row>
    <row r="6833" spans="1:7">
      <c r="A6833" s="3"/>
      <c r="B6833" s="3"/>
      <c r="C6833" s="3"/>
      <c r="D6833" s="3"/>
      <c r="E6833" s="3">
        <v>10</v>
      </c>
      <c r="F6833" s="4" t="str">
        <f>HYPERLINK("http://141.218.60.56/~jnz1568/getInfo.php?workbook=12_05.xlsx&amp;sheet=U0&amp;row=6833&amp;col=6&amp;number=3.9&amp;sourceID=14","3.9")</f>
        <v>3.9</v>
      </c>
      <c r="G6833" s="4" t="str">
        <f>HYPERLINK("http://141.218.60.56/~jnz1568/getInfo.php?workbook=12_05.xlsx&amp;sheet=U0&amp;row=6833&amp;col=7&amp;number=0.00219&amp;sourceID=14","0.00219")</f>
        <v>0.00219</v>
      </c>
    </row>
    <row r="6834" spans="1:7">
      <c r="A6834" s="3"/>
      <c r="B6834" s="3"/>
      <c r="C6834" s="3"/>
      <c r="D6834" s="3"/>
      <c r="E6834" s="3">
        <v>11</v>
      </c>
      <c r="F6834" s="4" t="str">
        <f>HYPERLINK("http://141.218.60.56/~jnz1568/getInfo.php?workbook=12_05.xlsx&amp;sheet=U0&amp;row=6834&amp;col=6&amp;number=4&amp;sourceID=14","4")</f>
        <v>4</v>
      </c>
      <c r="G6834" s="4" t="str">
        <f>HYPERLINK("http://141.218.60.56/~jnz1568/getInfo.php?workbook=12_05.xlsx&amp;sheet=U0&amp;row=6834&amp;col=7&amp;number=0.0022&amp;sourceID=14","0.0022")</f>
        <v>0.0022</v>
      </c>
    </row>
    <row r="6835" spans="1:7">
      <c r="A6835" s="3"/>
      <c r="B6835" s="3"/>
      <c r="C6835" s="3"/>
      <c r="D6835" s="3"/>
      <c r="E6835" s="3">
        <v>12</v>
      </c>
      <c r="F6835" s="4" t="str">
        <f>HYPERLINK("http://141.218.60.56/~jnz1568/getInfo.php?workbook=12_05.xlsx&amp;sheet=U0&amp;row=6835&amp;col=6&amp;number=4.1&amp;sourceID=14","4.1")</f>
        <v>4.1</v>
      </c>
      <c r="G6835" s="4" t="str">
        <f>HYPERLINK("http://141.218.60.56/~jnz1568/getInfo.php?workbook=12_05.xlsx&amp;sheet=U0&amp;row=6835&amp;col=7&amp;number=0.0022&amp;sourceID=14","0.0022")</f>
        <v>0.0022</v>
      </c>
    </row>
    <row r="6836" spans="1:7">
      <c r="A6836" s="3"/>
      <c r="B6836" s="3"/>
      <c r="C6836" s="3"/>
      <c r="D6836" s="3"/>
      <c r="E6836" s="3">
        <v>13</v>
      </c>
      <c r="F6836" s="4" t="str">
        <f>HYPERLINK("http://141.218.60.56/~jnz1568/getInfo.php?workbook=12_05.xlsx&amp;sheet=U0&amp;row=6836&amp;col=6&amp;number=4.2&amp;sourceID=14","4.2")</f>
        <v>4.2</v>
      </c>
      <c r="G6836" s="4" t="str">
        <f>HYPERLINK("http://141.218.60.56/~jnz1568/getInfo.php?workbook=12_05.xlsx&amp;sheet=U0&amp;row=6836&amp;col=7&amp;number=0.00221&amp;sourceID=14","0.00221")</f>
        <v>0.00221</v>
      </c>
    </row>
    <row r="6837" spans="1:7">
      <c r="A6837" s="3"/>
      <c r="B6837" s="3"/>
      <c r="C6837" s="3"/>
      <c r="D6837" s="3"/>
      <c r="E6837" s="3">
        <v>14</v>
      </c>
      <c r="F6837" s="4" t="str">
        <f>HYPERLINK("http://141.218.60.56/~jnz1568/getInfo.php?workbook=12_05.xlsx&amp;sheet=U0&amp;row=6837&amp;col=6&amp;number=4.3&amp;sourceID=14","4.3")</f>
        <v>4.3</v>
      </c>
      <c r="G6837" s="4" t="str">
        <f>HYPERLINK("http://141.218.60.56/~jnz1568/getInfo.php?workbook=12_05.xlsx&amp;sheet=U0&amp;row=6837&amp;col=7&amp;number=0.00221&amp;sourceID=14","0.00221")</f>
        <v>0.00221</v>
      </c>
    </row>
    <row r="6838" spans="1:7">
      <c r="A6838" s="3"/>
      <c r="B6838" s="3"/>
      <c r="C6838" s="3"/>
      <c r="D6838" s="3"/>
      <c r="E6838" s="3">
        <v>15</v>
      </c>
      <c r="F6838" s="4" t="str">
        <f>HYPERLINK("http://141.218.60.56/~jnz1568/getInfo.php?workbook=12_05.xlsx&amp;sheet=U0&amp;row=6838&amp;col=6&amp;number=4.4&amp;sourceID=14","4.4")</f>
        <v>4.4</v>
      </c>
      <c r="G6838" s="4" t="str">
        <f>HYPERLINK("http://141.218.60.56/~jnz1568/getInfo.php?workbook=12_05.xlsx&amp;sheet=U0&amp;row=6838&amp;col=7&amp;number=0.00222&amp;sourceID=14","0.00222")</f>
        <v>0.00222</v>
      </c>
    </row>
    <row r="6839" spans="1:7">
      <c r="A6839" s="3"/>
      <c r="B6839" s="3"/>
      <c r="C6839" s="3"/>
      <c r="D6839" s="3"/>
      <c r="E6839" s="3">
        <v>16</v>
      </c>
      <c r="F6839" s="4" t="str">
        <f>HYPERLINK("http://141.218.60.56/~jnz1568/getInfo.php?workbook=12_05.xlsx&amp;sheet=U0&amp;row=6839&amp;col=6&amp;number=4.5&amp;sourceID=14","4.5")</f>
        <v>4.5</v>
      </c>
      <c r="G6839" s="4" t="str">
        <f>HYPERLINK("http://141.218.60.56/~jnz1568/getInfo.php?workbook=12_05.xlsx&amp;sheet=U0&amp;row=6839&amp;col=7&amp;number=0.00223&amp;sourceID=14","0.00223")</f>
        <v>0.00223</v>
      </c>
    </row>
    <row r="6840" spans="1:7">
      <c r="A6840" s="3"/>
      <c r="B6840" s="3"/>
      <c r="C6840" s="3"/>
      <c r="D6840" s="3"/>
      <c r="E6840" s="3">
        <v>17</v>
      </c>
      <c r="F6840" s="4" t="str">
        <f>HYPERLINK("http://141.218.60.56/~jnz1568/getInfo.php?workbook=12_05.xlsx&amp;sheet=U0&amp;row=6840&amp;col=6&amp;number=4.6&amp;sourceID=14","4.6")</f>
        <v>4.6</v>
      </c>
      <c r="G6840" s="4" t="str">
        <f>HYPERLINK("http://141.218.60.56/~jnz1568/getInfo.php?workbook=12_05.xlsx&amp;sheet=U0&amp;row=6840&amp;col=7&amp;number=0.00225&amp;sourceID=14","0.00225")</f>
        <v>0.00225</v>
      </c>
    </row>
    <row r="6841" spans="1:7">
      <c r="A6841" s="3"/>
      <c r="B6841" s="3"/>
      <c r="C6841" s="3"/>
      <c r="D6841" s="3"/>
      <c r="E6841" s="3">
        <v>18</v>
      </c>
      <c r="F6841" s="4" t="str">
        <f>HYPERLINK("http://141.218.60.56/~jnz1568/getInfo.php?workbook=12_05.xlsx&amp;sheet=U0&amp;row=6841&amp;col=6&amp;number=4.7&amp;sourceID=14","4.7")</f>
        <v>4.7</v>
      </c>
      <c r="G6841" s="4" t="str">
        <f>HYPERLINK("http://141.218.60.56/~jnz1568/getInfo.php?workbook=12_05.xlsx&amp;sheet=U0&amp;row=6841&amp;col=7&amp;number=0.00226&amp;sourceID=14","0.00226")</f>
        <v>0.00226</v>
      </c>
    </row>
    <row r="6842" spans="1:7">
      <c r="A6842" s="3"/>
      <c r="B6842" s="3"/>
      <c r="C6842" s="3"/>
      <c r="D6842" s="3"/>
      <c r="E6842" s="3">
        <v>19</v>
      </c>
      <c r="F6842" s="4" t="str">
        <f>HYPERLINK("http://141.218.60.56/~jnz1568/getInfo.php?workbook=12_05.xlsx&amp;sheet=U0&amp;row=6842&amp;col=6&amp;number=4.8&amp;sourceID=14","4.8")</f>
        <v>4.8</v>
      </c>
      <c r="G6842" s="4" t="str">
        <f>HYPERLINK("http://141.218.60.56/~jnz1568/getInfo.php?workbook=12_05.xlsx&amp;sheet=U0&amp;row=6842&amp;col=7&amp;number=0.00229&amp;sourceID=14","0.00229")</f>
        <v>0.00229</v>
      </c>
    </row>
    <row r="6843" spans="1:7">
      <c r="A6843" s="3"/>
      <c r="B6843" s="3"/>
      <c r="C6843" s="3"/>
      <c r="D6843" s="3"/>
      <c r="E6843" s="3">
        <v>20</v>
      </c>
      <c r="F6843" s="4" t="str">
        <f>HYPERLINK("http://141.218.60.56/~jnz1568/getInfo.php?workbook=12_05.xlsx&amp;sheet=U0&amp;row=6843&amp;col=6&amp;number=4.9&amp;sourceID=14","4.9")</f>
        <v>4.9</v>
      </c>
      <c r="G6843" s="4" t="str">
        <f>HYPERLINK("http://141.218.60.56/~jnz1568/getInfo.php?workbook=12_05.xlsx&amp;sheet=U0&amp;row=6843&amp;col=7&amp;number=0.00231&amp;sourceID=14","0.00231")</f>
        <v>0.00231</v>
      </c>
    </row>
    <row r="6844" spans="1:7">
      <c r="A6844" s="3">
        <v>12</v>
      </c>
      <c r="B6844" s="3">
        <v>5</v>
      </c>
      <c r="C6844" s="3">
        <v>4</v>
      </c>
      <c r="D6844" s="3">
        <v>100</v>
      </c>
      <c r="E6844" s="3">
        <v>1</v>
      </c>
      <c r="F6844" s="4" t="str">
        <f>HYPERLINK("http://141.218.60.56/~jnz1568/getInfo.php?workbook=12_05.xlsx&amp;sheet=U0&amp;row=6844&amp;col=6&amp;number=3&amp;sourceID=14","3")</f>
        <v>3</v>
      </c>
      <c r="G6844" s="4" t="str">
        <f>HYPERLINK("http://141.218.60.56/~jnz1568/getInfo.php?workbook=12_05.xlsx&amp;sheet=U0&amp;row=6844&amp;col=7&amp;number=0.0029&amp;sourceID=14","0.0029")</f>
        <v>0.0029</v>
      </c>
    </row>
    <row r="6845" spans="1:7">
      <c r="A6845" s="3"/>
      <c r="B6845" s="3"/>
      <c r="C6845" s="3"/>
      <c r="D6845" s="3"/>
      <c r="E6845" s="3">
        <v>2</v>
      </c>
      <c r="F6845" s="4" t="str">
        <f>HYPERLINK("http://141.218.60.56/~jnz1568/getInfo.php?workbook=12_05.xlsx&amp;sheet=U0&amp;row=6845&amp;col=6&amp;number=3.1&amp;sourceID=14","3.1")</f>
        <v>3.1</v>
      </c>
      <c r="G6845" s="4" t="str">
        <f>HYPERLINK("http://141.218.60.56/~jnz1568/getInfo.php?workbook=12_05.xlsx&amp;sheet=U0&amp;row=6845&amp;col=7&amp;number=0.0029&amp;sourceID=14","0.0029")</f>
        <v>0.0029</v>
      </c>
    </row>
    <row r="6846" spans="1:7">
      <c r="A6846" s="3"/>
      <c r="B6846" s="3"/>
      <c r="C6846" s="3"/>
      <c r="D6846" s="3"/>
      <c r="E6846" s="3">
        <v>3</v>
      </c>
      <c r="F6846" s="4" t="str">
        <f>HYPERLINK("http://141.218.60.56/~jnz1568/getInfo.php?workbook=12_05.xlsx&amp;sheet=U0&amp;row=6846&amp;col=6&amp;number=3.2&amp;sourceID=14","3.2")</f>
        <v>3.2</v>
      </c>
      <c r="G6846" s="4" t="str">
        <f>HYPERLINK("http://141.218.60.56/~jnz1568/getInfo.php?workbook=12_05.xlsx&amp;sheet=U0&amp;row=6846&amp;col=7&amp;number=0.0029&amp;sourceID=14","0.0029")</f>
        <v>0.0029</v>
      </c>
    </row>
    <row r="6847" spans="1:7">
      <c r="A6847" s="3"/>
      <c r="B6847" s="3"/>
      <c r="C6847" s="3"/>
      <c r="D6847" s="3"/>
      <c r="E6847" s="3">
        <v>4</v>
      </c>
      <c r="F6847" s="4" t="str">
        <f>HYPERLINK("http://141.218.60.56/~jnz1568/getInfo.php?workbook=12_05.xlsx&amp;sheet=U0&amp;row=6847&amp;col=6&amp;number=3.3&amp;sourceID=14","3.3")</f>
        <v>3.3</v>
      </c>
      <c r="G6847" s="4" t="str">
        <f>HYPERLINK("http://141.218.60.56/~jnz1568/getInfo.php?workbook=12_05.xlsx&amp;sheet=U0&amp;row=6847&amp;col=7&amp;number=0.0029&amp;sourceID=14","0.0029")</f>
        <v>0.0029</v>
      </c>
    </row>
    <row r="6848" spans="1:7">
      <c r="A6848" s="3"/>
      <c r="B6848" s="3"/>
      <c r="C6848" s="3"/>
      <c r="D6848" s="3"/>
      <c r="E6848" s="3">
        <v>5</v>
      </c>
      <c r="F6848" s="4" t="str">
        <f>HYPERLINK("http://141.218.60.56/~jnz1568/getInfo.php?workbook=12_05.xlsx&amp;sheet=U0&amp;row=6848&amp;col=6&amp;number=3.4&amp;sourceID=14","3.4")</f>
        <v>3.4</v>
      </c>
      <c r="G6848" s="4" t="str">
        <f>HYPERLINK("http://141.218.60.56/~jnz1568/getInfo.php?workbook=12_05.xlsx&amp;sheet=U0&amp;row=6848&amp;col=7&amp;number=0.0029&amp;sourceID=14","0.0029")</f>
        <v>0.0029</v>
      </c>
    </row>
    <row r="6849" spans="1:7">
      <c r="A6849" s="3"/>
      <c r="B6849" s="3"/>
      <c r="C6849" s="3"/>
      <c r="D6849" s="3"/>
      <c r="E6849" s="3">
        <v>6</v>
      </c>
      <c r="F6849" s="4" t="str">
        <f>HYPERLINK("http://141.218.60.56/~jnz1568/getInfo.php?workbook=12_05.xlsx&amp;sheet=U0&amp;row=6849&amp;col=6&amp;number=3.5&amp;sourceID=14","3.5")</f>
        <v>3.5</v>
      </c>
      <c r="G6849" s="4" t="str">
        <f>HYPERLINK("http://141.218.60.56/~jnz1568/getInfo.php?workbook=12_05.xlsx&amp;sheet=U0&amp;row=6849&amp;col=7&amp;number=0.0029&amp;sourceID=14","0.0029")</f>
        <v>0.0029</v>
      </c>
    </row>
    <row r="6850" spans="1:7">
      <c r="A6850" s="3"/>
      <c r="B6850" s="3"/>
      <c r="C6850" s="3"/>
      <c r="D6850" s="3"/>
      <c r="E6850" s="3">
        <v>7</v>
      </c>
      <c r="F6850" s="4" t="str">
        <f>HYPERLINK("http://141.218.60.56/~jnz1568/getInfo.php?workbook=12_05.xlsx&amp;sheet=U0&amp;row=6850&amp;col=6&amp;number=3.6&amp;sourceID=14","3.6")</f>
        <v>3.6</v>
      </c>
      <c r="G6850" s="4" t="str">
        <f>HYPERLINK("http://141.218.60.56/~jnz1568/getInfo.php?workbook=12_05.xlsx&amp;sheet=U0&amp;row=6850&amp;col=7&amp;number=0.00289&amp;sourceID=14","0.00289")</f>
        <v>0.00289</v>
      </c>
    </row>
    <row r="6851" spans="1:7">
      <c r="A6851" s="3"/>
      <c r="B6851" s="3"/>
      <c r="C6851" s="3"/>
      <c r="D6851" s="3"/>
      <c r="E6851" s="3">
        <v>8</v>
      </c>
      <c r="F6851" s="4" t="str">
        <f>HYPERLINK("http://141.218.60.56/~jnz1568/getInfo.php?workbook=12_05.xlsx&amp;sheet=U0&amp;row=6851&amp;col=6&amp;number=3.7&amp;sourceID=14","3.7")</f>
        <v>3.7</v>
      </c>
      <c r="G6851" s="4" t="str">
        <f>HYPERLINK("http://141.218.60.56/~jnz1568/getInfo.php?workbook=12_05.xlsx&amp;sheet=U0&amp;row=6851&amp;col=7&amp;number=0.00289&amp;sourceID=14","0.00289")</f>
        <v>0.00289</v>
      </c>
    </row>
    <row r="6852" spans="1:7">
      <c r="A6852" s="3"/>
      <c r="B6852" s="3"/>
      <c r="C6852" s="3"/>
      <c r="D6852" s="3"/>
      <c r="E6852" s="3">
        <v>9</v>
      </c>
      <c r="F6852" s="4" t="str">
        <f>HYPERLINK("http://141.218.60.56/~jnz1568/getInfo.php?workbook=12_05.xlsx&amp;sheet=U0&amp;row=6852&amp;col=6&amp;number=3.8&amp;sourceID=14","3.8")</f>
        <v>3.8</v>
      </c>
      <c r="G6852" s="4" t="str">
        <f>HYPERLINK("http://141.218.60.56/~jnz1568/getInfo.php?workbook=12_05.xlsx&amp;sheet=U0&amp;row=6852&amp;col=7&amp;number=0.00289&amp;sourceID=14","0.00289")</f>
        <v>0.00289</v>
      </c>
    </row>
    <row r="6853" spans="1:7">
      <c r="A6853" s="3"/>
      <c r="B6853" s="3"/>
      <c r="C6853" s="3"/>
      <c r="D6853" s="3"/>
      <c r="E6853" s="3">
        <v>10</v>
      </c>
      <c r="F6853" s="4" t="str">
        <f>HYPERLINK("http://141.218.60.56/~jnz1568/getInfo.php?workbook=12_05.xlsx&amp;sheet=U0&amp;row=6853&amp;col=6&amp;number=3.9&amp;sourceID=14","3.9")</f>
        <v>3.9</v>
      </c>
      <c r="G6853" s="4" t="str">
        <f>HYPERLINK("http://141.218.60.56/~jnz1568/getInfo.php?workbook=12_05.xlsx&amp;sheet=U0&amp;row=6853&amp;col=7&amp;number=0.00288&amp;sourceID=14","0.00288")</f>
        <v>0.00288</v>
      </c>
    </row>
    <row r="6854" spans="1:7">
      <c r="A6854" s="3"/>
      <c r="B6854" s="3"/>
      <c r="C6854" s="3"/>
      <c r="D6854" s="3"/>
      <c r="E6854" s="3">
        <v>11</v>
      </c>
      <c r="F6854" s="4" t="str">
        <f>HYPERLINK("http://141.218.60.56/~jnz1568/getInfo.php?workbook=12_05.xlsx&amp;sheet=U0&amp;row=6854&amp;col=6&amp;number=4&amp;sourceID=14","4")</f>
        <v>4</v>
      </c>
      <c r="G6854" s="4" t="str">
        <f>HYPERLINK("http://141.218.60.56/~jnz1568/getInfo.php?workbook=12_05.xlsx&amp;sheet=U0&amp;row=6854&amp;col=7&amp;number=0.00288&amp;sourceID=14","0.00288")</f>
        <v>0.00288</v>
      </c>
    </row>
    <row r="6855" spans="1:7">
      <c r="A6855" s="3"/>
      <c r="B6855" s="3"/>
      <c r="C6855" s="3"/>
      <c r="D6855" s="3"/>
      <c r="E6855" s="3">
        <v>12</v>
      </c>
      <c r="F6855" s="4" t="str">
        <f>HYPERLINK("http://141.218.60.56/~jnz1568/getInfo.php?workbook=12_05.xlsx&amp;sheet=U0&amp;row=6855&amp;col=6&amp;number=4.1&amp;sourceID=14","4.1")</f>
        <v>4.1</v>
      </c>
      <c r="G6855" s="4" t="str">
        <f>HYPERLINK("http://141.218.60.56/~jnz1568/getInfo.php?workbook=12_05.xlsx&amp;sheet=U0&amp;row=6855&amp;col=7&amp;number=0.00287&amp;sourceID=14","0.00287")</f>
        <v>0.00287</v>
      </c>
    </row>
    <row r="6856" spans="1:7">
      <c r="A6856" s="3"/>
      <c r="B6856" s="3"/>
      <c r="C6856" s="3"/>
      <c r="D6856" s="3"/>
      <c r="E6856" s="3">
        <v>13</v>
      </c>
      <c r="F6856" s="4" t="str">
        <f>HYPERLINK("http://141.218.60.56/~jnz1568/getInfo.php?workbook=12_05.xlsx&amp;sheet=U0&amp;row=6856&amp;col=6&amp;number=4.2&amp;sourceID=14","4.2")</f>
        <v>4.2</v>
      </c>
      <c r="G6856" s="4" t="str">
        <f>HYPERLINK("http://141.218.60.56/~jnz1568/getInfo.php?workbook=12_05.xlsx&amp;sheet=U0&amp;row=6856&amp;col=7&amp;number=0.00287&amp;sourceID=14","0.00287")</f>
        <v>0.00287</v>
      </c>
    </row>
    <row r="6857" spans="1:7">
      <c r="A6857" s="3"/>
      <c r="B6857" s="3"/>
      <c r="C6857" s="3"/>
      <c r="D6857" s="3"/>
      <c r="E6857" s="3">
        <v>14</v>
      </c>
      <c r="F6857" s="4" t="str">
        <f>HYPERLINK("http://141.218.60.56/~jnz1568/getInfo.php?workbook=12_05.xlsx&amp;sheet=U0&amp;row=6857&amp;col=6&amp;number=4.3&amp;sourceID=14","4.3")</f>
        <v>4.3</v>
      </c>
      <c r="G6857" s="4" t="str">
        <f>HYPERLINK("http://141.218.60.56/~jnz1568/getInfo.php?workbook=12_05.xlsx&amp;sheet=U0&amp;row=6857&amp;col=7&amp;number=0.00286&amp;sourceID=14","0.00286")</f>
        <v>0.00286</v>
      </c>
    </row>
    <row r="6858" spans="1:7">
      <c r="A6858" s="3"/>
      <c r="B6858" s="3"/>
      <c r="C6858" s="3"/>
      <c r="D6858" s="3"/>
      <c r="E6858" s="3">
        <v>15</v>
      </c>
      <c r="F6858" s="4" t="str">
        <f>HYPERLINK("http://141.218.60.56/~jnz1568/getInfo.php?workbook=12_05.xlsx&amp;sheet=U0&amp;row=6858&amp;col=6&amp;number=4.4&amp;sourceID=14","4.4")</f>
        <v>4.4</v>
      </c>
      <c r="G6858" s="4" t="str">
        <f>HYPERLINK("http://141.218.60.56/~jnz1568/getInfo.php?workbook=12_05.xlsx&amp;sheet=U0&amp;row=6858&amp;col=7&amp;number=0.00284&amp;sourceID=14","0.00284")</f>
        <v>0.00284</v>
      </c>
    </row>
    <row r="6859" spans="1:7">
      <c r="A6859" s="3"/>
      <c r="B6859" s="3"/>
      <c r="C6859" s="3"/>
      <c r="D6859" s="3"/>
      <c r="E6859" s="3">
        <v>16</v>
      </c>
      <c r="F6859" s="4" t="str">
        <f>HYPERLINK("http://141.218.60.56/~jnz1568/getInfo.php?workbook=12_05.xlsx&amp;sheet=U0&amp;row=6859&amp;col=6&amp;number=4.5&amp;sourceID=14","4.5")</f>
        <v>4.5</v>
      </c>
      <c r="G6859" s="4" t="str">
        <f>HYPERLINK("http://141.218.60.56/~jnz1568/getInfo.php?workbook=12_05.xlsx&amp;sheet=U0&amp;row=6859&amp;col=7&amp;number=0.00283&amp;sourceID=14","0.00283")</f>
        <v>0.00283</v>
      </c>
    </row>
    <row r="6860" spans="1:7">
      <c r="A6860" s="3"/>
      <c r="B6860" s="3"/>
      <c r="C6860" s="3"/>
      <c r="D6860" s="3"/>
      <c r="E6860" s="3">
        <v>17</v>
      </c>
      <c r="F6860" s="4" t="str">
        <f>HYPERLINK("http://141.218.60.56/~jnz1568/getInfo.php?workbook=12_05.xlsx&amp;sheet=U0&amp;row=6860&amp;col=6&amp;number=4.6&amp;sourceID=14","4.6")</f>
        <v>4.6</v>
      </c>
      <c r="G6860" s="4" t="str">
        <f>HYPERLINK("http://141.218.60.56/~jnz1568/getInfo.php?workbook=12_05.xlsx&amp;sheet=U0&amp;row=6860&amp;col=7&amp;number=0.00281&amp;sourceID=14","0.00281")</f>
        <v>0.00281</v>
      </c>
    </row>
    <row r="6861" spans="1:7">
      <c r="A6861" s="3"/>
      <c r="B6861" s="3"/>
      <c r="C6861" s="3"/>
      <c r="D6861" s="3"/>
      <c r="E6861" s="3">
        <v>18</v>
      </c>
      <c r="F6861" s="4" t="str">
        <f>HYPERLINK("http://141.218.60.56/~jnz1568/getInfo.php?workbook=12_05.xlsx&amp;sheet=U0&amp;row=6861&amp;col=6&amp;number=4.7&amp;sourceID=14","4.7")</f>
        <v>4.7</v>
      </c>
      <c r="G6861" s="4" t="str">
        <f>HYPERLINK("http://141.218.60.56/~jnz1568/getInfo.php?workbook=12_05.xlsx&amp;sheet=U0&amp;row=6861&amp;col=7&amp;number=0.00279&amp;sourceID=14","0.00279")</f>
        <v>0.00279</v>
      </c>
    </row>
    <row r="6862" spans="1:7">
      <c r="A6862" s="3"/>
      <c r="B6862" s="3"/>
      <c r="C6862" s="3"/>
      <c r="D6862" s="3"/>
      <c r="E6862" s="3">
        <v>19</v>
      </c>
      <c r="F6862" s="4" t="str">
        <f>HYPERLINK("http://141.218.60.56/~jnz1568/getInfo.php?workbook=12_05.xlsx&amp;sheet=U0&amp;row=6862&amp;col=6&amp;number=4.8&amp;sourceID=14","4.8")</f>
        <v>4.8</v>
      </c>
      <c r="G6862" s="4" t="str">
        <f>HYPERLINK("http://141.218.60.56/~jnz1568/getInfo.php?workbook=12_05.xlsx&amp;sheet=U0&amp;row=6862&amp;col=7&amp;number=0.00276&amp;sourceID=14","0.00276")</f>
        <v>0.00276</v>
      </c>
    </row>
    <row r="6863" spans="1:7">
      <c r="A6863" s="3"/>
      <c r="B6863" s="3"/>
      <c r="C6863" s="3"/>
      <c r="D6863" s="3"/>
      <c r="E6863" s="3">
        <v>20</v>
      </c>
      <c r="F6863" s="4" t="str">
        <f>HYPERLINK("http://141.218.60.56/~jnz1568/getInfo.php?workbook=12_05.xlsx&amp;sheet=U0&amp;row=6863&amp;col=6&amp;number=4.9&amp;sourceID=14","4.9")</f>
        <v>4.9</v>
      </c>
      <c r="G6863" s="4" t="str">
        <f>HYPERLINK("http://141.218.60.56/~jnz1568/getInfo.php?workbook=12_05.xlsx&amp;sheet=U0&amp;row=6863&amp;col=7&amp;number=0.00272&amp;sourceID=14","0.00272")</f>
        <v>0.00272</v>
      </c>
    </row>
    <row r="6864" spans="1:7">
      <c r="A6864" s="3">
        <v>12</v>
      </c>
      <c r="B6864" s="3">
        <v>5</v>
      </c>
      <c r="C6864" s="3">
        <v>4</v>
      </c>
      <c r="D6864" s="3">
        <v>101</v>
      </c>
      <c r="E6864" s="3">
        <v>1</v>
      </c>
      <c r="F6864" s="4" t="str">
        <f>HYPERLINK("http://141.218.60.56/~jnz1568/getInfo.php?workbook=12_05.xlsx&amp;sheet=U0&amp;row=6864&amp;col=6&amp;number=3&amp;sourceID=14","3")</f>
        <v>3</v>
      </c>
      <c r="G6864" s="4" t="str">
        <f>HYPERLINK("http://141.218.60.56/~jnz1568/getInfo.php?workbook=12_05.xlsx&amp;sheet=U0&amp;row=6864&amp;col=7&amp;number=0.00478&amp;sourceID=14","0.00478")</f>
        <v>0.00478</v>
      </c>
    </row>
    <row r="6865" spans="1:7">
      <c r="A6865" s="3"/>
      <c r="B6865" s="3"/>
      <c r="C6865" s="3"/>
      <c r="D6865" s="3"/>
      <c r="E6865" s="3">
        <v>2</v>
      </c>
      <c r="F6865" s="4" t="str">
        <f>HYPERLINK("http://141.218.60.56/~jnz1568/getInfo.php?workbook=12_05.xlsx&amp;sheet=U0&amp;row=6865&amp;col=6&amp;number=3.1&amp;sourceID=14","3.1")</f>
        <v>3.1</v>
      </c>
      <c r="G6865" s="4" t="str">
        <f>HYPERLINK("http://141.218.60.56/~jnz1568/getInfo.php?workbook=12_05.xlsx&amp;sheet=U0&amp;row=6865&amp;col=7&amp;number=0.00479&amp;sourceID=14","0.00479")</f>
        <v>0.00479</v>
      </c>
    </row>
    <row r="6866" spans="1:7">
      <c r="A6866" s="3"/>
      <c r="B6866" s="3"/>
      <c r="C6866" s="3"/>
      <c r="D6866" s="3"/>
      <c r="E6866" s="3">
        <v>3</v>
      </c>
      <c r="F6866" s="4" t="str">
        <f>HYPERLINK("http://141.218.60.56/~jnz1568/getInfo.php?workbook=12_05.xlsx&amp;sheet=U0&amp;row=6866&amp;col=6&amp;number=3.2&amp;sourceID=14","3.2")</f>
        <v>3.2</v>
      </c>
      <c r="G6866" s="4" t="str">
        <f>HYPERLINK("http://141.218.60.56/~jnz1568/getInfo.php?workbook=12_05.xlsx&amp;sheet=U0&amp;row=6866&amp;col=7&amp;number=0.00479&amp;sourceID=14","0.00479")</f>
        <v>0.00479</v>
      </c>
    </row>
    <row r="6867" spans="1:7">
      <c r="A6867" s="3"/>
      <c r="B6867" s="3"/>
      <c r="C6867" s="3"/>
      <c r="D6867" s="3"/>
      <c r="E6867" s="3">
        <v>4</v>
      </c>
      <c r="F6867" s="4" t="str">
        <f>HYPERLINK("http://141.218.60.56/~jnz1568/getInfo.php?workbook=12_05.xlsx&amp;sheet=U0&amp;row=6867&amp;col=6&amp;number=3.3&amp;sourceID=14","3.3")</f>
        <v>3.3</v>
      </c>
      <c r="G6867" s="4" t="str">
        <f>HYPERLINK("http://141.218.60.56/~jnz1568/getInfo.php?workbook=12_05.xlsx&amp;sheet=U0&amp;row=6867&amp;col=7&amp;number=0.00479&amp;sourceID=14","0.00479")</f>
        <v>0.00479</v>
      </c>
    </row>
    <row r="6868" spans="1:7">
      <c r="A6868" s="3"/>
      <c r="B6868" s="3"/>
      <c r="C6868" s="3"/>
      <c r="D6868" s="3"/>
      <c r="E6868" s="3">
        <v>5</v>
      </c>
      <c r="F6868" s="4" t="str">
        <f>HYPERLINK("http://141.218.60.56/~jnz1568/getInfo.php?workbook=12_05.xlsx&amp;sheet=U0&amp;row=6868&amp;col=6&amp;number=3.4&amp;sourceID=14","3.4")</f>
        <v>3.4</v>
      </c>
      <c r="G6868" s="4" t="str">
        <f>HYPERLINK("http://141.218.60.56/~jnz1568/getInfo.php?workbook=12_05.xlsx&amp;sheet=U0&amp;row=6868&amp;col=7&amp;number=0.00479&amp;sourceID=14","0.00479")</f>
        <v>0.00479</v>
      </c>
    </row>
    <row r="6869" spans="1:7">
      <c r="A6869" s="3"/>
      <c r="B6869" s="3"/>
      <c r="C6869" s="3"/>
      <c r="D6869" s="3"/>
      <c r="E6869" s="3">
        <v>6</v>
      </c>
      <c r="F6869" s="4" t="str">
        <f>HYPERLINK("http://141.218.60.56/~jnz1568/getInfo.php?workbook=12_05.xlsx&amp;sheet=U0&amp;row=6869&amp;col=6&amp;number=3.5&amp;sourceID=14","3.5")</f>
        <v>3.5</v>
      </c>
      <c r="G6869" s="4" t="str">
        <f>HYPERLINK("http://141.218.60.56/~jnz1568/getInfo.php?workbook=12_05.xlsx&amp;sheet=U0&amp;row=6869&amp;col=7&amp;number=0.0048&amp;sourceID=14","0.0048")</f>
        <v>0.0048</v>
      </c>
    </row>
    <row r="6870" spans="1:7">
      <c r="A6870" s="3"/>
      <c r="B6870" s="3"/>
      <c r="C6870" s="3"/>
      <c r="D6870" s="3"/>
      <c r="E6870" s="3">
        <v>7</v>
      </c>
      <c r="F6870" s="4" t="str">
        <f>HYPERLINK("http://141.218.60.56/~jnz1568/getInfo.php?workbook=12_05.xlsx&amp;sheet=U0&amp;row=6870&amp;col=6&amp;number=3.6&amp;sourceID=14","3.6")</f>
        <v>3.6</v>
      </c>
      <c r="G6870" s="4" t="str">
        <f>HYPERLINK("http://141.218.60.56/~jnz1568/getInfo.php?workbook=12_05.xlsx&amp;sheet=U0&amp;row=6870&amp;col=7&amp;number=0.0048&amp;sourceID=14","0.0048")</f>
        <v>0.0048</v>
      </c>
    </row>
    <row r="6871" spans="1:7">
      <c r="A6871" s="3"/>
      <c r="B6871" s="3"/>
      <c r="C6871" s="3"/>
      <c r="D6871" s="3"/>
      <c r="E6871" s="3">
        <v>8</v>
      </c>
      <c r="F6871" s="4" t="str">
        <f>HYPERLINK("http://141.218.60.56/~jnz1568/getInfo.php?workbook=12_05.xlsx&amp;sheet=U0&amp;row=6871&amp;col=6&amp;number=3.7&amp;sourceID=14","3.7")</f>
        <v>3.7</v>
      </c>
      <c r="G6871" s="4" t="str">
        <f>HYPERLINK("http://141.218.60.56/~jnz1568/getInfo.php?workbook=12_05.xlsx&amp;sheet=U0&amp;row=6871&amp;col=7&amp;number=0.00481&amp;sourceID=14","0.00481")</f>
        <v>0.00481</v>
      </c>
    </row>
    <row r="6872" spans="1:7">
      <c r="A6872" s="3"/>
      <c r="B6872" s="3"/>
      <c r="C6872" s="3"/>
      <c r="D6872" s="3"/>
      <c r="E6872" s="3">
        <v>9</v>
      </c>
      <c r="F6872" s="4" t="str">
        <f>HYPERLINK("http://141.218.60.56/~jnz1568/getInfo.php?workbook=12_05.xlsx&amp;sheet=U0&amp;row=6872&amp;col=6&amp;number=3.8&amp;sourceID=14","3.8")</f>
        <v>3.8</v>
      </c>
      <c r="G6872" s="4" t="str">
        <f>HYPERLINK("http://141.218.60.56/~jnz1568/getInfo.php?workbook=12_05.xlsx&amp;sheet=U0&amp;row=6872&amp;col=7&amp;number=0.00482&amp;sourceID=14","0.00482")</f>
        <v>0.00482</v>
      </c>
    </row>
    <row r="6873" spans="1:7">
      <c r="A6873" s="3"/>
      <c r="B6873" s="3"/>
      <c r="C6873" s="3"/>
      <c r="D6873" s="3"/>
      <c r="E6873" s="3">
        <v>10</v>
      </c>
      <c r="F6873" s="4" t="str">
        <f>HYPERLINK("http://141.218.60.56/~jnz1568/getInfo.php?workbook=12_05.xlsx&amp;sheet=U0&amp;row=6873&amp;col=6&amp;number=3.9&amp;sourceID=14","3.9")</f>
        <v>3.9</v>
      </c>
      <c r="G6873" s="4" t="str">
        <f>HYPERLINK("http://141.218.60.56/~jnz1568/getInfo.php?workbook=12_05.xlsx&amp;sheet=U0&amp;row=6873&amp;col=7&amp;number=0.00483&amp;sourceID=14","0.00483")</f>
        <v>0.00483</v>
      </c>
    </row>
    <row r="6874" spans="1:7">
      <c r="A6874" s="3"/>
      <c r="B6874" s="3"/>
      <c r="C6874" s="3"/>
      <c r="D6874" s="3"/>
      <c r="E6874" s="3">
        <v>11</v>
      </c>
      <c r="F6874" s="4" t="str">
        <f>HYPERLINK("http://141.218.60.56/~jnz1568/getInfo.php?workbook=12_05.xlsx&amp;sheet=U0&amp;row=6874&amp;col=6&amp;number=4&amp;sourceID=14","4")</f>
        <v>4</v>
      </c>
      <c r="G6874" s="4" t="str">
        <f>HYPERLINK("http://141.218.60.56/~jnz1568/getInfo.php?workbook=12_05.xlsx&amp;sheet=U0&amp;row=6874&amp;col=7&amp;number=0.00485&amp;sourceID=14","0.00485")</f>
        <v>0.00485</v>
      </c>
    </row>
    <row r="6875" spans="1:7">
      <c r="A6875" s="3"/>
      <c r="B6875" s="3"/>
      <c r="C6875" s="3"/>
      <c r="D6875" s="3"/>
      <c r="E6875" s="3">
        <v>12</v>
      </c>
      <c r="F6875" s="4" t="str">
        <f>HYPERLINK("http://141.218.60.56/~jnz1568/getInfo.php?workbook=12_05.xlsx&amp;sheet=U0&amp;row=6875&amp;col=6&amp;number=4.1&amp;sourceID=14","4.1")</f>
        <v>4.1</v>
      </c>
      <c r="G6875" s="4" t="str">
        <f>HYPERLINK("http://141.218.60.56/~jnz1568/getInfo.php?workbook=12_05.xlsx&amp;sheet=U0&amp;row=6875&amp;col=7&amp;number=0.00486&amp;sourceID=14","0.00486")</f>
        <v>0.00486</v>
      </c>
    </row>
    <row r="6876" spans="1:7">
      <c r="A6876" s="3"/>
      <c r="B6876" s="3"/>
      <c r="C6876" s="3"/>
      <c r="D6876" s="3"/>
      <c r="E6876" s="3">
        <v>13</v>
      </c>
      <c r="F6876" s="4" t="str">
        <f>HYPERLINK("http://141.218.60.56/~jnz1568/getInfo.php?workbook=12_05.xlsx&amp;sheet=U0&amp;row=6876&amp;col=6&amp;number=4.2&amp;sourceID=14","4.2")</f>
        <v>4.2</v>
      </c>
      <c r="G6876" s="4" t="str">
        <f>HYPERLINK("http://141.218.60.56/~jnz1568/getInfo.php?workbook=12_05.xlsx&amp;sheet=U0&amp;row=6876&amp;col=7&amp;number=0.00489&amp;sourceID=14","0.00489")</f>
        <v>0.00489</v>
      </c>
    </row>
    <row r="6877" spans="1:7">
      <c r="A6877" s="3"/>
      <c r="B6877" s="3"/>
      <c r="C6877" s="3"/>
      <c r="D6877" s="3"/>
      <c r="E6877" s="3">
        <v>14</v>
      </c>
      <c r="F6877" s="4" t="str">
        <f>HYPERLINK("http://141.218.60.56/~jnz1568/getInfo.php?workbook=12_05.xlsx&amp;sheet=U0&amp;row=6877&amp;col=6&amp;number=4.3&amp;sourceID=14","4.3")</f>
        <v>4.3</v>
      </c>
      <c r="G6877" s="4" t="str">
        <f>HYPERLINK("http://141.218.60.56/~jnz1568/getInfo.php?workbook=12_05.xlsx&amp;sheet=U0&amp;row=6877&amp;col=7&amp;number=0.00491&amp;sourceID=14","0.00491")</f>
        <v>0.00491</v>
      </c>
    </row>
    <row r="6878" spans="1:7">
      <c r="A6878" s="3"/>
      <c r="B6878" s="3"/>
      <c r="C6878" s="3"/>
      <c r="D6878" s="3"/>
      <c r="E6878" s="3">
        <v>15</v>
      </c>
      <c r="F6878" s="4" t="str">
        <f>HYPERLINK("http://141.218.60.56/~jnz1568/getInfo.php?workbook=12_05.xlsx&amp;sheet=U0&amp;row=6878&amp;col=6&amp;number=4.4&amp;sourceID=14","4.4")</f>
        <v>4.4</v>
      </c>
      <c r="G6878" s="4" t="str">
        <f>HYPERLINK("http://141.218.60.56/~jnz1568/getInfo.php?workbook=12_05.xlsx&amp;sheet=U0&amp;row=6878&amp;col=7&amp;number=0.00495&amp;sourceID=14","0.00495")</f>
        <v>0.00495</v>
      </c>
    </row>
    <row r="6879" spans="1:7">
      <c r="A6879" s="3"/>
      <c r="B6879" s="3"/>
      <c r="C6879" s="3"/>
      <c r="D6879" s="3"/>
      <c r="E6879" s="3">
        <v>16</v>
      </c>
      <c r="F6879" s="4" t="str">
        <f>HYPERLINK("http://141.218.60.56/~jnz1568/getInfo.php?workbook=12_05.xlsx&amp;sheet=U0&amp;row=6879&amp;col=6&amp;number=4.5&amp;sourceID=14","4.5")</f>
        <v>4.5</v>
      </c>
      <c r="G6879" s="4" t="str">
        <f>HYPERLINK("http://141.218.60.56/~jnz1568/getInfo.php?workbook=12_05.xlsx&amp;sheet=U0&amp;row=6879&amp;col=7&amp;number=0.00499&amp;sourceID=14","0.00499")</f>
        <v>0.00499</v>
      </c>
    </row>
    <row r="6880" spans="1:7">
      <c r="A6880" s="3"/>
      <c r="B6880" s="3"/>
      <c r="C6880" s="3"/>
      <c r="D6880" s="3"/>
      <c r="E6880" s="3">
        <v>17</v>
      </c>
      <c r="F6880" s="4" t="str">
        <f>HYPERLINK("http://141.218.60.56/~jnz1568/getInfo.php?workbook=12_05.xlsx&amp;sheet=U0&amp;row=6880&amp;col=6&amp;number=4.6&amp;sourceID=14","4.6")</f>
        <v>4.6</v>
      </c>
      <c r="G6880" s="4" t="str">
        <f>HYPERLINK("http://141.218.60.56/~jnz1568/getInfo.php?workbook=12_05.xlsx&amp;sheet=U0&amp;row=6880&amp;col=7&amp;number=0.00505&amp;sourceID=14","0.00505")</f>
        <v>0.00505</v>
      </c>
    </row>
    <row r="6881" spans="1:7">
      <c r="A6881" s="3"/>
      <c r="B6881" s="3"/>
      <c r="C6881" s="3"/>
      <c r="D6881" s="3"/>
      <c r="E6881" s="3">
        <v>18</v>
      </c>
      <c r="F6881" s="4" t="str">
        <f>HYPERLINK("http://141.218.60.56/~jnz1568/getInfo.php?workbook=12_05.xlsx&amp;sheet=U0&amp;row=6881&amp;col=6&amp;number=4.7&amp;sourceID=14","4.7")</f>
        <v>4.7</v>
      </c>
      <c r="G6881" s="4" t="str">
        <f>HYPERLINK("http://141.218.60.56/~jnz1568/getInfo.php?workbook=12_05.xlsx&amp;sheet=U0&amp;row=6881&amp;col=7&amp;number=0.00512&amp;sourceID=14","0.00512")</f>
        <v>0.00512</v>
      </c>
    </row>
    <row r="6882" spans="1:7">
      <c r="A6882" s="3"/>
      <c r="B6882" s="3"/>
      <c r="C6882" s="3"/>
      <c r="D6882" s="3"/>
      <c r="E6882" s="3">
        <v>19</v>
      </c>
      <c r="F6882" s="4" t="str">
        <f>HYPERLINK("http://141.218.60.56/~jnz1568/getInfo.php?workbook=12_05.xlsx&amp;sheet=U0&amp;row=6882&amp;col=6&amp;number=4.8&amp;sourceID=14","4.8")</f>
        <v>4.8</v>
      </c>
      <c r="G6882" s="4" t="str">
        <f>HYPERLINK("http://141.218.60.56/~jnz1568/getInfo.php?workbook=12_05.xlsx&amp;sheet=U0&amp;row=6882&amp;col=7&amp;number=0.0052&amp;sourceID=14","0.0052")</f>
        <v>0.0052</v>
      </c>
    </row>
    <row r="6883" spans="1:7">
      <c r="A6883" s="3"/>
      <c r="B6883" s="3"/>
      <c r="C6883" s="3"/>
      <c r="D6883" s="3"/>
      <c r="E6883" s="3">
        <v>20</v>
      </c>
      <c r="F6883" s="4" t="str">
        <f>HYPERLINK("http://141.218.60.56/~jnz1568/getInfo.php?workbook=12_05.xlsx&amp;sheet=U0&amp;row=6883&amp;col=6&amp;number=4.9&amp;sourceID=14","4.9")</f>
        <v>4.9</v>
      </c>
      <c r="G6883" s="4" t="str">
        <f>HYPERLINK("http://141.218.60.56/~jnz1568/getInfo.php?workbook=12_05.xlsx&amp;sheet=U0&amp;row=6883&amp;col=7&amp;number=0.00531&amp;sourceID=14","0.00531")</f>
        <v>0.00531</v>
      </c>
    </row>
    <row r="6884" spans="1:7">
      <c r="A6884" s="3">
        <v>12</v>
      </c>
      <c r="B6884" s="3">
        <v>5</v>
      </c>
      <c r="C6884" s="3">
        <v>4</v>
      </c>
      <c r="D6884" s="3">
        <v>102</v>
      </c>
      <c r="E6884" s="3">
        <v>1</v>
      </c>
      <c r="F6884" s="4" t="str">
        <f>HYPERLINK("http://141.218.60.56/~jnz1568/getInfo.php?workbook=12_05.xlsx&amp;sheet=U0&amp;row=6884&amp;col=6&amp;number=3&amp;sourceID=14","3")</f>
        <v>3</v>
      </c>
      <c r="G6884" s="4" t="str">
        <f>HYPERLINK("http://141.218.60.56/~jnz1568/getInfo.php?workbook=12_05.xlsx&amp;sheet=U0&amp;row=6884&amp;col=7&amp;number=0.00129&amp;sourceID=14","0.00129")</f>
        <v>0.00129</v>
      </c>
    </row>
    <row r="6885" spans="1:7">
      <c r="A6885" s="3"/>
      <c r="B6885" s="3"/>
      <c r="C6885" s="3"/>
      <c r="D6885" s="3"/>
      <c r="E6885" s="3">
        <v>2</v>
      </c>
      <c r="F6885" s="4" t="str">
        <f>HYPERLINK("http://141.218.60.56/~jnz1568/getInfo.php?workbook=12_05.xlsx&amp;sheet=U0&amp;row=6885&amp;col=6&amp;number=3.1&amp;sourceID=14","3.1")</f>
        <v>3.1</v>
      </c>
      <c r="G6885" s="4" t="str">
        <f>HYPERLINK("http://141.218.60.56/~jnz1568/getInfo.php?workbook=12_05.xlsx&amp;sheet=U0&amp;row=6885&amp;col=7&amp;number=0.00129&amp;sourceID=14","0.00129")</f>
        <v>0.00129</v>
      </c>
    </row>
    <row r="6886" spans="1:7">
      <c r="A6886" s="3"/>
      <c r="B6886" s="3"/>
      <c r="C6886" s="3"/>
      <c r="D6886" s="3"/>
      <c r="E6886" s="3">
        <v>3</v>
      </c>
      <c r="F6886" s="4" t="str">
        <f>HYPERLINK("http://141.218.60.56/~jnz1568/getInfo.php?workbook=12_05.xlsx&amp;sheet=U0&amp;row=6886&amp;col=6&amp;number=3.2&amp;sourceID=14","3.2")</f>
        <v>3.2</v>
      </c>
      <c r="G6886" s="4" t="str">
        <f>HYPERLINK("http://141.218.60.56/~jnz1568/getInfo.php?workbook=12_05.xlsx&amp;sheet=U0&amp;row=6886&amp;col=7&amp;number=0.00129&amp;sourceID=14","0.00129")</f>
        <v>0.00129</v>
      </c>
    </row>
    <row r="6887" spans="1:7">
      <c r="A6887" s="3"/>
      <c r="B6887" s="3"/>
      <c r="C6887" s="3"/>
      <c r="D6887" s="3"/>
      <c r="E6887" s="3">
        <v>4</v>
      </c>
      <c r="F6887" s="4" t="str">
        <f>HYPERLINK("http://141.218.60.56/~jnz1568/getInfo.php?workbook=12_05.xlsx&amp;sheet=U0&amp;row=6887&amp;col=6&amp;number=3.3&amp;sourceID=14","3.3")</f>
        <v>3.3</v>
      </c>
      <c r="G6887" s="4" t="str">
        <f>HYPERLINK("http://141.218.60.56/~jnz1568/getInfo.php?workbook=12_05.xlsx&amp;sheet=U0&amp;row=6887&amp;col=7&amp;number=0.00129&amp;sourceID=14","0.00129")</f>
        <v>0.00129</v>
      </c>
    </row>
    <row r="6888" spans="1:7">
      <c r="A6888" s="3"/>
      <c r="B6888" s="3"/>
      <c r="C6888" s="3"/>
      <c r="D6888" s="3"/>
      <c r="E6888" s="3">
        <v>5</v>
      </c>
      <c r="F6888" s="4" t="str">
        <f>HYPERLINK("http://141.218.60.56/~jnz1568/getInfo.php?workbook=12_05.xlsx&amp;sheet=U0&amp;row=6888&amp;col=6&amp;number=3.4&amp;sourceID=14","3.4")</f>
        <v>3.4</v>
      </c>
      <c r="G6888" s="4" t="str">
        <f>HYPERLINK("http://141.218.60.56/~jnz1568/getInfo.php?workbook=12_05.xlsx&amp;sheet=U0&amp;row=6888&amp;col=7&amp;number=0.00129&amp;sourceID=14","0.00129")</f>
        <v>0.00129</v>
      </c>
    </row>
    <row r="6889" spans="1:7">
      <c r="A6889" s="3"/>
      <c r="B6889" s="3"/>
      <c r="C6889" s="3"/>
      <c r="D6889" s="3"/>
      <c r="E6889" s="3">
        <v>6</v>
      </c>
      <c r="F6889" s="4" t="str">
        <f>HYPERLINK("http://141.218.60.56/~jnz1568/getInfo.php?workbook=12_05.xlsx&amp;sheet=U0&amp;row=6889&amp;col=6&amp;number=3.5&amp;sourceID=14","3.5")</f>
        <v>3.5</v>
      </c>
      <c r="G6889" s="4" t="str">
        <f>HYPERLINK("http://141.218.60.56/~jnz1568/getInfo.php?workbook=12_05.xlsx&amp;sheet=U0&amp;row=6889&amp;col=7&amp;number=0.00129&amp;sourceID=14","0.00129")</f>
        <v>0.00129</v>
      </c>
    </row>
    <row r="6890" spans="1:7">
      <c r="A6890" s="3"/>
      <c r="B6890" s="3"/>
      <c r="C6890" s="3"/>
      <c r="D6890" s="3"/>
      <c r="E6890" s="3">
        <v>7</v>
      </c>
      <c r="F6890" s="4" t="str">
        <f>HYPERLINK("http://141.218.60.56/~jnz1568/getInfo.php?workbook=12_05.xlsx&amp;sheet=U0&amp;row=6890&amp;col=6&amp;number=3.6&amp;sourceID=14","3.6")</f>
        <v>3.6</v>
      </c>
      <c r="G6890" s="4" t="str">
        <f>HYPERLINK("http://141.218.60.56/~jnz1568/getInfo.php?workbook=12_05.xlsx&amp;sheet=U0&amp;row=6890&amp;col=7&amp;number=0.00129&amp;sourceID=14","0.00129")</f>
        <v>0.00129</v>
      </c>
    </row>
    <row r="6891" spans="1:7">
      <c r="A6891" s="3"/>
      <c r="B6891" s="3"/>
      <c r="C6891" s="3"/>
      <c r="D6891" s="3"/>
      <c r="E6891" s="3">
        <v>8</v>
      </c>
      <c r="F6891" s="4" t="str">
        <f>HYPERLINK("http://141.218.60.56/~jnz1568/getInfo.php?workbook=12_05.xlsx&amp;sheet=U0&amp;row=6891&amp;col=6&amp;number=3.7&amp;sourceID=14","3.7")</f>
        <v>3.7</v>
      </c>
      <c r="G6891" s="4" t="str">
        <f>HYPERLINK("http://141.218.60.56/~jnz1568/getInfo.php?workbook=12_05.xlsx&amp;sheet=U0&amp;row=6891&amp;col=7&amp;number=0.00129&amp;sourceID=14","0.00129")</f>
        <v>0.00129</v>
      </c>
    </row>
    <row r="6892" spans="1:7">
      <c r="A6892" s="3"/>
      <c r="B6892" s="3"/>
      <c r="C6892" s="3"/>
      <c r="D6892" s="3"/>
      <c r="E6892" s="3">
        <v>9</v>
      </c>
      <c r="F6892" s="4" t="str">
        <f>HYPERLINK("http://141.218.60.56/~jnz1568/getInfo.php?workbook=12_05.xlsx&amp;sheet=U0&amp;row=6892&amp;col=6&amp;number=3.8&amp;sourceID=14","3.8")</f>
        <v>3.8</v>
      </c>
      <c r="G6892" s="4" t="str">
        <f>HYPERLINK("http://141.218.60.56/~jnz1568/getInfo.php?workbook=12_05.xlsx&amp;sheet=U0&amp;row=6892&amp;col=7&amp;number=0.00128&amp;sourceID=14","0.00128")</f>
        <v>0.00128</v>
      </c>
    </row>
    <row r="6893" spans="1:7">
      <c r="A6893" s="3"/>
      <c r="B6893" s="3"/>
      <c r="C6893" s="3"/>
      <c r="D6893" s="3"/>
      <c r="E6893" s="3">
        <v>10</v>
      </c>
      <c r="F6893" s="4" t="str">
        <f>HYPERLINK("http://141.218.60.56/~jnz1568/getInfo.php?workbook=12_05.xlsx&amp;sheet=U0&amp;row=6893&amp;col=6&amp;number=3.9&amp;sourceID=14","3.9")</f>
        <v>3.9</v>
      </c>
      <c r="G6893" s="4" t="str">
        <f>HYPERLINK("http://141.218.60.56/~jnz1568/getInfo.php?workbook=12_05.xlsx&amp;sheet=U0&amp;row=6893&amp;col=7&amp;number=0.00128&amp;sourceID=14","0.00128")</f>
        <v>0.00128</v>
      </c>
    </row>
    <row r="6894" spans="1:7">
      <c r="A6894" s="3"/>
      <c r="B6894" s="3"/>
      <c r="C6894" s="3"/>
      <c r="D6894" s="3"/>
      <c r="E6894" s="3">
        <v>11</v>
      </c>
      <c r="F6894" s="4" t="str">
        <f>HYPERLINK("http://141.218.60.56/~jnz1568/getInfo.php?workbook=12_05.xlsx&amp;sheet=U0&amp;row=6894&amp;col=6&amp;number=4&amp;sourceID=14","4")</f>
        <v>4</v>
      </c>
      <c r="G6894" s="4" t="str">
        <f>HYPERLINK("http://141.218.60.56/~jnz1568/getInfo.php?workbook=12_05.xlsx&amp;sheet=U0&amp;row=6894&amp;col=7&amp;number=0.00128&amp;sourceID=14","0.00128")</f>
        <v>0.00128</v>
      </c>
    </row>
    <row r="6895" spans="1:7">
      <c r="A6895" s="3"/>
      <c r="B6895" s="3"/>
      <c r="C6895" s="3"/>
      <c r="D6895" s="3"/>
      <c r="E6895" s="3">
        <v>12</v>
      </c>
      <c r="F6895" s="4" t="str">
        <f>HYPERLINK("http://141.218.60.56/~jnz1568/getInfo.php?workbook=12_05.xlsx&amp;sheet=U0&amp;row=6895&amp;col=6&amp;number=4.1&amp;sourceID=14","4.1")</f>
        <v>4.1</v>
      </c>
      <c r="G6895" s="4" t="str">
        <f>HYPERLINK("http://141.218.60.56/~jnz1568/getInfo.php?workbook=12_05.xlsx&amp;sheet=U0&amp;row=6895&amp;col=7&amp;number=0.00128&amp;sourceID=14","0.00128")</f>
        <v>0.00128</v>
      </c>
    </row>
    <row r="6896" spans="1:7">
      <c r="A6896" s="3"/>
      <c r="B6896" s="3"/>
      <c r="C6896" s="3"/>
      <c r="D6896" s="3"/>
      <c r="E6896" s="3">
        <v>13</v>
      </c>
      <c r="F6896" s="4" t="str">
        <f>HYPERLINK("http://141.218.60.56/~jnz1568/getInfo.php?workbook=12_05.xlsx&amp;sheet=U0&amp;row=6896&amp;col=6&amp;number=4.2&amp;sourceID=14","4.2")</f>
        <v>4.2</v>
      </c>
      <c r="G6896" s="4" t="str">
        <f>HYPERLINK("http://141.218.60.56/~jnz1568/getInfo.php?workbook=12_05.xlsx&amp;sheet=U0&amp;row=6896&amp;col=7&amp;number=0.00127&amp;sourceID=14","0.00127")</f>
        <v>0.00127</v>
      </c>
    </row>
    <row r="6897" spans="1:7">
      <c r="A6897" s="3"/>
      <c r="B6897" s="3"/>
      <c r="C6897" s="3"/>
      <c r="D6897" s="3"/>
      <c r="E6897" s="3">
        <v>14</v>
      </c>
      <c r="F6897" s="4" t="str">
        <f>HYPERLINK("http://141.218.60.56/~jnz1568/getInfo.php?workbook=12_05.xlsx&amp;sheet=U0&amp;row=6897&amp;col=6&amp;number=4.3&amp;sourceID=14","4.3")</f>
        <v>4.3</v>
      </c>
      <c r="G6897" s="4" t="str">
        <f>HYPERLINK("http://141.218.60.56/~jnz1568/getInfo.php?workbook=12_05.xlsx&amp;sheet=U0&amp;row=6897&amp;col=7&amp;number=0.00127&amp;sourceID=14","0.00127")</f>
        <v>0.00127</v>
      </c>
    </row>
    <row r="6898" spans="1:7">
      <c r="A6898" s="3"/>
      <c r="B6898" s="3"/>
      <c r="C6898" s="3"/>
      <c r="D6898" s="3"/>
      <c r="E6898" s="3">
        <v>15</v>
      </c>
      <c r="F6898" s="4" t="str">
        <f>HYPERLINK("http://141.218.60.56/~jnz1568/getInfo.php?workbook=12_05.xlsx&amp;sheet=U0&amp;row=6898&amp;col=6&amp;number=4.4&amp;sourceID=14","4.4")</f>
        <v>4.4</v>
      </c>
      <c r="G6898" s="4" t="str">
        <f>HYPERLINK("http://141.218.60.56/~jnz1568/getInfo.php?workbook=12_05.xlsx&amp;sheet=U0&amp;row=6898&amp;col=7&amp;number=0.00126&amp;sourceID=14","0.00126")</f>
        <v>0.00126</v>
      </c>
    </row>
    <row r="6899" spans="1:7">
      <c r="A6899" s="3"/>
      <c r="B6899" s="3"/>
      <c r="C6899" s="3"/>
      <c r="D6899" s="3"/>
      <c r="E6899" s="3">
        <v>16</v>
      </c>
      <c r="F6899" s="4" t="str">
        <f>HYPERLINK("http://141.218.60.56/~jnz1568/getInfo.php?workbook=12_05.xlsx&amp;sheet=U0&amp;row=6899&amp;col=6&amp;number=4.5&amp;sourceID=14","4.5")</f>
        <v>4.5</v>
      </c>
      <c r="G6899" s="4" t="str">
        <f>HYPERLINK("http://141.218.60.56/~jnz1568/getInfo.php?workbook=12_05.xlsx&amp;sheet=U0&amp;row=6899&amp;col=7&amp;number=0.00125&amp;sourceID=14","0.00125")</f>
        <v>0.00125</v>
      </c>
    </row>
    <row r="6900" spans="1:7">
      <c r="A6900" s="3"/>
      <c r="B6900" s="3"/>
      <c r="C6900" s="3"/>
      <c r="D6900" s="3"/>
      <c r="E6900" s="3">
        <v>17</v>
      </c>
      <c r="F6900" s="4" t="str">
        <f>HYPERLINK("http://141.218.60.56/~jnz1568/getInfo.php?workbook=12_05.xlsx&amp;sheet=U0&amp;row=6900&amp;col=6&amp;number=4.6&amp;sourceID=14","4.6")</f>
        <v>4.6</v>
      </c>
      <c r="G6900" s="4" t="str">
        <f>HYPERLINK("http://141.218.60.56/~jnz1568/getInfo.php?workbook=12_05.xlsx&amp;sheet=U0&amp;row=6900&amp;col=7&amp;number=0.00124&amp;sourceID=14","0.00124")</f>
        <v>0.00124</v>
      </c>
    </row>
    <row r="6901" spans="1:7">
      <c r="A6901" s="3"/>
      <c r="B6901" s="3"/>
      <c r="C6901" s="3"/>
      <c r="D6901" s="3"/>
      <c r="E6901" s="3">
        <v>18</v>
      </c>
      <c r="F6901" s="4" t="str">
        <f>HYPERLINK("http://141.218.60.56/~jnz1568/getInfo.php?workbook=12_05.xlsx&amp;sheet=U0&amp;row=6901&amp;col=6&amp;number=4.7&amp;sourceID=14","4.7")</f>
        <v>4.7</v>
      </c>
      <c r="G6901" s="4" t="str">
        <f>HYPERLINK("http://141.218.60.56/~jnz1568/getInfo.php?workbook=12_05.xlsx&amp;sheet=U0&amp;row=6901&amp;col=7&amp;number=0.00123&amp;sourceID=14","0.00123")</f>
        <v>0.00123</v>
      </c>
    </row>
    <row r="6902" spans="1:7">
      <c r="A6902" s="3"/>
      <c r="B6902" s="3"/>
      <c r="C6902" s="3"/>
      <c r="D6902" s="3"/>
      <c r="E6902" s="3">
        <v>19</v>
      </c>
      <c r="F6902" s="4" t="str">
        <f>HYPERLINK("http://141.218.60.56/~jnz1568/getInfo.php?workbook=12_05.xlsx&amp;sheet=U0&amp;row=6902&amp;col=6&amp;number=4.8&amp;sourceID=14","4.8")</f>
        <v>4.8</v>
      </c>
      <c r="G6902" s="4" t="str">
        <f>HYPERLINK("http://141.218.60.56/~jnz1568/getInfo.php?workbook=12_05.xlsx&amp;sheet=U0&amp;row=6902&amp;col=7&amp;number=0.00122&amp;sourceID=14","0.00122")</f>
        <v>0.00122</v>
      </c>
    </row>
    <row r="6903" spans="1:7">
      <c r="A6903" s="3"/>
      <c r="B6903" s="3"/>
      <c r="C6903" s="3"/>
      <c r="D6903" s="3"/>
      <c r="E6903" s="3">
        <v>20</v>
      </c>
      <c r="F6903" s="4" t="str">
        <f>HYPERLINK("http://141.218.60.56/~jnz1568/getInfo.php?workbook=12_05.xlsx&amp;sheet=U0&amp;row=6903&amp;col=6&amp;number=4.9&amp;sourceID=14","4.9")</f>
        <v>4.9</v>
      </c>
      <c r="G6903" s="4" t="str">
        <f>HYPERLINK("http://141.218.60.56/~jnz1568/getInfo.php?workbook=12_05.xlsx&amp;sheet=U0&amp;row=6903&amp;col=7&amp;number=0.0012&amp;sourceID=14","0.0012")</f>
        <v>0.0012</v>
      </c>
    </row>
    <row r="6904" spans="1:7">
      <c r="A6904" s="3">
        <v>12</v>
      </c>
      <c r="B6904" s="3">
        <v>5</v>
      </c>
      <c r="C6904" s="3">
        <v>4</v>
      </c>
      <c r="D6904" s="3">
        <v>103</v>
      </c>
      <c r="E6904" s="3">
        <v>1</v>
      </c>
      <c r="F6904" s="4" t="str">
        <f>HYPERLINK("http://141.218.60.56/~jnz1568/getInfo.php?workbook=12_05.xlsx&amp;sheet=U0&amp;row=6904&amp;col=6&amp;number=3&amp;sourceID=14","3")</f>
        <v>3</v>
      </c>
      <c r="G6904" s="4" t="str">
        <f>HYPERLINK("http://141.218.60.56/~jnz1568/getInfo.php?workbook=12_05.xlsx&amp;sheet=U0&amp;row=6904&amp;col=7&amp;number=0.000782&amp;sourceID=14","0.000782")</f>
        <v>0.000782</v>
      </c>
    </row>
    <row r="6905" spans="1:7">
      <c r="A6905" s="3"/>
      <c r="B6905" s="3"/>
      <c r="C6905" s="3"/>
      <c r="D6905" s="3"/>
      <c r="E6905" s="3">
        <v>2</v>
      </c>
      <c r="F6905" s="4" t="str">
        <f>HYPERLINK("http://141.218.60.56/~jnz1568/getInfo.php?workbook=12_05.xlsx&amp;sheet=U0&amp;row=6905&amp;col=6&amp;number=3.1&amp;sourceID=14","3.1")</f>
        <v>3.1</v>
      </c>
      <c r="G6905" s="4" t="str">
        <f>HYPERLINK("http://141.218.60.56/~jnz1568/getInfo.php?workbook=12_05.xlsx&amp;sheet=U0&amp;row=6905&amp;col=7&amp;number=0.000782&amp;sourceID=14","0.000782")</f>
        <v>0.000782</v>
      </c>
    </row>
    <row r="6906" spans="1:7">
      <c r="A6906" s="3"/>
      <c r="B6906" s="3"/>
      <c r="C6906" s="3"/>
      <c r="D6906" s="3"/>
      <c r="E6906" s="3">
        <v>3</v>
      </c>
      <c r="F6906" s="4" t="str">
        <f>HYPERLINK("http://141.218.60.56/~jnz1568/getInfo.php?workbook=12_05.xlsx&amp;sheet=U0&amp;row=6906&amp;col=6&amp;number=3.2&amp;sourceID=14","3.2")</f>
        <v>3.2</v>
      </c>
      <c r="G6906" s="4" t="str">
        <f>HYPERLINK("http://141.218.60.56/~jnz1568/getInfo.php?workbook=12_05.xlsx&amp;sheet=U0&amp;row=6906&amp;col=7&amp;number=0.000782&amp;sourceID=14","0.000782")</f>
        <v>0.000782</v>
      </c>
    </row>
    <row r="6907" spans="1:7">
      <c r="A6907" s="3"/>
      <c r="B6907" s="3"/>
      <c r="C6907" s="3"/>
      <c r="D6907" s="3"/>
      <c r="E6907" s="3">
        <v>4</v>
      </c>
      <c r="F6907" s="4" t="str">
        <f>HYPERLINK("http://141.218.60.56/~jnz1568/getInfo.php?workbook=12_05.xlsx&amp;sheet=U0&amp;row=6907&amp;col=6&amp;number=3.3&amp;sourceID=14","3.3")</f>
        <v>3.3</v>
      </c>
      <c r="G6907" s="4" t="str">
        <f>HYPERLINK("http://141.218.60.56/~jnz1568/getInfo.php?workbook=12_05.xlsx&amp;sheet=U0&amp;row=6907&amp;col=7&amp;number=0.000781&amp;sourceID=14","0.000781")</f>
        <v>0.000781</v>
      </c>
    </row>
    <row r="6908" spans="1:7">
      <c r="A6908" s="3"/>
      <c r="B6908" s="3"/>
      <c r="C6908" s="3"/>
      <c r="D6908" s="3"/>
      <c r="E6908" s="3">
        <v>5</v>
      </c>
      <c r="F6908" s="4" t="str">
        <f>HYPERLINK("http://141.218.60.56/~jnz1568/getInfo.php?workbook=12_05.xlsx&amp;sheet=U0&amp;row=6908&amp;col=6&amp;number=3.4&amp;sourceID=14","3.4")</f>
        <v>3.4</v>
      </c>
      <c r="G6908" s="4" t="str">
        <f>HYPERLINK("http://141.218.60.56/~jnz1568/getInfo.php?workbook=12_05.xlsx&amp;sheet=U0&amp;row=6908&amp;col=7&amp;number=0.000781&amp;sourceID=14","0.000781")</f>
        <v>0.000781</v>
      </c>
    </row>
    <row r="6909" spans="1:7">
      <c r="A6909" s="3"/>
      <c r="B6909" s="3"/>
      <c r="C6909" s="3"/>
      <c r="D6909" s="3"/>
      <c r="E6909" s="3">
        <v>6</v>
      </c>
      <c r="F6909" s="4" t="str">
        <f>HYPERLINK("http://141.218.60.56/~jnz1568/getInfo.php?workbook=12_05.xlsx&amp;sheet=U0&amp;row=6909&amp;col=6&amp;number=3.5&amp;sourceID=14","3.5")</f>
        <v>3.5</v>
      </c>
      <c r="G6909" s="4" t="str">
        <f>HYPERLINK("http://141.218.60.56/~jnz1568/getInfo.php?workbook=12_05.xlsx&amp;sheet=U0&amp;row=6909&amp;col=7&amp;number=0.000781&amp;sourceID=14","0.000781")</f>
        <v>0.000781</v>
      </c>
    </row>
    <row r="6910" spans="1:7">
      <c r="A6910" s="3"/>
      <c r="B6910" s="3"/>
      <c r="C6910" s="3"/>
      <c r="D6910" s="3"/>
      <c r="E6910" s="3">
        <v>7</v>
      </c>
      <c r="F6910" s="4" t="str">
        <f>HYPERLINK("http://141.218.60.56/~jnz1568/getInfo.php?workbook=12_05.xlsx&amp;sheet=U0&amp;row=6910&amp;col=6&amp;number=3.6&amp;sourceID=14","3.6")</f>
        <v>3.6</v>
      </c>
      <c r="G6910" s="4" t="str">
        <f>HYPERLINK("http://141.218.60.56/~jnz1568/getInfo.php?workbook=12_05.xlsx&amp;sheet=U0&amp;row=6910&amp;col=7&amp;number=0.00078&amp;sourceID=14","0.00078")</f>
        <v>0.00078</v>
      </c>
    </row>
    <row r="6911" spans="1:7">
      <c r="A6911" s="3"/>
      <c r="B6911" s="3"/>
      <c r="C6911" s="3"/>
      <c r="D6911" s="3"/>
      <c r="E6911" s="3">
        <v>8</v>
      </c>
      <c r="F6911" s="4" t="str">
        <f>HYPERLINK("http://141.218.60.56/~jnz1568/getInfo.php?workbook=12_05.xlsx&amp;sheet=U0&amp;row=6911&amp;col=6&amp;number=3.7&amp;sourceID=14","3.7")</f>
        <v>3.7</v>
      </c>
      <c r="G6911" s="4" t="str">
        <f>HYPERLINK("http://141.218.60.56/~jnz1568/getInfo.php?workbook=12_05.xlsx&amp;sheet=U0&amp;row=6911&amp;col=7&amp;number=0.000779&amp;sourceID=14","0.000779")</f>
        <v>0.000779</v>
      </c>
    </row>
    <row r="6912" spans="1:7">
      <c r="A6912" s="3"/>
      <c r="B6912" s="3"/>
      <c r="C6912" s="3"/>
      <c r="D6912" s="3"/>
      <c r="E6912" s="3">
        <v>9</v>
      </c>
      <c r="F6912" s="4" t="str">
        <f>HYPERLINK("http://141.218.60.56/~jnz1568/getInfo.php?workbook=12_05.xlsx&amp;sheet=U0&amp;row=6912&amp;col=6&amp;number=3.8&amp;sourceID=14","3.8")</f>
        <v>3.8</v>
      </c>
      <c r="G6912" s="4" t="str">
        <f>HYPERLINK("http://141.218.60.56/~jnz1568/getInfo.php?workbook=12_05.xlsx&amp;sheet=U0&amp;row=6912&amp;col=7&amp;number=0.000779&amp;sourceID=14","0.000779")</f>
        <v>0.000779</v>
      </c>
    </row>
    <row r="6913" spans="1:7">
      <c r="A6913" s="3"/>
      <c r="B6913" s="3"/>
      <c r="C6913" s="3"/>
      <c r="D6913" s="3"/>
      <c r="E6913" s="3">
        <v>10</v>
      </c>
      <c r="F6913" s="4" t="str">
        <f>HYPERLINK("http://141.218.60.56/~jnz1568/getInfo.php?workbook=12_05.xlsx&amp;sheet=U0&amp;row=6913&amp;col=6&amp;number=3.9&amp;sourceID=14","3.9")</f>
        <v>3.9</v>
      </c>
      <c r="G6913" s="4" t="str">
        <f>HYPERLINK("http://141.218.60.56/~jnz1568/getInfo.php?workbook=12_05.xlsx&amp;sheet=U0&amp;row=6913&amp;col=7&amp;number=0.000778&amp;sourceID=14","0.000778")</f>
        <v>0.000778</v>
      </c>
    </row>
    <row r="6914" spans="1:7">
      <c r="A6914" s="3"/>
      <c r="B6914" s="3"/>
      <c r="C6914" s="3"/>
      <c r="D6914" s="3"/>
      <c r="E6914" s="3">
        <v>11</v>
      </c>
      <c r="F6914" s="4" t="str">
        <f>HYPERLINK("http://141.218.60.56/~jnz1568/getInfo.php?workbook=12_05.xlsx&amp;sheet=U0&amp;row=6914&amp;col=6&amp;number=4&amp;sourceID=14","4")</f>
        <v>4</v>
      </c>
      <c r="G6914" s="4" t="str">
        <f>HYPERLINK("http://141.218.60.56/~jnz1568/getInfo.php?workbook=12_05.xlsx&amp;sheet=U0&amp;row=6914&amp;col=7&amp;number=0.000776&amp;sourceID=14","0.000776")</f>
        <v>0.000776</v>
      </c>
    </row>
    <row r="6915" spans="1:7">
      <c r="A6915" s="3"/>
      <c r="B6915" s="3"/>
      <c r="C6915" s="3"/>
      <c r="D6915" s="3"/>
      <c r="E6915" s="3">
        <v>12</v>
      </c>
      <c r="F6915" s="4" t="str">
        <f>HYPERLINK("http://141.218.60.56/~jnz1568/getInfo.php?workbook=12_05.xlsx&amp;sheet=U0&amp;row=6915&amp;col=6&amp;number=4.1&amp;sourceID=14","4.1")</f>
        <v>4.1</v>
      </c>
      <c r="G6915" s="4" t="str">
        <f>HYPERLINK("http://141.218.60.56/~jnz1568/getInfo.php?workbook=12_05.xlsx&amp;sheet=U0&amp;row=6915&amp;col=7&amp;number=0.000775&amp;sourceID=14","0.000775")</f>
        <v>0.000775</v>
      </c>
    </row>
    <row r="6916" spans="1:7">
      <c r="A6916" s="3"/>
      <c r="B6916" s="3"/>
      <c r="C6916" s="3"/>
      <c r="D6916" s="3"/>
      <c r="E6916" s="3">
        <v>13</v>
      </c>
      <c r="F6916" s="4" t="str">
        <f>HYPERLINK("http://141.218.60.56/~jnz1568/getInfo.php?workbook=12_05.xlsx&amp;sheet=U0&amp;row=6916&amp;col=6&amp;number=4.2&amp;sourceID=14","4.2")</f>
        <v>4.2</v>
      </c>
      <c r="G6916" s="4" t="str">
        <f>HYPERLINK("http://141.218.60.56/~jnz1568/getInfo.php?workbook=12_05.xlsx&amp;sheet=U0&amp;row=6916&amp;col=7&amp;number=0.000773&amp;sourceID=14","0.000773")</f>
        <v>0.000773</v>
      </c>
    </row>
    <row r="6917" spans="1:7">
      <c r="A6917" s="3"/>
      <c r="B6917" s="3"/>
      <c r="C6917" s="3"/>
      <c r="D6917" s="3"/>
      <c r="E6917" s="3">
        <v>14</v>
      </c>
      <c r="F6917" s="4" t="str">
        <f>HYPERLINK("http://141.218.60.56/~jnz1568/getInfo.php?workbook=12_05.xlsx&amp;sheet=U0&amp;row=6917&amp;col=6&amp;number=4.3&amp;sourceID=14","4.3")</f>
        <v>4.3</v>
      </c>
      <c r="G6917" s="4" t="str">
        <f>HYPERLINK("http://141.218.60.56/~jnz1568/getInfo.php?workbook=12_05.xlsx&amp;sheet=U0&amp;row=6917&amp;col=7&amp;number=0.00077&amp;sourceID=14","0.00077")</f>
        <v>0.00077</v>
      </c>
    </row>
    <row r="6918" spans="1:7">
      <c r="A6918" s="3"/>
      <c r="B6918" s="3"/>
      <c r="C6918" s="3"/>
      <c r="D6918" s="3"/>
      <c r="E6918" s="3">
        <v>15</v>
      </c>
      <c r="F6918" s="4" t="str">
        <f>HYPERLINK("http://141.218.60.56/~jnz1568/getInfo.php?workbook=12_05.xlsx&amp;sheet=U0&amp;row=6918&amp;col=6&amp;number=4.4&amp;sourceID=14","4.4")</f>
        <v>4.4</v>
      </c>
      <c r="G6918" s="4" t="str">
        <f>HYPERLINK("http://141.218.60.56/~jnz1568/getInfo.php?workbook=12_05.xlsx&amp;sheet=U0&amp;row=6918&amp;col=7&amp;number=0.000767&amp;sourceID=14","0.000767")</f>
        <v>0.000767</v>
      </c>
    </row>
    <row r="6919" spans="1:7">
      <c r="A6919" s="3"/>
      <c r="B6919" s="3"/>
      <c r="C6919" s="3"/>
      <c r="D6919" s="3"/>
      <c r="E6919" s="3">
        <v>16</v>
      </c>
      <c r="F6919" s="4" t="str">
        <f>HYPERLINK("http://141.218.60.56/~jnz1568/getInfo.php?workbook=12_05.xlsx&amp;sheet=U0&amp;row=6919&amp;col=6&amp;number=4.5&amp;sourceID=14","4.5")</f>
        <v>4.5</v>
      </c>
      <c r="G6919" s="4" t="str">
        <f>HYPERLINK("http://141.218.60.56/~jnz1568/getInfo.php?workbook=12_05.xlsx&amp;sheet=U0&amp;row=6919&amp;col=7&amp;number=0.000763&amp;sourceID=14","0.000763")</f>
        <v>0.000763</v>
      </c>
    </row>
    <row r="6920" spans="1:7">
      <c r="A6920" s="3"/>
      <c r="B6920" s="3"/>
      <c r="C6920" s="3"/>
      <c r="D6920" s="3"/>
      <c r="E6920" s="3">
        <v>17</v>
      </c>
      <c r="F6920" s="4" t="str">
        <f>HYPERLINK("http://141.218.60.56/~jnz1568/getInfo.php?workbook=12_05.xlsx&amp;sheet=U0&amp;row=6920&amp;col=6&amp;number=4.6&amp;sourceID=14","4.6")</f>
        <v>4.6</v>
      </c>
      <c r="G6920" s="4" t="str">
        <f>HYPERLINK("http://141.218.60.56/~jnz1568/getInfo.php?workbook=12_05.xlsx&amp;sheet=U0&amp;row=6920&amp;col=7&amp;number=0.000758&amp;sourceID=14","0.000758")</f>
        <v>0.000758</v>
      </c>
    </row>
    <row r="6921" spans="1:7">
      <c r="A6921" s="3"/>
      <c r="B6921" s="3"/>
      <c r="C6921" s="3"/>
      <c r="D6921" s="3"/>
      <c r="E6921" s="3">
        <v>18</v>
      </c>
      <c r="F6921" s="4" t="str">
        <f>HYPERLINK("http://141.218.60.56/~jnz1568/getInfo.php?workbook=12_05.xlsx&amp;sheet=U0&amp;row=6921&amp;col=6&amp;number=4.7&amp;sourceID=14","4.7")</f>
        <v>4.7</v>
      </c>
      <c r="G6921" s="4" t="str">
        <f>HYPERLINK("http://141.218.60.56/~jnz1568/getInfo.php?workbook=12_05.xlsx&amp;sheet=U0&amp;row=6921&amp;col=7&amp;number=0.000752&amp;sourceID=14","0.000752")</f>
        <v>0.000752</v>
      </c>
    </row>
    <row r="6922" spans="1:7">
      <c r="A6922" s="3"/>
      <c r="B6922" s="3"/>
      <c r="C6922" s="3"/>
      <c r="D6922" s="3"/>
      <c r="E6922" s="3">
        <v>19</v>
      </c>
      <c r="F6922" s="4" t="str">
        <f>HYPERLINK("http://141.218.60.56/~jnz1568/getInfo.php?workbook=12_05.xlsx&amp;sheet=U0&amp;row=6922&amp;col=6&amp;number=4.8&amp;sourceID=14","4.8")</f>
        <v>4.8</v>
      </c>
      <c r="G6922" s="4" t="str">
        <f>HYPERLINK("http://141.218.60.56/~jnz1568/getInfo.php?workbook=12_05.xlsx&amp;sheet=U0&amp;row=6922&amp;col=7&amp;number=0.000745&amp;sourceID=14","0.000745")</f>
        <v>0.000745</v>
      </c>
    </row>
    <row r="6923" spans="1:7">
      <c r="A6923" s="3"/>
      <c r="B6923" s="3"/>
      <c r="C6923" s="3"/>
      <c r="D6923" s="3"/>
      <c r="E6923" s="3">
        <v>20</v>
      </c>
      <c r="F6923" s="4" t="str">
        <f>HYPERLINK("http://141.218.60.56/~jnz1568/getInfo.php?workbook=12_05.xlsx&amp;sheet=U0&amp;row=6923&amp;col=6&amp;number=4.9&amp;sourceID=14","4.9")</f>
        <v>4.9</v>
      </c>
      <c r="G6923" s="4" t="str">
        <f>HYPERLINK("http://141.218.60.56/~jnz1568/getInfo.php?workbook=12_05.xlsx&amp;sheet=U0&amp;row=6923&amp;col=7&amp;number=0.000736&amp;sourceID=14","0.000736")</f>
        <v>0.000736</v>
      </c>
    </row>
    <row r="6924" spans="1:7">
      <c r="A6924" s="3">
        <v>12</v>
      </c>
      <c r="B6924" s="3">
        <v>5</v>
      </c>
      <c r="C6924" s="3">
        <v>4</v>
      </c>
      <c r="D6924" s="3">
        <v>104</v>
      </c>
      <c r="E6924" s="3">
        <v>1</v>
      </c>
      <c r="F6924" s="4" t="str">
        <f>HYPERLINK("http://141.218.60.56/~jnz1568/getInfo.php?workbook=12_05.xlsx&amp;sheet=U0&amp;row=6924&amp;col=6&amp;number=3&amp;sourceID=14","3")</f>
        <v>3</v>
      </c>
      <c r="G6924" s="4" t="str">
        <f>HYPERLINK("http://141.218.60.56/~jnz1568/getInfo.php?workbook=12_05.xlsx&amp;sheet=U0&amp;row=6924&amp;col=7&amp;number=0.00036&amp;sourceID=14","0.00036")</f>
        <v>0.00036</v>
      </c>
    </row>
    <row r="6925" spans="1:7">
      <c r="A6925" s="3"/>
      <c r="B6925" s="3"/>
      <c r="C6925" s="3"/>
      <c r="D6925" s="3"/>
      <c r="E6925" s="3">
        <v>2</v>
      </c>
      <c r="F6925" s="4" t="str">
        <f>HYPERLINK("http://141.218.60.56/~jnz1568/getInfo.php?workbook=12_05.xlsx&amp;sheet=U0&amp;row=6925&amp;col=6&amp;number=3.1&amp;sourceID=14","3.1")</f>
        <v>3.1</v>
      </c>
      <c r="G6925" s="4" t="str">
        <f>HYPERLINK("http://141.218.60.56/~jnz1568/getInfo.php?workbook=12_05.xlsx&amp;sheet=U0&amp;row=6925&amp;col=7&amp;number=0.000359&amp;sourceID=14","0.000359")</f>
        <v>0.000359</v>
      </c>
    </row>
    <row r="6926" spans="1:7">
      <c r="A6926" s="3"/>
      <c r="B6926" s="3"/>
      <c r="C6926" s="3"/>
      <c r="D6926" s="3"/>
      <c r="E6926" s="3">
        <v>3</v>
      </c>
      <c r="F6926" s="4" t="str">
        <f>HYPERLINK("http://141.218.60.56/~jnz1568/getInfo.php?workbook=12_05.xlsx&amp;sheet=U0&amp;row=6926&amp;col=6&amp;number=3.2&amp;sourceID=14","3.2")</f>
        <v>3.2</v>
      </c>
      <c r="G6926" s="4" t="str">
        <f>HYPERLINK("http://141.218.60.56/~jnz1568/getInfo.php?workbook=12_05.xlsx&amp;sheet=U0&amp;row=6926&amp;col=7&amp;number=0.000359&amp;sourceID=14","0.000359")</f>
        <v>0.000359</v>
      </c>
    </row>
    <row r="6927" spans="1:7">
      <c r="A6927" s="3"/>
      <c r="B6927" s="3"/>
      <c r="C6927" s="3"/>
      <c r="D6927" s="3"/>
      <c r="E6927" s="3">
        <v>4</v>
      </c>
      <c r="F6927" s="4" t="str">
        <f>HYPERLINK("http://141.218.60.56/~jnz1568/getInfo.php?workbook=12_05.xlsx&amp;sheet=U0&amp;row=6927&amp;col=6&amp;number=3.3&amp;sourceID=14","3.3")</f>
        <v>3.3</v>
      </c>
      <c r="G6927" s="4" t="str">
        <f>HYPERLINK("http://141.218.60.56/~jnz1568/getInfo.php?workbook=12_05.xlsx&amp;sheet=U0&amp;row=6927&amp;col=7&amp;number=0.000359&amp;sourceID=14","0.000359")</f>
        <v>0.000359</v>
      </c>
    </row>
    <row r="6928" spans="1:7">
      <c r="A6928" s="3"/>
      <c r="B6928" s="3"/>
      <c r="C6928" s="3"/>
      <c r="D6928" s="3"/>
      <c r="E6928" s="3">
        <v>5</v>
      </c>
      <c r="F6928" s="4" t="str">
        <f>HYPERLINK("http://141.218.60.56/~jnz1568/getInfo.php?workbook=12_05.xlsx&amp;sheet=U0&amp;row=6928&amp;col=6&amp;number=3.4&amp;sourceID=14","3.4")</f>
        <v>3.4</v>
      </c>
      <c r="G6928" s="4" t="str">
        <f>HYPERLINK("http://141.218.60.56/~jnz1568/getInfo.php?workbook=12_05.xlsx&amp;sheet=U0&amp;row=6928&amp;col=7&amp;number=0.000359&amp;sourceID=14","0.000359")</f>
        <v>0.000359</v>
      </c>
    </row>
    <row r="6929" spans="1:7">
      <c r="A6929" s="3"/>
      <c r="B6929" s="3"/>
      <c r="C6929" s="3"/>
      <c r="D6929" s="3"/>
      <c r="E6929" s="3">
        <v>6</v>
      </c>
      <c r="F6929" s="4" t="str">
        <f>HYPERLINK("http://141.218.60.56/~jnz1568/getInfo.php?workbook=12_05.xlsx&amp;sheet=U0&amp;row=6929&amp;col=6&amp;number=3.5&amp;sourceID=14","3.5")</f>
        <v>3.5</v>
      </c>
      <c r="G6929" s="4" t="str">
        <f>HYPERLINK("http://141.218.60.56/~jnz1568/getInfo.php?workbook=12_05.xlsx&amp;sheet=U0&amp;row=6929&amp;col=7&amp;number=0.000359&amp;sourceID=14","0.000359")</f>
        <v>0.000359</v>
      </c>
    </row>
    <row r="6930" spans="1:7">
      <c r="A6930" s="3"/>
      <c r="B6930" s="3"/>
      <c r="C6930" s="3"/>
      <c r="D6930" s="3"/>
      <c r="E6930" s="3">
        <v>7</v>
      </c>
      <c r="F6930" s="4" t="str">
        <f>HYPERLINK("http://141.218.60.56/~jnz1568/getInfo.php?workbook=12_05.xlsx&amp;sheet=U0&amp;row=6930&amp;col=6&amp;number=3.6&amp;sourceID=14","3.6")</f>
        <v>3.6</v>
      </c>
      <c r="G6930" s="4" t="str">
        <f>HYPERLINK("http://141.218.60.56/~jnz1568/getInfo.php?workbook=12_05.xlsx&amp;sheet=U0&amp;row=6930&amp;col=7&amp;number=0.000359&amp;sourceID=14","0.000359")</f>
        <v>0.000359</v>
      </c>
    </row>
    <row r="6931" spans="1:7">
      <c r="A6931" s="3"/>
      <c r="B6931" s="3"/>
      <c r="C6931" s="3"/>
      <c r="D6931" s="3"/>
      <c r="E6931" s="3">
        <v>8</v>
      </c>
      <c r="F6931" s="4" t="str">
        <f>HYPERLINK("http://141.218.60.56/~jnz1568/getInfo.php?workbook=12_05.xlsx&amp;sheet=U0&amp;row=6931&amp;col=6&amp;number=3.7&amp;sourceID=14","3.7")</f>
        <v>3.7</v>
      </c>
      <c r="G6931" s="4" t="str">
        <f>HYPERLINK("http://141.218.60.56/~jnz1568/getInfo.php?workbook=12_05.xlsx&amp;sheet=U0&amp;row=6931&amp;col=7&amp;number=0.000358&amp;sourceID=14","0.000358")</f>
        <v>0.000358</v>
      </c>
    </row>
    <row r="6932" spans="1:7">
      <c r="A6932" s="3"/>
      <c r="B6932" s="3"/>
      <c r="C6932" s="3"/>
      <c r="D6932" s="3"/>
      <c r="E6932" s="3">
        <v>9</v>
      </c>
      <c r="F6932" s="4" t="str">
        <f>HYPERLINK("http://141.218.60.56/~jnz1568/getInfo.php?workbook=12_05.xlsx&amp;sheet=U0&amp;row=6932&amp;col=6&amp;number=3.8&amp;sourceID=14","3.8")</f>
        <v>3.8</v>
      </c>
      <c r="G6932" s="4" t="str">
        <f>HYPERLINK("http://141.218.60.56/~jnz1568/getInfo.php?workbook=12_05.xlsx&amp;sheet=U0&amp;row=6932&amp;col=7&amp;number=0.000358&amp;sourceID=14","0.000358")</f>
        <v>0.000358</v>
      </c>
    </row>
    <row r="6933" spans="1:7">
      <c r="A6933" s="3"/>
      <c r="B6933" s="3"/>
      <c r="C6933" s="3"/>
      <c r="D6933" s="3"/>
      <c r="E6933" s="3">
        <v>10</v>
      </c>
      <c r="F6933" s="4" t="str">
        <f>HYPERLINK("http://141.218.60.56/~jnz1568/getInfo.php?workbook=12_05.xlsx&amp;sheet=U0&amp;row=6933&amp;col=6&amp;number=3.9&amp;sourceID=14","3.9")</f>
        <v>3.9</v>
      </c>
      <c r="G6933" s="4" t="str">
        <f>HYPERLINK("http://141.218.60.56/~jnz1568/getInfo.php?workbook=12_05.xlsx&amp;sheet=U0&amp;row=6933&amp;col=7&amp;number=0.000357&amp;sourceID=14","0.000357")</f>
        <v>0.000357</v>
      </c>
    </row>
    <row r="6934" spans="1:7">
      <c r="A6934" s="3"/>
      <c r="B6934" s="3"/>
      <c r="C6934" s="3"/>
      <c r="D6934" s="3"/>
      <c r="E6934" s="3">
        <v>11</v>
      </c>
      <c r="F6934" s="4" t="str">
        <f>HYPERLINK("http://141.218.60.56/~jnz1568/getInfo.php?workbook=12_05.xlsx&amp;sheet=U0&amp;row=6934&amp;col=6&amp;number=4&amp;sourceID=14","4")</f>
        <v>4</v>
      </c>
      <c r="G6934" s="4" t="str">
        <f>HYPERLINK("http://141.218.60.56/~jnz1568/getInfo.php?workbook=12_05.xlsx&amp;sheet=U0&amp;row=6934&amp;col=7&amp;number=0.000357&amp;sourceID=14","0.000357")</f>
        <v>0.000357</v>
      </c>
    </row>
    <row r="6935" spans="1:7">
      <c r="A6935" s="3"/>
      <c r="B6935" s="3"/>
      <c r="C6935" s="3"/>
      <c r="D6935" s="3"/>
      <c r="E6935" s="3">
        <v>12</v>
      </c>
      <c r="F6935" s="4" t="str">
        <f>HYPERLINK("http://141.218.60.56/~jnz1568/getInfo.php?workbook=12_05.xlsx&amp;sheet=U0&amp;row=6935&amp;col=6&amp;number=4.1&amp;sourceID=14","4.1")</f>
        <v>4.1</v>
      </c>
      <c r="G6935" s="4" t="str">
        <f>HYPERLINK("http://141.218.60.56/~jnz1568/getInfo.php?workbook=12_05.xlsx&amp;sheet=U0&amp;row=6935&amp;col=7&amp;number=0.000356&amp;sourceID=14","0.000356")</f>
        <v>0.000356</v>
      </c>
    </row>
    <row r="6936" spans="1:7">
      <c r="A6936" s="3"/>
      <c r="B6936" s="3"/>
      <c r="C6936" s="3"/>
      <c r="D6936" s="3"/>
      <c r="E6936" s="3">
        <v>13</v>
      </c>
      <c r="F6936" s="4" t="str">
        <f>HYPERLINK("http://141.218.60.56/~jnz1568/getInfo.php?workbook=12_05.xlsx&amp;sheet=U0&amp;row=6936&amp;col=6&amp;number=4.2&amp;sourceID=14","4.2")</f>
        <v>4.2</v>
      </c>
      <c r="G6936" s="4" t="str">
        <f>HYPERLINK("http://141.218.60.56/~jnz1568/getInfo.php?workbook=12_05.xlsx&amp;sheet=U0&amp;row=6936&amp;col=7&amp;number=0.000355&amp;sourceID=14","0.000355")</f>
        <v>0.000355</v>
      </c>
    </row>
    <row r="6937" spans="1:7">
      <c r="A6937" s="3"/>
      <c r="B6937" s="3"/>
      <c r="C6937" s="3"/>
      <c r="D6937" s="3"/>
      <c r="E6937" s="3">
        <v>14</v>
      </c>
      <c r="F6937" s="4" t="str">
        <f>HYPERLINK("http://141.218.60.56/~jnz1568/getInfo.php?workbook=12_05.xlsx&amp;sheet=U0&amp;row=6937&amp;col=6&amp;number=4.3&amp;sourceID=14","4.3")</f>
        <v>4.3</v>
      </c>
      <c r="G6937" s="4" t="str">
        <f>HYPERLINK("http://141.218.60.56/~jnz1568/getInfo.php?workbook=12_05.xlsx&amp;sheet=U0&amp;row=6937&amp;col=7&amp;number=0.000353&amp;sourceID=14","0.000353")</f>
        <v>0.000353</v>
      </c>
    </row>
    <row r="6938" spans="1:7">
      <c r="A6938" s="3"/>
      <c r="B6938" s="3"/>
      <c r="C6938" s="3"/>
      <c r="D6938" s="3"/>
      <c r="E6938" s="3">
        <v>15</v>
      </c>
      <c r="F6938" s="4" t="str">
        <f>HYPERLINK("http://141.218.60.56/~jnz1568/getInfo.php?workbook=12_05.xlsx&amp;sheet=U0&amp;row=6938&amp;col=6&amp;number=4.4&amp;sourceID=14","4.4")</f>
        <v>4.4</v>
      </c>
      <c r="G6938" s="4" t="str">
        <f>HYPERLINK("http://141.218.60.56/~jnz1568/getInfo.php?workbook=12_05.xlsx&amp;sheet=U0&amp;row=6938&amp;col=7&amp;number=0.000352&amp;sourceID=14","0.000352")</f>
        <v>0.000352</v>
      </c>
    </row>
    <row r="6939" spans="1:7">
      <c r="A6939" s="3"/>
      <c r="B6939" s="3"/>
      <c r="C6939" s="3"/>
      <c r="D6939" s="3"/>
      <c r="E6939" s="3">
        <v>16</v>
      </c>
      <c r="F6939" s="4" t="str">
        <f>HYPERLINK("http://141.218.60.56/~jnz1568/getInfo.php?workbook=12_05.xlsx&amp;sheet=U0&amp;row=6939&amp;col=6&amp;number=4.5&amp;sourceID=14","4.5")</f>
        <v>4.5</v>
      </c>
      <c r="G6939" s="4" t="str">
        <f>HYPERLINK("http://141.218.60.56/~jnz1568/getInfo.php?workbook=12_05.xlsx&amp;sheet=U0&amp;row=6939&amp;col=7&amp;number=0.00035&amp;sourceID=14","0.00035")</f>
        <v>0.00035</v>
      </c>
    </row>
    <row r="6940" spans="1:7">
      <c r="A6940" s="3"/>
      <c r="B6940" s="3"/>
      <c r="C6940" s="3"/>
      <c r="D6940" s="3"/>
      <c r="E6940" s="3">
        <v>17</v>
      </c>
      <c r="F6940" s="4" t="str">
        <f>HYPERLINK("http://141.218.60.56/~jnz1568/getInfo.php?workbook=12_05.xlsx&amp;sheet=U0&amp;row=6940&amp;col=6&amp;number=4.6&amp;sourceID=14","4.6")</f>
        <v>4.6</v>
      </c>
      <c r="G6940" s="4" t="str">
        <f>HYPERLINK("http://141.218.60.56/~jnz1568/getInfo.php?workbook=12_05.xlsx&amp;sheet=U0&amp;row=6940&amp;col=7&amp;number=0.000347&amp;sourceID=14","0.000347")</f>
        <v>0.000347</v>
      </c>
    </row>
    <row r="6941" spans="1:7">
      <c r="A6941" s="3"/>
      <c r="B6941" s="3"/>
      <c r="C6941" s="3"/>
      <c r="D6941" s="3"/>
      <c r="E6941" s="3">
        <v>18</v>
      </c>
      <c r="F6941" s="4" t="str">
        <f>HYPERLINK("http://141.218.60.56/~jnz1568/getInfo.php?workbook=12_05.xlsx&amp;sheet=U0&amp;row=6941&amp;col=6&amp;number=4.7&amp;sourceID=14","4.7")</f>
        <v>4.7</v>
      </c>
      <c r="G6941" s="4" t="str">
        <f>HYPERLINK("http://141.218.60.56/~jnz1568/getInfo.php?workbook=12_05.xlsx&amp;sheet=U0&amp;row=6941&amp;col=7&amp;number=0.000344&amp;sourceID=14","0.000344")</f>
        <v>0.000344</v>
      </c>
    </row>
    <row r="6942" spans="1:7">
      <c r="A6942" s="3"/>
      <c r="B6942" s="3"/>
      <c r="C6942" s="3"/>
      <c r="D6942" s="3"/>
      <c r="E6942" s="3">
        <v>19</v>
      </c>
      <c r="F6942" s="4" t="str">
        <f>HYPERLINK("http://141.218.60.56/~jnz1568/getInfo.php?workbook=12_05.xlsx&amp;sheet=U0&amp;row=6942&amp;col=6&amp;number=4.8&amp;sourceID=14","4.8")</f>
        <v>4.8</v>
      </c>
      <c r="G6942" s="4" t="str">
        <f>HYPERLINK("http://141.218.60.56/~jnz1568/getInfo.php?workbook=12_05.xlsx&amp;sheet=U0&amp;row=6942&amp;col=7&amp;number=0.00034&amp;sourceID=14","0.00034")</f>
        <v>0.00034</v>
      </c>
    </row>
    <row r="6943" spans="1:7">
      <c r="A6943" s="3"/>
      <c r="B6943" s="3"/>
      <c r="C6943" s="3"/>
      <c r="D6943" s="3"/>
      <c r="E6943" s="3">
        <v>20</v>
      </c>
      <c r="F6943" s="4" t="str">
        <f>HYPERLINK("http://141.218.60.56/~jnz1568/getInfo.php?workbook=12_05.xlsx&amp;sheet=U0&amp;row=6943&amp;col=6&amp;number=4.9&amp;sourceID=14","4.9")</f>
        <v>4.9</v>
      </c>
      <c r="G6943" s="4" t="str">
        <f>HYPERLINK("http://141.218.60.56/~jnz1568/getInfo.php?workbook=12_05.xlsx&amp;sheet=U0&amp;row=6943&amp;col=7&amp;number=0.000335&amp;sourceID=14","0.000335")</f>
        <v>0.000335</v>
      </c>
    </row>
    <row r="6944" spans="1:7">
      <c r="A6944" s="3">
        <v>12</v>
      </c>
      <c r="B6944" s="3">
        <v>5</v>
      </c>
      <c r="C6944" s="3">
        <v>4</v>
      </c>
      <c r="D6944" s="3">
        <v>106</v>
      </c>
      <c r="E6944" s="3">
        <v>1</v>
      </c>
      <c r="F6944" s="4" t="str">
        <f>HYPERLINK("http://141.218.60.56/~jnz1568/getInfo.php?workbook=12_05.xlsx&amp;sheet=U0&amp;row=6944&amp;col=6&amp;number=3&amp;sourceID=14","3")</f>
        <v>3</v>
      </c>
      <c r="G6944" s="4" t="str">
        <f>HYPERLINK("http://141.218.60.56/~jnz1568/getInfo.php?workbook=12_05.xlsx&amp;sheet=U0&amp;row=6944&amp;col=7&amp;number=0.0115&amp;sourceID=14","0.0115")</f>
        <v>0.0115</v>
      </c>
    </row>
    <row r="6945" spans="1:7">
      <c r="A6945" s="3"/>
      <c r="B6945" s="3"/>
      <c r="C6945" s="3"/>
      <c r="D6945" s="3"/>
      <c r="E6945" s="3">
        <v>2</v>
      </c>
      <c r="F6945" s="4" t="str">
        <f>HYPERLINK("http://141.218.60.56/~jnz1568/getInfo.php?workbook=12_05.xlsx&amp;sheet=U0&amp;row=6945&amp;col=6&amp;number=3.1&amp;sourceID=14","3.1")</f>
        <v>3.1</v>
      </c>
      <c r="G6945" s="4" t="str">
        <f>HYPERLINK("http://141.218.60.56/~jnz1568/getInfo.php?workbook=12_05.xlsx&amp;sheet=U0&amp;row=6945&amp;col=7&amp;number=0.0115&amp;sourceID=14","0.0115")</f>
        <v>0.0115</v>
      </c>
    </row>
    <row r="6946" spans="1:7">
      <c r="A6946" s="3"/>
      <c r="B6946" s="3"/>
      <c r="C6946" s="3"/>
      <c r="D6946" s="3"/>
      <c r="E6946" s="3">
        <v>3</v>
      </c>
      <c r="F6946" s="4" t="str">
        <f>HYPERLINK("http://141.218.60.56/~jnz1568/getInfo.php?workbook=12_05.xlsx&amp;sheet=U0&amp;row=6946&amp;col=6&amp;number=3.2&amp;sourceID=14","3.2")</f>
        <v>3.2</v>
      </c>
      <c r="G6946" s="4" t="str">
        <f>HYPERLINK("http://141.218.60.56/~jnz1568/getInfo.php?workbook=12_05.xlsx&amp;sheet=U0&amp;row=6946&amp;col=7&amp;number=0.0115&amp;sourceID=14","0.0115")</f>
        <v>0.0115</v>
      </c>
    </row>
    <row r="6947" spans="1:7">
      <c r="A6947" s="3"/>
      <c r="B6947" s="3"/>
      <c r="C6947" s="3"/>
      <c r="D6947" s="3"/>
      <c r="E6947" s="3">
        <v>4</v>
      </c>
      <c r="F6947" s="4" t="str">
        <f>HYPERLINK("http://141.218.60.56/~jnz1568/getInfo.php?workbook=12_05.xlsx&amp;sheet=U0&amp;row=6947&amp;col=6&amp;number=3.3&amp;sourceID=14","3.3")</f>
        <v>3.3</v>
      </c>
      <c r="G6947" s="4" t="str">
        <f>HYPERLINK("http://141.218.60.56/~jnz1568/getInfo.php?workbook=12_05.xlsx&amp;sheet=U0&amp;row=6947&amp;col=7&amp;number=0.0115&amp;sourceID=14","0.0115")</f>
        <v>0.0115</v>
      </c>
    </row>
    <row r="6948" spans="1:7">
      <c r="A6948" s="3"/>
      <c r="B6948" s="3"/>
      <c r="C6948" s="3"/>
      <c r="D6948" s="3"/>
      <c r="E6948" s="3">
        <v>5</v>
      </c>
      <c r="F6948" s="4" t="str">
        <f>HYPERLINK("http://141.218.60.56/~jnz1568/getInfo.php?workbook=12_05.xlsx&amp;sheet=U0&amp;row=6948&amp;col=6&amp;number=3.4&amp;sourceID=14","3.4")</f>
        <v>3.4</v>
      </c>
      <c r="G6948" s="4" t="str">
        <f>HYPERLINK("http://141.218.60.56/~jnz1568/getInfo.php?workbook=12_05.xlsx&amp;sheet=U0&amp;row=6948&amp;col=7&amp;number=0.0115&amp;sourceID=14","0.0115")</f>
        <v>0.0115</v>
      </c>
    </row>
    <row r="6949" spans="1:7">
      <c r="A6949" s="3"/>
      <c r="B6949" s="3"/>
      <c r="C6949" s="3"/>
      <c r="D6949" s="3"/>
      <c r="E6949" s="3">
        <v>6</v>
      </c>
      <c r="F6949" s="4" t="str">
        <f>HYPERLINK("http://141.218.60.56/~jnz1568/getInfo.php?workbook=12_05.xlsx&amp;sheet=U0&amp;row=6949&amp;col=6&amp;number=3.5&amp;sourceID=14","3.5")</f>
        <v>3.5</v>
      </c>
      <c r="G6949" s="4" t="str">
        <f>HYPERLINK("http://141.218.60.56/~jnz1568/getInfo.php?workbook=12_05.xlsx&amp;sheet=U0&amp;row=6949&amp;col=7&amp;number=0.0115&amp;sourceID=14","0.0115")</f>
        <v>0.0115</v>
      </c>
    </row>
    <row r="6950" spans="1:7">
      <c r="A6950" s="3"/>
      <c r="B6950" s="3"/>
      <c r="C6950" s="3"/>
      <c r="D6950" s="3"/>
      <c r="E6950" s="3">
        <v>7</v>
      </c>
      <c r="F6950" s="4" t="str">
        <f>HYPERLINK("http://141.218.60.56/~jnz1568/getInfo.php?workbook=12_05.xlsx&amp;sheet=U0&amp;row=6950&amp;col=6&amp;number=3.6&amp;sourceID=14","3.6")</f>
        <v>3.6</v>
      </c>
      <c r="G6950" s="4" t="str">
        <f>HYPERLINK("http://141.218.60.56/~jnz1568/getInfo.php?workbook=12_05.xlsx&amp;sheet=U0&amp;row=6950&amp;col=7&amp;number=0.0115&amp;sourceID=14","0.0115")</f>
        <v>0.0115</v>
      </c>
    </row>
    <row r="6951" spans="1:7">
      <c r="A6951" s="3"/>
      <c r="B6951" s="3"/>
      <c r="C6951" s="3"/>
      <c r="D6951" s="3"/>
      <c r="E6951" s="3">
        <v>8</v>
      </c>
      <c r="F6951" s="4" t="str">
        <f>HYPERLINK("http://141.218.60.56/~jnz1568/getInfo.php?workbook=12_05.xlsx&amp;sheet=U0&amp;row=6951&amp;col=6&amp;number=3.7&amp;sourceID=14","3.7")</f>
        <v>3.7</v>
      </c>
      <c r="G6951" s="4" t="str">
        <f>HYPERLINK("http://141.218.60.56/~jnz1568/getInfo.php?workbook=12_05.xlsx&amp;sheet=U0&amp;row=6951&amp;col=7&amp;number=0.0115&amp;sourceID=14","0.0115")</f>
        <v>0.0115</v>
      </c>
    </row>
    <row r="6952" spans="1:7">
      <c r="A6952" s="3"/>
      <c r="B6952" s="3"/>
      <c r="C6952" s="3"/>
      <c r="D6952" s="3"/>
      <c r="E6952" s="3">
        <v>9</v>
      </c>
      <c r="F6952" s="4" t="str">
        <f>HYPERLINK("http://141.218.60.56/~jnz1568/getInfo.php?workbook=12_05.xlsx&amp;sheet=U0&amp;row=6952&amp;col=6&amp;number=3.8&amp;sourceID=14","3.8")</f>
        <v>3.8</v>
      </c>
      <c r="G6952" s="4" t="str">
        <f>HYPERLINK("http://141.218.60.56/~jnz1568/getInfo.php?workbook=12_05.xlsx&amp;sheet=U0&amp;row=6952&amp;col=7&amp;number=0.0116&amp;sourceID=14","0.0116")</f>
        <v>0.0116</v>
      </c>
    </row>
    <row r="6953" spans="1:7">
      <c r="A6953" s="3"/>
      <c r="B6953" s="3"/>
      <c r="C6953" s="3"/>
      <c r="D6953" s="3"/>
      <c r="E6953" s="3">
        <v>10</v>
      </c>
      <c r="F6953" s="4" t="str">
        <f>HYPERLINK("http://141.218.60.56/~jnz1568/getInfo.php?workbook=12_05.xlsx&amp;sheet=U0&amp;row=6953&amp;col=6&amp;number=3.9&amp;sourceID=14","3.9")</f>
        <v>3.9</v>
      </c>
      <c r="G6953" s="4" t="str">
        <f>HYPERLINK("http://141.218.60.56/~jnz1568/getInfo.php?workbook=12_05.xlsx&amp;sheet=U0&amp;row=6953&amp;col=7&amp;number=0.0116&amp;sourceID=14","0.0116")</f>
        <v>0.0116</v>
      </c>
    </row>
    <row r="6954" spans="1:7">
      <c r="A6954" s="3"/>
      <c r="B6954" s="3"/>
      <c r="C6954" s="3"/>
      <c r="D6954" s="3"/>
      <c r="E6954" s="3">
        <v>11</v>
      </c>
      <c r="F6954" s="4" t="str">
        <f>HYPERLINK("http://141.218.60.56/~jnz1568/getInfo.php?workbook=12_05.xlsx&amp;sheet=U0&amp;row=6954&amp;col=6&amp;number=4&amp;sourceID=14","4")</f>
        <v>4</v>
      </c>
      <c r="G6954" s="4" t="str">
        <f>HYPERLINK("http://141.218.60.56/~jnz1568/getInfo.php?workbook=12_05.xlsx&amp;sheet=U0&amp;row=6954&amp;col=7&amp;number=0.0116&amp;sourceID=14","0.0116")</f>
        <v>0.0116</v>
      </c>
    </row>
    <row r="6955" spans="1:7">
      <c r="A6955" s="3"/>
      <c r="B6955" s="3"/>
      <c r="C6955" s="3"/>
      <c r="D6955" s="3"/>
      <c r="E6955" s="3">
        <v>12</v>
      </c>
      <c r="F6955" s="4" t="str">
        <f>HYPERLINK("http://141.218.60.56/~jnz1568/getInfo.php?workbook=12_05.xlsx&amp;sheet=U0&amp;row=6955&amp;col=6&amp;number=4.1&amp;sourceID=14","4.1")</f>
        <v>4.1</v>
      </c>
      <c r="G6955" s="4" t="str">
        <f>HYPERLINK("http://141.218.60.56/~jnz1568/getInfo.php?workbook=12_05.xlsx&amp;sheet=U0&amp;row=6955&amp;col=7&amp;number=0.0116&amp;sourceID=14","0.0116")</f>
        <v>0.0116</v>
      </c>
    </row>
    <row r="6956" spans="1:7">
      <c r="A6956" s="3"/>
      <c r="B6956" s="3"/>
      <c r="C6956" s="3"/>
      <c r="D6956" s="3"/>
      <c r="E6956" s="3">
        <v>13</v>
      </c>
      <c r="F6956" s="4" t="str">
        <f>HYPERLINK("http://141.218.60.56/~jnz1568/getInfo.php?workbook=12_05.xlsx&amp;sheet=U0&amp;row=6956&amp;col=6&amp;number=4.2&amp;sourceID=14","4.2")</f>
        <v>4.2</v>
      </c>
      <c r="G6956" s="4" t="str">
        <f>HYPERLINK("http://141.218.60.56/~jnz1568/getInfo.php?workbook=12_05.xlsx&amp;sheet=U0&amp;row=6956&amp;col=7&amp;number=0.0117&amp;sourceID=14","0.0117")</f>
        <v>0.0117</v>
      </c>
    </row>
    <row r="6957" spans="1:7">
      <c r="A6957" s="3"/>
      <c r="B6957" s="3"/>
      <c r="C6957" s="3"/>
      <c r="D6957" s="3"/>
      <c r="E6957" s="3">
        <v>14</v>
      </c>
      <c r="F6957" s="4" t="str">
        <f>HYPERLINK("http://141.218.60.56/~jnz1568/getInfo.php?workbook=12_05.xlsx&amp;sheet=U0&amp;row=6957&amp;col=6&amp;number=4.3&amp;sourceID=14","4.3")</f>
        <v>4.3</v>
      </c>
      <c r="G6957" s="4" t="str">
        <f>HYPERLINK("http://141.218.60.56/~jnz1568/getInfo.php?workbook=12_05.xlsx&amp;sheet=U0&amp;row=6957&amp;col=7&amp;number=0.0117&amp;sourceID=14","0.0117")</f>
        <v>0.0117</v>
      </c>
    </row>
    <row r="6958" spans="1:7">
      <c r="A6958" s="3"/>
      <c r="B6958" s="3"/>
      <c r="C6958" s="3"/>
      <c r="D6958" s="3"/>
      <c r="E6958" s="3">
        <v>15</v>
      </c>
      <c r="F6958" s="4" t="str">
        <f>HYPERLINK("http://141.218.60.56/~jnz1568/getInfo.php?workbook=12_05.xlsx&amp;sheet=U0&amp;row=6958&amp;col=6&amp;number=4.4&amp;sourceID=14","4.4")</f>
        <v>4.4</v>
      </c>
      <c r="G6958" s="4" t="str">
        <f>HYPERLINK("http://141.218.60.56/~jnz1568/getInfo.php?workbook=12_05.xlsx&amp;sheet=U0&amp;row=6958&amp;col=7&amp;number=0.0118&amp;sourceID=14","0.0118")</f>
        <v>0.0118</v>
      </c>
    </row>
    <row r="6959" spans="1:7">
      <c r="A6959" s="3"/>
      <c r="B6959" s="3"/>
      <c r="C6959" s="3"/>
      <c r="D6959" s="3"/>
      <c r="E6959" s="3">
        <v>16</v>
      </c>
      <c r="F6959" s="4" t="str">
        <f>HYPERLINK("http://141.218.60.56/~jnz1568/getInfo.php?workbook=12_05.xlsx&amp;sheet=U0&amp;row=6959&amp;col=6&amp;number=4.5&amp;sourceID=14","4.5")</f>
        <v>4.5</v>
      </c>
      <c r="G6959" s="4" t="str">
        <f>HYPERLINK("http://141.218.60.56/~jnz1568/getInfo.php?workbook=12_05.xlsx&amp;sheet=U0&amp;row=6959&amp;col=7&amp;number=0.0119&amp;sourceID=14","0.0119")</f>
        <v>0.0119</v>
      </c>
    </row>
    <row r="6960" spans="1:7">
      <c r="A6960" s="3"/>
      <c r="B6960" s="3"/>
      <c r="C6960" s="3"/>
      <c r="D6960" s="3"/>
      <c r="E6960" s="3">
        <v>17</v>
      </c>
      <c r="F6960" s="4" t="str">
        <f>HYPERLINK("http://141.218.60.56/~jnz1568/getInfo.php?workbook=12_05.xlsx&amp;sheet=U0&amp;row=6960&amp;col=6&amp;number=4.6&amp;sourceID=14","4.6")</f>
        <v>4.6</v>
      </c>
      <c r="G6960" s="4" t="str">
        <f>HYPERLINK("http://141.218.60.56/~jnz1568/getInfo.php?workbook=12_05.xlsx&amp;sheet=U0&amp;row=6960&amp;col=7&amp;number=0.012&amp;sourceID=14","0.012")</f>
        <v>0.012</v>
      </c>
    </row>
    <row r="6961" spans="1:7">
      <c r="A6961" s="3"/>
      <c r="B6961" s="3"/>
      <c r="C6961" s="3"/>
      <c r="D6961" s="3"/>
      <c r="E6961" s="3">
        <v>18</v>
      </c>
      <c r="F6961" s="4" t="str">
        <f>HYPERLINK("http://141.218.60.56/~jnz1568/getInfo.php?workbook=12_05.xlsx&amp;sheet=U0&amp;row=6961&amp;col=6&amp;number=4.7&amp;sourceID=14","4.7")</f>
        <v>4.7</v>
      </c>
      <c r="G6961" s="4" t="str">
        <f>HYPERLINK("http://141.218.60.56/~jnz1568/getInfo.php?workbook=12_05.xlsx&amp;sheet=U0&amp;row=6961&amp;col=7&amp;number=0.0121&amp;sourceID=14","0.0121")</f>
        <v>0.0121</v>
      </c>
    </row>
    <row r="6962" spans="1:7">
      <c r="A6962" s="3"/>
      <c r="B6962" s="3"/>
      <c r="C6962" s="3"/>
      <c r="D6962" s="3"/>
      <c r="E6962" s="3">
        <v>19</v>
      </c>
      <c r="F6962" s="4" t="str">
        <f>HYPERLINK("http://141.218.60.56/~jnz1568/getInfo.php?workbook=12_05.xlsx&amp;sheet=U0&amp;row=6962&amp;col=6&amp;number=4.8&amp;sourceID=14","4.8")</f>
        <v>4.8</v>
      </c>
      <c r="G6962" s="4" t="str">
        <f>HYPERLINK("http://141.218.60.56/~jnz1568/getInfo.php?workbook=12_05.xlsx&amp;sheet=U0&amp;row=6962&amp;col=7&amp;number=0.0122&amp;sourceID=14","0.0122")</f>
        <v>0.0122</v>
      </c>
    </row>
    <row r="6963" spans="1:7">
      <c r="A6963" s="3"/>
      <c r="B6963" s="3"/>
      <c r="C6963" s="3"/>
      <c r="D6963" s="3"/>
      <c r="E6963" s="3">
        <v>20</v>
      </c>
      <c r="F6963" s="4" t="str">
        <f>HYPERLINK("http://141.218.60.56/~jnz1568/getInfo.php?workbook=12_05.xlsx&amp;sheet=U0&amp;row=6963&amp;col=6&amp;number=4.9&amp;sourceID=14","4.9")</f>
        <v>4.9</v>
      </c>
      <c r="G6963" s="4" t="str">
        <f>HYPERLINK("http://141.218.60.56/~jnz1568/getInfo.php?workbook=12_05.xlsx&amp;sheet=U0&amp;row=6963&amp;col=7&amp;number=0.0124&amp;sourceID=14","0.0124")</f>
        <v>0.0124</v>
      </c>
    </row>
    <row r="6964" spans="1:7">
      <c r="A6964" s="3">
        <v>12</v>
      </c>
      <c r="B6964" s="3">
        <v>5</v>
      </c>
      <c r="C6964" s="3">
        <v>4</v>
      </c>
      <c r="D6964" s="3">
        <v>107</v>
      </c>
      <c r="E6964" s="3">
        <v>1</v>
      </c>
      <c r="F6964" s="4" t="str">
        <f>HYPERLINK("http://141.218.60.56/~jnz1568/getInfo.php?workbook=12_05.xlsx&amp;sheet=U0&amp;row=6964&amp;col=6&amp;number=3&amp;sourceID=14","3")</f>
        <v>3</v>
      </c>
      <c r="G6964" s="4" t="str">
        <f>HYPERLINK("http://141.218.60.56/~jnz1568/getInfo.php?workbook=12_05.xlsx&amp;sheet=U0&amp;row=6964&amp;col=7&amp;number=0.0242&amp;sourceID=14","0.0242")</f>
        <v>0.0242</v>
      </c>
    </row>
    <row r="6965" spans="1:7">
      <c r="A6965" s="3"/>
      <c r="B6965" s="3"/>
      <c r="C6965" s="3"/>
      <c r="D6965" s="3"/>
      <c r="E6965" s="3">
        <v>2</v>
      </c>
      <c r="F6965" s="4" t="str">
        <f>HYPERLINK("http://141.218.60.56/~jnz1568/getInfo.php?workbook=12_05.xlsx&amp;sheet=U0&amp;row=6965&amp;col=6&amp;number=3.1&amp;sourceID=14","3.1")</f>
        <v>3.1</v>
      </c>
      <c r="G6965" s="4" t="str">
        <f>HYPERLINK("http://141.218.60.56/~jnz1568/getInfo.php?workbook=12_05.xlsx&amp;sheet=U0&amp;row=6965&amp;col=7&amp;number=0.0242&amp;sourceID=14","0.0242")</f>
        <v>0.0242</v>
      </c>
    </row>
    <row r="6966" spans="1:7">
      <c r="A6966" s="3"/>
      <c r="B6966" s="3"/>
      <c r="C6966" s="3"/>
      <c r="D6966" s="3"/>
      <c r="E6966" s="3">
        <v>3</v>
      </c>
      <c r="F6966" s="4" t="str">
        <f>HYPERLINK("http://141.218.60.56/~jnz1568/getInfo.php?workbook=12_05.xlsx&amp;sheet=U0&amp;row=6966&amp;col=6&amp;number=3.2&amp;sourceID=14","3.2")</f>
        <v>3.2</v>
      </c>
      <c r="G6966" s="4" t="str">
        <f>HYPERLINK("http://141.218.60.56/~jnz1568/getInfo.php?workbook=12_05.xlsx&amp;sheet=U0&amp;row=6966&amp;col=7&amp;number=0.0242&amp;sourceID=14","0.0242")</f>
        <v>0.0242</v>
      </c>
    </row>
    <row r="6967" spans="1:7">
      <c r="A6967" s="3"/>
      <c r="B6967" s="3"/>
      <c r="C6967" s="3"/>
      <c r="D6967" s="3"/>
      <c r="E6967" s="3">
        <v>4</v>
      </c>
      <c r="F6967" s="4" t="str">
        <f>HYPERLINK("http://141.218.60.56/~jnz1568/getInfo.php?workbook=12_05.xlsx&amp;sheet=U0&amp;row=6967&amp;col=6&amp;number=3.3&amp;sourceID=14","3.3")</f>
        <v>3.3</v>
      </c>
      <c r="G6967" s="4" t="str">
        <f>HYPERLINK("http://141.218.60.56/~jnz1568/getInfo.php?workbook=12_05.xlsx&amp;sheet=U0&amp;row=6967&amp;col=7&amp;number=0.0242&amp;sourceID=14","0.0242")</f>
        <v>0.0242</v>
      </c>
    </row>
    <row r="6968" spans="1:7">
      <c r="A6968" s="3"/>
      <c r="B6968" s="3"/>
      <c r="C6968" s="3"/>
      <c r="D6968" s="3"/>
      <c r="E6968" s="3">
        <v>5</v>
      </c>
      <c r="F6968" s="4" t="str">
        <f>HYPERLINK("http://141.218.60.56/~jnz1568/getInfo.php?workbook=12_05.xlsx&amp;sheet=U0&amp;row=6968&amp;col=6&amp;number=3.4&amp;sourceID=14","3.4")</f>
        <v>3.4</v>
      </c>
      <c r="G6968" s="4" t="str">
        <f>HYPERLINK("http://141.218.60.56/~jnz1568/getInfo.php?workbook=12_05.xlsx&amp;sheet=U0&amp;row=6968&amp;col=7&amp;number=0.0242&amp;sourceID=14","0.0242")</f>
        <v>0.0242</v>
      </c>
    </row>
    <row r="6969" spans="1:7">
      <c r="A6969" s="3"/>
      <c r="B6969" s="3"/>
      <c r="C6969" s="3"/>
      <c r="D6969" s="3"/>
      <c r="E6969" s="3">
        <v>6</v>
      </c>
      <c r="F6969" s="4" t="str">
        <f>HYPERLINK("http://141.218.60.56/~jnz1568/getInfo.php?workbook=12_05.xlsx&amp;sheet=U0&amp;row=6969&amp;col=6&amp;number=3.5&amp;sourceID=14","3.5")</f>
        <v>3.5</v>
      </c>
      <c r="G6969" s="4" t="str">
        <f>HYPERLINK("http://141.218.60.56/~jnz1568/getInfo.php?workbook=12_05.xlsx&amp;sheet=U0&amp;row=6969&amp;col=7&amp;number=0.0242&amp;sourceID=14","0.0242")</f>
        <v>0.0242</v>
      </c>
    </row>
    <row r="6970" spans="1:7">
      <c r="A6970" s="3"/>
      <c r="B6970" s="3"/>
      <c r="C6970" s="3"/>
      <c r="D6970" s="3"/>
      <c r="E6970" s="3">
        <v>7</v>
      </c>
      <c r="F6970" s="4" t="str">
        <f>HYPERLINK("http://141.218.60.56/~jnz1568/getInfo.php?workbook=12_05.xlsx&amp;sheet=U0&amp;row=6970&amp;col=6&amp;number=3.6&amp;sourceID=14","3.6")</f>
        <v>3.6</v>
      </c>
      <c r="G6970" s="4" t="str">
        <f>HYPERLINK("http://141.218.60.56/~jnz1568/getInfo.php?workbook=12_05.xlsx&amp;sheet=U0&amp;row=6970&amp;col=7&amp;number=0.0241&amp;sourceID=14","0.0241")</f>
        <v>0.0241</v>
      </c>
    </row>
    <row r="6971" spans="1:7">
      <c r="A6971" s="3"/>
      <c r="B6971" s="3"/>
      <c r="C6971" s="3"/>
      <c r="D6971" s="3"/>
      <c r="E6971" s="3">
        <v>8</v>
      </c>
      <c r="F6971" s="4" t="str">
        <f>HYPERLINK("http://141.218.60.56/~jnz1568/getInfo.php?workbook=12_05.xlsx&amp;sheet=U0&amp;row=6971&amp;col=6&amp;number=3.7&amp;sourceID=14","3.7")</f>
        <v>3.7</v>
      </c>
      <c r="G6971" s="4" t="str">
        <f>HYPERLINK("http://141.218.60.56/~jnz1568/getInfo.php?workbook=12_05.xlsx&amp;sheet=U0&amp;row=6971&amp;col=7&amp;number=0.0241&amp;sourceID=14","0.0241")</f>
        <v>0.0241</v>
      </c>
    </row>
    <row r="6972" spans="1:7">
      <c r="A6972" s="3"/>
      <c r="B6972" s="3"/>
      <c r="C6972" s="3"/>
      <c r="D6972" s="3"/>
      <c r="E6972" s="3">
        <v>9</v>
      </c>
      <c r="F6972" s="4" t="str">
        <f>HYPERLINK("http://141.218.60.56/~jnz1568/getInfo.php?workbook=12_05.xlsx&amp;sheet=U0&amp;row=6972&amp;col=6&amp;number=3.8&amp;sourceID=14","3.8")</f>
        <v>3.8</v>
      </c>
      <c r="G6972" s="4" t="str">
        <f>HYPERLINK("http://141.218.60.56/~jnz1568/getInfo.php?workbook=12_05.xlsx&amp;sheet=U0&amp;row=6972&amp;col=7&amp;number=0.0241&amp;sourceID=14","0.0241")</f>
        <v>0.0241</v>
      </c>
    </row>
    <row r="6973" spans="1:7">
      <c r="A6973" s="3"/>
      <c r="B6973" s="3"/>
      <c r="C6973" s="3"/>
      <c r="D6973" s="3"/>
      <c r="E6973" s="3">
        <v>10</v>
      </c>
      <c r="F6973" s="4" t="str">
        <f>HYPERLINK("http://141.218.60.56/~jnz1568/getInfo.php?workbook=12_05.xlsx&amp;sheet=U0&amp;row=6973&amp;col=6&amp;number=3.9&amp;sourceID=14","3.9")</f>
        <v>3.9</v>
      </c>
      <c r="G6973" s="4" t="str">
        <f>HYPERLINK("http://141.218.60.56/~jnz1568/getInfo.php?workbook=12_05.xlsx&amp;sheet=U0&amp;row=6973&amp;col=7&amp;number=0.0241&amp;sourceID=14","0.0241")</f>
        <v>0.0241</v>
      </c>
    </row>
    <row r="6974" spans="1:7">
      <c r="A6974" s="3"/>
      <c r="B6974" s="3"/>
      <c r="C6974" s="3"/>
      <c r="D6974" s="3"/>
      <c r="E6974" s="3">
        <v>11</v>
      </c>
      <c r="F6974" s="4" t="str">
        <f>HYPERLINK("http://141.218.60.56/~jnz1568/getInfo.php?workbook=12_05.xlsx&amp;sheet=U0&amp;row=6974&amp;col=6&amp;number=4&amp;sourceID=14","4")</f>
        <v>4</v>
      </c>
      <c r="G6974" s="4" t="str">
        <f>HYPERLINK("http://141.218.60.56/~jnz1568/getInfo.php?workbook=12_05.xlsx&amp;sheet=U0&amp;row=6974&amp;col=7&amp;number=0.024&amp;sourceID=14","0.024")</f>
        <v>0.024</v>
      </c>
    </row>
    <row r="6975" spans="1:7">
      <c r="A6975" s="3"/>
      <c r="B6975" s="3"/>
      <c r="C6975" s="3"/>
      <c r="D6975" s="3"/>
      <c r="E6975" s="3">
        <v>12</v>
      </c>
      <c r="F6975" s="4" t="str">
        <f>HYPERLINK("http://141.218.60.56/~jnz1568/getInfo.php?workbook=12_05.xlsx&amp;sheet=U0&amp;row=6975&amp;col=6&amp;number=4.1&amp;sourceID=14","4.1")</f>
        <v>4.1</v>
      </c>
      <c r="G6975" s="4" t="str">
        <f>HYPERLINK("http://141.218.60.56/~jnz1568/getInfo.php?workbook=12_05.xlsx&amp;sheet=U0&amp;row=6975&amp;col=7&amp;number=0.024&amp;sourceID=14","0.024")</f>
        <v>0.024</v>
      </c>
    </row>
    <row r="6976" spans="1:7">
      <c r="A6976" s="3"/>
      <c r="B6976" s="3"/>
      <c r="C6976" s="3"/>
      <c r="D6976" s="3"/>
      <c r="E6976" s="3">
        <v>13</v>
      </c>
      <c r="F6976" s="4" t="str">
        <f>HYPERLINK("http://141.218.60.56/~jnz1568/getInfo.php?workbook=12_05.xlsx&amp;sheet=U0&amp;row=6976&amp;col=6&amp;number=4.2&amp;sourceID=14","4.2")</f>
        <v>4.2</v>
      </c>
      <c r="G6976" s="4" t="str">
        <f>HYPERLINK("http://141.218.60.56/~jnz1568/getInfo.php?workbook=12_05.xlsx&amp;sheet=U0&amp;row=6976&amp;col=7&amp;number=0.0239&amp;sourceID=14","0.0239")</f>
        <v>0.0239</v>
      </c>
    </row>
    <row r="6977" spans="1:7">
      <c r="A6977" s="3"/>
      <c r="B6977" s="3"/>
      <c r="C6977" s="3"/>
      <c r="D6977" s="3"/>
      <c r="E6977" s="3">
        <v>14</v>
      </c>
      <c r="F6977" s="4" t="str">
        <f>HYPERLINK("http://141.218.60.56/~jnz1568/getInfo.php?workbook=12_05.xlsx&amp;sheet=U0&amp;row=6977&amp;col=6&amp;number=4.3&amp;sourceID=14","4.3")</f>
        <v>4.3</v>
      </c>
      <c r="G6977" s="4" t="str">
        <f>HYPERLINK("http://141.218.60.56/~jnz1568/getInfo.php?workbook=12_05.xlsx&amp;sheet=U0&amp;row=6977&amp;col=7&amp;number=0.0238&amp;sourceID=14","0.0238")</f>
        <v>0.0238</v>
      </c>
    </row>
    <row r="6978" spans="1:7">
      <c r="A6978" s="3"/>
      <c r="B6978" s="3"/>
      <c r="C6978" s="3"/>
      <c r="D6978" s="3"/>
      <c r="E6978" s="3">
        <v>15</v>
      </c>
      <c r="F6978" s="4" t="str">
        <f>HYPERLINK("http://141.218.60.56/~jnz1568/getInfo.php?workbook=12_05.xlsx&amp;sheet=U0&amp;row=6978&amp;col=6&amp;number=4.4&amp;sourceID=14","4.4")</f>
        <v>4.4</v>
      </c>
      <c r="G6978" s="4" t="str">
        <f>HYPERLINK("http://141.218.60.56/~jnz1568/getInfo.php?workbook=12_05.xlsx&amp;sheet=U0&amp;row=6978&amp;col=7&amp;number=0.0237&amp;sourceID=14","0.0237")</f>
        <v>0.0237</v>
      </c>
    </row>
    <row r="6979" spans="1:7">
      <c r="A6979" s="3"/>
      <c r="B6979" s="3"/>
      <c r="C6979" s="3"/>
      <c r="D6979" s="3"/>
      <c r="E6979" s="3">
        <v>16</v>
      </c>
      <c r="F6979" s="4" t="str">
        <f>HYPERLINK("http://141.218.60.56/~jnz1568/getInfo.php?workbook=12_05.xlsx&amp;sheet=U0&amp;row=6979&amp;col=6&amp;number=4.5&amp;sourceID=14","4.5")</f>
        <v>4.5</v>
      </c>
      <c r="G6979" s="4" t="str">
        <f>HYPERLINK("http://141.218.60.56/~jnz1568/getInfo.php?workbook=12_05.xlsx&amp;sheet=U0&amp;row=6979&amp;col=7&amp;number=0.0236&amp;sourceID=14","0.0236")</f>
        <v>0.0236</v>
      </c>
    </row>
    <row r="6980" spans="1:7">
      <c r="A6980" s="3"/>
      <c r="B6980" s="3"/>
      <c r="C6980" s="3"/>
      <c r="D6980" s="3"/>
      <c r="E6980" s="3">
        <v>17</v>
      </c>
      <c r="F6980" s="4" t="str">
        <f>HYPERLINK("http://141.218.60.56/~jnz1568/getInfo.php?workbook=12_05.xlsx&amp;sheet=U0&amp;row=6980&amp;col=6&amp;number=4.6&amp;sourceID=14","4.6")</f>
        <v>4.6</v>
      </c>
      <c r="G6980" s="4" t="str">
        <f>HYPERLINK("http://141.218.60.56/~jnz1568/getInfo.php?workbook=12_05.xlsx&amp;sheet=U0&amp;row=6980&amp;col=7&amp;number=0.0234&amp;sourceID=14","0.0234")</f>
        <v>0.0234</v>
      </c>
    </row>
    <row r="6981" spans="1:7">
      <c r="A6981" s="3"/>
      <c r="B6981" s="3"/>
      <c r="C6981" s="3"/>
      <c r="D6981" s="3"/>
      <c r="E6981" s="3">
        <v>18</v>
      </c>
      <c r="F6981" s="4" t="str">
        <f>HYPERLINK("http://141.218.60.56/~jnz1568/getInfo.php?workbook=12_05.xlsx&amp;sheet=U0&amp;row=6981&amp;col=6&amp;number=4.7&amp;sourceID=14","4.7")</f>
        <v>4.7</v>
      </c>
      <c r="G6981" s="4" t="str">
        <f>HYPERLINK("http://141.218.60.56/~jnz1568/getInfo.php?workbook=12_05.xlsx&amp;sheet=U0&amp;row=6981&amp;col=7&amp;number=0.0232&amp;sourceID=14","0.0232")</f>
        <v>0.0232</v>
      </c>
    </row>
    <row r="6982" spans="1:7">
      <c r="A6982" s="3"/>
      <c r="B6982" s="3"/>
      <c r="C6982" s="3"/>
      <c r="D6982" s="3"/>
      <c r="E6982" s="3">
        <v>19</v>
      </c>
      <c r="F6982" s="4" t="str">
        <f>HYPERLINK("http://141.218.60.56/~jnz1568/getInfo.php?workbook=12_05.xlsx&amp;sheet=U0&amp;row=6982&amp;col=6&amp;number=4.8&amp;sourceID=14","4.8")</f>
        <v>4.8</v>
      </c>
      <c r="G6982" s="4" t="str">
        <f>HYPERLINK("http://141.218.60.56/~jnz1568/getInfo.php?workbook=12_05.xlsx&amp;sheet=U0&amp;row=6982&amp;col=7&amp;number=0.023&amp;sourceID=14","0.023")</f>
        <v>0.023</v>
      </c>
    </row>
    <row r="6983" spans="1:7">
      <c r="A6983" s="3"/>
      <c r="B6983" s="3"/>
      <c r="C6983" s="3"/>
      <c r="D6983" s="3"/>
      <c r="E6983" s="3">
        <v>20</v>
      </c>
      <c r="F6983" s="4" t="str">
        <f>HYPERLINK("http://141.218.60.56/~jnz1568/getInfo.php?workbook=12_05.xlsx&amp;sheet=U0&amp;row=6983&amp;col=6&amp;number=4.9&amp;sourceID=14","4.9")</f>
        <v>4.9</v>
      </c>
      <c r="G6983" s="4" t="str">
        <f>HYPERLINK("http://141.218.60.56/~jnz1568/getInfo.php?workbook=12_05.xlsx&amp;sheet=U0&amp;row=6983&amp;col=7&amp;number=0.0226&amp;sourceID=14","0.0226")</f>
        <v>0.0226</v>
      </c>
    </row>
    <row r="6984" spans="1:7">
      <c r="A6984" s="3">
        <v>12</v>
      </c>
      <c r="B6984" s="3">
        <v>5</v>
      </c>
      <c r="C6984" s="3">
        <v>4</v>
      </c>
      <c r="D6984" s="3">
        <v>108</v>
      </c>
      <c r="E6984" s="3">
        <v>1</v>
      </c>
      <c r="F6984" s="4" t="str">
        <f>HYPERLINK("http://141.218.60.56/~jnz1568/getInfo.php?workbook=12_05.xlsx&amp;sheet=U0&amp;row=6984&amp;col=6&amp;number=3&amp;sourceID=14","3")</f>
        <v>3</v>
      </c>
      <c r="G6984" s="4" t="str">
        <f>HYPERLINK("http://141.218.60.56/~jnz1568/getInfo.php?workbook=12_05.xlsx&amp;sheet=U0&amp;row=6984&amp;col=7&amp;number=0.428&amp;sourceID=14","0.428")</f>
        <v>0.428</v>
      </c>
    </row>
    <row r="6985" spans="1:7">
      <c r="A6985" s="3"/>
      <c r="B6985" s="3"/>
      <c r="C6985" s="3"/>
      <c r="D6985" s="3"/>
      <c r="E6985" s="3">
        <v>2</v>
      </c>
      <c r="F6985" s="4" t="str">
        <f>HYPERLINK("http://141.218.60.56/~jnz1568/getInfo.php?workbook=12_05.xlsx&amp;sheet=U0&amp;row=6985&amp;col=6&amp;number=3.1&amp;sourceID=14","3.1")</f>
        <v>3.1</v>
      </c>
      <c r="G6985" s="4" t="str">
        <f>HYPERLINK("http://141.218.60.56/~jnz1568/getInfo.php?workbook=12_05.xlsx&amp;sheet=U0&amp;row=6985&amp;col=7&amp;number=0.429&amp;sourceID=14","0.429")</f>
        <v>0.429</v>
      </c>
    </row>
    <row r="6986" spans="1:7">
      <c r="A6986" s="3"/>
      <c r="B6986" s="3"/>
      <c r="C6986" s="3"/>
      <c r="D6986" s="3"/>
      <c r="E6986" s="3">
        <v>3</v>
      </c>
      <c r="F6986" s="4" t="str">
        <f>HYPERLINK("http://141.218.60.56/~jnz1568/getInfo.php?workbook=12_05.xlsx&amp;sheet=U0&amp;row=6986&amp;col=6&amp;number=3.2&amp;sourceID=14","3.2")</f>
        <v>3.2</v>
      </c>
      <c r="G6986" s="4" t="str">
        <f>HYPERLINK("http://141.218.60.56/~jnz1568/getInfo.php?workbook=12_05.xlsx&amp;sheet=U0&amp;row=6986&amp;col=7&amp;number=0.429&amp;sourceID=14","0.429")</f>
        <v>0.429</v>
      </c>
    </row>
    <row r="6987" spans="1:7">
      <c r="A6987" s="3"/>
      <c r="B6987" s="3"/>
      <c r="C6987" s="3"/>
      <c r="D6987" s="3"/>
      <c r="E6987" s="3">
        <v>4</v>
      </c>
      <c r="F6987" s="4" t="str">
        <f>HYPERLINK("http://141.218.60.56/~jnz1568/getInfo.php?workbook=12_05.xlsx&amp;sheet=U0&amp;row=6987&amp;col=6&amp;number=3.3&amp;sourceID=14","3.3")</f>
        <v>3.3</v>
      </c>
      <c r="G6987" s="4" t="str">
        <f>HYPERLINK("http://141.218.60.56/~jnz1568/getInfo.php?workbook=12_05.xlsx&amp;sheet=U0&amp;row=6987&amp;col=7&amp;number=0.429&amp;sourceID=14","0.429")</f>
        <v>0.429</v>
      </c>
    </row>
    <row r="6988" spans="1:7">
      <c r="A6988" s="3"/>
      <c r="B6988" s="3"/>
      <c r="C6988" s="3"/>
      <c r="D6988" s="3"/>
      <c r="E6988" s="3">
        <v>5</v>
      </c>
      <c r="F6988" s="4" t="str">
        <f>HYPERLINK("http://141.218.60.56/~jnz1568/getInfo.php?workbook=12_05.xlsx&amp;sheet=U0&amp;row=6988&amp;col=6&amp;number=3.4&amp;sourceID=14","3.4")</f>
        <v>3.4</v>
      </c>
      <c r="G6988" s="4" t="str">
        <f>HYPERLINK("http://141.218.60.56/~jnz1568/getInfo.php?workbook=12_05.xlsx&amp;sheet=U0&amp;row=6988&amp;col=7&amp;number=0.429&amp;sourceID=14","0.429")</f>
        <v>0.429</v>
      </c>
    </row>
    <row r="6989" spans="1:7">
      <c r="A6989" s="3"/>
      <c r="B6989" s="3"/>
      <c r="C6989" s="3"/>
      <c r="D6989" s="3"/>
      <c r="E6989" s="3">
        <v>6</v>
      </c>
      <c r="F6989" s="4" t="str">
        <f>HYPERLINK("http://141.218.60.56/~jnz1568/getInfo.php?workbook=12_05.xlsx&amp;sheet=U0&amp;row=6989&amp;col=6&amp;number=3.5&amp;sourceID=14","3.5")</f>
        <v>3.5</v>
      </c>
      <c r="G6989" s="4" t="str">
        <f>HYPERLINK("http://141.218.60.56/~jnz1568/getInfo.php?workbook=12_05.xlsx&amp;sheet=U0&amp;row=6989&amp;col=7&amp;number=0.429&amp;sourceID=14","0.429")</f>
        <v>0.429</v>
      </c>
    </row>
    <row r="6990" spans="1:7">
      <c r="A6990" s="3"/>
      <c r="B6990" s="3"/>
      <c r="C6990" s="3"/>
      <c r="D6990" s="3"/>
      <c r="E6990" s="3">
        <v>7</v>
      </c>
      <c r="F6990" s="4" t="str">
        <f>HYPERLINK("http://141.218.60.56/~jnz1568/getInfo.php?workbook=12_05.xlsx&amp;sheet=U0&amp;row=6990&amp;col=6&amp;number=3.6&amp;sourceID=14","3.6")</f>
        <v>3.6</v>
      </c>
      <c r="G6990" s="4" t="str">
        <f>HYPERLINK("http://141.218.60.56/~jnz1568/getInfo.php?workbook=12_05.xlsx&amp;sheet=U0&amp;row=6990&amp;col=7&amp;number=0.429&amp;sourceID=14","0.429")</f>
        <v>0.429</v>
      </c>
    </row>
    <row r="6991" spans="1:7">
      <c r="A6991" s="3"/>
      <c r="B6991" s="3"/>
      <c r="C6991" s="3"/>
      <c r="D6991" s="3"/>
      <c r="E6991" s="3">
        <v>8</v>
      </c>
      <c r="F6991" s="4" t="str">
        <f>HYPERLINK("http://141.218.60.56/~jnz1568/getInfo.php?workbook=12_05.xlsx&amp;sheet=U0&amp;row=6991&amp;col=6&amp;number=3.7&amp;sourceID=14","3.7")</f>
        <v>3.7</v>
      </c>
      <c r="G6991" s="4" t="str">
        <f>HYPERLINK("http://141.218.60.56/~jnz1568/getInfo.php?workbook=12_05.xlsx&amp;sheet=U0&amp;row=6991&amp;col=7&amp;number=0.43&amp;sourceID=14","0.43")</f>
        <v>0.43</v>
      </c>
    </row>
    <row r="6992" spans="1:7">
      <c r="A6992" s="3"/>
      <c r="B6992" s="3"/>
      <c r="C6992" s="3"/>
      <c r="D6992" s="3"/>
      <c r="E6992" s="3">
        <v>9</v>
      </c>
      <c r="F6992" s="4" t="str">
        <f>HYPERLINK("http://141.218.60.56/~jnz1568/getInfo.php?workbook=12_05.xlsx&amp;sheet=U0&amp;row=6992&amp;col=6&amp;number=3.8&amp;sourceID=14","3.8")</f>
        <v>3.8</v>
      </c>
      <c r="G6992" s="4" t="str">
        <f>HYPERLINK("http://141.218.60.56/~jnz1568/getInfo.php?workbook=12_05.xlsx&amp;sheet=U0&amp;row=6992&amp;col=7&amp;number=0.43&amp;sourceID=14","0.43")</f>
        <v>0.43</v>
      </c>
    </row>
    <row r="6993" spans="1:7">
      <c r="A6993" s="3"/>
      <c r="B6993" s="3"/>
      <c r="C6993" s="3"/>
      <c r="D6993" s="3"/>
      <c r="E6993" s="3">
        <v>10</v>
      </c>
      <c r="F6993" s="4" t="str">
        <f>HYPERLINK("http://141.218.60.56/~jnz1568/getInfo.php?workbook=12_05.xlsx&amp;sheet=U0&amp;row=6993&amp;col=6&amp;number=3.9&amp;sourceID=14","3.9")</f>
        <v>3.9</v>
      </c>
      <c r="G6993" s="4" t="str">
        <f>HYPERLINK("http://141.218.60.56/~jnz1568/getInfo.php?workbook=12_05.xlsx&amp;sheet=U0&amp;row=6993&amp;col=7&amp;number=0.431&amp;sourceID=14","0.431")</f>
        <v>0.431</v>
      </c>
    </row>
    <row r="6994" spans="1:7">
      <c r="A6994" s="3"/>
      <c r="B6994" s="3"/>
      <c r="C6994" s="3"/>
      <c r="D6994" s="3"/>
      <c r="E6994" s="3">
        <v>11</v>
      </c>
      <c r="F6994" s="4" t="str">
        <f>HYPERLINK("http://141.218.60.56/~jnz1568/getInfo.php?workbook=12_05.xlsx&amp;sheet=U0&amp;row=6994&amp;col=6&amp;number=4&amp;sourceID=14","4")</f>
        <v>4</v>
      </c>
      <c r="G6994" s="4" t="str">
        <f>HYPERLINK("http://141.218.60.56/~jnz1568/getInfo.php?workbook=12_05.xlsx&amp;sheet=U0&amp;row=6994&amp;col=7&amp;number=0.431&amp;sourceID=14","0.431")</f>
        <v>0.431</v>
      </c>
    </row>
    <row r="6995" spans="1:7">
      <c r="A6995" s="3"/>
      <c r="B6995" s="3"/>
      <c r="C6995" s="3"/>
      <c r="D6995" s="3"/>
      <c r="E6995" s="3">
        <v>12</v>
      </c>
      <c r="F6995" s="4" t="str">
        <f>HYPERLINK("http://141.218.60.56/~jnz1568/getInfo.php?workbook=12_05.xlsx&amp;sheet=U0&amp;row=6995&amp;col=6&amp;number=4.1&amp;sourceID=14","4.1")</f>
        <v>4.1</v>
      </c>
      <c r="G6995" s="4" t="str">
        <f>HYPERLINK("http://141.218.60.56/~jnz1568/getInfo.php?workbook=12_05.xlsx&amp;sheet=U0&amp;row=6995&amp;col=7&amp;number=0.432&amp;sourceID=14","0.432")</f>
        <v>0.432</v>
      </c>
    </row>
    <row r="6996" spans="1:7">
      <c r="A6996" s="3"/>
      <c r="B6996" s="3"/>
      <c r="C6996" s="3"/>
      <c r="D6996" s="3"/>
      <c r="E6996" s="3">
        <v>13</v>
      </c>
      <c r="F6996" s="4" t="str">
        <f>HYPERLINK("http://141.218.60.56/~jnz1568/getInfo.php?workbook=12_05.xlsx&amp;sheet=U0&amp;row=6996&amp;col=6&amp;number=4.2&amp;sourceID=14","4.2")</f>
        <v>4.2</v>
      </c>
      <c r="G6996" s="4" t="str">
        <f>HYPERLINK("http://141.218.60.56/~jnz1568/getInfo.php?workbook=12_05.xlsx&amp;sheet=U0&amp;row=6996&amp;col=7&amp;number=0.433&amp;sourceID=14","0.433")</f>
        <v>0.433</v>
      </c>
    </row>
    <row r="6997" spans="1:7">
      <c r="A6997" s="3"/>
      <c r="B6997" s="3"/>
      <c r="C6997" s="3"/>
      <c r="D6997" s="3"/>
      <c r="E6997" s="3">
        <v>14</v>
      </c>
      <c r="F6997" s="4" t="str">
        <f>HYPERLINK("http://141.218.60.56/~jnz1568/getInfo.php?workbook=12_05.xlsx&amp;sheet=U0&amp;row=6997&amp;col=6&amp;number=4.3&amp;sourceID=14","4.3")</f>
        <v>4.3</v>
      </c>
      <c r="G6997" s="4" t="str">
        <f>HYPERLINK("http://141.218.60.56/~jnz1568/getInfo.php?workbook=12_05.xlsx&amp;sheet=U0&amp;row=6997&amp;col=7&amp;number=0.434&amp;sourceID=14","0.434")</f>
        <v>0.434</v>
      </c>
    </row>
    <row r="6998" spans="1:7">
      <c r="A6998" s="3"/>
      <c r="B6998" s="3"/>
      <c r="C6998" s="3"/>
      <c r="D6998" s="3"/>
      <c r="E6998" s="3">
        <v>15</v>
      </c>
      <c r="F6998" s="4" t="str">
        <f>HYPERLINK("http://141.218.60.56/~jnz1568/getInfo.php?workbook=12_05.xlsx&amp;sheet=U0&amp;row=6998&amp;col=6&amp;number=4.4&amp;sourceID=14","4.4")</f>
        <v>4.4</v>
      </c>
      <c r="G6998" s="4" t="str">
        <f>HYPERLINK("http://141.218.60.56/~jnz1568/getInfo.php?workbook=12_05.xlsx&amp;sheet=U0&amp;row=6998&amp;col=7&amp;number=0.436&amp;sourceID=14","0.436")</f>
        <v>0.436</v>
      </c>
    </row>
    <row r="6999" spans="1:7">
      <c r="A6999" s="3"/>
      <c r="B6999" s="3"/>
      <c r="C6999" s="3"/>
      <c r="D6999" s="3"/>
      <c r="E6999" s="3">
        <v>16</v>
      </c>
      <c r="F6999" s="4" t="str">
        <f>HYPERLINK("http://141.218.60.56/~jnz1568/getInfo.php?workbook=12_05.xlsx&amp;sheet=U0&amp;row=6999&amp;col=6&amp;number=4.5&amp;sourceID=14","4.5")</f>
        <v>4.5</v>
      </c>
      <c r="G6999" s="4" t="str">
        <f>HYPERLINK("http://141.218.60.56/~jnz1568/getInfo.php?workbook=12_05.xlsx&amp;sheet=U0&amp;row=6999&amp;col=7&amp;number=0.438&amp;sourceID=14","0.438")</f>
        <v>0.438</v>
      </c>
    </row>
    <row r="7000" spans="1:7">
      <c r="A7000" s="3"/>
      <c r="B7000" s="3"/>
      <c r="C7000" s="3"/>
      <c r="D7000" s="3"/>
      <c r="E7000" s="3">
        <v>17</v>
      </c>
      <c r="F7000" s="4" t="str">
        <f>HYPERLINK("http://141.218.60.56/~jnz1568/getInfo.php?workbook=12_05.xlsx&amp;sheet=U0&amp;row=7000&amp;col=6&amp;number=4.6&amp;sourceID=14","4.6")</f>
        <v>4.6</v>
      </c>
      <c r="G7000" s="4" t="str">
        <f>HYPERLINK("http://141.218.60.56/~jnz1568/getInfo.php?workbook=12_05.xlsx&amp;sheet=U0&amp;row=7000&amp;col=7&amp;number=0.441&amp;sourceID=14","0.441")</f>
        <v>0.441</v>
      </c>
    </row>
    <row r="7001" spans="1:7">
      <c r="A7001" s="3"/>
      <c r="B7001" s="3"/>
      <c r="C7001" s="3"/>
      <c r="D7001" s="3"/>
      <c r="E7001" s="3">
        <v>18</v>
      </c>
      <c r="F7001" s="4" t="str">
        <f>HYPERLINK("http://141.218.60.56/~jnz1568/getInfo.php?workbook=12_05.xlsx&amp;sheet=U0&amp;row=7001&amp;col=6&amp;number=4.7&amp;sourceID=14","4.7")</f>
        <v>4.7</v>
      </c>
      <c r="G7001" s="4" t="str">
        <f>HYPERLINK("http://141.218.60.56/~jnz1568/getInfo.php?workbook=12_05.xlsx&amp;sheet=U0&amp;row=7001&amp;col=7&amp;number=0.444&amp;sourceID=14","0.444")</f>
        <v>0.444</v>
      </c>
    </row>
    <row r="7002" spans="1:7">
      <c r="A7002" s="3"/>
      <c r="B7002" s="3"/>
      <c r="C7002" s="3"/>
      <c r="D7002" s="3"/>
      <c r="E7002" s="3">
        <v>19</v>
      </c>
      <c r="F7002" s="4" t="str">
        <f>HYPERLINK("http://141.218.60.56/~jnz1568/getInfo.php?workbook=12_05.xlsx&amp;sheet=U0&amp;row=7002&amp;col=6&amp;number=4.8&amp;sourceID=14","4.8")</f>
        <v>4.8</v>
      </c>
      <c r="G7002" s="4" t="str">
        <f>HYPERLINK("http://141.218.60.56/~jnz1568/getInfo.php?workbook=12_05.xlsx&amp;sheet=U0&amp;row=7002&amp;col=7&amp;number=0.448&amp;sourceID=14","0.448")</f>
        <v>0.448</v>
      </c>
    </row>
    <row r="7003" spans="1:7">
      <c r="A7003" s="3"/>
      <c r="B7003" s="3"/>
      <c r="C7003" s="3"/>
      <c r="D7003" s="3"/>
      <c r="E7003" s="3">
        <v>20</v>
      </c>
      <c r="F7003" s="4" t="str">
        <f>HYPERLINK("http://141.218.60.56/~jnz1568/getInfo.php?workbook=12_05.xlsx&amp;sheet=U0&amp;row=7003&amp;col=6&amp;number=4.9&amp;sourceID=14","4.9")</f>
        <v>4.9</v>
      </c>
      <c r="G7003" s="4" t="str">
        <f>HYPERLINK("http://141.218.60.56/~jnz1568/getInfo.php?workbook=12_05.xlsx&amp;sheet=U0&amp;row=7003&amp;col=7&amp;number=0.453&amp;sourceID=14","0.453")</f>
        <v>0.453</v>
      </c>
    </row>
    <row r="7004" spans="1:7">
      <c r="A7004" s="3">
        <v>12</v>
      </c>
      <c r="B7004" s="3">
        <v>5</v>
      </c>
      <c r="C7004" s="3">
        <v>4</v>
      </c>
      <c r="D7004" s="3">
        <v>109</v>
      </c>
      <c r="E7004" s="3">
        <v>1</v>
      </c>
      <c r="F7004" s="4" t="str">
        <f>HYPERLINK("http://141.218.60.56/~jnz1568/getInfo.php?workbook=12_05.xlsx&amp;sheet=U0&amp;row=7004&amp;col=6&amp;number=3&amp;sourceID=14","3")</f>
        <v>3</v>
      </c>
      <c r="G7004" s="4" t="str">
        <f>HYPERLINK("http://141.218.60.56/~jnz1568/getInfo.php?workbook=12_05.xlsx&amp;sheet=U0&amp;row=7004&amp;col=7&amp;number=0.0448&amp;sourceID=14","0.0448")</f>
        <v>0.0448</v>
      </c>
    </row>
    <row r="7005" spans="1:7">
      <c r="A7005" s="3"/>
      <c r="B7005" s="3"/>
      <c r="C7005" s="3"/>
      <c r="D7005" s="3"/>
      <c r="E7005" s="3">
        <v>2</v>
      </c>
      <c r="F7005" s="4" t="str">
        <f>HYPERLINK("http://141.218.60.56/~jnz1568/getInfo.php?workbook=12_05.xlsx&amp;sheet=U0&amp;row=7005&amp;col=6&amp;number=3.1&amp;sourceID=14","3.1")</f>
        <v>3.1</v>
      </c>
      <c r="G7005" s="4" t="str">
        <f>HYPERLINK("http://141.218.60.56/~jnz1568/getInfo.php?workbook=12_05.xlsx&amp;sheet=U0&amp;row=7005&amp;col=7&amp;number=0.0448&amp;sourceID=14","0.0448")</f>
        <v>0.0448</v>
      </c>
    </row>
    <row r="7006" spans="1:7">
      <c r="A7006" s="3"/>
      <c r="B7006" s="3"/>
      <c r="C7006" s="3"/>
      <c r="D7006" s="3"/>
      <c r="E7006" s="3">
        <v>3</v>
      </c>
      <c r="F7006" s="4" t="str">
        <f>HYPERLINK("http://141.218.60.56/~jnz1568/getInfo.php?workbook=12_05.xlsx&amp;sheet=U0&amp;row=7006&amp;col=6&amp;number=3.2&amp;sourceID=14","3.2")</f>
        <v>3.2</v>
      </c>
      <c r="G7006" s="4" t="str">
        <f>HYPERLINK("http://141.218.60.56/~jnz1568/getInfo.php?workbook=12_05.xlsx&amp;sheet=U0&amp;row=7006&amp;col=7&amp;number=0.0448&amp;sourceID=14","0.0448")</f>
        <v>0.0448</v>
      </c>
    </row>
    <row r="7007" spans="1:7">
      <c r="A7007" s="3"/>
      <c r="B7007" s="3"/>
      <c r="C7007" s="3"/>
      <c r="D7007" s="3"/>
      <c r="E7007" s="3">
        <v>4</v>
      </c>
      <c r="F7007" s="4" t="str">
        <f>HYPERLINK("http://141.218.60.56/~jnz1568/getInfo.php?workbook=12_05.xlsx&amp;sheet=U0&amp;row=7007&amp;col=6&amp;number=3.3&amp;sourceID=14","3.3")</f>
        <v>3.3</v>
      </c>
      <c r="G7007" s="4" t="str">
        <f>HYPERLINK("http://141.218.60.56/~jnz1568/getInfo.php?workbook=12_05.xlsx&amp;sheet=U0&amp;row=7007&amp;col=7&amp;number=0.0448&amp;sourceID=14","0.0448")</f>
        <v>0.0448</v>
      </c>
    </row>
    <row r="7008" spans="1:7">
      <c r="A7008" s="3"/>
      <c r="B7008" s="3"/>
      <c r="C7008" s="3"/>
      <c r="D7008" s="3"/>
      <c r="E7008" s="3">
        <v>5</v>
      </c>
      <c r="F7008" s="4" t="str">
        <f>HYPERLINK("http://141.218.60.56/~jnz1568/getInfo.php?workbook=12_05.xlsx&amp;sheet=U0&amp;row=7008&amp;col=6&amp;number=3.4&amp;sourceID=14","3.4")</f>
        <v>3.4</v>
      </c>
      <c r="G7008" s="4" t="str">
        <f>HYPERLINK("http://141.218.60.56/~jnz1568/getInfo.php?workbook=12_05.xlsx&amp;sheet=U0&amp;row=7008&amp;col=7&amp;number=0.0448&amp;sourceID=14","0.0448")</f>
        <v>0.0448</v>
      </c>
    </row>
    <row r="7009" spans="1:7">
      <c r="A7009" s="3"/>
      <c r="B7009" s="3"/>
      <c r="C7009" s="3"/>
      <c r="D7009" s="3"/>
      <c r="E7009" s="3">
        <v>6</v>
      </c>
      <c r="F7009" s="4" t="str">
        <f>HYPERLINK("http://141.218.60.56/~jnz1568/getInfo.php?workbook=12_05.xlsx&amp;sheet=U0&amp;row=7009&amp;col=6&amp;number=3.5&amp;sourceID=14","3.5")</f>
        <v>3.5</v>
      </c>
      <c r="G7009" s="4" t="str">
        <f>HYPERLINK("http://141.218.60.56/~jnz1568/getInfo.php?workbook=12_05.xlsx&amp;sheet=U0&amp;row=7009&amp;col=7&amp;number=0.0448&amp;sourceID=14","0.0448")</f>
        <v>0.0448</v>
      </c>
    </row>
    <row r="7010" spans="1:7">
      <c r="A7010" s="3"/>
      <c r="B7010" s="3"/>
      <c r="C7010" s="3"/>
      <c r="D7010" s="3"/>
      <c r="E7010" s="3">
        <v>7</v>
      </c>
      <c r="F7010" s="4" t="str">
        <f>HYPERLINK("http://141.218.60.56/~jnz1568/getInfo.php?workbook=12_05.xlsx&amp;sheet=U0&amp;row=7010&amp;col=6&amp;number=3.6&amp;sourceID=14","3.6")</f>
        <v>3.6</v>
      </c>
      <c r="G7010" s="4" t="str">
        <f>HYPERLINK("http://141.218.60.56/~jnz1568/getInfo.php?workbook=12_05.xlsx&amp;sheet=U0&amp;row=7010&amp;col=7&amp;number=0.0448&amp;sourceID=14","0.0448")</f>
        <v>0.0448</v>
      </c>
    </row>
    <row r="7011" spans="1:7">
      <c r="A7011" s="3"/>
      <c r="B7011" s="3"/>
      <c r="C7011" s="3"/>
      <c r="D7011" s="3"/>
      <c r="E7011" s="3">
        <v>8</v>
      </c>
      <c r="F7011" s="4" t="str">
        <f>HYPERLINK("http://141.218.60.56/~jnz1568/getInfo.php?workbook=12_05.xlsx&amp;sheet=U0&amp;row=7011&amp;col=6&amp;number=3.7&amp;sourceID=14","3.7")</f>
        <v>3.7</v>
      </c>
      <c r="G7011" s="4" t="str">
        <f>HYPERLINK("http://141.218.60.56/~jnz1568/getInfo.php?workbook=12_05.xlsx&amp;sheet=U0&amp;row=7011&amp;col=7&amp;number=0.0447&amp;sourceID=14","0.0447")</f>
        <v>0.0447</v>
      </c>
    </row>
    <row r="7012" spans="1:7">
      <c r="A7012" s="3"/>
      <c r="B7012" s="3"/>
      <c r="C7012" s="3"/>
      <c r="D7012" s="3"/>
      <c r="E7012" s="3">
        <v>9</v>
      </c>
      <c r="F7012" s="4" t="str">
        <f>HYPERLINK("http://141.218.60.56/~jnz1568/getInfo.php?workbook=12_05.xlsx&amp;sheet=U0&amp;row=7012&amp;col=6&amp;number=3.8&amp;sourceID=14","3.8")</f>
        <v>3.8</v>
      </c>
      <c r="G7012" s="4" t="str">
        <f>HYPERLINK("http://141.218.60.56/~jnz1568/getInfo.php?workbook=12_05.xlsx&amp;sheet=U0&amp;row=7012&amp;col=7&amp;number=0.0447&amp;sourceID=14","0.0447")</f>
        <v>0.0447</v>
      </c>
    </row>
    <row r="7013" spans="1:7">
      <c r="A7013" s="3"/>
      <c r="B7013" s="3"/>
      <c r="C7013" s="3"/>
      <c r="D7013" s="3"/>
      <c r="E7013" s="3">
        <v>10</v>
      </c>
      <c r="F7013" s="4" t="str">
        <f>HYPERLINK("http://141.218.60.56/~jnz1568/getInfo.php?workbook=12_05.xlsx&amp;sheet=U0&amp;row=7013&amp;col=6&amp;number=3.9&amp;sourceID=14","3.9")</f>
        <v>3.9</v>
      </c>
      <c r="G7013" s="4" t="str">
        <f>HYPERLINK("http://141.218.60.56/~jnz1568/getInfo.php?workbook=12_05.xlsx&amp;sheet=U0&amp;row=7013&amp;col=7&amp;number=0.0447&amp;sourceID=14","0.0447")</f>
        <v>0.0447</v>
      </c>
    </row>
    <row r="7014" spans="1:7">
      <c r="A7014" s="3"/>
      <c r="B7014" s="3"/>
      <c r="C7014" s="3"/>
      <c r="D7014" s="3"/>
      <c r="E7014" s="3">
        <v>11</v>
      </c>
      <c r="F7014" s="4" t="str">
        <f>HYPERLINK("http://141.218.60.56/~jnz1568/getInfo.php?workbook=12_05.xlsx&amp;sheet=U0&amp;row=7014&amp;col=6&amp;number=4&amp;sourceID=14","4")</f>
        <v>4</v>
      </c>
      <c r="G7014" s="4" t="str">
        <f>HYPERLINK("http://141.218.60.56/~jnz1568/getInfo.php?workbook=12_05.xlsx&amp;sheet=U0&amp;row=7014&amp;col=7&amp;number=0.0447&amp;sourceID=14","0.0447")</f>
        <v>0.0447</v>
      </c>
    </row>
    <row r="7015" spans="1:7">
      <c r="A7015" s="3"/>
      <c r="B7015" s="3"/>
      <c r="C7015" s="3"/>
      <c r="D7015" s="3"/>
      <c r="E7015" s="3">
        <v>12</v>
      </c>
      <c r="F7015" s="4" t="str">
        <f>HYPERLINK("http://141.218.60.56/~jnz1568/getInfo.php?workbook=12_05.xlsx&amp;sheet=U0&amp;row=7015&amp;col=6&amp;number=4.1&amp;sourceID=14","4.1")</f>
        <v>4.1</v>
      </c>
      <c r="G7015" s="4" t="str">
        <f>HYPERLINK("http://141.218.60.56/~jnz1568/getInfo.php?workbook=12_05.xlsx&amp;sheet=U0&amp;row=7015&amp;col=7&amp;number=0.0446&amp;sourceID=14","0.0446")</f>
        <v>0.0446</v>
      </c>
    </row>
    <row r="7016" spans="1:7">
      <c r="A7016" s="3"/>
      <c r="B7016" s="3"/>
      <c r="C7016" s="3"/>
      <c r="D7016" s="3"/>
      <c r="E7016" s="3">
        <v>13</v>
      </c>
      <c r="F7016" s="4" t="str">
        <f>HYPERLINK("http://141.218.60.56/~jnz1568/getInfo.php?workbook=12_05.xlsx&amp;sheet=U0&amp;row=7016&amp;col=6&amp;number=4.2&amp;sourceID=14","4.2")</f>
        <v>4.2</v>
      </c>
      <c r="G7016" s="4" t="str">
        <f>HYPERLINK("http://141.218.60.56/~jnz1568/getInfo.php?workbook=12_05.xlsx&amp;sheet=U0&amp;row=7016&amp;col=7&amp;number=0.0446&amp;sourceID=14","0.0446")</f>
        <v>0.0446</v>
      </c>
    </row>
    <row r="7017" spans="1:7">
      <c r="A7017" s="3"/>
      <c r="B7017" s="3"/>
      <c r="C7017" s="3"/>
      <c r="D7017" s="3"/>
      <c r="E7017" s="3">
        <v>14</v>
      </c>
      <c r="F7017" s="4" t="str">
        <f>HYPERLINK("http://141.218.60.56/~jnz1568/getInfo.php?workbook=12_05.xlsx&amp;sheet=U0&amp;row=7017&amp;col=6&amp;number=4.3&amp;sourceID=14","4.3")</f>
        <v>4.3</v>
      </c>
      <c r="G7017" s="4" t="str">
        <f>HYPERLINK("http://141.218.60.56/~jnz1568/getInfo.php?workbook=12_05.xlsx&amp;sheet=U0&amp;row=7017&amp;col=7&amp;number=0.0445&amp;sourceID=14","0.0445")</f>
        <v>0.0445</v>
      </c>
    </row>
    <row r="7018" spans="1:7">
      <c r="A7018" s="3"/>
      <c r="B7018" s="3"/>
      <c r="C7018" s="3"/>
      <c r="D7018" s="3"/>
      <c r="E7018" s="3">
        <v>15</v>
      </c>
      <c r="F7018" s="4" t="str">
        <f>HYPERLINK("http://141.218.60.56/~jnz1568/getInfo.php?workbook=12_05.xlsx&amp;sheet=U0&amp;row=7018&amp;col=6&amp;number=4.4&amp;sourceID=14","4.4")</f>
        <v>4.4</v>
      </c>
      <c r="G7018" s="4" t="str">
        <f>HYPERLINK("http://141.218.60.56/~jnz1568/getInfo.php?workbook=12_05.xlsx&amp;sheet=U0&amp;row=7018&amp;col=7&amp;number=0.0444&amp;sourceID=14","0.0444")</f>
        <v>0.0444</v>
      </c>
    </row>
    <row r="7019" spans="1:7">
      <c r="A7019" s="3"/>
      <c r="B7019" s="3"/>
      <c r="C7019" s="3"/>
      <c r="D7019" s="3"/>
      <c r="E7019" s="3">
        <v>16</v>
      </c>
      <c r="F7019" s="4" t="str">
        <f>HYPERLINK("http://141.218.60.56/~jnz1568/getInfo.php?workbook=12_05.xlsx&amp;sheet=U0&amp;row=7019&amp;col=6&amp;number=4.5&amp;sourceID=14","4.5")</f>
        <v>4.5</v>
      </c>
      <c r="G7019" s="4" t="str">
        <f>HYPERLINK("http://141.218.60.56/~jnz1568/getInfo.php?workbook=12_05.xlsx&amp;sheet=U0&amp;row=7019&amp;col=7&amp;number=0.0443&amp;sourceID=14","0.0443")</f>
        <v>0.0443</v>
      </c>
    </row>
    <row r="7020" spans="1:7">
      <c r="A7020" s="3"/>
      <c r="B7020" s="3"/>
      <c r="C7020" s="3"/>
      <c r="D7020" s="3"/>
      <c r="E7020" s="3">
        <v>17</v>
      </c>
      <c r="F7020" s="4" t="str">
        <f>HYPERLINK("http://141.218.60.56/~jnz1568/getInfo.php?workbook=12_05.xlsx&amp;sheet=U0&amp;row=7020&amp;col=6&amp;number=4.6&amp;sourceID=14","4.6")</f>
        <v>4.6</v>
      </c>
      <c r="G7020" s="4" t="str">
        <f>HYPERLINK("http://141.218.60.56/~jnz1568/getInfo.php?workbook=12_05.xlsx&amp;sheet=U0&amp;row=7020&amp;col=7&amp;number=0.0442&amp;sourceID=14","0.0442")</f>
        <v>0.0442</v>
      </c>
    </row>
    <row r="7021" spans="1:7">
      <c r="A7021" s="3"/>
      <c r="B7021" s="3"/>
      <c r="C7021" s="3"/>
      <c r="D7021" s="3"/>
      <c r="E7021" s="3">
        <v>18</v>
      </c>
      <c r="F7021" s="4" t="str">
        <f>HYPERLINK("http://141.218.60.56/~jnz1568/getInfo.php?workbook=12_05.xlsx&amp;sheet=U0&amp;row=7021&amp;col=6&amp;number=4.7&amp;sourceID=14","4.7")</f>
        <v>4.7</v>
      </c>
      <c r="G7021" s="4" t="str">
        <f>HYPERLINK("http://141.218.60.56/~jnz1568/getInfo.php?workbook=12_05.xlsx&amp;sheet=U0&amp;row=7021&amp;col=7&amp;number=0.044&amp;sourceID=14","0.044")</f>
        <v>0.044</v>
      </c>
    </row>
    <row r="7022" spans="1:7">
      <c r="A7022" s="3"/>
      <c r="B7022" s="3"/>
      <c r="C7022" s="3"/>
      <c r="D7022" s="3"/>
      <c r="E7022" s="3">
        <v>19</v>
      </c>
      <c r="F7022" s="4" t="str">
        <f>HYPERLINK("http://141.218.60.56/~jnz1568/getInfo.php?workbook=12_05.xlsx&amp;sheet=U0&amp;row=7022&amp;col=6&amp;number=4.8&amp;sourceID=14","4.8")</f>
        <v>4.8</v>
      </c>
      <c r="G7022" s="4" t="str">
        <f>HYPERLINK("http://141.218.60.56/~jnz1568/getInfo.php?workbook=12_05.xlsx&amp;sheet=U0&amp;row=7022&amp;col=7&amp;number=0.0438&amp;sourceID=14","0.0438")</f>
        <v>0.0438</v>
      </c>
    </row>
    <row r="7023" spans="1:7">
      <c r="A7023" s="3"/>
      <c r="B7023" s="3"/>
      <c r="C7023" s="3"/>
      <c r="D7023" s="3"/>
      <c r="E7023" s="3">
        <v>20</v>
      </c>
      <c r="F7023" s="4" t="str">
        <f>HYPERLINK("http://141.218.60.56/~jnz1568/getInfo.php?workbook=12_05.xlsx&amp;sheet=U0&amp;row=7023&amp;col=6&amp;number=4.9&amp;sourceID=14","4.9")</f>
        <v>4.9</v>
      </c>
      <c r="G7023" s="4" t="str">
        <f>HYPERLINK("http://141.218.60.56/~jnz1568/getInfo.php?workbook=12_05.xlsx&amp;sheet=U0&amp;row=7023&amp;col=7&amp;number=0.0436&amp;sourceID=14","0.0436")</f>
        <v>0.0436</v>
      </c>
    </row>
    <row r="7024" spans="1:7">
      <c r="A7024" s="3">
        <v>12</v>
      </c>
      <c r="B7024" s="3">
        <v>5</v>
      </c>
      <c r="C7024" s="3">
        <v>4</v>
      </c>
      <c r="D7024" s="3">
        <v>110</v>
      </c>
      <c r="E7024" s="3">
        <v>1</v>
      </c>
      <c r="F7024" s="4" t="str">
        <f>HYPERLINK("http://141.218.60.56/~jnz1568/getInfo.php?workbook=12_05.xlsx&amp;sheet=U0&amp;row=7024&amp;col=6&amp;number=3&amp;sourceID=14","3")</f>
        <v>3</v>
      </c>
      <c r="G7024" s="4" t="str">
        <f>HYPERLINK("http://141.218.60.56/~jnz1568/getInfo.php?workbook=12_05.xlsx&amp;sheet=U0&amp;row=7024&amp;col=7&amp;number=0.0469&amp;sourceID=14","0.0469")</f>
        <v>0.0469</v>
      </c>
    </row>
    <row r="7025" spans="1:7">
      <c r="A7025" s="3"/>
      <c r="B7025" s="3"/>
      <c r="C7025" s="3"/>
      <c r="D7025" s="3"/>
      <c r="E7025" s="3">
        <v>2</v>
      </c>
      <c r="F7025" s="4" t="str">
        <f>HYPERLINK("http://141.218.60.56/~jnz1568/getInfo.php?workbook=12_05.xlsx&amp;sheet=U0&amp;row=7025&amp;col=6&amp;number=3.1&amp;sourceID=14","3.1")</f>
        <v>3.1</v>
      </c>
      <c r="G7025" s="4" t="str">
        <f>HYPERLINK("http://141.218.60.56/~jnz1568/getInfo.php?workbook=12_05.xlsx&amp;sheet=U0&amp;row=7025&amp;col=7&amp;number=0.0469&amp;sourceID=14","0.0469")</f>
        <v>0.0469</v>
      </c>
    </row>
    <row r="7026" spans="1:7">
      <c r="A7026" s="3"/>
      <c r="B7026" s="3"/>
      <c r="C7026" s="3"/>
      <c r="D7026" s="3"/>
      <c r="E7026" s="3">
        <v>3</v>
      </c>
      <c r="F7026" s="4" t="str">
        <f>HYPERLINK("http://141.218.60.56/~jnz1568/getInfo.php?workbook=12_05.xlsx&amp;sheet=U0&amp;row=7026&amp;col=6&amp;number=3.2&amp;sourceID=14","3.2")</f>
        <v>3.2</v>
      </c>
      <c r="G7026" s="4" t="str">
        <f>HYPERLINK("http://141.218.60.56/~jnz1568/getInfo.php?workbook=12_05.xlsx&amp;sheet=U0&amp;row=7026&amp;col=7&amp;number=0.0469&amp;sourceID=14","0.0469")</f>
        <v>0.0469</v>
      </c>
    </row>
    <row r="7027" spans="1:7">
      <c r="A7027" s="3"/>
      <c r="B7027" s="3"/>
      <c r="C7027" s="3"/>
      <c r="D7027" s="3"/>
      <c r="E7027" s="3">
        <v>4</v>
      </c>
      <c r="F7027" s="4" t="str">
        <f>HYPERLINK("http://141.218.60.56/~jnz1568/getInfo.php?workbook=12_05.xlsx&amp;sheet=U0&amp;row=7027&amp;col=6&amp;number=3.3&amp;sourceID=14","3.3")</f>
        <v>3.3</v>
      </c>
      <c r="G7027" s="4" t="str">
        <f>HYPERLINK("http://141.218.60.56/~jnz1568/getInfo.php?workbook=12_05.xlsx&amp;sheet=U0&amp;row=7027&amp;col=7&amp;number=0.0469&amp;sourceID=14","0.0469")</f>
        <v>0.0469</v>
      </c>
    </row>
    <row r="7028" spans="1:7">
      <c r="A7028" s="3"/>
      <c r="B7028" s="3"/>
      <c r="C7028" s="3"/>
      <c r="D7028" s="3"/>
      <c r="E7028" s="3">
        <v>5</v>
      </c>
      <c r="F7028" s="4" t="str">
        <f>HYPERLINK("http://141.218.60.56/~jnz1568/getInfo.php?workbook=12_05.xlsx&amp;sheet=U0&amp;row=7028&amp;col=6&amp;number=3.4&amp;sourceID=14","3.4")</f>
        <v>3.4</v>
      </c>
      <c r="G7028" s="4" t="str">
        <f>HYPERLINK("http://141.218.60.56/~jnz1568/getInfo.php?workbook=12_05.xlsx&amp;sheet=U0&amp;row=7028&amp;col=7&amp;number=0.0469&amp;sourceID=14","0.0469")</f>
        <v>0.0469</v>
      </c>
    </row>
    <row r="7029" spans="1:7">
      <c r="A7029" s="3"/>
      <c r="B7029" s="3"/>
      <c r="C7029" s="3"/>
      <c r="D7029" s="3"/>
      <c r="E7029" s="3">
        <v>6</v>
      </c>
      <c r="F7029" s="4" t="str">
        <f>HYPERLINK("http://141.218.60.56/~jnz1568/getInfo.php?workbook=12_05.xlsx&amp;sheet=U0&amp;row=7029&amp;col=6&amp;number=3.5&amp;sourceID=14","3.5")</f>
        <v>3.5</v>
      </c>
      <c r="G7029" s="4" t="str">
        <f>HYPERLINK("http://141.218.60.56/~jnz1568/getInfo.php?workbook=12_05.xlsx&amp;sheet=U0&amp;row=7029&amp;col=7&amp;number=0.047&amp;sourceID=14","0.047")</f>
        <v>0.047</v>
      </c>
    </row>
    <row r="7030" spans="1:7">
      <c r="A7030" s="3"/>
      <c r="B7030" s="3"/>
      <c r="C7030" s="3"/>
      <c r="D7030" s="3"/>
      <c r="E7030" s="3">
        <v>7</v>
      </c>
      <c r="F7030" s="4" t="str">
        <f>HYPERLINK("http://141.218.60.56/~jnz1568/getInfo.php?workbook=12_05.xlsx&amp;sheet=U0&amp;row=7030&amp;col=6&amp;number=3.6&amp;sourceID=14","3.6")</f>
        <v>3.6</v>
      </c>
      <c r="G7030" s="4" t="str">
        <f>HYPERLINK("http://141.218.60.56/~jnz1568/getInfo.php?workbook=12_05.xlsx&amp;sheet=U0&amp;row=7030&amp;col=7&amp;number=0.047&amp;sourceID=14","0.047")</f>
        <v>0.047</v>
      </c>
    </row>
    <row r="7031" spans="1:7">
      <c r="A7031" s="3"/>
      <c r="B7031" s="3"/>
      <c r="C7031" s="3"/>
      <c r="D7031" s="3"/>
      <c r="E7031" s="3">
        <v>8</v>
      </c>
      <c r="F7031" s="4" t="str">
        <f>HYPERLINK("http://141.218.60.56/~jnz1568/getInfo.php?workbook=12_05.xlsx&amp;sheet=U0&amp;row=7031&amp;col=6&amp;number=3.7&amp;sourceID=14","3.7")</f>
        <v>3.7</v>
      </c>
      <c r="G7031" s="4" t="str">
        <f>HYPERLINK("http://141.218.60.56/~jnz1568/getInfo.php?workbook=12_05.xlsx&amp;sheet=U0&amp;row=7031&amp;col=7&amp;number=0.047&amp;sourceID=14","0.047")</f>
        <v>0.047</v>
      </c>
    </row>
    <row r="7032" spans="1:7">
      <c r="A7032" s="3"/>
      <c r="B7032" s="3"/>
      <c r="C7032" s="3"/>
      <c r="D7032" s="3"/>
      <c r="E7032" s="3">
        <v>9</v>
      </c>
      <c r="F7032" s="4" t="str">
        <f>HYPERLINK("http://141.218.60.56/~jnz1568/getInfo.php?workbook=12_05.xlsx&amp;sheet=U0&amp;row=7032&amp;col=6&amp;number=3.8&amp;sourceID=14","3.8")</f>
        <v>3.8</v>
      </c>
      <c r="G7032" s="4" t="str">
        <f>HYPERLINK("http://141.218.60.56/~jnz1568/getInfo.php?workbook=12_05.xlsx&amp;sheet=U0&amp;row=7032&amp;col=7&amp;number=0.047&amp;sourceID=14","0.047")</f>
        <v>0.047</v>
      </c>
    </row>
    <row r="7033" spans="1:7">
      <c r="A7033" s="3"/>
      <c r="B7033" s="3"/>
      <c r="C7033" s="3"/>
      <c r="D7033" s="3"/>
      <c r="E7033" s="3">
        <v>10</v>
      </c>
      <c r="F7033" s="4" t="str">
        <f>HYPERLINK("http://141.218.60.56/~jnz1568/getInfo.php?workbook=12_05.xlsx&amp;sheet=U0&amp;row=7033&amp;col=6&amp;number=3.9&amp;sourceID=14","3.9")</f>
        <v>3.9</v>
      </c>
      <c r="G7033" s="4" t="str">
        <f>HYPERLINK("http://141.218.60.56/~jnz1568/getInfo.php?workbook=12_05.xlsx&amp;sheet=U0&amp;row=7033&amp;col=7&amp;number=0.047&amp;sourceID=14","0.047")</f>
        <v>0.047</v>
      </c>
    </row>
    <row r="7034" spans="1:7">
      <c r="A7034" s="3"/>
      <c r="B7034" s="3"/>
      <c r="C7034" s="3"/>
      <c r="D7034" s="3"/>
      <c r="E7034" s="3">
        <v>11</v>
      </c>
      <c r="F7034" s="4" t="str">
        <f>HYPERLINK("http://141.218.60.56/~jnz1568/getInfo.php?workbook=12_05.xlsx&amp;sheet=U0&amp;row=7034&amp;col=6&amp;number=4&amp;sourceID=14","4")</f>
        <v>4</v>
      </c>
      <c r="G7034" s="4" t="str">
        <f>HYPERLINK("http://141.218.60.56/~jnz1568/getInfo.php?workbook=12_05.xlsx&amp;sheet=U0&amp;row=7034&amp;col=7&amp;number=0.047&amp;sourceID=14","0.047")</f>
        <v>0.047</v>
      </c>
    </row>
    <row r="7035" spans="1:7">
      <c r="A7035" s="3"/>
      <c r="B7035" s="3"/>
      <c r="C7035" s="3"/>
      <c r="D7035" s="3"/>
      <c r="E7035" s="3">
        <v>12</v>
      </c>
      <c r="F7035" s="4" t="str">
        <f>HYPERLINK("http://141.218.60.56/~jnz1568/getInfo.php?workbook=12_05.xlsx&amp;sheet=U0&amp;row=7035&amp;col=6&amp;number=4.1&amp;sourceID=14","4.1")</f>
        <v>4.1</v>
      </c>
      <c r="G7035" s="4" t="str">
        <f>HYPERLINK("http://141.218.60.56/~jnz1568/getInfo.php?workbook=12_05.xlsx&amp;sheet=U0&amp;row=7035&amp;col=7&amp;number=0.047&amp;sourceID=14","0.047")</f>
        <v>0.047</v>
      </c>
    </row>
    <row r="7036" spans="1:7">
      <c r="A7036" s="3"/>
      <c r="B7036" s="3"/>
      <c r="C7036" s="3"/>
      <c r="D7036" s="3"/>
      <c r="E7036" s="3">
        <v>13</v>
      </c>
      <c r="F7036" s="4" t="str">
        <f>HYPERLINK("http://141.218.60.56/~jnz1568/getInfo.php?workbook=12_05.xlsx&amp;sheet=U0&amp;row=7036&amp;col=6&amp;number=4.2&amp;sourceID=14","4.2")</f>
        <v>4.2</v>
      </c>
      <c r="G7036" s="4" t="str">
        <f>HYPERLINK("http://141.218.60.56/~jnz1568/getInfo.php?workbook=12_05.xlsx&amp;sheet=U0&amp;row=7036&amp;col=7&amp;number=0.047&amp;sourceID=14","0.047")</f>
        <v>0.047</v>
      </c>
    </row>
    <row r="7037" spans="1:7">
      <c r="A7037" s="3"/>
      <c r="B7037" s="3"/>
      <c r="C7037" s="3"/>
      <c r="D7037" s="3"/>
      <c r="E7037" s="3">
        <v>14</v>
      </c>
      <c r="F7037" s="4" t="str">
        <f>HYPERLINK("http://141.218.60.56/~jnz1568/getInfo.php?workbook=12_05.xlsx&amp;sheet=U0&amp;row=7037&amp;col=6&amp;number=4.3&amp;sourceID=14","4.3")</f>
        <v>4.3</v>
      </c>
      <c r="G7037" s="4" t="str">
        <f>HYPERLINK("http://141.218.60.56/~jnz1568/getInfo.php?workbook=12_05.xlsx&amp;sheet=U0&amp;row=7037&amp;col=7&amp;number=0.0471&amp;sourceID=14","0.0471")</f>
        <v>0.0471</v>
      </c>
    </row>
    <row r="7038" spans="1:7">
      <c r="A7038" s="3"/>
      <c r="B7038" s="3"/>
      <c r="C7038" s="3"/>
      <c r="D7038" s="3"/>
      <c r="E7038" s="3">
        <v>15</v>
      </c>
      <c r="F7038" s="4" t="str">
        <f>HYPERLINK("http://141.218.60.56/~jnz1568/getInfo.php?workbook=12_05.xlsx&amp;sheet=U0&amp;row=7038&amp;col=6&amp;number=4.4&amp;sourceID=14","4.4")</f>
        <v>4.4</v>
      </c>
      <c r="G7038" s="4" t="str">
        <f>HYPERLINK("http://141.218.60.56/~jnz1568/getInfo.php?workbook=12_05.xlsx&amp;sheet=U0&amp;row=7038&amp;col=7&amp;number=0.0471&amp;sourceID=14","0.0471")</f>
        <v>0.0471</v>
      </c>
    </row>
    <row r="7039" spans="1:7">
      <c r="A7039" s="3"/>
      <c r="B7039" s="3"/>
      <c r="C7039" s="3"/>
      <c r="D7039" s="3"/>
      <c r="E7039" s="3">
        <v>16</v>
      </c>
      <c r="F7039" s="4" t="str">
        <f>HYPERLINK("http://141.218.60.56/~jnz1568/getInfo.php?workbook=12_05.xlsx&amp;sheet=U0&amp;row=7039&amp;col=6&amp;number=4.5&amp;sourceID=14","4.5")</f>
        <v>4.5</v>
      </c>
      <c r="G7039" s="4" t="str">
        <f>HYPERLINK("http://141.218.60.56/~jnz1568/getInfo.php?workbook=12_05.xlsx&amp;sheet=U0&amp;row=7039&amp;col=7&amp;number=0.0472&amp;sourceID=14","0.0472")</f>
        <v>0.0472</v>
      </c>
    </row>
    <row r="7040" spans="1:7">
      <c r="A7040" s="3"/>
      <c r="B7040" s="3"/>
      <c r="C7040" s="3"/>
      <c r="D7040" s="3"/>
      <c r="E7040" s="3">
        <v>17</v>
      </c>
      <c r="F7040" s="4" t="str">
        <f>HYPERLINK("http://141.218.60.56/~jnz1568/getInfo.php?workbook=12_05.xlsx&amp;sheet=U0&amp;row=7040&amp;col=6&amp;number=4.6&amp;sourceID=14","4.6")</f>
        <v>4.6</v>
      </c>
      <c r="G7040" s="4" t="str">
        <f>HYPERLINK("http://141.218.60.56/~jnz1568/getInfo.php?workbook=12_05.xlsx&amp;sheet=U0&amp;row=7040&amp;col=7&amp;number=0.0472&amp;sourceID=14","0.0472")</f>
        <v>0.0472</v>
      </c>
    </row>
    <row r="7041" spans="1:7">
      <c r="A7041" s="3"/>
      <c r="B7041" s="3"/>
      <c r="C7041" s="3"/>
      <c r="D7041" s="3"/>
      <c r="E7041" s="3">
        <v>18</v>
      </c>
      <c r="F7041" s="4" t="str">
        <f>HYPERLINK("http://141.218.60.56/~jnz1568/getInfo.php?workbook=12_05.xlsx&amp;sheet=U0&amp;row=7041&amp;col=6&amp;number=4.7&amp;sourceID=14","4.7")</f>
        <v>4.7</v>
      </c>
      <c r="G7041" s="4" t="str">
        <f>HYPERLINK("http://141.218.60.56/~jnz1568/getInfo.php?workbook=12_05.xlsx&amp;sheet=U0&amp;row=7041&amp;col=7&amp;number=0.0473&amp;sourceID=14","0.0473")</f>
        <v>0.0473</v>
      </c>
    </row>
    <row r="7042" spans="1:7">
      <c r="A7042" s="3"/>
      <c r="B7042" s="3"/>
      <c r="C7042" s="3"/>
      <c r="D7042" s="3"/>
      <c r="E7042" s="3">
        <v>19</v>
      </c>
      <c r="F7042" s="4" t="str">
        <f>HYPERLINK("http://141.218.60.56/~jnz1568/getInfo.php?workbook=12_05.xlsx&amp;sheet=U0&amp;row=7042&amp;col=6&amp;number=4.8&amp;sourceID=14","4.8")</f>
        <v>4.8</v>
      </c>
      <c r="G7042" s="4" t="str">
        <f>HYPERLINK("http://141.218.60.56/~jnz1568/getInfo.php?workbook=12_05.xlsx&amp;sheet=U0&amp;row=7042&amp;col=7&amp;number=0.0474&amp;sourceID=14","0.0474")</f>
        <v>0.0474</v>
      </c>
    </row>
    <row r="7043" spans="1:7">
      <c r="A7043" s="3"/>
      <c r="B7043" s="3"/>
      <c r="C7043" s="3"/>
      <c r="D7043" s="3"/>
      <c r="E7043" s="3">
        <v>20</v>
      </c>
      <c r="F7043" s="4" t="str">
        <f>HYPERLINK("http://141.218.60.56/~jnz1568/getInfo.php?workbook=12_05.xlsx&amp;sheet=U0&amp;row=7043&amp;col=6&amp;number=4.9&amp;sourceID=14","4.9")</f>
        <v>4.9</v>
      </c>
      <c r="G7043" s="4" t="str">
        <f>HYPERLINK("http://141.218.60.56/~jnz1568/getInfo.php?workbook=12_05.xlsx&amp;sheet=U0&amp;row=7043&amp;col=7&amp;number=0.0475&amp;sourceID=14","0.0475")</f>
        <v>0.0475</v>
      </c>
    </row>
    <row r="7044" spans="1:7">
      <c r="A7044" s="3">
        <v>12</v>
      </c>
      <c r="B7044" s="3">
        <v>5</v>
      </c>
      <c r="C7044" s="3">
        <v>4</v>
      </c>
      <c r="D7044" s="3">
        <v>111</v>
      </c>
      <c r="E7044" s="3">
        <v>1</v>
      </c>
      <c r="F7044" s="4" t="str">
        <f>HYPERLINK("http://141.218.60.56/~jnz1568/getInfo.php?workbook=12_05.xlsx&amp;sheet=U0&amp;row=7044&amp;col=6&amp;number=3&amp;sourceID=14","3")</f>
        <v>3</v>
      </c>
      <c r="G7044" s="4" t="str">
        <f>HYPERLINK("http://141.218.60.56/~jnz1568/getInfo.php?workbook=12_05.xlsx&amp;sheet=U0&amp;row=7044&amp;col=7&amp;number=0.025&amp;sourceID=14","0.025")</f>
        <v>0.025</v>
      </c>
    </row>
    <row r="7045" spans="1:7">
      <c r="A7045" s="3"/>
      <c r="B7045" s="3"/>
      <c r="C7045" s="3"/>
      <c r="D7045" s="3"/>
      <c r="E7045" s="3">
        <v>2</v>
      </c>
      <c r="F7045" s="4" t="str">
        <f>HYPERLINK("http://141.218.60.56/~jnz1568/getInfo.php?workbook=12_05.xlsx&amp;sheet=U0&amp;row=7045&amp;col=6&amp;number=3.1&amp;sourceID=14","3.1")</f>
        <v>3.1</v>
      </c>
      <c r="G7045" s="4" t="str">
        <f>HYPERLINK("http://141.218.60.56/~jnz1568/getInfo.php?workbook=12_05.xlsx&amp;sheet=U0&amp;row=7045&amp;col=7&amp;number=0.025&amp;sourceID=14","0.025")</f>
        <v>0.025</v>
      </c>
    </row>
    <row r="7046" spans="1:7">
      <c r="A7046" s="3"/>
      <c r="B7046" s="3"/>
      <c r="C7046" s="3"/>
      <c r="D7046" s="3"/>
      <c r="E7046" s="3">
        <v>3</v>
      </c>
      <c r="F7046" s="4" t="str">
        <f>HYPERLINK("http://141.218.60.56/~jnz1568/getInfo.php?workbook=12_05.xlsx&amp;sheet=U0&amp;row=7046&amp;col=6&amp;number=3.2&amp;sourceID=14","3.2")</f>
        <v>3.2</v>
      </c>
      <c r="G7046" s="4" t="str">
        <f>HYPERLINK("http://141.218.60.56/~jnz1568/getInfo.php?workbook=12_05.xlsx&amp;sheet=U0&amp;row=7046&amp;col=7&amp;number=0.0249&amp;sourceID=14","0.0249")</f>
        <v>0.0249</v>
      </c>
    </row>
    <row r="7047" spans="1:7">
      <c r="A7047" s="3"/>
      <c r="B7047" s="3"/>
      <c r="C7047" s="3"/>
      <c r="D7047" s="3"/>
      <c r="E7047" s="3">
        <v>4</v>
      </c>
      <c r="F7047" s="4" t="str">
        <f>HYPERLINK("http://141.218.60.56/~jnz1568/getInfo.php?workbook=12_05.xlsx&amp;sheet=U0&amp;row=7047&amp;col=6&amp;number=3.3&amp;sourceID=14","3.3")</f>
        <v>3.3</v>
      </c>
      <c r="G7047" s="4" t="str">
        <f>HYPERLINK("http://141.218.60.56/~jnz1568/getInfo.php?workbook=12_05.xlsx&amp;sheet=U0&amp;row=7047&amp;col=7&amp;number=0.0249&amp;sourceID=14","0.0249")</f>
        <v>0.0249</v>
      </c>
    </row>
    <row r="7048" spans="1:7">
      <c r="A7048" s="3"/>
      <c r="B7048" s="3"/>
      <c r="C7048" s="3"/>
      <c r="D7048" s="3"/>
      <c r="E7048" s="3">
        <v>5</v>
      </c>
      <c r="F7048" s="4" t="str">
        <f>HYPERLINK("http://141.218.60.56/~jnz1568/getInfo.php?workbook=12_05.xlsx&amp;sheet=U0&amp;row=7048&amp;col=6&amp;number=3.4&amp;sourceID=14","3.4")</f>
        <v>3.4</v>
      </c>
      <c r="G7048" s="4" t="str">
        <f>HYPERLINK("http://141.218.60.56/~jnz1568/getInfo.php?workbook=12_05.xlsx&amp;sheet=U0&amp;row=7048&amp;col=7&amp;number=0.0249&amp;sourceID=14","0.0249")</f>
        <v>0.0249</v>
      </c>
    </row>
    <row r="7049" spans="1:7">
      <c r="A7049" s="3"/>
      <c r="B7049" s="3"/>
      <c r="C7049" s="3"/>
      <c r="D7049" s="3"/>
      <c r="E7049" s="3">
        <v>6</v>
      </c>
      <c r="F7049" s="4" t="str">
        <f>HYPERLINK("http://141.218.60.56/~jnz1568/getInfo.php?workbook=12_05.xlsx&amp;sheet=U0&amp;row=7049&amp;col=6&amp;number=3.5&amp;sourceID=14","3.5")</f>
        <v>3.5</v>
      </c>
      <c r="G7049" s="4" t="str">
        <f>HYPERLINK("http://141.218.60.56/~jnz1568/getInfo.php?workbook=12_05.xlsx&amp;sheet=U0&amp;row=7049&amp;col=7&amp;number=0.0249&amp;sourceID=14","0.0249")</f>
        <v>0.0249</v>
      </c>
    </row>
    <row r="7050" spans="1:7">
      <c r="A7050" s="3"/>
      <c r="B7050" s="3"/>
      <c r="C7050" s="3"/>
      <c r="D7050" s="3"/>
      <c r="E7050" s="3">
        <v>7</v>
      </c>
      <c r="F7050" s="4" t="str">
        <f>HYPERLINK("http://141.218.60.56/~jnz1568/getInfo.php?workbook=12_05.xlsx&amp;sheet=U0&amp;row=7050&amp;col=6&amp;number=3.6&amp;sourceID=14","3.6")</f>
        <v>3.6</v>
      </c>
      <c r="G7050" s="4" t="str">
        <f>HYPERLINK("http://141.218.60.56/~jnz1568/getInfo.php?workbook=12_05.xlsx&amp;sheet=U0&amp;row=7050&amp;col=7&amp;number=0.0249&amp;sourceID=14","0.0249")</f>
        <v>0.0249</v>
      </c>
    </row>
    <row r="7051" spans="1:7">
      <c r="A7051" s="3"/>
      <c r="B7051" s="3"/>
      <c r="C7051" s="3"/>
      <c r="D7051" s="3"/>
      <c r="E7051" s="3">
        <v>8</v>
      </c>
      <c r="F7051" s="4" t="str">
        <f>HYPERLINK("http://141.218.60.56/~jnz1568/getInfo.php?workbook=12_05.xlsx&amp;sheet=U0&amp;row=7051&amp;col=6&amp;number=3.7&amp;sourceID=14","3.7")</f>
        <v>3.7</v>
      </c>
      <c r="G7051" s="4" t="str">
        <f>HYPERLINK("http://141.218.60.56/~jnz1568/getInfo.php?workbook=12_05.xlsx&amp;sheet=U0&amp;row=7051&amp;col=7&amp;number=0.0248&amp;sourceID=14","0.0248")</f>
        <v>0.0248</v>
      </c>
    </row>
    <row r="7052" spans="1:7">
      <c r="A7052" s="3"/>
      <c r="B7052" s="3"/>
      <c r="C7052" s="3"/>
      <c r="D7052" s="3"/>
      <c r="E7052" s="3">
        <v>9</v>
      </c>
      <c r="F7052" s="4" t="str">
        <f>HYPERLINK("http://141.218.60.56/~jnz1568/getInfo.php?workbook=12_05.xlsx&amp;sheet=U0&amp;row=7052&amp;col=6&amp;number=3.8&amp;sourceID=14","3.8")</f>
        <v>3.8</v>
      </c>
      <c r="G7052" s="4" t="str">
        <f>HYPERLINK("http://141.218.60.56/~jnz1568/getInfo.php?workbook=12_05.xlsx&amp;sheet=U0&amp;row=7052&amp;col=7&amp;number=0.0248&amp;sourceID=14","0.0248")</f>
        <v>0.0248</v>
      </c>
    </row>
    <row r="7053" spans="1:7">
      <c r="A7053" s="3"/>
      <c r="B7053" s="3"/>
      <c r="C7053" s="3"/>
      <c r="D7053" s="3"/>
      <c r="E7053" s="3">
        <v>10</v>
      </c>
      <c r="F7053" s="4" t="str">
        <f>HYPERLINK("http://141.218.60.56/~jnz1568/getInfo.php?workbook=12_05.xlsx&amp;sheet=U0&amp;row=7053&amp;col=6&amp;number=3.9&amp;sourceID=14","3.9")</f>
        <v>3.9</v>
      </c>
      <c r="G7053" s="4" t="str">
        <f>HYPERLINK("http://141.218.60.56/~jnz1568/getInfo.php?workbook=12_05.xlsx&amp;sheet=U0&amp;row=7053&amp;col=7&amp;number=0.0247&amp;sourceID=14","0.0247")</f>
        <v>0.0247</v>
      </c>
    </row>
    <row r="7054" spans="1:7">
      <c r="A7054" s="3"/>
      <c r="B7054" s="3"/>
      <c r="C7054" s="3"/>
      <c r="D7054" s="3"/>
      <c r="E7054" s="3">
        <v>11</v>
      </c>
      <c r="F7054" s="4" t="str">
        <f>HYPERLINK("http://141.218.60.56/~jnz1568/getInfo.php?workbook=12_05.xlsx&amp;sheet=U0&amp;row=7054&amp;col=6&amp;number=4&amp;sourceID=14","4")</f>
        <v>4</v>
      </c>
      <c r="G7054" s="4" t="str">
        <f>HYPERLINK("http://141.218.60.56/~jnz1568/getInfo.php?workbook=12_05.xlsx&amp;sheet=U0&amp;row=7054&amp;col=7&amp;number=0.0247&amp;sourceID=14","0.0247")</f>
        <v>0.0247</v>
      </c>
    </row>
    <row r="7055" spans="1:7">
      <c r="A7055" s="3"/>
      <c r="B7055" s="3"/>
      <c r="C7055" s="3"/>
      <c r="D7055" s="3"/>
      <c r="E7055" s="3">
        <v>12</v>
      </c>
      <c r="F7055" s="4" t="str">
        <f>HYPERLINK("http://141.218.60.56/~jnz1568/getInfo.php?workbook=12_05.xlsx&amp;sheet=U0&amp;row=7055&amp;col=6&amp;number=4.1&amp;sourceID=14","4.1")</f>
        <v>4.1</v>
      </c>
      <c r="G7055" s="4" t="str">
        <f>HYPERLINK("http://141.218.60.56/~jnz1568/getInfo.php?workbook=12_05.xlsx&amp;sheet=U0&amp;row=7055&amp;col=7&amp;number=0.0246&amp;sourceID=14","0.0246")</f>
        <v>0.0246</v>
      </c>
    </row>
    <row r="7056" spans="1:7">
      <c r="A7056" s="3"/>
      <c r="B7056" s="3"/>
      <c r="C7056" s="3"/>
      <c r="D7056" s="3"/>
      <c r="E7056" s="3">
        <v>13</v>
      </c>
      <c r="F7056" s="4" t="str">
        <f>HYPERLINK("http://141.218.60.56/~jnz1568/getInfo.php?workbook=12_05.xlsx&amp;sheet=U0&amp;row=7056&amp;col=6&amp;number=4.2&amp;sourceID=14","4.2")</f>
        <v>4.2</v>
      </c>
      <c r="G7056" s="4" t="str">
        <f>HYPERLINK("http://141.218.60.56/~jnz1568/getInfo.php?workbook=12_05.xlsx&amp;sheet=U0&amp;row=7056&amp;col=7&amp;number=0.0245&amp;sourceID=14","0.0245")</f>
        <v>0.0245</v>
      </c>
    </row>
    <row r="7057" spans="1:7">
      <c r="A7057" s="3"/>
      <c r="B7057" s="3"/>
      <c r="C7057" s="3"/>
      <c r="D7057" s="3"/>
      <c r="E7057" s="3">
        <v>14</v>
      </c>
      <c r="F7057" s="4" t="str">
        <f>HYPERLINK("http://141.218.60.56/~jnz1568/getInfo.php?workbook=12_05.xlsx&amp;sheet=U0&amp;row=7057&amp;col=6&amp;number=4.3&amp;sourceID=14","4.3")</f>
        <v>4.3</v>
      </c>
      <c r="G7057" s="4" t="str">
        <f>HYPERLINK("http://141.218.60.56/~jnz1568/getInfo.php?workbook=12_05.xlsx&amp;sheet=U0&amp;row=7057&amp;col=7&amp;number=0.0244&amp;sourceID=14","0.0244")</f>
        <v>0.0244</v>
      </c>
    </row>
    <row r="7058" spans="1:7">
      <c r="A7058" s="3"/>
      <c r="B7058" s="3"/>
      <c r="C7058" s="3"/>
      <c r="D7058" s="3"/>
      <c r="E7058" s="3">
        <v>15</v>
      </c>
      <c r="F7058" s="4" t="str">
        <f>HYPERLINK("http://141.218.60.56/~jnz1568/getInfo.php?workbook=12_05.xlsx&amp;sheet=U0&amp;row=7058&amp;col=6&amp;number=4.4&amp;sourceID=14","4.4")</f>
        <v>4.4</v>
      </c>
      <c r="G7058" s="4" t="str">
        <f>HYPERLINK("http://141.218.60.56/~jnz1568/getInfo.php?workbook=12_05.xlsx&amp;sheet=U0&amp;row=7058&amp;col=7&amp;number=0.0242&amp;sourceID=14","0.0242")</f>
        <v>0.0242</v>
      </c>
    </row>
    <row r="7059" spans="1:7">
      <c r="A7059" s="3"/>
      <c r="B7059" s="3"/>
      <c r="C7059" s="3"/>
      <c r="D7059" s="3"/>
      <c r="E7059" s="3">
        <v>16</v>
      </c>
      <c r="F7059" s="4" t="str">
        <f>HYPERLINK("http://141.218.60.56/~jnz1568/getInfo.php?workbook=12_05.xlsx&amp;sheet=U0&amp;row=7059&amp;col=6&amp;number=4.5&amp;sourceID=14","4.5")</f>
        <v>4.5</v>
      </c>
      <c r="G7059" s="4" t="str">
        <f>HYPERLINK("http://141.218.60.56/~jnz1568/getInfo.php?workbook=12_05.xlsx&amp;sheet=U0&amp;row=7059&amp;col=7&amp;number=0.024&amp;sourceID=14","0.024")</f>
        <v>0.024</v>
      </c>
    </row>
    <row r="7060" spans="1:7">
      <c r="A7060" s="3"/>
      <c r="B7060" s="3"/>
      <c r="C7060" s="3"/>
      <c r="D7060" s="3"/>
      <c r="E7060" s="3">
        <v>17</v>
      </c>
      <c r="F7060" s="4" t="str">
        <f>HYPERLINK("http://141.218.60.56/~jnz1568/getInfo.php?workbook=12_05.xlsx&amp;sheet=U0&amp;row=7060&amp;col=6&amp;number=4.6&amp;sourceID=14","4.6")</f>
        <v>4.6</v>
      </c>
      <c r="G7060" s="4" t="str">
        <f>HYPERLINK("http://141.218.60.56/~jnz1568/getInfo.php?workbook=12_05.xlsx&amp;sheet=U0&amp;row=7060&amp;col=7&amp;number=0.0238&amp;sourceID=14","0.0238")</f>
        <v>0.0238</v>
      </c>
    </row>
    <row r="7061" spans="1:7">
      <c r="A7061" s="3"/>
      <c r="B7061" s="3"/>
      <c r="C7061" s="3"/>
      <c r="D7061" s="3"/>
      <c r="E7061" s="3">
        <v>18</v>
      </c>
      <c r="F7061" s="4" t="str">
        <f>HYPERLINK("http://141.218.60.56/~jnz1568/getInfo.php?workbook=12_05.xlsx&amp;sheet=U0&amp;row=7061&amp;col=6&amp;number=4.7&amp;sourceID=14","4.7")</f>
        <v>4.7</v>
      </c>
      <c r="G7061" s="4" t="str">
        <f>HYPERLINK("http://141.218.60.56/~jnz1568/getInfo.php?workbook=12_05.xlsx&amp;sheet=U0&amp;row=7061&amp;col=7&amp;number=0.0235&amp;sourceID=14","0.0235")</f>
        <v>0.0235</v>
      </c>
    </row>
    <row r="7062" spans="1:7">
      <c r="A7062" s="3"/>
      <c r="B7062" s="3"/>
      <c r="C7062" s="3"/>
      <c r="D7062" s="3"/>
      <c r="E7062" s="3">
        <v>19</v>
      </c>
      <c r="F7062" s="4" t="str">
        <f>HYPERLINK("http://141.218.60.56/~jnz1568/getInfo.php?workbook=12_05.xlsx&amp;sheet=U0&amp;row=7062&amp;col=6&amp;number=4.8&amp;sourceID=14","4.8")</f>
        <v>4.8</v>
      </c>
      <c r="G7062" s="4" t="str">
        <f>HYPERLINK("http://141.218.60.56/~jnz1568/getInfo.php?workbook=12_05.xlsx&amp;sheet=U0&amp;row=7062&amp;col=7&amp;number=0.0231&amp;sourceID=14","0.0231")</f>
        <v>0.0231</v>
      </c>
    </row>
    <row r="7063" spans="1:7">
      <c r="A7063" s="3"/>
      <c r="B7063" s="3"/>
      <c r="C7063" s="3"/>
      <c r="D7063" s="3"/>
      <c r="E7063" s="3">
        <v>20</v>
      </c>
      <c r="F7063" s="4" t="str">
        <f>HYPERLINK("http://141.218.60.56/~jnz1568/getInfo.php?workbook=12_05.xlsx&amp;sheet=U0&amp;row=7063&amp;col=6&amp;number=4.9&amp;sourceID=14","4.9")</f>
        <v>4.9</v>
      </c>
      <c r="G7063" s="4" t="str">
        <f>HYPERLINK("http://141.218.60.56/~jnz1568/getInfo.php?workbook=12_05.xlsx&amp;sheet=U0&amp;row=7063&amp;col=7&amp;number=0.0226&amp;sourceID=14","0.0226")</f>
        <v>0.0226</v>
      </c>
    </row>
    <row r="7064" spans="1:7">
      <c r="A7064" s="3">
        <v>12</v>
      </c>
      <c r="B7064" s="3">
        <v>5</v>
      </c>
      <c r="C7064" s="3">
        <v>4</v>
      </c>
      <c r="D7064" s="3">
        <v>112</v>
      </c>
      <c r="E7064" s="3">
        <v>1</v>
      </c>
      <c r="F7064" s="4" t="str">
        <f>HYPERLINK("http://141.218.60.56/~jnz1568/getInfo.php?workbook=12_05.xlsx&amp;sheet=U0&amp;row=7064&amp;col=6&amp;number=3&amp;sourceID=14","3")</f>
        <v>3</v>
      </c>
      <c r="G7064" s="4" t="str">
        <f>HYPERLINK("http://141.218.60.56/~jnz1568/getInfo.php?workbook=12_05.xlsx&amp;sheet=U0&amp;row=7064&amp;col=7&amp;number=0.000246&amp;sourceID=14","0.000246")</f>
        <v>0.000246</v>
      </c>
    </row>
    <row r="7065" spans="1:7">
      <c r="A7065" s="3"/>
      <c r="B7065" s="3"/>
      <c r="C7065" s="3"/>
      <c r="D7065" s="3"/>
      <c r="E7065" s="3">
        <v>2</v>
      </c>
      <c r="F7065" s="4" t="str">
        <f>HYPERLINK("http://141.218.60.56/~jnz1568/getInfo.php?workbook=12_05.xlsx&amp;sheet=U0&amp;row=7065&amp;col=6&amp;number=3.1&amp;sourceID=14","3.1")</f>
        <v>3.1</v>
      </c>
      <c r="G7065" s="4" t="str">
        <f>HYPERLINK("http://141.218.60.56/~jnz1568/getInfo.php?workbook=12_05.xlsx&amp;sheet=U0&amp;row=7065&amp;col=7&amp;number=0.000246&amp;sourceID=14","0.000246")</f>
        <v>0.000246</v>
      </c>
    </row>
    <row r="7066" spans="1:7">
      <c r="A7066" s="3"/>
      <c r="B7066" s="3"/>
      <c r="C7066" s="3"/>
      <c r="D7066" s="3"/>
      <c r="E7066" s="3">
        <v>3</v>
      </c>
      <c r="F7066" s="4" t="str">
        <f>HYPERLINK("http://141.218.60.56/~jnz1568/getInfo.php?workbook=12_05.xlsx&amp;sheet=U0&amp;row=7066&amp;col=6&amp;number=3.2&amp;sourceID=14","3.2")</f>
        <v>3.2</v>
      </c>
      <c r="G7066" s="4" t="str">
        <f>HYPERLINK("http://141.218.60.56/~jnz1568/getInfo.php?workbook=12_05.xlsx&amp;sheet=U0&amp;row=7066&amp;col=7&amp;number=0.000246&amp;sourceID=14","0.000246")</f>
        <v>0.000246</v>
      </c>
    </row>
    <row r="7067" spans="1:7">
      <c r="A7067" s="3"/>
      <c r="B7067" s="3"/>
      <c r="C7067" s="3"/>
      <c r="D7067" s="3"/>
      <c r="E7067" s="3">
        <v>4</v>
      </c>
      <c r="F7067" s="4" t="str">
        <f>HYPERLINK("http://141.218.60.56/~jnz1568/getInfo.php?workbook=12_05.xlsx&amp;sheet=U0&amp;row=7067&amp;col=6&amp;number=3.3&amp;sourceID=14","3.3")</f>
        <v>3.3</v>
      </c>
      <c r="G7067" s="4" t="str">
        <f>HYPERLINK("http://141.218.60.56/~jnz1568/getInfo.php?workbook=12_05.xlsx&amp;sheet=U0&amp;row=7067&amp;col=7&amp;number=0.000246&amp;sourceID=14","0.000246")</f>
        <v>0.000246</v>
      </c>
    </row>
    <row r="7068" spans="1:7">
      <c r="A7068" s="3"/>
      <c r="B7068" s="3"/>
      <c r="C7068" s="3"/>
      <c r="D7068" s="3"/>
      <c r="E7068" s="3">
        <v>5</v>
      </c>
      <c r="F7068" s="4" t="str">
        <f>HYPERLINK("http://141.218.60.56/~jnz1568/getInfo.php?workbook=12_05.xlsx&amp;sheet=U0&amp;row=7068&amp;col=6&amp;number=3.4&amp;sourceID=14","3.4")</f>
        <v>3.4</v>
      </c>
      <c r="G7068" s="4" t="str">
        <f>HYPERLINK("http://141.218.60.56/~jnz1568/getInfo.php?workbook=12_05.xlsx&amp;sheet=U0&amp;row=7068&amp;col=7&amp;number=0.000246&amp;sourceID=14","0.000246")</f>
        <v>0.000246</v>
      </c>
    </row>
    <row r="7069" spans="1:7">
      <c r="A7069" s="3"/>
      <c r="B7069" s="3"/>
      <c r="C7069" s="3"/>
      <c r="D7069" s="3"/>
      <c r="E7069" s="3">
        <v>6</v>
      </c>
      <c r="F7069" s="4" t="str">
        <f>HYPERLINK("http://141.218.60.56/~jnz1568/getInfo.php?workbook=12_05.xlsx&amp;sheet=U0&amp;row=7069&amp;col=6&amp;number=3.5&amp;sourceID=14","3.5")</f>
        <v>3.5</v>
      </c>
      <c r="G7069" s="4" t="str">
        <f>HYPERLINK("http://141.218.60.56/~jnz1568/getInfo.php?workbook=12_05.xlsx&amp;sheet=U0&amp;row=7069&amp;col=7&amp;number=0.000246&amp;sourceID=14","0.000246")</f>
        <v>0.000246</v>
      </c>
    </row>
    <row r="7070" spans="1:7">
      <c r="A7070" s="3"/>
      <c r="B7070" s="3"/>
      <c r="C7070" s="3"/>
      <c r="D7070" s="3"/>
      <c r="E7070" s="3">
        <v>7</v>
      </c>
      <c r="F7070" s="4" t="str">
        <f>HYPERLINK("http://141.218.60.56/~jnz1568/getInfo.php?workbook=12_05.xlsx&amp;sheet=U0&amp;row=7070&amp;col=6&amp;number=3.6&amp;sourceID=14","3.6")</f>
        <v>3.6</v>
      </c>
      <c r="G7070" s="4" t="str">
        <f>HYPERLINK("http://141.218.60.56/~jnz1568/getInfo.php?workbook=12_05.xlsx&amp;sheet=U0&amp;row=7070&amp;col=7&amp;number=0.000245&amp;sourceID=14","0.000245")</f>
        <v>0.000245</v>
      </c>
    </row>
    <row r="7071" spans="1:7">
      <c r="A7071" s="3"/>
      <c r="B7071" s="3"/>
      <c r="C7071" s="3"/>
      <c r="D7071" s="3"/>
      <c r="E7071" s="3">
        <v>8</v>
      </c>
      <c r="F7071" s="4" t="str">
        <f>HYPERLINK("http://141.218.60.56/~jnz1568/getInfo.php?workbook=12_05.xlsx&amp;sheet=U0&amp;row=7071&amp;col=6&amp;number=3.7&amp;sourceID=14","3.7")</f>
        <v>3.7</v>
      </c>
      <c r="G7071" s="4" t="str">
        <f>HYPERLINK("http://141.218.60.56/~jnz1568/getInfo.php?workbook=12_05.xlsx&amp;sheet=U0&amp;row=7071&amp;col=7&amp;number=0.000245&amp;sourceID=14","0.000245")</f>
        <v>0.000245</v>
      </c>
    </row>
    <row r="7072" spans="1:7">
      <c r="A7072" s="3"/>
      <c r="B7072" s="3"/>
      <c r="C7072" s="3"/>
      <c r="D7072" s="3"/>
      <c r="E7072" s="3">
        <v>9</v>
      </c>
      <c r="F7072" s="4" t="str">
        <f>HYPERLINK("http://141.218.60.56/~jnz1568/getInfo.php?workbook=12_05.xlsx&amp;sheet=U0&amp;row=7072&amp;col=6&amp;number=3.8&amp;sourceID=14","3.8")</f>
        <v>3.8</v>
      </c>
      <c r="G7072" s="4" t="str">
        <f>HYPERLINK("http://141.218.60.56/~jnz1568/getInfo.php?workbook=12_05.xlsx&amp;sheet=U0&amp;row=7072&amp;col=7&amp;number=0.000245&amp;sourceID=14","0.000245")</f>
        <v>0.000245</v>
      </c>
    </row>
    <row r="7073" spans="1:7">
      <c r="A7073" s="3"/>
      <c r="B7073" s="3"/>
      <c r="C7073" s="3"/>
      <c r="D7073" s="3"/>
      <c r="E7073" s="3">
        <v>10</v>
      </c>
      <c r="F7073" s="4" t="str">
        <f>HYPERLINK("http://141.218.60.56/~jnz1568/getInfo.php?workbook=12_05.xlsx&amp;sheet=U0&amp;row=7073&amp;col=6&amp;number=3.9&amp;sourceID=14","3.9")</f>
        <v>3.9</v>
      </c>
      <c r="G7073" s="4" t="str">
        <f>HYPERLINK("http://141.218.60.56/~jnz1568/getInfo.php?workbook=12_05.xlsx&amp;sheet=U0&amp;row=7073&amp;col=7&amp;number=0.000244&amp;sourceID=14","0.000244")</f>
        <v>0.000244</v>
      </c>
    </row>
    <row r="7074" spans="1:7">
      <c r="A7074" s="3"/>
      <c r="B7074" s="3"/>
      <c r="C7074" s="3"/>
      <c r="D7074" s="3"/>
      <c r="E7074" s="3">
        <v>11</v>
      </c>
      <c r="F7074" s="4" t="str">
        <f>HYPERLINK("http://141.218.60.56/~jnz1568/getInfo.php?workbook=12_05.xlsx&amp;sheet=U0&amp;row=7074&amp;col=6&amp;number=4&amp;sourceID=14","4")</f>
        <v>4</v>
      </c>
      <c r="G7074" s="4" t="str">
        <f>HYPERLINK("http://141.218.60.56/~jnz1568/getInfo.php?workbook=12_05.xlsx&amp;sheet=U0&amp;row=7074&amp;col=7&amp;number=0.000244&amp;sourceID=14","0.000244")</f>
        <v>0.000244</v>
      </c>
    </row>
    <row r="7075" spans="1:7">
      <c r="A7075" s="3"/>
      <c r="B7075" s="3"/>
      <c r="C7075" s="3"/>
      <c r="D7075" s="3"/>
      <c r="E7075" s="3">
        <v>12</v>
      </c>
      <c r="F7075" s="4" t="str">
        <f>HYPERLINK("http://141.218.60.56/~jnz1568/getInfo.php?workbook=12_05.xlsx&amp;sheet=U0&amp;row=7075&amp;col=6&amp;number=4.1&amp;sourceID=14","4.1")</f>
        <v>4.1</v>
      </c>
      <c r="G7075" s="4" t="str">
        <f>HYPERLINK("http://141.218.60.56/~jnz1568/getInfo.php?workbook=12_05.xlsx&amp;sheet=U0&amp;row=7075&amp;col=7&amp;number=0.000243&amp;sourceID=14","0.000243")</f>
        <v>0.000243</v>
      </c>
    </row>
    <row r="7076" spans="1:7">
      <c r="A7076" s="3"/>
      <c r="B7076" s="3"/>
      <c r="C7076" s="3"/>
      <c r="D7076" s="3"/>
      <c r="E7076" s="3">
        <v>13</v>
      </c>
      <c r="F7076" s="4" t="str">
        <f>HYPERLINK("http://141.218.60.56/~jnz1568/getInfo.php?workbook=12_05.xlsx&amp;sheet=U0&amp;row=7076&amp;col=6&amp;number=4.2&amp;sourceID=14","4.2")</f>
        <v>4.2</v>
      </c>
      <c r="G7076" s="4" t="str">
        <f>HYPERLINK("http://141.218.60.56/~jnz1568/getInfo.php?workbook=12_05.xlsx&amp;sheet=U0&amp;row=7076&amp;col=7&amp;number=0.000242&amp;sourceID=14","0.000242")</f>
        <v>0.000242</v>
      </c>
    </row>
    <row r="7077" spans="1:7">
      <c r="A7077" s="3"/>
      <c r="B7077" s="3"/>
      <c r="C7077" s="3"/>
      <c r="D7077" s="3"/>
      <c r="E7077" s="3">
        <v>14</v>
      </c>
      <c r="F7077" s="4" t="str">
        <f>HYPERLINK("http://141.218.60.56/~jnz1568/getInfo.php?workbook=12_05.xlsx&amp;sheet=U0&amp;row=7077&amp;col=6&amp;number=4.3&amp;sourceID=14","4.3")</f>
        <v>4.3</v>
      </c>
      <c r="G7077" s="4" t="str">
        <f>HYPERLINK("http://141.218.60.56/~jnz1568/getInfo.php?workbook=12_05.xlsx&amp;sheet=U0&amp;row=7077&amp;col=7&amp;number=0.000241&amp;sourceID=14","0.000241")</f>
        <v>0.000241</v>
      </c>
    </row>
    <row r="7078" spans="1:7">
      <c r="A7078" s="3"/>
      <c r="B7078" s="3"/>
      <c r="C7078" s="3"/>
      <c r="D7078" s="3"/>
      <c r="E7078" s="3">
        <v>15</v>
      </c>
      <c r="F7078" s="4" t="str">
        <f>HYPERLINK("http://141.218.60.56/~jnz1568/getInfo.php?workbook=12_05.xlsx&amp;sheet=U0&amp;row=7078&amp;col=6&amp;number=4.4&amp;sourceID=14","4.4")</f>
        <v>4.4</v>
      </c>
      <c r="G7078" s="4" t="str">
        <f>HYPERLINK("http://141.218.60.56/~jnz1568/getInfo.php?workbook=12_05.xlsx&amp;sheet=U0&amp;row=7078&amp;col=7&amp;number=0.000239&amp;sourceID=14","0.000239")</f>
        <v>0.000239</v>
      </c>
    </row>
    <row r="7079" spans="1:7">
      <c r="A7079" s="3"/>
      <c r="B7079" s="3"/>
      <c r="C7079" s="3"/>
      <c r="D7079" s="3"/>
      <c r="E7079" s="3">
        <v>16</v>
      </c>
      <c r="F7079" s="4" t="str">
        <f>HYPERLINK("http://141.218.60.56/~jnz1568/getInfo.php?workbook=12_05.xlsx&amp;sheet=U0&amp;row=7079&amp;col=6&amp;number=4.5&amp;sourceID=14","4.5")</f>
        <v>4.5</v>
      </c>
      <c r="G7079" s="4" t="str">
        <f>HYPERLINK("http://141.218.60.56/~jnz1568/getInfo.php?workbook=12_05.xlsx&amp;sheet=U0&amp;row=7079&amp;col=7&amp;number=0.000237&amp;sourceID=14","0.000237")</f>
        <v>0.000237</v>
      </c>
    </row>
    <row r="7080" spans="1:7">
      <c r="A7080" s="3"/>
      <c r="B7080" s="3"/>
      <c r="C7080" s="3"/>
      <c r="D7080" s="3"/>
      <c r="E7080" s="3">
        <v>17</v>
      </c>
      <c r="F7080" s="4" t="str">
        <f>HYPERLINK("http://141.218.60.56/~jnz1568/getInfo.php?workbook=12_05.xlsx&amp;sheet=U0&amp;row=7080&amp;col=6&amp;number=4.6&amp;sourceID=14","4.6")</f>
        <v>4.6</v>
      </c>
      <c r="G7080" s="4" t="str">
        <f>HYPERLINK("http://141.218.60.56/~jnz1568/getInfo.php?workbook=12_05.xlsx&amp;sheet=U0&amp;row=7080&amp;col=7&amp;number=0.000235&amp;sourceID=14","0.000235")</f>
        <v>0.000235</v>
      </c>
    </row>
    <row r="7081" spans="1:7">
      <c r="A7081" s="3"/>
      <c r="B7081" s="3"/>
      <c r="C7081" s="3"/>
      <c r="D7081" s="3"/>
      <c r="E7081" s="3">
        <v>18</v>
      </c>
      <c r="F7081" s="4" t="str">
        <f>HYPERLINK("http://141.218.60.56/~jnz1568/getInfo.php?workbook=12_05.xlsx&amp;sheet=U0&amp;row=7081&amp;col=6&amp;number=4.7&amp;sourceID=14","4.7")</f>
        <v>4.7</v>
      </c>
      <c r="G7081" s="4" t="str">
        <f>HYPERLINK("http://141.218.60.56/~jnz1568/getInfo.php?workbook=12_05.xlsx&amp;sheet=U0&amp;row=7081&amp;col=7&amp;number=0.000232&amp;sourceID=14","0.000232")</f>
        <v>0.000232</v>
      </c>
    </row>
    <row r="7082" spans="1:7">
      <c r="A7082" s="3"/>
      <c r="B7082" s="3"/>
      <c r="C7082" s="3"/>
      <c r="D7082" s="3"/>
      <c r="E7082" s="3">
        <v>19</v>
      </c>
      <c r="F7082" s="4" t="str">
        <f>HYPERLINK("http://141.218.60.56/~jnz1568/getInfo.php?workbook=12_05.xlsx&amp;sheet=U0&amp;row=7082&amp;col=6&amp;number=4.8&amp;sourceID=14","4.8")</f>
        <v>4.8</v>
      </c>
      <c r="G7082" s="4" t="str">
        <f>HYPERLINK("http://141.218.60.56/~jnz1568/getInfo.php?workbook=12_05.xlsx&amp;sheet=U0&amp;row=7082&amp;col=7&amp;number=0.000229&amp;sourceID=14","0.000229")</f>
        <v>0.000229</v>
      </c>
    </row>
    <row r="7083" spans="1:7">
      <c r="A7083" s="3"/>
      <c r="B7083" s="3"/>
      <c r="C7083" s="3"/>
      <c r="D7083" s="3"/>
      <c r="E7083" s="3">
        <v>20</v>
      </c>
      <c r="F7083" s="4" t="str">
        <f>HYPERLINK("http://141.218.60.56/~jnz1568/getInfo.php?workbook=12_05.xlsx&amp;sheet=U0&amp;row=7083&amp;col=6&amp;number=4.9&amp;sourceID=14","4.9")</f>
        <v>4.9</v>
      </c>
      <c r="G7083" s="4" t="str">
        <f>HYPERLINK("http://141.218.60.56/~jnz1568/getInfo.php?workbook=12_05.xlsx&amp;sheet=U0&amp;row=7083&amp;col=7&amp;number=0.000224&amp;sourceID=14","0.000224")</f>
        <v>0.000224</v>
      </c>
    </row>
    <row r="7084" spans="1:7">
      <c r="A7084" s="3">
        <v>12</v>
      </c>
      <c r="B7084" s="3">
        <v>5</v>
      </c>
      <c r="C7084" s="3">
        <v>4</v>
      </c>
      <c r="D7084" s="3">
        <v>113</v>
      </c>
      <c r="E7084" s="3">
        <v>1</v>
      </c>
      <c r="F7084" s="4" t="str">
        <f>HYPERLINK("http://141.218.60.56/~jnz1568/getInfo.php?workbook=12_05.xlsx&amp;sheet=U0&amp;row=7084&amp;col=6&amp;number=3&amp;sourceID=14","3")</f>
        <v>3</v>
      </c>
      <c r="G7084" s="4" t="str">
        <f>HYPERLINK("http://141.218.60.56/~jnz1568/getInfo.php?workbook=12_05.xlsx&amp;sheet=U0&amp;row=7084&amp;col=7&amp;number=0.000388&amp;sourceID=14","0.000388")</f>
        <v>0.000388</v>
      </c>
    </row>
    <row r="7085" spans="1:7">
      <c r="A7085" s="3"/>
      <c r="B7085" s="3"/>
      <c r="C7085" s="3"/>
      <c r="D7085" s="3"/>
      <c r="E7085" s="3">
        <v>2</v>
      </c>
      <c r="F7085" s="4" t="str">
        <f>HYPERLINK("http://141.218.60.56/~jnz1568/getInfo.php?workbook=12_05.xlsx&amp;sheet=U0&amp;row=7085&amp;col=6&amp;number=3.1&amp;sourceID=14","3.1")</f>
        <v>3.1</v>
      </c>
      <c r="G7085" s="4" t="str">
        <f>HYPERLINK("http://141.218.60.56/~jnz1568/getInfo.php?workbook=12_05.xlsx&amp;sheet=U0&amp;row=7085&amp;col=7&amp;number=0.000388&amp;sourceID=14","0.000388")</f>
        <v>0.000388</v>
      </c>
    </row>
    <row r="7086" spans="1:7">
      <c r="A7086" s="3"/>
      <c r="B7086" s="3"/>
      <c r="C7086" s="3"/>
      <c r="D7086" s="3"/>
      <c r="E7086" s="3">
        <v>3</v>
      </c>
      <c r="F7086" s="4" t="str">
        <f>HYPERLINK("http://141.218.60.56/~jnz1568/getInfo.php?workbook=12_05.xlsx&amp;sheet=U0&amp;row=7086&amp;col=6&amp;number=3.2&amp;sourceID=14","3.2")</f>
        <v>3.2</v>
      </c>
      <c r="G7086" s="4" t="str">
        <f>HYPERLINK("http://141.218.60.56/~jnz1568/getInfo.php?workbook=12_05.xlsx&amp;sheet=U0&amp;row=7086&amp;col=7&amp;number=0.000388&amp;sourceID=14","0.000388")</f>
        <v>0.000388</v>
      </c>
    </row>
    <row r="7087" spans="1:7">
      <c r="A7087" s="3"/>
      <c r="B7087" s="3"/>
      <c r="C7087" s="3"/>
      <c r="D7087" s="3"/>
      <c r="E7087" s="3">
        <v>4</v>
      </c>
      <c r="F7087" s="4" t="str">
        <f>HYPERLINK("http://141.218.60.56/~jnz1568/getInfo.php?workbook=12_05.xlsx&amp;sheet=U0&amp;row=7087&amp;col=6&amp;number=3.3&amp;sourceID=14","3.3")</f>
        <v>3.3</v>
      </c>
      <c r="G7087" s="4" t="str">
        <f>HYPERLINK("http://141.218.60.56/~jnz1568/getInfo.php?workbook=12_05.xlsx&amp;sheet=U0&amp;row=7087&amp;col=7&amp;number=0.000388&amp;sourceID=14","0.000388")</f>
        <v>0.000388</v>
      </c>
    </row>
    <row r="7088" spans="1:7">
      <c r="A7088" s="3"/>
      <c r="B7088" s="3"/>
      <c r="C7088" s="3"/>
      <c r="D7088" s="3"/>
      <c r="E7088" s="3">
        <v>5</v>
      </c>
      <c r="F7088" s="4" t="str">
        <f>HYPERLINK("http://141.218.60.56/~jnz1568/getInfo.php?workbook=12_05.xlsx&amp;sheet=U0&amp;row=7088&amp;col=6&amp;number=3.4&amp;sourceID=14","3.4")</f>
        <v>3.4</v>
      </c>
      <c r="G7088" s="4" t="str">
        <f>HYPERLINK("http://141.218.60.56/~jnz1568/getInfo.php?workbook=12_05.xlsx&amp;sheet=U0&amp;row=7088&amp;col=7&amp;number=0.000387&amp;sourceID=14","0.000387")</f>
        <v>0.000387</v>
      </c>
    </row>
    <row r="7089" spans="1:7">
      <c r="A7089" s="3"/>
      <c r="B7089" s="3"/>
      <c r="C7089" s="3"/>
      <c r="D7089" s="3"/>
      <c r="E7089" s="3">
        <v>6</v>
      </c>
      <c r="F7089" s="4" t="str">
        <f>HYPERLINK("http://141.218.60.56/~jnz1568/getInfo.php?workbook=12_05.xlsx&amp;sheet=U0&amp;row=7089&amp;col=6&amp;number=3.5&amp;sourceID=14","3.5")</f>
        <v>3.5</v>
      </c>
      <c r="G7089" s="4" t="str">
        <f>HYPERLINK("http://141.218.60.56/~jnz1568/getInfo.php?workbook=12_05.xlsx&amp;sheet=U0&amp;row=7089&amp;col=7&amp;number=0.000387&amp;sourceID=14","0.000387")</f>
        <v>0.000387</v>
      </c>
    </row>
    <row r="7090" spans="1:7">
      <c r="A7090" s="3"/>
      <c r="B7090" s="3"/>
      <c r="C7090" s="3"/>
      <c r="D7090" s="3"/>
      <c r="E7090" s="3">
        <v>7</v>
      </c>
      <c r="F7090" s="4" t="str">
        <f>HYPERLINK("http://141.218.60.56/~jnz1568/getInfo.php?workbook=12_05.xlsx&amp;sheet=U0&amp;row=7090&amp;col=6&amp;number=3.6&amp;sourceID=14","3.6")</f>
        <v>3.6</v>
      </c>
      <c r="G7090" s="4" t="str">
        <f>HYPERLINK("http://141.218.60.56/~jnz1568/getInfo.php?workbook=12_05.xlsx&amp;sheet=U0&amp;row=7090&amp;col=7&amp;number=0.000387&amp;sourceID=14","0.000387")</f>
        <v>0.000387</v>
      </c>
    </row>
    <row r="7091" spans="1:7">
      <c r="A7091" s="3"/>
      <c r="B7091" s="3"/>
      <c r="C7091" s="3"/>
      <c r="D7091" s="3"/>
      <c r="E7091" s="3">
        <v>8</v>
      </c>
      <c r="F7091" s="4" t="str">
        <f>HYPERLINK("http://141.218.60.56/~jnz1568/getInfo.php?workbook=12_05.xlsx&amp;sheet=U0&amp;row=7091&amp;col=6&amp;number=3.7&amp;sourceID=14","3.7")</f>
        <v>3.7</v>
      </c>
      <c r="G7091" s="4" t="str">
        <f>HYPERLINK("http://141.218.60.56/~jnz1568/getInfo.php?workbook=12_05.xlsx&amp;sheet=U0&amp;row=7091&amp;col=7&amp;number=0.000386&amp;sourceID=14","0.000386")</f>
        <v>0.000386</v>
      </c>
    </row>
    <row r="7092" spans="1:7">
      <c r="A7092" s="3"/>
      <c r="B7092" s="3"/>
      <c r="C7092" s="3"/>
      <c r="D7092" s="3"/>
      <c r="E7092" s="3">
        <v>9</v>
      </c>
      <c r="F7092" s="4" t="str">
        <f>HYPERLINK("http://141.218.60.56/~jnz1568/getInfo.php?workbook=12_05.xlsx&amp;sheet=U0&amp;row=7092&amp;col=6&amp;number=3.8&amp;sourceID=14","3.8")</f>
        <v>3.8</v>
      </c>
      <c r="G7092" s="4" t="str">
        <f>HYPERLINK("http://141.218.60.56/~jnz1568/getInfo.php?workbook=12_05.xlsx&amp;sheet=U0&amp;row=7092&amp;col=7&amp;number=0.000386&amp;sourceID=14","0.000386")</f>
        <v>0.000386</v>
      </c>
    </row>
    <row r="7093" spans="1:7">
      <c r="A7093" s="3"/>
      <c r="B7093" s="3"/>
      <c r="C7093" s="3"/>
      <c r="D7093" s="3"/>
      <c r="E7093" s="3">
        <v>10</v>
      </c>
      <c r="F7093" s="4" t="str">
        <f>HYPERLINK("http://141.218.60.56/~jnz1568/getInfo.php?workbook=12_05.xlsx&amp;sheet=U0&amp;row=7093&amp;col=6&amp;number=3.9&amp;sourceID=14","3.9")</f>
        <v>3.9</v>
      </c>
      <c r="G7093" s="4" t="str">
        <f>HYPERLINK("http://141.218.60.56/~jnz1568/getInfo.php?workbook=12_05.xlsx&amp;sheet=U0&amp;row=7093&amp;col=7&amp;number=0.000385&amp;sourceID=14","0.000385")</f>
        <v>0.000385</v>
      </c>
    </row>
    <row r="7094" spans="1:7">
      <c r="A7094" s="3"/>
      <c r="B7094" s="3"/>
      <c r="C7094" s="3"/>
      <c r="D7094" s="3"/>
      <c r="E7094" s="3">
        <v>11</v>
      </c>
      <c r="F7094" s="4" t="str">
        <f>HYPERLINK("http://141.218.60.56/~jnz1568/getInfo.php?workbook=12_05.xlsx&amp;sheet=U0&amp;row=7094&amp;col=6&amp;number=4&amp;sourceID=14","4")</f>
        <v>4</v>
      </c>
      <c r="G7094" s="4" t="str">
        <f>HYPERLINK("http://141.218.60.56/~jnz1568/getInfo.php?workbook=12_05.xlsx&amp;sheet=U0&amp;row=7094&amp;col=7&amp;number=0.000384&amp;sourceID=14","0.000384")</f>
        <v>0.000384</v>
      </c>
    </row>
    <row r="7095" spans="1:7">
      <c r="A7095" s="3"/>
      <c r="B7095" s="3"/>
      <c r="C7095" s="3"/>
      <c r="D7095" s="3"/>
      <c r="E7095" s="3">
        <v>12</v>
      </c>
      <c r="F7095" s="4" t="str">
        <f>HYPERLINK("http://141.218.60.56/~jnz1568/getInfo.php?workbook=12_05.xlsx&amp;sheet=U0&amp;row=7095&amp;col=6&amp;number=4.1&amp;sourceID=14","4.1")</f>
        <v>4.1</v>
      </c>
      <c r="G7095" s="4" t="str">
        <f>HYPERLINK("http://141.218.60.56/~jnz1568/getInfo.php?workbook=12_05.xlsx&amp;sheet=U0&amp;row=7095&amp;col=7&amp;number=0.000383&amp;sourceID=14","0.000383")</f>
        <v>0.000383</v>
      </c>
    </row>
    <row r="7096" spans="1:7">
      <c r="A7096" s="3"/>
      <c r="B7096" s="3"/>
      <c r="C7096" s="3"/>
      <c r="D7096" s="3"/>
      <c r="E7096" s="3">
        <v>13</v>
      </c>
      <c r="F7096" s="4" t="str">
        <f>HYPERLINK("http://141.218.60.56/~jnz1568/getInfo.php?workbook=12_05.xlsx&amp;sheet=U0&amp;row=7096&amp;col=6&amp;number=4.2&amp;sourceID=14","4.2")</f>
        <v>4.2</v>
      </c>
      <c r="G7096" s="4" t="str">
        <f>HYPERLINK("http://141.218.60.56/~jnz1568/getInfo.php?workbook=12_05.xlsx&amp;sheet=U0&amp;row=7096&amp;col=7&amp;number=0.000382&amp;sourceID=14","0.000382")</f>
        <v>0.000382</v>
      </c>
    </row>
    <row r="7097" spans="1:7">
      <c r="A7097" s="3"/>
      <c r="B7097" s="3"/>
      <c r="C7097" s="3"/>
      <c r="D7097" s="3"/>
      <c r="E7097" s="3">
        <v>14</v>
      </c>
      <c r="F7097" s="4" t="str">
        <f>HYPERLINK("http://141.218.60.56/~jnz1568/getInfo.php?workbook=12_05.xlsx&amp;sheet=U0&amp;row=7097&amp;col=6&amp;number=4.3&amp;sourceID=14","4.3")</f>
        <v>4.3</v>
      </c>
      <c r="G7097" s="4" t="str">
        <f>HYPERLINK("http://141.218.60.56/~jnz1568/getInfo.php?workbook=12_05.xlsx&amp;sheet=U0&amp;row=7097&amp;col=7&amp;number=0.00038&amp;sourceID=14","0.00038")</f>
        <v>0.00038</v>
      </c>
    </row>
    <row r="7098" spans="1:7">
      <c r="A7098" s="3"/>
      <c r="B7098" s="3"/>
      <c r="C7098" s="3"/>
      <c r="D7098" s="3"/>
      <c r="E7098" s="3">
        <v>15</v>
      </c>
      <c r="F7098" s="4" t="str">
        <f>HYPERLINK("http://141.218.60.56/~jnz1568/getInfo.php?workbook=12_05.xlsx&amp;sheet=U0&amp;row=7098&amp;col=6&amp;number=4.4&amp;sourceID=14","4.4")</f>
        <v>4.4</v>
      </c>
      <c r="G7098" s="4" t="str">
        <f>HYPERLINK("http://141.218.60.56/~jnz1568/getInfo.php?workbook=12_05.xlsx&amp;sheet=U0&amp;row=7098&amp;col=7&amp;number=0.000378&amp;sourceID=14","0.000378")</f>
        <v>0.000378</v>
      </c>
    </row>
    <row r="7099" spans="1:7">
      <c r="A7099" s="3"/>
      <c r="B7099" s="3"/>
      <c r="C7099" s="3"/>
      <c r="D7099" s="3"/>
      <c r="E7099" s="3">
        <v>16</v>
      </c>
      <c r="F7099" s="4" t="str">
        <f>HYPERLINK("http://141.218.60.56/~jnz1568/getInfo.php?workbook=12_05.xlsx&amp;sheet=U0&amp;row=7099&amp;col=6&amp;number=4.5&amp;sourceID=14","4.5")</f>
        <v>4.5</v>
      </c>
      <c r="G7099" s="4" t="str">
        <f>HYPERLINK("http://141.218.60.56/~jnz1568/getInfo.php?workbook=12_05.xlsx&amp;sheet=U0&amp;row=7099&amp;col=7&amp;number=0.000375&amp;sourceID=14","0.000375")</f>
        <v>0.000375</v>
      </c>
    </row>
    <row r="7100" spans="1:7">
      <c r="A7100" s="3"/>
      <c r="B7100" s="3"/>
      <c r="C7100" s="3"/>
      <c r="D7100" s="3"/>
      <c r="E7100" s="3">
        <v>17</v>
      </c>
      <c r="F7100" s="4" t="str">
        <f>HYPERLINK("http://141.218.60.56/~jnz1568/getInfo.php?workbook=12_05.xlsx&amp;sheet=U0&amp;row=7100&amp;col=6&amp;number=4.6&amp;sourceID=14","4.6")</f>
        <v>4.6</v>
      </c>
      <c r="G7100" s="4" t="str">
        <f>HYPERLINK("http://141.218.60.56/~jnz1568/getInfo.php?workbook=12_05.xlsx&amp;sheet=U0&amp;row=7100&amp;col=7&amp;number=0.000372&amp;sourceID=14","0.000372")</f>
        <v>0.000372</v>
      </c>
    </row>
    <row r="7101" spans="1:7">
      <c r="A7101" s="3"/>
      <c r="B7101" s="3"/>
      <c r="C7101" s="3"/>
      <c r="D7101" s="3"/>
      <c r="E7101" s="3">
        <v>18</v>
      </c>
      <c r="F7101" s="4" t="str">
        <f>HYPERLINK("http://141.218.60.56/~jnz1568/getInfo.php?workbook=12_05.xlsx&amp;sheet=U0&amp;row=7101&amp;col=6&amp;number=4.7&amp;sourceID=14","4.7")</f>
        <v>4.7</v>
      </c>
      <c r="G7101" s="4" t="str">
        <f>HYPERLINK("http://141.218.60.56/~jnz1568/getInfo.php?workbook=12_05.xlsx&amp;sheet=U0&amp;row=7101&amp;col=7&amp;number=0.000368&amp;sourceID=14","0.000368")</f>
        <v>0.000368</v>
      </c>
    </row>
    <row r="7102" spans="1:7">
      <c r="A7102" s="3"/>
      <c r="B7102" s="3"/>
      <c r="C7102" s="3"/>
      <c r="D7102" s="3"/>
      <c r="E7102" s="3">
        <v>19</v>
      </c>
      <c r="F7102" s="4" t="str">
        <f>HYPERLINK("http://141.218.60.56/~jnz1568/getInfo.php?workbook=12_05.xlsx&amp;sheet=U0&amp;row=7102&amp;col=6&amp;number=4.8&amp;sourceID=14","4.8")</f>
        <v>4.8</v>
      </c>
      <c r="G7102" s="4" t="str">
        <f>HYPERLINK("http://141.218.60.56/~jnz1568/getInfo.php?workbook=12_05.xlsx&amp;sheet=U0&amp;row=7102&amp;col=7&amp;number=0.000363&amp;sourceID=14","0.000363")</f>
        <v>0.000363</v>
      </c>
    </row>
    <row r="7103" spans="1:7">
      <c r="A7103" s="3"/>
      <c r="B7103" s="3"/>
      <c r="C7103" s="3"/>
      <c r="D7103" s="3"/>
      <c r="E7103" s="3">
        <v>20</v>
      </c>
      <c r="F7103" s="4" t="str">
        <f>HYPERLINK("http://141.218.60.56/~jnz1568/getInfo.php?workbook=12_05.xlsx&amp;sheet=U0&amp;row=7103&amp;col=6&amp;number=4.9&amp;sourceID=14","4.9")</f>
        <v>4.9</v>
      </c>
      <c r="G7103" s="4" t="str">
        <f>HYPERLINK("http://141.218.60.56/~jnz1568/getInfo.php?workbook=12_05.xlsx&amp;sheet=U0&amp;row=7103&amp;col=7&amp;number=0.000357&amp;sourceID=14","0.000357")</f>
        <v>0.000357</v>
      </c>
    </row>
    <row r="7104" spans="1:7">
      <c r="A7104" s="3">
        <v>12</v>
      </c>
      <c r="B7104" s="3">
        <v>5</v>
      </c>
      <c r="C7104" s="3">
        <v>4</v>
      </c>
      <c r="D7104" s="3">
        <v>114</v>
      </c>
      <c r="E7104" s="3">
        <v>1</v>
      </c>
      <c r="F7104" s="4" t="str">
        <f>HYPERLINK("http://141.218.60.56/~jnz1568/getInfo.php?workbook=12_05.xlsx&amp;sheet=U0&amp;row=7104&amp;col=6&amp;number=3&amp;sourceID=14","3")</f>
        <v>3</v>
      </c>
      <c r="G7104" s="4" t="str">
        <f>HYPERLINK("http://141.218.60.56/~jnz1568/getInfo.php?workbook=12_05.xlsx&amp;sheet=U0&amp;row=7104&amp;col=7&amp;number=0.00642&amp;sourceID=14","0.00642")</f>
        <v>0.00642</v>
      </c>
    </row>
    <row r="7105" spans="1:7">
      <c r="A7105" s="3"/>
      <c r="B7105" s="3"/>
      <c r="C7105" s="3"/>
      <c r="D7105" s="3"/>
      <c r="E7105" s="3">
        <v>2</v>
      </c>
      <c r="F7105" s="4" t="str">
        <f>HYPERLINK("http://141.218.60.56/~jnz1568/getInfo.php?workbook=12_05.xlsx&amp;sheet=U0&amp;row=7105&amp;col=6&amp;number=3.1&amp;sourceID=14","3.1")</f>
        <v>3.1</v>
      </c>
      <c r="G7105" s="4" t="str">
        <f>HYPERLINK("http://141.218.60.56/~jnz1568/getInfo.php?workbook=12_05.xlsx&amp;sheet=U0&amp;row=7105&amp;col=7&amp;number=0.00643&amp;sourceID=14","0.00643")</f>
        <v>0.00643</v>
      </c>
    </row>
    <row r="7106" spans="1:7">
      <c r="A7106" s="3"/>
      <c r="B7106" s="3"/>
      <c r="C7106" s="3"/>
      <c r="D7106" s="3"/>
      <c r="E7106" s="3">
        <v>3</v>
      </c>
      <c r="F7106" s="4" t="str">
        <f>HYPERLINK("http://141.218.60.56/~jnz1568/getInfo.php?workbook=12_05.xlsx&amp;sheet=U0&amp;row=7106&amp;col=6&amp;number=3.2&amp;sourceID=14","3.2")</f>
        <v>3.2</v>
      </c>
      <c r="G7106" s="4" t="str">
        <f>HYPERLINK("http://141.218.60.56/~jnz1568/getInfo.php?workbook=12_05.xlsx&amp;sheet=U0&amp;row=7106&amp;col=7&amp;number=0.00643&amp;sourceID=14","0.00643")</f>
        <v>0.00643</v>
      </c>
    </row>
    <row r="7107" spans="1:7">
      <c r="A7107" s="3"/>
      <c r="B7107" s="3"/>
      <c r="C7107" s="3"/>
      <c r="D7107" s="3"/>
      <c r="E7107" s="3">
        <v>4</v>
      </c>
      <c r="F7107" s="4" t="str">
        <f>HYPERLINK("http://141.218.60.56/~jnz1568/getInfo.php?workbook=12_05.xlsx&amp;sheet=U0&amp;row=7107&amp;col=6&amp;number=3.3&amp;sourceID=14","3.3")</f>
        <v>3.3</v>
      </c>
      <c r="G7107" s="4" t="str">
        <f>HYPERLINK("http://141.218.60.56/~jnz1568/getInfo.php?workbook=12_05.xlsx&amp;sheet=U0&amp;row=7107&amp;col=7&amp;number=0.00643&amp;sourceID=14","0.00643")</f>
        <v>0.00643</v>
      </c>
    </row>
    <row r="7108" spans="1:7">
      <c r="A7108" s="3"/>
      <c r="B7108" s="3"/>
      <c r="C7108" s="3"/>
      <c r="D7108" s="3"/>
      <c r="E7108" s="3">
        <v>5</v>
      </c>
      <c r="F7108" s="4" t="str">
        <f>HYPERLINK("http://141.218.60.56/~jnz1568/getInfo.php?workbook=12_05.xlsx&amp;sheet=U0&amp;row=7108&amp;col=6&amp;number=3.4&amp;sourceID=14","3.4")</f>
        <v>3.4</v>
      </c>
      <c r="G7108" s="4" t="str">
        <f>HYPERLINK("http://141.218.60.56/~jnz1568/getInfo.php?workbook=12_05.xlsx&amp;sheet=U0&amp;row=7108&amp;col=7&amp;number=0.00644&amp;sourceID=14","0.00644")</f>
        <v>0.00644</v>
      </c>
    </row>
    <row r="7109" spans="1:7">
      <c r="A7109" s="3"/>
      <c r="B7109" s="3"/>
      <c r="C7109" s="3"/>
      <c r="D7109" s="3"/>
      <c r="E7109" s="3">
        <v>6</v>
      </c>
      <c r="F7109" s="4" t="str">
        <f>HYPERLINK("http://141.218.60.56/~jnz1568/getInfo.php?workbook=12_05.xlsx&amp;sheet=U0&amp;row=7109&amp;col=6&amp;number=3.5&amp;sourceID=14","3.5")</f>
        <v>3.5</v>
      </c>
      <c r="G7109" s="4" t="str">
        <f>HYPERLINK("http://141.218.60.56/~jnz1568/getInfo.php?workbook=12_05.xlsx&amp;sheet=U0&amp;row=7109&amp;col=7&amp;number=0.00644&amp;sourceID=14","0.00644")</f>
        <v>0.00644</v>
      </c>
    </row>
    <row r="7110" spans="1:7">
      <c r="A7110" s="3"/>
      <c r="B7110" s="3"/>
      <c r="C7110" s="3"/>
      <c r="D7110" s="3"/>
      <c r="E7110" s="3">
        <v>7</v>
      </c>
      <c r="F7110" s="4" t="str">
        <f>HYPERLINK("http://141.218.60.56/~jnz1568/getInfo.php?workbook=12_05.xlsx&amp;sheet=U0&amp;row=7110&amp;col=6&amp;number=3.6&amp;sourceID=14","3.6")</f>
        <v>3.6</v>
      </c>
      <c r="G7110" s="4" t="str">
        <f>HYPERLINK("http://141.218.60.56/~jnz1568/getInfo.php?workbook=12_05.xlsx&amp;sheet=U0&amp;row=7110&amp;col=7&amp;number=0.00645&amp;sourceID=14","0.00645")</f>
        <v>0.00645</v>
      </c>
    </row>
    <row r="7111" spans="1:7">
      <c r="A7111" s="3"/>
      <c r="B7111" s="3"/>
      <c r="C7111" s="3"/>
      <c r="D7111" s="3"/>
      <c r="E7111" s="3">
        <v>8</v>
      </c>
      <c r="F7111" s="4" t="str">
        <f>HYPERLINK("http://141.218.60.56/~jnz1568/getInfo.php?workbook=12_05.xlsx&amp;sheet=U0&amp;row=7111&amp;col=6&amp;number=3.7&amp;sourceID=14","3.7")</f>
        <v>3.7</v>
      </c>
      <c r="G7111" s="4" t="str">
        <f>HYPERLINK("http://141.218.60.56/~jnz1568/getInfo.php?workbook=12_05.xlsx&amp;sheet=U0&amp;row=7111&amp;col=7&amp;number=0.00646&amp;sourceID=14","0.00646")</f>
        <v>0.00646</v>
      </c>
    </row>
    <row r="7112" spans="1:7">
      <c r="A7112" s="3"/>
      <c r="B7112" s="3"/>
      <c r="C7112" s="3"/>
      <c r="D7112" s="3"/>
      <c r="E7112" s="3">
        <v>9</v>
      </c>
      <c r="F7112" s="4" t="str">
        <f>HYPERLINK("http://141.218.60.56/~jnz1568/getInfo.php?workbook=12_05.xlsx&amp;sheet=U0&amp;row=7112&amp;col=6&amp;number=3.8&amp;sourceID=14","3.8")</f>
        <v>3.8</v>
      </c>
      <c r="G7112" s="4" t="str">
        <f>HYPERLINK("http://141.218.60.56/~jnz1568/getInfo.php?workbook=12_05.xlsx&amp;sheet=U0&amp;row=7112&amp;col=7&amp;number=0.00647&amp;sourceID=14","0.00647")</f>
        <v>0.00647</v>
      </c>
    </row>
    <row r="7113" spans="1:7">
      <c r="A7113" s="3"/>
      <c r="B7113" s="3"/>
      <c r="C7113" s="3"/>
      <c r="D7113" s="3"/>
      <c r="E7113" s="3">
        <v>10</v>
      </c>
      <c r="F7113" s="4" t="str">
        <f>HYPERLINK("http://141.218.60.56/~jnz1568/getInfo.php?workbook=12_05.xlsx&amp;sheet=U0&amp;row=7113&amp;col=6&amp;number=3.9&amp;sourceID=14","3.9")</f>
        <v>3.9</v>
      </c>
      <c r="G7113" s="4" t="str">
        <f>HYPERLINK("http://141.218.60.56/~jnz1568/getInfo.php?workbook=12_05.xlsx&amp;sheet=U0&amp;row=7113&amp;col=7&amp;number=0.00649&amp;sourceID=14","0.00649")</f>
        <v>0.00649</v>
      </c>
    </row>
    <row r="7114" spans="1:7">
      <c r="A7114" s="3"/>
      <c r="B7114" s="3"/>
      <c r="C7114" s="3"/>
      <c r="D7114" s="3"/>
      <c r="E7114" s="3">
        <v>11</v>
      </c>
      <c r="F7114" s="4" t="str">
        <f>HYPERLINK("http://141.218.60.56/~jnz1568/getInfo.php?workbook=12_05.xlsx&amp;sheet=U0&amp;row=7114&amp;col=6&amp;number=4&amp;sourceID=14","4")</f>
        <v>4</v>
      </c>
      <c r="G7114" s="4" t="str">
        <f>HYPERLINK("http://141.218.60.56/~jnz1568/getInfo.php?workbook=12_05.xlsx&amp;sheet=U0&amp;row=7114&amp;col=7&amp;number=0.00651&amp;sourceID=14","0.00651")</f>
        <v>0.00651</v>
      </c>
    </row>
    <row r="7115" spans="1:7">
      <c r="A7115" s="3"/>
      <c r="B7115" s="3"/>
      <c r="C7115" s="3"/>
      <c r="D7115" s="3"/>
      <c r="E7115" s="3">
        <v>12</v>
      </c>
      <c r="F7115" s="4" t="str">
        <f>HYPERLINK("http://141.218.60.56/~jnz1568/getInfo.php?workbook=12_05.xlsx&amp;sheet=U0&amp;row=7115&amp;col=6&amp;number=4.1&amp;sourceID=14","4.1")</f>
        <v>4.1</v>
      </c>
      <c r="G7115" s="4" t="str">
        <f>HYPERLINK("http://141.218.60.56/~jnz1568/getInfo.php?workbook=12_05.xlsx&amp;sheet=U0&amp;row=7115&amp;col=7&amp;number=0.00653&amp;sourceID=14","0.00653")</f>
        <v>0.00653</v>
      </c>
    </row>
    <row r="7116" spans="1:7">
      <c r="A7116" s="3"/>
      <c r="B7116" s="3"/>
      <c r="C7116" s="3"/>
      <c r="D7116" s="3"/>
      <c r="E7116" s="3">
        <v>13</v>
      </c>
      <c r="F7116" s="4" t="str">
        <f>HYPERLINK("http://141.218.60.56/~jnz1568/getInfo.php?workbook=12_05.xlsx&amp;sheet=U0&amp;row=7116&amp;col=6&amp;number=4.2&amp;sourceID=14","4.2")</f>
        <v>4.2</v>
      </c>
      <c r="G7116" s="4" t="str">
        <f>HYPERLINK("http://141.218.60.56/~jnz1568/getInfo.php?workbook=12_05.xlsx&amp;sheet=U0&amp;row=7116&amp;col=7&amp;number=0.00656&amp;sourceID=14","0.00656")</f>
        <v>0.00656</v>
      </c>
    </row>
    <row r="7117" spans="1:7">
      <c r="A7117" s="3"/>
      <c r="B7117" s="3"/>
      <c r="C7117" s="3"/>
      <c r="D7117" s="3"/>
      <c r="E7117" s="3">
        <v>14</v>
      </c>
      <c r="F7117" s="4" t="str">
        <f>HYPERLINK("http://141.218.60.56/~jnz1568/getInfo.php?workbook=12_05.xlsx&amp;sheet=U0&amp;row=7117&amp;col=6&amp;number=4.3&amp;sourceID=14","4.3")</f>
        <v>4.3</v>
      </c>
      <c r="G7117" s="4" t="str">
        <f>HYPERLINK("http://141.218.60.56/~jnz1568/getInfo.php?workbook=12_05.xlsx&amp;sheet=U0&amp;row=7117&amp;col=7&amp;number=0.0066&amp;sourceID=14","0.0066")</f>
        <v>0.0066</v>
      </c>
    </row>
    <row r="7118" spans="1:7">
      <c r="A7118" s="3"/>
      <c r="B7118" s="3"/>
      <c r="C7118" s="3"/>
      <c r="D7118" s="3"/>
      <c r="E7118" s="3">
        <v>15</v>
      </c>
      <c r="F7118" s="4" t="str">
        <f>HYPERLINK("http://141.218.60.56/~jnz1568/getInfo.php?workbook=12_05.xlsx&amp;sheet=U0&amp;row=7118&amp;col=6&amp;number=4.4&amp;sourceID=14","4.4")</f>
        <v>4.4</v>
      </c>
      <c r="G7118" s="4" t="str">
        <f>HYPERLINK("http://141.218.60.56/~jnz1568/getInfo.php?workbook=12_05.xlsx&amp;sheet=U0&amp;row=7118&amp;col=7&amp;number=0.00665&amp;sourceID=14","0.00665")</f>
        <v>0.00665</v>
      </c>
    </row>
    <row r="7119" spans="1:7">
      <c r="A7119" s="3"/>
      <c r="B7119" s="3"/>
      <c r="C7119" s="3"/>
      <c r="D7119" s="3"/>
      <c r="E7119" s="3">
        <v>16</v>
      </c>
      <c r="F7119" s="4" t="str">
        <f>HYPERLINK("http://141.218.60.56/~jnz1568/getInfo.php?workbook=12_05.xlsx&amp;sheet=U0&amp;row=7119&amp;col=6&amp;number=4.5&amp;sourceID=14","4.5")</f>
        <v>4.5</v>
      </c>
      <c r="G7119" s="4" t="str">
        <f>HYPERLINK("http://141.218.60.56/~jnz1568/getInfo.php?workbook=12_05.xlsx&amp;sheet=U0&amp;row=7119&amp;col=7&amp;number=0.00671&amp;sourceID=14","0.00671")</f>
        <v>0.00671</v>
      </c>
    </row>
    <row r="7120" spans="1:7">
      <c r="A7120" s="3"/>
      <c r="B7120" s="3"/>
      <c r="C7120" s="3"/>
      <c r="D7120" s="3"/>
      <c r="E7120" s="3">
        <v>17</v>
      </c>
      <c r="F7120" s="4" t="str">
        <f>HYPERLINK("http://141.218.60.56/~jnz1568/getInfo.php?workbook=12_05.xlsx&amp;sheet=U0&amp;row=7120&amp;col=6&amp;number=4.6&amp;sourceID=14","4.6")</f>
        <v>4.6</v>
      </c>
      <c r="G7120" s="4" t="str">
        <f>HYPERLINK("http://141.218.60.56/~jnz1568/getInfo.php?workbook=12_05.xlsx&amp;sheet=U0&amp;row=7120&amp;col=7&amp;number=0.00679&amp;sourceID=14","0.00679")</f>
        <v>0.00679</v>
      </c>
    </row>
    <row r="7121" spans="1:7">
      <c r="A7121" s="3"/>
      <c r="B7121" s="3"/>
      <c r="C7121" s="3"/>
      <c r="D7121" s="3"/>
      <c r="E7121" s="3">
        <v>18</v>
      </c>
      <c r="F7121" s="4" t="str">
        <f>HYPERLINK("http://141.218.60.56/~jnz1568/getInfo.php?workbook=12_05.xlsx&amp;sheet=U0&amp;row=7121&amp;col=6&amp;number=4.7&amp;sourceID=14","4.7")</f>
        <v>4.7</v>
      </c>
      <c r="G7121" s="4" t="str">
        <f>HYPERLINK("http://141.218.60.56/~jnz1568/getInfo.php?workbook=12_05.xlsx&amp;sheet=U0&amp;row=7121&amp;col=7&amp;number=0.00688&amp;sourceID=14","0.00688")</f>
        <v>0.00688</v>
      </c>
    </row>
    <row r="7122" spans="1:7">
      <c r="A7122" s="3"/>
      <c r="B7122" s="3"/>
      <c r="C7122" s="3"/>
      <c r="D7122" s="3"/>
      <c r="E7122" s="3">
        <v>19</v>
      </c>
      <c r="F7122" s="4" t="str">
        <f>HYPERLINK("http://141.218.60.56/~jnz1568/getInfo.php?workbook=12_05.xlsx&amp;sheet=U0&amp;row=7122&amp;col=6&amp;number=4.8&amp;sourceID=14","4.8")</f>
        <v>4.8</v>
      </c>
      <c r="G7122" s="4" t="str">
        <f>HYPERLINK("http://141.218.60.56/~jnz1568/getInfo.php?workbook=12_05.xlsx&amp;sheet=U0&amp;row=7122&amp;col=7&amp;number=0.007&amp;sourceID=14","0.007")</f>
        <v>0.007</v>
      </c>
    </row>
    <row r="7123" spans="1:7">
      <c r="A7123" s="3"/>
      <c r="B7123" s="3"/>
      <c r="C7123" s="3"/>
      <c r="D7123" s="3"/>
      <c r="E7123" s="3">
        <v>20</v>
      </c>
      <c r="F7123" s="4" t="str">
        <f>HYPERLINK("http://141.218.60.56/~jnz1568/getInfo.php?workbook=12_05.xlsx&amp;sheet=U0&amp;row=7123&amp;col=6&amp;number=4.9&amp;sourceID=14","4.9")</f>
        <v>4.9</v>
      </c>
      <c r="G7123" s="4" t="str">
        <f>HYPERLINK("http://141.218.60.56/~jnz1568/getInfo.php?workbook=12_05.xlsx&amp;sheet=U0&amp;row=7123&amp;col=7&amp;number=0.00714&amp;sourceID=14","0.00714")</f>
        <v>0.00714</v>
      </c>
    </row>
    <row r="7124" spans="1:7">
      <c r="A7124" s="3">
        <v>12</v>
      </c>
      <c r="B7124" s="3">
        <v>5</v>
      </c>
      <c r="C7124" s="3">
        <v>4</v>
      </c>
      <c r="D7124" s="3">
        <v>115</v>
      </c>
      <c r="E7124" s="3">
        <v>1</v>
      </c>
      <c r="F7124" s="4" t="str">
        <f>HYPERLINK("http://141.218.60.56/~jnz1568/getInfo.php?workbook=12_05.xlsx&amp;sheet=U0&amp;row=7124&amp;col=6&amp;number=3&amp;sourceID=14","3")</f>
        <v>3</v>
      </c>
      <c r="G7124" s="4" t="str">
        <f>HYPERLINK("http://141.218.60.56/~jnz1568/getInfo.php?workbook=12_05.xlsx&amp;sheet=U0&amp;row=7124&amp;col=7&amp;number=0.00382&amp;sourceID=14","0.00382")</f>
        <v>0.00382</v>
      </c>
    </row>
    <row r="7125" spans="1:7">
      <c r="A7125" s="3"/>
      <c r="B7125" s="3"/>
      <c r="C7125" s="3"/>
      <c r="D7125" s="3"/>
      <c r="E7125" s="3">
        <v>2</v>
      </c>
      <c r="F7125" s="4" t="str">
        <f>HYPERLINK("http://141.218.60.56/~jnz1568/getInfo.php?workbook=12_05.xlsx&amp;sheet=U0&amp;row=7125&amp;col=6&amp;number=3.1&amp;sourceID=14","3.1")</f>
        <v>3.1</v>
      </c>
      <c r="G7125" s="4" t="str">
        <f>HYPERLINK("http://141.218.60.56/~jnz1568/getInfo.php?workbook=12_05.xlsx&amp;sheet=U0&amp;row=7125&amp;col=7&amp;number=0.00382&amp;sourceID=14","0.00382")</f>
        <v>0.00382</v>
      </c>
    </row>
    <row r="7126" spans="1:7">
      <c r="A7126" s="3"/>
      <c r="B7126" s="3"/>
      <c r="C7126" s="3"/>
      <c r="D7126" s="3"/>
      <c r="E7126" s="3">
        <v>3</v>
      </c>
      <c r="F7126" s="4" t="str">
        <f>HYPERLINK("http://141.218.60.56/~jnz1568/getInfo.php?workbook=12_05.xlsx&amp;sheet=U0&amp;row=7126&amp;col=6&amp;number=3.2&amp;sourceID=14","3.2")</f>
        <v>3.2</v>
      </c>
      <c r="G7126" s="4" t="str">
        <f>HYPERLINK("http://141.218.60.56/~jnz1568/getInfo.php?workbook=12_05.xlsx&amp;sheet=U0&amp;row=7126&amp;col=7&amp;number=0.00382&amp;sourceID=14","0.00382")</f>
        <v>0.00382</v>
      </c>
    </row>
    <row r="7127" spans="1:7">
      <c r="A7127" s="3"/>
      <c r="B7127" s="3"/>
      <c r="C7127" s="3"/>
      <c r="D7127" s="3"/>
      <c r="E7127" s="3">
        <v>4</v>
      </c>
      <c r="F7127" s="4" t="str">
        <f>HYPERLINK("http://141.218.60.56/~jnz1568/getInfo.php?workbook=12_05.xlsx&amp;sheet=U0&amp;row=7127&amp;col=6&amp;number=3.3&amp;sourceID=14","3.3")</f>
        <v>3.3</v>
      </c>
      <c r="G7127" s="4" t="str">
        <f>HYPERLINK("http://141.218.60.56/~jnz1568/getInfo.php?workbook=12_05.xlsx&amp;sheet=U0&amp;row=7127&amp;col=7&amp;number=0.00382&amp;sourceID=14","0.00382")</f>
        <v>0.00382</v>
      </c>
    </row>
    <row r="7128" spans="1:7">
      <c r="A7128" s="3"/>
      <c r="B7128" s="3"/>
      <c r="C7128" s="3"/>
      <c r="D7128" s="3"/>
      <c r="E7128" s="3">
        <v>5</v>
      </c>
      <c r="F7128" s="4" t="str">
        <f>HYPERLINK("http://141.218.60.56/~jnz1568/getInfo.php?workbook=12_05.xlsx&amp;sheet=U0&amp;row=7128&amp;col=6&amp;number=3.4&amp;sourceID=14","3.4")</f>
        <v>3.4</v>
      </c>
      <c r="G7128" s="4" t="str">
        <f>HYPERLINK("http://141.218.60.56/~jnz1568/getInfo.php?workbook=12_05.xlsx&amp;sheet=U0&amp;row=7128&amp;col=7&amp;number=0.00382&amp;sourceID=14","0.00382")</f>
        <v>0.00382</v>
      </c>
    </row>
    <row r="7129" spans="1:7">
      <c r="A7129" s="3"/>
      <c r="B7129" s="3"/>
      <c r="C7129" s="3"/>
      <c r="D7129" s="3"/>
      <c r="E7129" s="3">
        <v>6</v>
      </c>
      <c r="F7129" s="4" t="str">
        <f>HYPERLINK("http://141.218.60.56/~jnz1568/getInfo.php?workbook=12_05.xlsx&amp;sheet=U0&amp;row=7129&amp;col=6&amp;number=3.5&amp;sourceID=14","3.5")</f>
        <v>3.5</v>
      </c>
      <c r="G7129" s="4" t="str">
        <f>HYPERLINK("http://141.218.60.56/~jnz1568/getInfo.php?workbook=12_05.xlsx&amp;sheet=U0&amp;row=7129&amp;col=7&amp;number=0.00383&amp;sourceID=14","0.00383")</f>
        <v>0.00383</v>
      </c>
    </row>
    <row r="7130" spans="1:7">
      <c r="A7130" s="3"/>
      <c r="B7130" s="3"/>
      <c r="C7130" s="3"/>
      <c r="D7130" s="3"/>
      <c r="E7130" s="3">
        <v>7</v>
      </c>
      <c r="F7130" s="4" t="str">
        <f>HYPERLINK("http://141.218.60.56/~jnz1568/getInfo.php?workbook=12_05.xlsx&amp;sheet=U0&amp;row=7130&amp;col=6&amp;number=3.6&amp;sourceID=14","3.6")</f>
        <v>3.6</v>
      </c>
      <c r="G7130" s="4" t="str">
        <f>HYPERLINK("http://141.218.60.56/~jnz1568/getInfo.php?workbook=12_05.xlsx&amp;sheet=U0&amp;row=7130&amp;col=7&amp;number=0.00383&amp;sourceID=14","0.00383")</f>
        <v>0.00383</v>
      </c>
    </row>
    <row r="7131" spans="1:7">
      <c r="A7131" s="3"/>
      <c r="B7131" s="3"/>
      <c r="C7131" s="3"/>
      <c r="D7131" s="3"/>
      <c r="E7131" s="3">
        <v>8</v>
      </c>
      <c r="F7131" s="4" t="str">
        <f>HYPERLINK("http://141.218.60.56/~jnz1568/getInfo.php?workbook=12_05.xlsx&amp;sheet=U0&amp;row=7131&amp;col=6&amp;number=3.7&amp;sourceID=14","3.7")</f>
        <v>3.7</v>
      </c>
      <c r="G7131" s="4" t="str">
        <f>HYPERLINK("http://141.218.60.56/~jnz1568/getInfo.php?workbook=12_05.xlsx&amp;sheet=U0&amp;row=7131&amp;col=7&amp;number=0.00383&amp;sourceID=14","0.00383")</f>
        <v>0.00383</v>
      </c>
    </row>
    <row r="7132" spans="1:7">
      <c r="A7132" s="3"/>
      <c r="B7132" s="3"/>
      <c r="C7132" s="3"/>
      <c r="D7132" s="3"/>
      <c r="E7132" s="3">
        <v>9</v>
      </c>
      <c r="F7132" s="4" t="str">
        <f>HYPERLINK("http://141.218.60.56/~jnz1568/getInfo.php?workbook=12_05.xlsx&amp;sheet=U0&amp;row=7132&amp;col=6&amp;number=3.8&amp;sourceID=14","3.8")</f>
        <v>3.8</v>
      </c>
      <c r="G7132" s="4" t="str">
        <f>HYPERLINK("http://141.218.60.56/~jnz1568/getInfo.php?workbook=12_05.xlsx&amp;sheet=U0&amp;row=7132&amp;col=7&amp;number=0.00384&amp;sourceID=14","0.00384")</f>
        <v>0.00384</v>
      </c>
    </row>
    <row r="7133" spans="1:7">
      <c r="A7133" s="3"/>
      <c r="B7133" s="3"/>
      <c r="C7133" s="3"/>
      <c r="D7133" s="3"/>
      <c r="E7133" s="3">
        <v>10</v>
      </c>
      <c r="F7133" s="4" t="str">
        <f>HYPERLINK("http://141.218.60.56/~jnz1568/getInfo.php?workbook=12_05.xlsx&amp;sheet=U0&amp;row=7133&amp;col=6&amp;number=3.9&amp;sourceID=14","3.9")</f>
        <v>3.9</v>
      </c>
      <c r="G7133" s="4" t="str">
        <f>HYPERLINK("http://141.218.60.56/~jnz1568/getInfo.php?workbook=12_05.xlsx&amp;sheet=U0&amp;row=7133&amp;col=7&amp;number=0.00384&amp;sourceID=14","0.00384")</f>
        <v>0.00384</v>
      </c>
    </row>
    <row r="7134" spans="1:7">
      <c r="A7134" s="3"/>
      <c r="B7134" s="3"/>
      <c r="C7134" s="3"/>
      <c r="D7134" s="3"/>
      <c r="E7134" s="3">
        <v>11</v>
      </c>
      <c r="F7134" s="4" t="str">
        <f>HYPERLINK("http://141.218.60.56/~jnz1568/getInfo.php?workbook=12_05.xlsx&amp;sheet=U0&amp;row=7134&amp;col=6&amp;number=4&amp;sourceID=14","4")</f>
        <v>4</v>
      </c>
      <c r="G7134" s="4" t="str">
        <f>HYPERLINK("http://141.218.60.56/~jnz1568/getInfo.php?workbook=12_05.xlsx&amp;sheet=U0&amp;row=7134&amp;col=7&amp;number=0.00385&amp;sourceID=14","0.00385")</f>
        <v>0.00385</v>
      </c>
    </row>
    <row r="7135" spans="1:7">
      <c r="A7135" s="3"/>
      <c r="B7135" s="3"/>
      <c r="C7135" s="3"/>
      <c r="D7135" s="3"/>
      <c r="E7135" s="3">
        <v>12</v>
      </c>
      <c r="F7135" s="4" t="str">
        <f>HYPERLINK("http://141.218.60.56/~jnz1568/getInfo.php?workbook=12_05.xlsx&amp;sheet=U0&amp;row=7135&amp;col=6&amp;number=4.1&amp;sourceID=14","4.1")</f>
        <v>4.1</v>
      </c>
      <c r="G7135" s="4" t="str">
        <f>HYPERLINK("http://141.218.60.56/~jnz1568/getInfo.php?workbook=12_05.xlsx&amp;sheet=U0&amp;row=7135&amp;col=7&amp;number=0.00386&amp;sourceID=14","0.00386")</f>
        <v>0.00386</v>
      </c>
    </row>
    <row r="7136" spans="1:7">
      <c r="A7136" s="3"/>
      <c r="B7136" s="3"/>
      <c r="C7136" s="3"/>
      <c r="D7136" s="3"/>
      <c r="E7136" s="3">
        <v>13</v>
      </c>
      <c r="F7136" s="4" t="str">
        <f>HYPERLINK("http://141.218.60.56/~jnz1568/getInfo.php?workbook=12_05.xlsx&amp;sheet=U0&amp;row=7136&amp;col=6&amp;number=4.2&amp;sourceID=14","4.2")</f>
        <v>4.2</v>
      </c>
      <c r="G7136" s="4" t="str">
        <f>HYPERLINK("http://141.218.60.56/~jnz1568/getInfo.php?workbook=12_05.xlsx&amp;sheet=U0&amp;row=7136&amp;col=7&amp;number=0.00387&amp;sourceID=14","0.00387")</f>
        <v>0.00387</v>
      </c>
    </row>
    <row r="7137" spans="1:7">
      <c r="A7137" s="3"/>
      <c r="B7137" s="3"/>
      <c r="C7137" s="3"/>
      <c r="D7137" s="3"/>
      <c r="E7137" s="3">
        <v>14</v>
      </c>
      <c r="F7137" s="4" t="str">
        <f>HYPERLINK("http://141.218.60.56/~jnz1568/getInfo.php?workbook=12_05.xlsx&amp;sheet=U0&amp;row=7137&amp;col=6&amp;number=4.3&amp;sourceID=14","4.3")</f>
        <v>4.3</v>
      </c>
      <c r="G7137" s="4" t="str">
        <f>HYPERLINK("http://141.218.60.56/~jnz1568/getInfo.php?workbook=12_05.xlsx&amp;sheet=U0&amp;row=7137&amp;col=7&amp;number=0.00388&amp;sourceID=14","0.00388")</f>
        <v>0.00388</v>
      </c>
    </row>
    <row r="7138" spans="1:7">
      <c r="A7138" s="3"/>
      <c r="B7138" s="3"/>
      <c r="C7138" s="3"/>
      <c r="D7138" s="3"/>
      <c r="E7138" s="3">
        <v>15</v>
      </c>
      <c r="F7138" s="4" t="str">
        <f>HYPERLINK("http://141.218.60.56/~jnz1568/getInfo.php?workbook=12_05.xlsx&amp;sheet=U0&amp;row=7138&amp;col=6&amp;number=4.4&amp;sourceID=14","4.4")</f>
        <v>4.4</v>
      </c>
      <c r="G7138" s="4" t="str">
        <f>HYPERLINK("http://141.218.60.56/~jnz1568/getInfo.php?workbook=12_05.xlsx&amp;sheet=U0&amp;row=7138&amp;col=7&amp;number=0.0039&amp;sourceID=14","0.0039")</f>
        <v>0.0039</v>
      </c>
    </row>
    <row r="7139" spans="1:7">
      <c r="A7139" s="3"/>
      <c r="B7139" s="3"/>
      <c r="C7139" s="3"/>
      <c r="D7139" s="3"/>
      <c r="E7139" s="3">
        <v>16</v>
      </c>
      <c r="F7139" s="4" t="str">
        <f>HYPERLINK("http://141.218.60.56/~jnz1568/getInfo.php?workbook=12_05.xlsx&amp;sheet=U0&amp;row=7139&amp;col=6&amp;number=4.5&amp;sourceID=14","4.5")</f>
        <v>4.5</v>
      </c>
      <c r="G7139" s="4" t="str">
        <f>HYPERLINK("http://141.218.60.56/~jnz1568/getInfo.php?workbook=12_05.xlsx&amp;sheet=U0&amp;row=7139&amp;col=7&amp;number=0.00392&amp;sourceID=14","0.00392")</f>
        <v>0.00392</v>
      </c>
    </row>
    <row r="7140" spans="1:7">
      <c r="A7140" s="3"/>
      <c r="B7140" s="3"/>
      <c r="C7140" s="3"/>
      <c r="D7140" s="3"/>
      <c r="E7140" s="3">
        <v>17</v>
      </c>
      <c r="F7140" s="4" t="str">
        <f>HYPERLINK("http://141.218.60.56/~jnz1568/getInfo.php?workbook=12_05.xlsx&amp;sheet=U0&amp;row=7140&amp;col=6&amp;number=4.6&amp;sourceID=14","4.6")</f>
        <v>4.6</v>
      </c>
      <c r="G7140" s="4" t="str">
        <f>HYPERLINK("http://141.218.60.56/~jnz1568/getInfo.php?workbook=12_05.xlsx&amp;sheet=U0&amp;row=7140&amp;col=7&amp;number=0.00395&amp;sourceID=14","0.00395")</f>
        <v>0.00395</v>
      </c>
    </row>
    <row r="7141" spans="1:7">
      <c r="A7141" s="3"/>
      <c r="B7141" s="3"/>
      <c r="C7141" s="3"/>
      <c r="D7141" s="3"/>
      <c r="E7141" s="3">
        <v>18</v>
      </c>
      <c r="F7141" s="4" t="str">
        <f>HYPERLINK("http://141.218.60.56/~jnz1568/getInfo.php?workbook=12_05.xlsx&amp;sheet=U0&amp;row=7141&amp;col=6&amp;number=4.7&amp;sourceID=14","4.7")</f>
        <v>4.7</v>
      </c>
      <c r="G7141" s="4" t="str">
        <f>HYPERLINK("http://141.218.60.56/~jnz1568/getInfo.php?workbook=12_05.xlsx&amp;sheet=U0&amp;row=7141&amp;col=7&amp;number=0.00398&amp;sourceID=14","0.00398")</f>
        <v>0.00398</v>
      </c>
    </row>
    <row r="7142" spans="1:7">
      <c r="A7142" s="3"/>
      <c r="B7142" s="3"/>
      <c r="C7142" s="3"/>
      <c r="D7142" s="3"/>
      <c r="E7142" s="3">
        <v>19</v>
      </c>
      <c r="F7142" s="4" t="str">
        <f>HYPERLINK("http://141.218.60.56/~jnz1568/getInfo.php?workbook=12_05.xlsx&amp;sheet=U0&amp;row=7142&amp;col=6&amp;number=4.8&amp;sourceID=14","4.8")</f>
        <v>4.8</v>
      </c>
      <c r="G7142" s="4" t="str">
        <f>HYPERLINK("http://141.218.60.56/~jnz1568/getInfo.php?workbook=12_05.xlsx&amp;sheet=U0&amp;row=7142&amp;col=7&amp;number=0.00402&amp;sourceID=14","0.00402")</f>
        <v>0.00402</v>
      </c>
    </row>
    <row r="7143" spans="1:7">
      <c r="A7143" s="3"/>
      <c r="B7143" s="3"/>
      <c r="C7143" s="3"/>
      <c r="D7143" s="3"/>
      <c r="E7143" s="3">
        <v>20</v>
      </c>
      <c r="F7143" s="4" t="str">
        <f>HYPERLINK("http://141.218.60.56/~jnz1568/getInfo.php?workbook=12_05.xlsx&amp;sheet=U0&amp;row=7143&amp;col=6&amp;number=4.9&amp;sourceID=14","4.9")</f>
        <v>4.9</v>
      </c>
      <c r="G7143" s="4" t="str">
        <f>HYPERLINK("http://141.218.60.56/~jnz1568/getInfo.php?workbook=12_05.xlsx&amp;sheet=U0&amp;row=7143&amp;col=7&amp;number=0.00407&amp;sourceID=14","0.00407")</f>
        <v>0.00407</v>
      </c>
    </row>
    <row r="7144" spans="1:7">
      <c r="A7144" s="3">
        <v>12</v>
      </c>
      <c r="B7144" s="3">
        <v>5</v>
      </c>
      <c r="C7144" s="3">
        <v>4</v>
      </c>
      <c r="D7144" s="3">
        <v>116</v>
      </c>
      <c r="E7144" s="3">
        <v>1</v>
      </c>
      <c r="F7144" s="4" t="str">
        <f>HYPERLINK("http://141.218.60.56/~jnz1568/getInfo.php?workbook=12_05.xlsx&amp;sheet=U0&amp;row=7144&amp;col=6&amp;number=3&amp;sourceID=14","3")</f>
        <v>3</v>
      </c>
      <c r="G7144" s="4" t="str">
        <f>HYPERLINK("http://141.218.60.56/~jnz1568/getInfo.php?workbook=12_05.xlsx&amp;sheet=U0&amp;row=7144&amp;col=7&amp;number=0.0016&amp;sourceID=14","0.0016")</f>
        <v>0.0016</v>
      </c>
    </row>
    <row r="7145" spans="1:7">
      <c r="A7145" s="3"/>
      <c r="B7145" s="3"/>
      <c r="C7145" s="3"/>
      <c r="D7145" s="3"/>
      <c r="E7145" s="3">
        <v>2</v>
      </c>
      <c r="F7145" s="4" t="str">
        <f>HYPERLINK("http://141.218.60.56/~jnz1568/getInfo.php?workbook=12_05.xlsx&amp;sheet=U0&amp;row=7145&amp;col=6&amp;number=3.1&amp;sourceID=14","3.1")</f>
        <v>3.1</v>
      </c>
      <c r="G7145" s="4" t="str">
        <f>HYPERLINK("http://141.218.60.56/~jnz1568/getInfo.php?workbook=12_05.xlsx&amp;sheet=U0&amp;row=7145&amp;col=7&amp;number=0.0016&amp;sourceID=14","0.0016")</f>
        <v>0.0016</v>
      </c>
    </row>
    <row r="7146" spans="1:7">
      <c r="A7146" s="3"/>
      <c r="B7146" s="3"/>
      <c r="C7146" s="3"/>
      <c r="D7146" s="3"/>
      <c r="E7146" s="3">
        <v>3</v>
      </c>
      <c r="F7146" s="4" t="str">
        <f>HYPERLINK("http://141.218.60.56/~jnz1568/getInfo.php?workbook=12_05.xlsx&amp;sheet=U0&amp;row=7146&amp;col=6&amp;number=3.2&amp;sourceID=14","3.2")</f>
        <v>3.2</v>
      </c>
      <c r="G7146" s="4" t="str">
        <f>HYPERLINK("http://141.218.60.56/~jnz1568/getInfo.php?workbook=12_05.xlsx&amp;sheet=U0&amp;row=7146&amp;col=7&amp;number=0.0016&amp;sourceID=14","0.0016")</f>
        <v>0.0016</v>
      </c>
    </row>
    <row r="7147" spans="1:7">
      <c r="A7147" s="3"/>
      <c r="B7147" s="3"/>
      <c r="C7147" s="3"/>
      <c r="D7147" s="3"/>
      <c r="E7147" s="3">
        <v>4</v>
      </c>
      <c r="F7147" s="4" t="str">
        <f>HYPERLINK("http://141.218.60.56/~jnz1568/getInfo.php?workbook=12_05.xlsx&amp;sheet=U0&amp;row=7147&amp;col=6&amp;number=3.3&amp;sourceID=14","3.3")</f>
        <v>3.3</v>
      </c>
      <c r="G7147" s="4" t="str">
        <f>HYPERLINK("http://141.218.60.56/~jnz1568/getInfo.php?workbook=12_05.xlsx&amp;sheet=U0&amp;row=7147&amp;col=7&amp;number=0.0016&amp;sourceID=14","0.0016")</f>
        <v>0.0016</v>
      </c>
    </row>
    <row r="7148" spans="1:7">
      <c r="A7148" s="3"/>
      <c r="B7148" s="3"/>
      <c r="C7148" s="3"/>
      <c r="D7148" s="3"/>
      <c r="E7148" s="3">
        <v>5</v>
      </c>
      <c r="F7148" s="4" t="str">
        <f>HYPERLINK("http://141.218.60.56/~jnz1568/getInfo.php?workbook=12_05.xlsx&amp;sheet=U0&amp;row=7148&amp;col=6&amp;number=3.4&amp;sourceID=14","3.4")</f>
        <v>3.4</v>
      </c>
      <c r="G7148" s="4" t="str">
        <f>HYPERLINK("http://141.218.60.56/~jnz1568/getInfo.php?workbook=12_05.xlsx&amp;sheet=U0&amp;row=7148&amp;col=7&amp;number=0.0016&amp;sourceID=14","0.0016")</f>
        <v>0.0016</v>
      </c>
    </row>
    <row r="7149" spans="1:7">
      <c r="A7149" s="3"/>
      <c r="B7149" s="3"/>
      <c r="C7149" s="3"/>
      <c r="D7149" s="3"/>
      <c r="E7149" s="3">
        <v>6</v>
      </c>
      <c r="F7149" s="4" t="str">
        <f>HYPERLINK("http://141.218.60.56/~jnz1568/getInfo.php?workbook=12_05.xlsx&amp;sheet=U0&amp;row=7149&amp;col=6&amp;number=3.5&amp;sourceID=14","3.5")</f>
        <v>3.5</v>
      </c>
      <c r="G7149" s="4" t="str">
        <f>HYPERLINK("http://141.218.60.56/~jnz1568/getInfo.php?workbook=12_05.xlsx&amp;sheet=U0&amp;row=7149&amp;col=7&amp;number=0.0016&amp;sourceID=14","0.0016")</f>
        <v>0.0016</v>
      </c>
    </row>
    <row r="7150" spans="1:7">
      <c r="A7150" s="3"/>
      <c r="B7150" s="3"/>
      <c r="C7150" s="3"/>
      <c r="D7150" s="3"/>
      <c r="E7150" s="3">
        <v>7</v>
      </c>
      <c r="F7150" s="4" t="str">
        <f>HYPERLINK("http://141.218.60.56/~jnz1568/getInfo.php?workbook=12_05.xlsx&amp;sheet=U0&amp;row=7150&amp;col=6&amp;number=3.6&amp;sourceID=14","3.6")</f>
        <v>3.6</v>
      </c>
      <c r="G7150" s="4" t="str">
        <f>HYPERLINK("http://141.218.60.56/~jnz1568/getInfo.php?workbook=12_05.xlsx&amp;sheet=U0&amp;row=7150&amp;col=7&amp;number=0.0016&amp;sourceID=14","0.0016")</f>
        <v>0.0016</v>
      </c>
    </row>
    <row r="7151" spans="1:7">
      <c r="A7151" s="3"/>
      <c r="B7151" s="3"/>
      <c r="C7151" s="3"/>
      <c r="D7151" s="3"/>
      <c r="E7151" s="3">
        <v>8</v>
      </c>
      <c r="F7151" s="4" t="str">
        <f>HYPERLINK("http://141.218.60.56/~jnz1568/getInfo.php?workbook=12_05.xlsx&amp;sheet=U0&amp;row=7151&amp;col=6&amp;number=3.7&amp;sourceID=14","3.7")</f>
        <v>3.7</v>
      </c>
      <c r="G7151" s="4" t="str">
        <f>HYPERLINK("http://141.218.60.56/~jnz1568/getInfo.php?workbook=12_05.xlsx&amp;sheet=U0&amp;row=7151&amp;col=7&amp;number=0.0016&amp;sourceID=14","0.0016")</f>
        <v>0.0016</v>
      </c>
    </row>
    <row r="7152" spans="1:7">
      <c r="A7152" s="3"/>
      <c r="B7152" s="3"/>
      <c r="C7152" s="3"/>
      <c r="D7152" s="3"/>
      <c r="E7152" s="3">
        <v>9</v>
      </c>
      <c r="F7152" s="4" t="str">
        <f>HYPERLINK("http://141.218.60.56/~jnz1568/getInfo.php?workbook=12_05.xlsx&amp;sheet=U0&amp;row=7152&amp;col=6&amp;number=3.8&amp;sourceID=14","3.8")</f>
        <v>3.8</v>
      </c>
      <c r="G7152" s="4" t="str">
        <f>HYPERLINK("http://141.218.60.56/~jnz1568/getInfo.php?workbook=12_05.xlsx&amp;sheet=U0&amp;row=7152&amp;col=7&amp;number=0.0016&amp;sourceID=14","0.0016")</f>
        <v>0.0016</v>
      </c>
    </row>
    <row r="7153" spans="1:7">
      <c r="A7153" s="3"/>
      <c r="B7153" s="3"/>
      <c r="C7153" s="3"/>
      <c r="D7153" s="3"/>
      <c r="E7153" s="3">
        <v>10</v>
      </c>
      <c r="F7153" s="4" t="str">
        <f>HYPERLINK("http://141.218.60.56/~jnz1568/getInfo.php?workbook=12_05.xlsx&amp;sheet=U0&amp;row=7153&amp;col=6&amp;number=3.9&amp;sourceID=14","3.9")</f>
        <v>3.9</v>
      </c>
      <c r="G7153" s="4" t="str">
        <f>HYPERLINK("http://141.218.60.56/~jnz1568/getInfo.php?workbook=12_05.xlsx&amp;sheet=U0&amp;row=7153&amp;col=7&amp;number=0.00159&amp;sourceID=14","0.00159")</f>
        <v>0.00159</v>
      </c>
    </row>
    <row r="7154" spans="1:7">
      <c r="A7154" s="3"/>
      <c r="B7154" s="3"/>
      <c r="C7154" s="3"/>
      <c r="D7154" s="3"/>
      <c r="E7154" s="3">
        <v>11</v>
      </c>
      <c r="F7154" s="4" t="str">
        <f>HYPERLINK("http://141.218.60.56/~jnz1568/getInfo.php?workbook=12_05.xlsx&amp;sheet=U0&amp;row=7154&amp;col=6&amp;number=4&amp;sourceID=14","4")</f>
        <v>4</v>
      </c>
      <c r="G7154" s="4" t="str">
        <f>HYPERLINK("http://141.218.60.56/~jnz1568/getInfo.php?workbook=12_05.xlsx&amp;sheet=U0&amp;row=7154&amp;col=7&amp;number=0.00159&amp;sourceID=14","0.00159")</f>
        <v>0.00159</v>
      </c>
    </row>
    <row r="7155" spans="1:7">
      <c r="A7155" s="3"/>
      <c r="B7155" s="3"/>
      <c r="C7155" s="3"/>
      <c r="D7155" s="3"/>
      <c r="E7155" s="3">
        <v>12</v>
      </c>
      <c r="F7155" s="4" t="str">
        <f>HYPERLINK("http://141.218.60.56/~jnz1568/getInfo.php?workbook=12_05.xlsx&amp;sheet=U0&amp;row=7155&amp;col=6&amp;number=4.1&amp;sourceID=14","4.1")</f>
        <v>4.1</v>
      </c>
      <c r="G7155" s="4" t="str">
        <f>HYPERLINK("http://141.218.60.56/~jnz1568/getInfo.php?workbook=12_05.xlsx&amp;sheet=U0&amp;row=7155&amp;col=7&amp;number=0.00159&amp;sourceID=14","0.00159")</f>
        <v>0.00159</v>
      </c>
    </row>
    <row r="7156" spans="1:7">
      <c r="A7156" s="3"/>
      <c r="B7156" s="3"/>
      <c r="C7156" s="3"/>
      <c r="D7156" s="3"/>
      <c r="E7156" s="3">
        <v>13</v>
      </c>
      <c r="F7156" s="4" t="str">
        <f>HYPERLINK("http://141.218.60.56/~jnz1568/getInfo.php?workbook=12_05.xlsx&amp;sheet=U0&amp;row=7156&amp;col=6&amp;number=4.2&amp;sourceID=14","4.2")</f>
        <v>4.2</v>
      </c>
      <c r="G7156" s="4" t="str">
        <f>HYPERLINK("http://141.218.60.56/~jnz1568/getInfo.php?workbook=12_05.xlsx&amp;sheet=U0&amp;row=7156&amp;col=7&amp;number=0.00158&amp;sourceID=14","0.00158")</f>
        <v>0.00158</v>
      </c>
    </row>
    <row r="7157" spans="1:7">
      <c r="A7157" s="3"/>
      <c r="B7157" s="3"/>
      <c r="C7157" s="3"/>
      <c r="D7157" s="3"/>
      <c r="E7157" s="3">
        <v>14</v>
      </c>
      <c r="F7157" s="4" t="str">
        <f>HYPERLINK("http://141.218.60.56/~jnz1568/getInfo.php?workbook=12_05.xlsx&amp;sheet=U0&amp;row=7157&amp;col=6&amp;number=4.3&amp;sourceID=14","4.3")</f>
        <v>4.3</v>
      </c>
      <c r="G7157" s="4" t="str">
        <f>HYPERLINK("http://141.218.60.56/~jnz1568/getInfo.php?workbook=12_05.xlsx&amp;sheet=U0&amp;row=7157&amp;col=7&amp;number=0.00158&amp;sourceID=14","0.00158")</f>
        <v>0.00158</v>
      </c>
    </row>
    <row r="7158" spans="1:7">
      <c r="A7158" s="3"/>
      <c r="B7158" s="3"/>
      <c r="C7158" s="3"/>
      <c r="D7158" s="3"/>
      <c r="E7158" s="3">
        <v>15</v>
      </c>
      <c r="F7158" s="4" t="str">
        <f>HYPERLINK("http://141.218.60.56/~jnz1568/getInfo.php?workbook=12_05.xlsx&amp;sheet=U0&amp;row=7158&amp;col=6&amp;number=4.4&amp;sourceID=14","4.4")</f>
        <v>4.4</v>
      </c>
      <c r="G7158" s="4" t="str">
        <f>HYPERLINK("http://141.218.60.56/~jnz1568/getInfo.php?workbook=12_05.xlsx&amp;sheet=U0&amp;row=7158&amp;col=7&amp;number=0.00157&amp;sourceID=14","0.00157")</f>
        <v>0.00157</v>
      </c>
    </row>
    <row r="7159" spans="1:7">
      <c r="A7159" s="3"/>
      <c r="B7159" s="3"/>
      <c r="C7159" s="3"/>
      <c r="D7159" s="3"/>
      <c r="E7159" s="3">
        <v>16</v>
      </c>
      <c r="F7159" s="4" t="str">
        <f>HYPERLINK("http://141.218.60.56/~jnz1568/getInfo.php?workbook=12_05.xlsx&amp;sheet=U0&amp;row=7159&amp;col=6&amp;number=4.5&amp;sourceID=14","4.5")</f>
        <v>4.5</v>
      </c>
      <c r="G7159" s="4" t="str">
        <f>HYPERLINK("http://141.218.60.56/~jnz1568/getInfo.php?workbook=12_05.xlsx&amp;sheet=U0&amp;row=7159&amp;col=7&amp;number=0.00157&amp;sourceID=14","0.00157")</f>
        <v>0.00157</v>
      </c>
    </row>
    <row r="7160" spans="1:7">
      <c r="A7160" s="3"/>
      <c r="B7160" s="3"/>
      <c r="C7160" s="3"/>
      <c r="D7160" s="3"/>
      <c r="E7160" s="3">
        <v>17</v>
      </c>
      <c r="F7160" s="4" t="str">
        <f>HYPERLINK("http://141.218.60.56/~jnz1568/getInfo.php?workbook=12_05.xlsx&amp;sheet=U0&amp;row=7160&amp;col=6&amp;number=4.6&amp;sourceID=14","4.6")</f>
        <v>4.6</v>
      </c>
      <c r="G7160" s="4" t="str">
        <f>HYPERLINK("http://141.218.60.56/~jnz1568/getInfo.php?workbook=12_05.xlsx&amp;sheet=U0&amp;row=7160&amp;col=7&amp;number=0.00156&amp;sourceID=14","0.00156")</f>
        <v>0.00156</v>
      </c>
    </row>
    <row r="7161" spans="1:7">
      <c r="A7161" s="3"/>
      <c r="B7161" s="3"/>
      <c r="C7161" s="3"/>
      <c r="D7161" s="3"/>
      <c r="E7161" s="3">
        <v>18</v>
      </c>
      <c r="F7161" s="4" t="str">
        <f>HYPERLINK("http://141.218.60.56/~jnz1568/getInfo.php?workbook=12_05.xlsx&amp;sheet=U0&amp;row=7161&amp;col=6&amp;number=4.7&amp;sourceID=14","4.7")</f>
        <v>4.7</v>
      </c>
      <c r="G7161" s="4" t="str">
        <f>HYPERLINK("http://141.218.60.56/~jnz1568/getInfo.php?workbook=12_05.xlsx&amp;sheet=U0&amp;row=7161&amp;col=7&amp;number=0.00154&amp;sourceID=14","0.00154")</f>
        <v>0.00154</v>
      </c>
    </row>
    <row r="7162" spans="1:7">
      <c r="A7162" s="3"/>
      <c r="B7162" s="3"/>
      <c r="C7162" s="3"/>
      <c r="D7162" s="3"/>
      <c r="E7162" s="3">
        <v>19</v>
      </c>
      <c r="F7162" s="4" t="str">
        <f>HYPERLINK("http://141.218.60.56/~jnz1568/getInfo.php?workbook=12_05.xlsx&amp;sheet=U0&amp;row=7162&amp;col=6&amp;number=4.8&amp;sourceID=14","4.8")</f>
        <v>4.8</v>
      </c>
      <c r="G7162" s="4" t="str">
        <f>HYPERLINK("http://141.218.60.56/~jnz1568/getInfo.php?workbook=12_05.xlsx&amp;sheet=U0&amp;row=7162&amp;col=7&amp;number=0.00153&amp;sourceID=14","0.00153")</f>
        <v>0.00153</v>
      </c>
    </row>
    <row r="7163" spans="1:7">
      <c r="A7163" s="3"/>
      <c r="B7163" s="3"/>
      <c r="C7163" s="3"/>
      <c r="D7163" s="3"/>
      <c r="E7163" s="3">
        <v>20</v>
      </c>
      <c r="F7163" s="4" t="str">
        <f>HYPERLINK("http://141.218.60.56/~jnz1568/getInfo.php?workbook=12_05.xlsx&amp;sheet=U0&amp;row=7163&amp;col=6&amp;number=4.9&amp;sourceID=14","4.9")</f>
        <v>4.9</v>
      </c>
      <c r="G7163" s="4" t="str">
        <f>HYPERLINK("http://141.218.60.56/~jnz1568/getInfo.php?workbook=12_05.xlsx&amp;sheet=U0&amp;row=7163&amp;col=7&amp;number=0.00151&amp;sourceID=14","0.00151")</f>
        <v>0.00151</v>
      </c>
    </row>
    <row r="7164" spans="1:7">
      <c r="A7164" s="3">
        <v>12</v>
      </c>
      <c r="B7164" s="3">
        <v>5</v>
      </c>
      <c r="C7164" s="3">
        <v>4</v>
      </c>
      <c r="D7164" s="3">
        <v>118</v>
      </c>
      <c r="E7164" s="3">
        <v>1</v>
      </c>
      <c r="F7164" s="4" t="str">
        <f>HYPERLINK("http://141.218.60.56/~jnz1568/getInfo.php?workbook=12_05.xlsx&amp;sheet=U0&amp;row=7164&amp;col=6&amp;number=3&amp;sourceID=14","3")</f>
        <v>3</v>
      </c>
      <c r="G7164" s="4" t="str">
        <f>HYPERLINK("http://141.218.60.56/~jnz1568/getInfo.php?workbook=12_05.xlsx&amp;sheet=U0&amp;row=7164&amp;col=7&amp;number=0.000546&amp;sourceID=14","0.000546")</f>
        <v>0.000546</v>
      </c>
    </row>
    <row r="7165" spans="1:7">
      <c r="A7165" s="3"/>
      <c r="B7165" s="3"/>
      <c r="C7165" s="3"/>
      <c r="D7165" s="3"/>
      <c r="E7165" s="3">
        <v>2</v>
      </c>
      <c r="F7165" s="4" t="str">
        <f>HYPERLINK("http://141.218.60.56/~jnz1568/getInfo.php?workbook=12_05.xlsx&amp;sheet=U0&amp;row=7165&amp;col=6&amp;number=3.1&amp;sourceID=14","3.1")</f>
        <v>3.1</v>
      </c>
      <c r="G7165" s="4" t="str">
        <f>HYPERLINK("http://141.218.60.56/~jnz1568/getInfo.php?workbook=12_05.xlsx&amp;sheet=U0&amp;row=7165&amp;col=7&amp;number=0.000546&amp;sourceID=14","0.000546")</f>
        <v>0.000546</v>
      </c>
    </row>
    <row r="7166" spans="1:7">
      <c r="A7166" s="3"/>
      <c r="B7166" s="3"/>
      <c r="C7166" s="3"/>
      <c r="D7166" s="3"/>
      <c r="E7166" s="3">
        <v>3</v>
      </c>
      <c r="F7166" s="4" t="str">
        <f>HYPERLINK("http://141.218.60.56/~jnz1568/getInfo.php?workbook=12_05.xlsx&amp;sheet=U0&amp;row=7166&amp;col=6&amp;number=3.2&amp;sourceID=14","3.2")</f>
        <v>3.2</v>
      </c>
      <c r="G7166" s="4" t="str">
        <f>HYPERLINK("http://141.218.60.56/~jnz1568/getInfo.php?workbook=12_05.xlsx&amp;sheet=U0&amp;row=7166&amp;col=7&amp;number=0.000546&amp;sourceID=14","0.000546")</f>
        <v>0.000546</v>
      </c>
    </row>
    <row r="7167" spans="1:7">
      <c r="A7167" s="3"/>
      <c r="B7167" s="3"/>
      <c r="C7167" s="3"/>
      <c r="D7167" s="3"/>
      <c r="E7167" s="3">
        <v>4</v>
      </c>
      <c r="F7167" s="4" t="str">
        <f>HYPERLINK("http://141.218.60.56/~jnz1568/getInfo.php?workbook=12_05.xlsx&amp;sheet=U0&amp;row=7167&amp;col=6&amp;number=3.3&amp;sourceID=14","3.3")</f>
        <v>3.3</v>
      </c>
      <c r="G7167" s="4" t="str">
        <f>HYPERLINK("http://141.218.60.56/~jnz1568/getInfo.php?workbook=12_05.xlsx&amp;sheet=U0&amp;row=7167&amp;col=7&amp;number=0.000546&amp;sourceID=14","0.000546")</f>
        <v>0.000546</v>
      </c>
    </row>
    <row r="7168" spans="1:7">
      <c r="A7168" s="3"/>
      <c r="B7168" s="3"/>
      <c r="C7168" s="3"/>
      <c r="D7168" s="3"/>
      <c r="E7168" s="3">
        <v>5</v>
      </c>
      <c r="F7168" s="4" t="str">
        <f>HYPERLINK("http://141.218.60.56/~jnz1568/getInfo.php?workbook=12_05.xlsx&amp;sheet=U0&amp;row=7168&amp;col=6&amp;number=3.4&amp;sourceID=14","3.4")</f>
        <v>3.4</v>
      </c>
      <c r="G7168" s="4" t="str">
        <f>HYPERLINK("http://141.218.60.56/~jnz1568/getInfo.php?workbook=12_05.xlsx&amp;sheet=U0&amp;row=7168&amp;col=7&amp;number=0.000546&amp;sourceID=14","0.000546")</f>
        <v>0.000546</v>
      </c>
    </row>
    <row r="7169" spans="1:7">
      <c r="A7169" s="3"/>
      <c r="B7169" s="3"/>
      <c r="C7169" s="3"/>
      <c r="D7169" s="3"/>
      <c r="E7169" s="3">
        <v>6</v>
      </c>
      <c r="F7169" s="4" t="str">
        <f>HYPERLINK("http://141.218.60.56/~jnz1568/getInfo.php?workbook=12_05.xlsx&amp;sheet=U0&amp;row=7169&amp;col=6&amp;number=3.5&amp;sourceID=14","3.5")</f>
        <v>3.5</v>
      </c>
      <c r="G7169" s="4" t="str">
        <f>HYPERLINK("http://141.218.60.56/~jnz1568/getInfo.php?workbook=12_05.xlsx&amp;sheet=U0&amp;row=7169&amp;col=7&amp;number=0.000546&amp;sourceID=14","0.000546")</f>
        <v>0.000546</v>
      </c>
    </row>
    <row r="7170" spans="1:7">
      <c r="A7170" s="3"/>
      <c r="B7170" s="3"/>
      <c r="C7170" s="3"/>
      <c r="D7170" s="3"/>
      <c r="E7170" s="3">
        <v>7</v>
      </c>
      <c r="F7170" s="4" t="str">
        <f>HYPERLINK("http://141.218.60.56/~jnz1568/getInfo.php?workbook=12_05.xlsx&amp;sheet=U0&amp;row=7170&amp;col=6&amp;number=3.6&amp;sourceID=14","3.6")</f>
        <v>3.6</v>
      </c>
      <c r="G7170" s="4" t="str">
        <f>HYPERLINK("http://141.218.60.56/~jnz1568/getInfo.php?workbook=12_05.xlsx&amp;sheet=U0&amp;row=7170&amp;col=7&amp;number=0.000545&amp;sourceID=14","0.000545")</f>
        <v>0.000545</v>
      </c>
    </row>
    <row r="7171" spans="1:7">
      <c r="A7171" s="3"/>
      <c r="B7171" s="3"/>
      <c r="C7171" s="3"/>
      <c r="D7171" s="3"/>
      <c r="E7171" s="3">
        <v>8</v>
      </c>
      <c r="F7171" s="4" t="str">
        <f>HYPERLINK("http://141.218.60.56/~jnz1568/getInfo.php?workbook=12_05.xlsx&amp;sheet=U0&amp;row=7171&amp;col=6&amp;number=3.7&amp;sourceID=14","3.7")</f>
        <v>3.7</v>
      </c>
      <c r="G7171" s="4" t="str">
        <f>HYPERLINK("http://141.218.60.56/~jnz1568/getInfo.php?workbook=12_05.xlsx&amp;sheet=U0&amp;row=7171&amp;col=7&amp;number=0.000545&amp;sourceID=14","0.000545")</f>
        <v>0.000545</v>
      </c>
    </row>
    <row r="7172" spans="1:7">
      <c r="A7172" s="3"/>
      <c r="B7172" s="3"/>
      <c r="C7172" s="3"/>
      <c r="D7172" s="3"/>
      <c r="E7172" s="3">
        <v>9</v>
      </c>
      <c r="F7172" s="4" t="str">
        <f>HYPERLINK("http://141.218.60.56/~jnz1568/getInfo.php?workbook=12_05.xlsx&amp;sheet=U0&amp;row=7172&amp;col=6&amp;number=3.8&amp;sourceID=14","3.8")</f>
        <v>3.8</v>
      </c>
      <c r="G7172" s="4" t="str">
        <f>HYPERLINK("http://141.218.60.56/~jnz1568/getInfo.php?workbook=12_05.xlsx&amp;sheet=U0&amp;row=7172&amp;col=7&amp;number=0.000544&amp;sourceID=14","0.000544")</f>
        <v>0.000544</v>
      </c>
    </row>
    <row r="7173" spans="1:7">
      <c r="A7173" s="3"/>
      <c r="B7173" s="3"/>
      <c r="C7173" s="3"/>
      <c r="D7173" s="3"/>
      <c r="E7173" s="3">
        <v>10</v>
      </c>
      <c r="F7173" s="4" t="str">
        <f>HYPERLINK("http://141.218.60.56/~jnz1568/getInfo.php?workbook=12_05.xlsx&amp;sheet=U0&amp;row=7173&amp;col=6&amp;number=3.9&amp;sourceID=14","3.9")</f>
        <v>3.9</v>
      </c>
      <c r="G7173" s="4" t="str">
        <f>HYPERLINK("http://141.218.60.56/~jnz1568/getInfo.php?workbook=12_05.xlsx&amp;sheet=U0&amp;row=7173&amp;col=7&amp;number=0.000543&amp;sourceID=14","0.000543")</f>
        <v>0.000543</v>
      </c>
    </row>
    <row r="7174" spans="1:7">
      <c r="A7174" s="3"/>
      <c r="B7174" s="3"/>
      <c r="C7174" s="3"/>
      <c r="D7174" s="3"/>
      <c r="E7174" s="3">
        <v>11</v>
      </c>
      <c r="F7174" s="4" t="str">
        <f>HYPERLINK("http://141.218.60.56/~jnz1568/getInfo.php?workbook=12_05.xlsx&amp;sheet=U0&amp;row=7174&amp;col=6&amp;number=4&amp;sourceID=14","4")</f>
        <v>4</v>
      </c>
      <c r="G7174" s="4" t="str">
        <f>HYPERLINK("http://141.218.60.56/~jnz1568/getInfo.php?workbook=12_05.xlsx&amp;sheet=U0&amp;row=7174&amp;col=7&amp;number=0.000543&amp;sourceID=14","0.000543")</f>
        <v>0.000543</v>
      </c>
    </row>
    <row r="7175" spans="1:7">
      <c r="A7175" s="3"/>
      <c r="B7175" s="3"/>
      <c r="C7175" s="3"/>
      <c r="D7175" s="3"/>
      <c r="E7175" s="3">
        <v>12</v>
      </c>
      <c r="F7175" s="4" t="str">
        <f>HYPERLINK("http://141.218.60.56/~jnz1568/getInfo.php?workbook=12_05.xlsx&amp;sheet=U0&amp;row=7175&amp;col=6&amp;number=4.1&amp;sourceID=14","4.1")</f>
        <v>4.1</v>
      </c>
      <c r="G7175" s="4" t="str">
        <f>HYPERLINK("http://141.218.60.56/~jnz1568/getInfo.php?workbook=12_05.xlsx&amp;sheet=U0&amp;row=7175&amp;col=7&amp;number=0.000541&amp;sourceID=14","0.000541")</f>
        <v>0.000541</v>
      </c>
    </row>
    <row r="7176" spans="1:7">
      <c r="A7176" s="3"/>
      <c r="B7176" s="3"/>
      <c r="C7176" s="3"/>
      <c r="D7176" s="3"/>
      <c r="E7176" s="3">
        <v>13</v>
      </c>
      <c r="F7176" s="4" t="str">
        <f>HYPERLINK("http://141.218.60.56/~jnz1568/getInfo.php?workbook=12_05.xlsx&amp;sheet=U0&amp;row=7176&amp;col=6&amp;number=4.2&amp;sourceID=14","4.2")</f>
        <v>4.2</v>
      </c>
      <c r="G7176" s="4" t="str">
        <f>HYPERLINK("http://141.218.60.56/~jnz1568/getInfo.php?workbook=12_05.xlsx&amp;sheet=U0&amp;row=7176&amp;col=7&amp;number=0.00054&amp;sourceID=14","0.00054")</f>
        <v>0.00054</v>
      </c>
    </row>
    <row r="7177" spans="1:7">
      <c r="A7177" s="3"/>
      <c r="B7177" s="3"/>
      <c r="C7177" s="3"/>
      <c r="D7177" s="3"/>
      <c r="E7177" s="3">
        <v>14</v>
      </c>
      <c r="F7177" s="4" t="str">
        <f>HYPERLINK("http://141.218.60.56/~jnz1568/getInfo.php?workbook=12_05.xlsx&amp;sheet=U0&amp;row=7177&amp;col=6&amp;number=4.3&amp;sourceID=14","4.3")</f>
        <v>4.3</v>
      </c>
      <c r="G7177" s="4" t="str">
        <f>HYPERLINK("http://141.218.60.56/~jnz1568/getInfo.php?workbook=12_05.xlsx&amp;sheet=U0&amp;row=7177&amp;col=7&amp;number=0.000538&amp;sourceID=14","0.000538")</f>
        <v>0.000538</v>
      </c>
    </row>
    <row r="7178" spans="1:7">
      <c r="A7178" s="3"/>
      <c r="B7178" s="3"/>
      <c r="C7178" s="3"/>
      <c r="D7178" s="3"/>
      <c r="E7178" s="3">
        <v>15</v>
      </c>
      <c r="F7178" s="4" t="str">
        <f>HYPERLINK("http://141.218.60.56/~jnz1568/getInfo.php?workbook=12_05.xlsx&amp;sheet=U0&amp;row=7178&amp;col=6&amp;number=4.4&amp;sourceID=14","4.4")</f>
        <v>4.4</v>
      </c>
      <c r="G7178" s="4" t="str">
        <f>HYPERLINK("http://141.218.60.56/~jnz1568/getInfo.php?workbook=12_05.xlsx&amp;sheet=U0&amp;row=7178&amp;col=7&amp;number=0.000536&amp;sourceID=14","0.000536")</f>
        <v>0.000536</v>
      </c>
    </row>
    <row r="7179" spans="1:7">
      <c r="A7179" s="3"/>
      <c r="B7179" s="3"/>
      <c r="C7179" s="3"/>
      <c r="D7179" s="3"/>
      <c r="E7179" s="3">
        <v>16</v>
      </c>
      <c r="F7179" s="4" t="str">
        <f>HYPERLINK("http://141.218.60.56/~jnz1568/getInfo.php?workbook=12_05.xlsx&amp;sheet=U0&amp;row=7179&amp;col=6&amp;number=4.5&amp;sourceID=14","4.5")</f>
        <v>4.5</v>
      </c>
      <c r="G7179" s="4" t="str">
        <f>HYPERLINK("http://141.218.60.56/~jnz1568/getInfo.php?workbook=12_05.xlsx&amp;sheet=U0&amp;row=7179&amp;col=7&amp;number=0.000533&amp;sourceID=14","0.000533")</f>
        <v>0.000533</v>
      </c>
    </row>
    <row r="7180" spans="1:7">
      <c r="A7180" s="3"/>
      <c r="B7180" s="3"/>
      <c r="C7180" s="3"/>
      <c r="D7180" s="3"/>
      <c r="E7180" s="3">
        <v>17</v>
      </c>
      <c r="F7180" s="4" t="str">
        <f>HYPERLINK("http://141.218.60.56/~jnz1568/getInfo.php?workbook=12_05.xlsx&amp;sheet=U0&amp;row=7180&amp;col=6&amp;number=4.6&amp;sourceID=14","4.6")</f>
        <v>4.6</v>
      </c>
      <c r="G7180" s="4" t="str">
        <f>HYPERLINK("http://141.218.60.56/~jnz1568/getInfo.php?workbook=12_05.xlsx&amp;sheet=U0&amp;row=7180&amp;col=7&amp;number=0.00053&amp;sourceID=14","0.00053")</f>
        <v>0.00053</v>
      </c>
    </row>
    <row r="7181" spans="1:7">
      <c r="A7181" s="3"/>
      <c r="B7181" s="3"/>
      <c r="C7181" s="3"/>
      <c r="D7181" s="3"/>
      <c r="E7181" s="3">
        <v>18</v>
      </c>
      <c r="F7181" s="4" t="str">
        <f>HYPERLINK("http://141.218.60.56/~jnz1568/getInfo.php?workbook=12_05.xlsx&amp;sheet=U0&amp;row=7181&amp;col=6&amp;number=4.7&amp;sourceID=14","4.7")</f>
        <v>4.7</v>
      </c>
      <c r="G7181" s="4" t="str">
        <f>HYPERLINK("http://141.218.60.56/~jnz1568/getInfo.php?workbook=12_05.xlsx&amp;sheet=U0&amp;row=7181&amp;col=7&amp;number=0.000526&amp;sourceID=14","0.000526")</f>
        <v>0.000526</v>
      </c>
    </row>
    <row r="7182" spans="1:7">
      <c r="A7182" s="3"/>
      <c r="B7182" s="3"/>
      <c r="C7182" s="3"/>
      <c r="D7182" s="3"/>
      <c r="E7182" s="3">
        <v>19</v>
      </c>
      <c r="F7182" s="4" t="str">
        <f>HYPERLINK("http://141.218.60.56/~jnz1568/getInfo.php?workbook=12_05.xlsx&amp;sheet=U0&amp;row=7182&amp;col=6&amp;number=4.8&amp;sourceID=14","4.8")</f>
        <v>4.8</v>
      </c>
      <c r="G7182" s="4" t="str">
        <f>HYPERLINK("http://141.218.60.56/~jnz1568/getInfo.php?workbook=12_05.xlsx&amp;sheet=U0&amp;row=7182&amp;col=7&amp;number=0.00052&amp;sourceID=14","0.00052")</f>
        <v>0.00052</v>
      </c>
    </row>
    <row r="7183" spans="1:7">
      <c r="A7183" s="3"/>
      <c r="B7183" s="3"/>
      <c r="C7183" s="3"/>
      <c r="D7183" s="3"/>
      <c r="E7183" s="3">
        <v>20</v>
      </c>
      <c r="F7183" s="4" t="str">
        <f>HYPERLINK("http://141.218.60.56/~jnz1568/getInfo.php?workbook=12_05.xlsx&amp;sheet=U0&amp;row=7183&amp;col=6&amp;number=4.9&amp;sourceID=14","4.9")</f>
        <v>4.9</v>
      </c>
      <c r="G7183" s="4" t="str">
        <f>HYPERLINK("http://141.218.60.56/~jnz1568/getInfo.php?workbook=12_05.xlsx&amp;sheet=U0&amp;row=7183&amp;col=7&amp;number=0.000514&amp;sourceID=14","0.000514")</f>
        <v>0.000514</v>
      </c>
    </row>
    <row r="7184" spans="1:7">
      <c r="A7184" s="3">
        <v>12</v>
      </c>
      <c r="B7184" s="3">
        <v>5</v>
      </c>
      <c r="C7184" s="3">
        <v>4</v>
      </c>
      <c r="D7184" s="3">
        <v>119</v>
      </c>
      <c r="E7184" s="3">
        <v>1</v>
      </c>
      <c r="F7184" s="4" t="str">
        <f>HYPERLINK("http://141.218.60.56/~jnz1568/getInfo.php?workbook=12_05.xlsx&amp;sheet=U0&amp;row=7184&amp;col=6&amp;number=3&amp;sourceID=14","3")</f>
        <v>3</v>
      </c>
      <c r="G7184" s="4" t="str">
        <f>HYPERLINK("http://141.218.60.56/~jnz1568/getInfo.php?workbook=12_05.xlsx&amp;sheet=U0&amp;row=7184&amp;col=7&amp;number=0.021&amp;sourceID=14","0.021")</f>
        <v>0.021</v>
      </c>
    </row>
    <row r="7185" spans="1:7">
      <c r="A7185" s="3"/>
      <c r="B7185" s="3"/>
      <c r="C7185" s="3"/>
      <c r="D7185" s="3"/>
      <c r="E7185" s="3">
        <v>2</v>
      </c>
      <c r="F7185" s="4" t="str">
        <f>HYPERLINK("http://141.218.60.56/~jnz1568/getInfo.php?workbook=12_05.xlsx&amp;sheet=U0&amp;row=7185&amp;col=6&amp;number=3.1&amp;sourceID=14","3.1")</f>
        <v>3.1</v>
      </c>
      <c r="G7185" s="4" t="str">
        <f>HYPERLINK("http://141.218.60.56/~jnz1568/getInfo.php?workbook=12_05.xlsx&amp;sheet=U0&amp;row=7185&amp;col=7&amp;number=0.021&amp;sourceID=14","0.021")</f>
        <v>0.021</v>
      </c>
    </row>
    <row r="7186" spans="1:7">
      <c r="A7186" s="3"/>
      <c r="B7186" s="3"/>
      <c r="C7186" s="3"/>
      <c r="D7186" s="3"/>
      <c r="E7186" s="3">
        <v>3</v>
      </c>
      <c r="F7186" s="4" t="str">
        <f>HYPERLINK("http://141.218.60.56/~jnz1568/getInfo.php?workbook=12_05.xlsx&amp;sheet=U0&amp;row=7186&amp;col=6&amp;number=3.2&amp;sourceID=14","3.2")</f>
        <v>3.2</v>
      </c>
      <c r="G7186" s="4" t="str">
        <f>HYPERLINK("http://141.218.60.56/~jnz1568/getInfo.php?workbook=12_05.xlsx&amp;sheet=U0&amp;row=7186&amp;col=7&amp;number=0.021&amp;sourceID=14","0.021")</f>
        <v>0.021</v>
      </c>
    </row>
    <row r="7187" spans="1:7">
      <c r="A7187" s="3"/>
      <c r="B7187" s="3"/>
      <c r="C7187" s="3"/>
      <c r="D7187" s="3"/>
      <c r="E7187" s="3">
        <v>4</v>
      </c>
      <c r="F7187" s="4" t="str">
        <f>HYPERLINK("http://141.218.60.56/~jnz1568/getInfo.php?workbook=12_05.xlsx&amp;sheet=U0&amp;row=7187&amp;col=6&amp;number=3.3&amp;sourceID=14","3.3")</f>
        <v>3.3</v>
      </c>
      <c r="G7187" s="4" t="str">
        <f>HYPERLINK("http://141.218.60.56/~jnz1568/getInfo.php?workbook=12_05.xlsx&amp;sheet=U0&amp;row=7187&amp;col=7&amp;number=0.021&amp;sourceID=14","0.021")</f>
        <v>0.021</v>
      </c>
    </row>
    <row r="7188" spans="1:7">
      <c r="A7188" s="3"/>
      <c r="B7188" s="3"/>
      <c r="C7188" s="3"/>
      <c r="D7188" s="3"/>
      <c r="E7188" s="3">
        <v>5</v>
      </c>
      <c r="F7188" s="4" t="str">
        <f>HYPERLINK("http://141.218.60.56/~jnz1568/getInfo.php?workbook=12_05.xlsx&amp;sheet=U0&amp;row=7188&amp;col=6&amp;number=3.4&amp;sourceID=14","3.4")</f>
        <v>3.4</v>
      </c>
      <c r="G7188" s="4" t="str">
        <f>HYPERLINK("http://141.218.60.56/~jnz1568/getInfo.php?workbook=12_05.xlsx&amp;sheet=U0&amp;row=7188&amp;col=7&amp;number=0.021&amp;sourceID=14","0.021")</f>
        <v>0.021</v>
      </c>
    </row>
    <row r="7189" spans="1:7">
      <c r="A7189" s="3"/>
      <c r="B7189" s="3"/>
      <c r="C7189" s="3"/>
      <c r="D7189" s="3"/>
      <c r="E7189" s="3">
        <v>6</v>
      </c>
      <c r="F7189" s="4" t="str">
        <f>HYPERLINK("http://141.218.60.56/~jnz1568/getInfo.php?workbook=12_05.xlsx&amp;sheet=U0&amp;row=7189&amp;col=6&amp;number=3.5&amp;sourceID=14","3.5")</f>
        <v>3.5</v>
      </c>
      <c r="G7189" s="4" t="str">
        <f>HYPERLINK("http://141.218.60.56/~jnz1568/getInfo.php?workbook=12_05.xlsx&amp;sheet=U0&amp;row=7189&amp;col=7&amp;number=0.0209&amp;sourceID=14","0.0209")</f>
        <v>0.0209</v>
      </c>
    </row>
    <row r="7190" spans="1:7">
      <c r="A7190" s="3"/>
      <c r="B7190" s="3"/>
      <c r="C7190" s="3"/>
      <c r="D7190" s="3"/>
      <c r="E7190" s="3">
        <v>7</v>
      </c>
      <c r="F7190" s="4" t="str">
        <f>HYPERLINK("http://141.218.60.56/~jnz1568/getInfo.php?workbook=12_05.xlsx&amp;sheet=U0&amp;row=7190&amp;col=6&amp;number=3.6&amp;sourceID=14","3.6")</f>
        <v>3.6</v>
      </c>
      <c r="G7190" s="4" t="str">
        <f>HYPERLINK("http://141.218.60.56/~jnz1568/getInfo.php?workbook=12_05.xlsx&amp;sheet=U0&amp;row=7190&amp;col=7&amp;number=0.0209&amp;sourceID=14","0.0209")</f>
        <v>0.0209</v>
      </c>
    </row>
    <row r="7191" spans="1:7">
      <c r="A7191" s="3"/>
      <c r="B7191" s="3"/>
      <c r="C7191" s="3"/>
      <c r="D7191" s="3"/>
      <c r="E7191" s="3">
        <v>8</v>
      </c>
      <c r="F7191" s="4" t="str">
        <f>HYPERLINK("http://141.218.60.56/~jnz1568/getInfo.php?workbook=12_05.xlsx&amp;sheet=U0&amp;row=7191&amp;col=6&amp;number=3.7&amp;sourceID=14","3.7")</f>
        <v>3.7</v>
      </c>
      <c r="G7191" s="4" t="str">
        <f>HYPERLINK("http://141.218.60.56/~jnz1568/getInfo.php?workbook=12_05.xlsx&amp;sheet=U0&amp;row=7191&amp;col=7&amp;number=0.0209&amp;sourceID=14","0.0209")</f>
        <v>0.0209</v>
      </c>
    </row>
    <row r="7192" spans="1:7">
      <c r="A7192" s="3"/>
      <c r="B7192" s="3"/>
      <c r="C7192" s="3"/>
      <c r="D7192" s="3"/>
      <c r="E7192" s="3">
        <v>9</v>
      </c>
      <c r="F7192" s="4" t="str">
        <f>HYPERLINK("http://141.218.60.56/~jnz1568/getInfo.php?workbook=12_05.xlsx&amp;sheet=U0&amp;row=7192&amp;col=6&amp;number=3.8&amp;sourceID=14","3.8")</f>
        <v>3.8</v>
      </c>
      <c r="G7192" s="4" t="str">
        <f>HYPERLINK("http://141.218.60.56/~jnz1568/getInfo.php?workbook=12_05.xlsx&amp;sheet=U0&amp;row=7192&amp;col=7&amp;number=0.0209&amp;sourceID=14","0.0209")</f>
        <v>0.0209</v>
      </c>
    </row>
    <row r="7193" spans="1:7">
      <c r="A7193" s="3"/>
      <c r="B7193" s="3"/>
      <c r="C7193" s="3"/>
      <c r="D7193" s="3"/>
      <c r="E7193" s="3">
        <v>10</v>
      </c>
      <c r="F7193" s="4" t="str">
        <f>HYPERLINK("http://141.218.60.56/~jnz1568/getInfo.php?workbook=12_05.xlsx&amp;sheet=U0&amp;row=7193&amp;col=6&amp;number=3.9&amp;sourceID=14","3.9")</f>
        <v>3.9</v>
      </c>
      <c r="G7193" s="4" t="str">
        <f>HYPERLINK("http://141.218.60.56/~jnz1568/getInfo.php?workbook=12_05.xlsx&amp;sheet=U0&amp;row=7193&amp;col=7&amp;number=0.0208&amp;sourceID=14","0.0208")</f>
        <v>0.0208</v>
      </c>
    </row>
    <row r="7194" spans="1:7">
      <c r="A7194" s="3"/>
      <c r="B7194" s="3"/>
      <c r="C7194" s="3"/>
      <c r="D7194" s="3"/>
      <c r="E7194" s="3">
        <v>11</v>
      </c>
      <c r="F7194" s="4" t="str">
        <f>HYPERLINK("http://141.218.60.56/~jnz1568/getInfo.php?workbook=12_05.xlsx&amp;sheet=U0&amp;row=7194&amp;col=6&amp;number=4&amp;sourceID=14","4")</f>
        <v>4</v>
      </c>
      <c r="G7194" s="4" t="str">
        <f>HYPERLINK("http://141.218.60.56/~jnz1568/getInfo.php?workbook=12_05.xlsx&amp;sheet=U0&amp;row=7194&amp;col=7&amp;number=0.0208&amp;sourceID=14","0.0208")</f>
        <v>0.0208</v>
      </c>
    </row>
    <row r="7195" spans="1:7">
      <c r="A7195" s="3"/>
      <c r="B7195" s="3"/>
      <c r="C7195" s="3"/>
      <c r="D7195" s="3"/>
      <c r="E7195" s="3">
        <v>12</v>
      </c>
      <c r="F7195" s="4" t="str">
        <f>HYPERLINK("http://141.218.60.56/~jnz1568/getInfo.php?workbook=12_05.xlsx&amp;sheet=U0&amp;row=7195&amp;col=6&amp;number=4.1&amp;sourceID=14","4.1")</f>
        <v>4.1</v>
      </c>
      <c r="G7195" s="4" t="str">
        <f>HYPERLINK("http://141.218.60.56/~jnz1568/getInfo.php?workbook=12_05.xlsx&amp;sheet=U0&amp;row=7195&amp;col=7&amp;number=0.0207&amp;sourceID=14","0.0207")</f>
        <v>0.0207</v>
      </c>
    </row>
    <row r="7196" spans="1:7">
      <c r="A7196" s="3"/>
      <c r="B7196" s="3"/>
      <c r="C7196" s="3"/>
      <c r="D7196" s="3"/>
      <c r="E7196" s="3">
        <v>13</v>
      </c>
      <c r="F7196" s="4" t="str">
        <f>HYPERLINK("http://141.218.60.56/~jnz1568/getInfo.php?workbook=12_05.xlsx&amp;sheet=U0&amp;row=7196&amp;col=6&amp;number=4.2&amp;sourceID=14","4.2")</f>
        <v>4.2</v>
      </c>
      <c r="G7196" s="4" t="str">
        <f>HYPERLINK("http://141.218.60.56/~jnz1568/getInfo.php?workbook=12_05.xlsx&amp;sheet=U0&amp;row=7196&amp;col=7&amp;number=0.0206&amp;sourceID=14","0.0206")</f>
        <v>0.0206</v>
      </c>
    </row>
    <row r="7197" spans="1:7">
      <c r="A7197" s="3"/>
      <c r="B7197" s="3"/>
      <c r="C7197" s="3"/>
      <c r="D7197" s="3"/>
      <c r="E7197" s="3">
        <v>14</v>
      </c>
      <c r="F7197" s="4" t="str">
        <f>HYPERLINK("http://141.218.60.56/~jnz1568/getInfo.php?workbook=12_05.xlsx&amp;sheet=U0&amp;row=7197&amp;col=6&amp;number=4.3&amp;sourceID=14","4.3")</f>
        <v>4.3</v>
      </c>
      <c r="G7197" s="4" t="str">
        <f>HYPERLINK("http://141.218.60.56/~jnz1568/getInfo.php?workbook=12_05.xlsx&amp;sheet=U0&amp;row=7197&amp;col=7&amp;number=0.0205&amp;sourceID=14","0.0205")</f>
        <v>0.0205</v>
      </c>
    </row>
    <row r="7198" spans="1:7">
      <c r="A7198" s="3"/>
      <c r="B7198" s="3"/>
      <c r="C7198" s="3"/>
      <c r="D7198" s="3"/>
      <c r="E7198" s="3">
        <v>15</v>
      </c>
      <c r="F7198" s="4" t="str">
        <f>HYPERLINK("http://141.218.60.56/~jnz1568/getInfo.php?workbook=12_05.xlsx&amp;sheet=U0&amp;row=7198&amp;col=6&amp;number=4.4&amp;sourceID=14","4.4")</f>
        <v>4.4</v>
      </c>
      <c r="G7198" s="4" t="str">
        <f>HYPERLINK("http://141.218.60.56/~jnz1568/getInfo.php?workbook=12_05.xlsx&amp;sheet=U0&amp;row=7198&amp;col=7&amp;number=0.0204&amp;sourceID=14","0.0204")</f>
        <v>0.0204</v>
      </c>
    </row>
    <row r="7199" spans="1:7">
      <c r="A7199" s="3"/>
      <c r="B7199" s="3"/>
      <c r="C7199" s="3"/>
      <c r="D7199" s="3"/>
      <c r="E7199" s="3">
        <v>16</v>
      </c>
      <c r="F7199" s="4" t="str">
        <f>HYPERLINK("http://141.218.60.56/~jnz1568/getInfo.php?workbook=12_05.xlsx&amp;sheet=U0&amp;row=7199&amp;col=6&amp;number=4.5&amp;sourceID=14","4.5")</f>
        <v>4.5</v>
      </c>
      <c r="G7199" s="4" t="str">
        <f>HYPERLINK("http://141.218.60.56/~jnz1568/getInfo.php?workbook=12_05.xlsx&amp;sheet=U0&amp;row=7199&amp;col=7&amp;number=0.0202&amp;sourceID=14","0.0202")</f>
        <v>0.0202</v>
      </c>
    </row>
    <row r="7200" spans="1:7">
      <c r="A7200" s="3"/>
      <c r="B7200" s="3"/>
      <c r="C7200" s="3"/>
      <c r="D7200" s="3"/>
      <c r="E7200" s="3">
        <v>17</v>
      </c>
      <c r="F7200" s="4" t="str">
        <f>HYPERLINK("http://141.218.60.56/~jnz1568/getInfo.php?workbook=12_05.xlsx&amp;sheet=U0&amp;row=7200&amp;col=6&amp;number=4.6&amp;sourceID=14","4.6")</f>
        <v>4.6</v>
      </c>
      <c r="G7200" s="4" t="str">
        <f>HYPERLINK("http://141.218.60.56/~jnz1568/getInfo.php?workbook=12_05.xlsx&amp;sheet=U0&amp;row=7200&amp;col=7&amp;number=0.02&amp;sourceID=14","0.02")</f>
        <v>0.02</v>
      </c>
    </row>
    <row r="7201" spans="1:7">
      <c r="A7201" s="3"/>
      <c r="B7201" s="3"/>
      <c r="C7201" s="3"/>
      <c r="D7201" s="3"/>
      <c r="E7201" s="3">
        <v>18</v>
      </c>
      <c r="F7201" s="4" t="str">
        <f>HYPERLINK("http://141.218.60.56/~jnz1568/getInfo.php?workbook=12_05.xlsx&amp;sheet=U0&amp;row=7201&amp;col=6&amp;number=4.7&amp;sourceID=14","4.7")</f>
        <v>4.7</v>
      </c>
      <c r="G7201" s="4" t="str">
        <f>HYPERLINK("http://141.218.60.56/~jnz1568/getInfo.php?workbook=12_05.xlsx&amp;sheet=U0&amp;row=7201&amp;col=7&amp;number=0.0197&amp;sourceID=14","0.0197")</f>
        <v>0.0197</v>
      </c>
    </row>
    <row r="7202" spans="1:7">
      <c r="A7202" s="3"/>
      <c r="B7202" s="3"/>
      <c r="C7202" s="3"/>
      <c r="D7202" s="3"/>
      <c r="E7202" s="3">
        <v>19</v>
      </c>
      <c r="F7202" s="4" t="str">
        <f>HYPERLINK("http://141.218.60.56/~jnz1568/getInfo.php?workbook=12_05.xlsx&amp;sheet=U0&amp;row=7202&amp;col=6&amp;number=4.8&amp;sourceID=14","4.8")</f>
        <v>4.8</v>
      </c>
      <c r="G7202" s="4" t="str">
        <f>HYPERLINK("http://141.218.60.56/~jnz1568/getInfo.php?workbook=12_05.xlsx&amp;sheet=U0&amp;row=7202&amp;col=7&amp;number=0.0194&amp;sourceID=14","0.0194")</f>
        <v>0.0194</v>
      </c>
    </row>
    <row r="7203" spans="1:7">
      <c r="A7203" s="3"/>
      <c r="B7203" s="3"/>
      <c r="C7203" s="3"/>
      <c r="D7203" s="3"/>
      <c r="E7203" s="3">
        <v>20</v>
      </c>
      <c r="F7203" s="4" t="str">
        <f>HYPERLINK("http://141.218.60.56/~jnz1568/getInfo.php?workbook=12_05.xlsx&amp;sheet=U0&amp;row=7203&amp;col=6&amp;number=4.9&amp;sourceID=14","4.9")</f>
        <v>4.9</v>
      </c>
      <c r="G7203" s="4" t="str">
        <f>HYPERLINK("http://141.218.60.56/~jnz1568/getInfo.php?workbook=12_05.xlsx&amp;sheet=U0&amp;row=7203&amp;col=7&amp;number=0.019&amp;sourceID=14","0.019")</f>
        <v>0.019</v>
      </c>
    </row>
    <row r="7204" spans="1:7">
      <c r="A7204" s="3">
        <v>12</v>
      </c>
      <c r="B7204" s="3">
        <v>5</v>
      </c>
      <c r="C7204" s="3">
        <v>4</v>
      </c>
      <c r="D7204" s="3">
        <v>120</v>
      </c>
      <c r="E7204" s="3">
        <v>1</v>
      </c>
      <c r="F7204" s="4" t="str">
        <f>HYPERLINK("http://141.218.60.56/~jnz1568/getInfo.php?workbook=12_05.xlsx&amp;sheet=U0&amp;row=7204&amp;col=6&amp;number=3&amp;sourceID=14","3")</f>
        <v>3</v>
      </c>
      <c r="G7204" s="4" t="str">
        <f>HYPERLINK("http://141.218.60.56/~jnz1568/getInfo.php?workbook=12_05.xlsx&amp;sheet=U0&amp;row=7204&amp;col=7&amp;number=0.0301&amp;sourceID=14","0.0301")</f>
        <v>0.0301</v>
      </c>
    </row>
    <row r="7205" spans="1:7">
      <c r="A7205" s="3"/>
      <c r="B7205" s="3"/>
      <c r="C7205" s="3"/>
      <c r="D7205" s="3"/>
      <c r="E7205" s="3">
        <v>2</v>
      </c>
      <c r="F7205" s="4" t="str">
        <f>HYPERLINK("http://141.218.60.56/~jnz1568/getInfo.php?workbook=12_05.xlsx&amp;sheet=U0&amp;row=7205&amp;col=6&amp;number=3.1&amp;sourceID=14","3.1")</f>
        <v>3.1</v>
      </c>
      <c r="G7205" s="4" t="str">
        <f>HYPERLINK("http://141.218.60.56/~jnz1568/getInfo.php?workbook=12_05.xlsx&amp;sheet=U0&amp;row=7205&amp;col=7&amp;number=0.0301&amp;sourceID=14","0.0301")</f>
        <v>0.0301</v>
      </c>
    </row>
    <row r="7206" spans="1:7">
      <c r="A7206" s="3"/>
      <c r="B7206" s="3"/>
      <c r="C7206" s="3"/>
      <c r="D7206" s="3"/>
      <c r="E7206" s="3">
        <v>3</v>
      </c>
      <c r="F7206" s="4" t="str">
        <f>HYPERLINK("http://141.218.60.56/~jnz1568/getInfo.php?workbook=12_05.xlsx&amp;sheet=U0&amp;row=7206&amp;col=6&amp;number=3.2&amp;sourceID=14","3.2")</f>
        <v>3.2</v>
      </c>
      <c r="G7206" s="4" t="str">
        <f>HYPERLINK("http://141.218.60.56/~jnz1568/getInfo.php?workbook=12_05.xlsx&amp;sheet=U0&amp;row=7206&amp;col=7&amp;number=0.0301&amp;sourceID=14","0.0301")</f>
        <v>0.0301</v>
      </c>
    </row>
    <row r="7207" spans="1:7">
      <c r="A7207" s="3"/>
      <c r="B7207" s="3"/>
      <c r="C7207" s="3"/>
      <c r="D7207" s="3"/>
      <c r="E7207" s="3">
        <v>4</v>
      </c>
      <c r="F7207" s="4" t="str">
        <f>HYPERLINK("http://141.218.60.56/~jnz1568/getInfo.php?workbook=12_05.xlsx&amp;sheet=U0&amp;row=7207&amp;col=6&amp;number=3.3&amp;sourceID=14","3.3")</f>
        <v>3.3</v>
      </c>
      <c r="G7207" s="4" t="str">
        <f>HYPERLINK("http://141.218.60.56/~jnz1568/getInfo.php?workbook=12_05.xlsx&amp;sheet=U0&amp;row=7207&amp;col=7&amp;number=0.03&amp;sourceID=14","0.03")</f>
        <v>0.03</v>
      </c>
    </row>
    <row r="7208" spans="1:7">
      <c r="A7208" s="3"/>
      <c r="B7208" s="3"/>
      <c r="C7208" s="3"/>
      <c r="D7208" s="3"/>
      <c r="E7208" s="3">
        <v>5</v>
      </c>
      <c r="F7208" s="4" t="str">
        <f>HYPERLINK("http://141.218.60.56/~jnz1568/getInfo.php?workbook=12_05.xlsx&amp;sheet=U0&amp;row=7208&amp;col=6&amp;number=3.4&amp;sourceID=14","3.4")</f>
        <v>3.4</v>
      </c>
      <c r="G7208" s="4" t="str">
        <f>HYPERLINK("http://141.218.60.56/~jnz1568/getInfo.php?workbook=12_05.xlsx&amp;sheet=U0&amp;row=7208&amp;col=7&amp;number=0.03&amp;sourceID=14","0.03")</f>
        <v>0.03</v>
      </c>
    </row>
    <row r="7209" spans="1:7">
      <c r="A7209" s="3"/>
      <c r="B7209" s="3"/>
      <c r="C7209" s="3"/>
      <c r="D7209" s="3"/>
      <c r="E7209" s="3">
        <v>6</v>
      </c>
      <c r="F7209" s="4" t="str">
        <f>HYPERLINK("http://141.218.60.56/~jnz1568/getInfo.php?workbook=12_05.xlsx&amp;sheet=U0&amp;row=7209&amp;col=6&amp;number=3.5&amp;sourceID=14","3.5")</f>
        <v>3.5</v>
      </c>
      <c r="G7209" s="4" t="str">
        <f>HYPERLINK("http://141.218.60.56/~jnz1568/getInfo.php?workbook=12_05.xlsx&amp;sheet=U0&amp;row=7209&amp;col=7&amp;number=0.03&amp;sourceID=14","0.03")</f>
        <v>0.03</v>
      </c>
    </row>
    <row r="7210" spans="1:7">
      <c r="A7210" s="3"/>
      <c r="B7210" s="3"/>
      <c r="C7210" s="3"/>
      <c r="D7210" s="3"/>
      <c r="E7210" s="3">
        <v>7</v>
      </c>
      <c r="F7210" s="4" t="str">
        <f>HYPERLINK("http://141.218.60.56/~jnz1568/getInfo.php?workbook=12_05.xlsx&amp;sheet=U0&amp;row=7210&amp;col=6&amp;number=3.6&amp;sourceID=14","3.6")</f>
        <v>3.6</v>
      </c>
      <c r="G7210" s="4" t="str">
        <f>HYPERLINK("http://141.218.60.56/~jnz1568/getInfo.php?workbook=12_05.xlsx&amp;sheet=U0&amp;row=7210&amp;col=7&amp;number=0.03&amp;sourceID=14","0.03")</f>
        <v>0.03</v>
      </c>
    </row>
    <row r="7211" spans="1:7">
      <c r="A7211" s="3"/>
      <c r="B7211" s="3"/>
      <c r="C7211" s="3"/>
      <c r="D7211" s="3"/>
      <c r="E7211" s="3">
        <v>8</v>
      </c>
      <c r="F7211" s="4" t="str">
        <f>HYPERLINK("http://141.218.60.56/~jnz1568/getInfo.php?workbook=12_05.xlsx&amp;sheet=U0&amp;row=7211&amp;col=6&amp;number=3.7&amp;sourceID=14","3.7")</f>
        <v>3.7</v>
      </c>
      <c r="G7211" s="4" t="str">
        <f>HYPERLINK("http://141.218.60.56/~jnz1568/getInfo.php?workbook=12_05.xlsx&amp;sheet=U0&amp;row=7211&amp;col=7&amp;number=0.03&amp;sourceID=14","0.03")</f>
        <v>0.03</v>
      </c>
    </row>
    <row r="7212" spans="1:7">
      <c r="A7212" s="3"/>
      <c r="B7212" s="3"/>
      <c r="C7212" s="3"/>
      <c r="D7212" s="3"/>
      <c r="E7212" s="3">
        <v>9</v>
      </c>
      <c r="F7212" s="4" t="str">
        <f>HYPERLINK("http://141.218.60.56/~jnz1568/getInfo.php?workbook=12_05.xlsx&amp;sheet=U0&amp;row=7212&amp;col=6&amp;number=3.8&amp;sourceID=14","3.8")</f>
        <v>3.8</v>
      </c>
      <c r="G7212" s="4" t="str">
        <f>HYPERLINK("http://141.218.60.56/~jnz1568/getInfo.php?workbook=12_05.xlsx&amp;sheet=U0&amp;row=7212&amp;col=7&amp;number=0.0299&amp;sourceID=14","0.0299")</f>
        <v>0.0299</v>
      </c>
    </row>
    <row r="7213" spans="1:7">
      <c r="A7213" s="3"/>
      <c r="B7213" s="3"/>
      <c r="C7213" s="3"/>
      <c r="D7213" s="3"/>
      <c r="E7213" s="3">
        <v>10</v>
      </c>
      <c r="F7213" s="4" t="str">
        <f>HYPERLINK("http://141.218.60.56/~jnz1568/getInfo.php?workbook=12_05.xlsx&amp;sheet=U0&amp;row=7213&amp;col=6&amp;number=3.9&amp;sourceID=14","3.9")</f>
        <v>3.9</v>
      </c>
      <c r="G7213" s="4" t="str">
        <f>HYPERLINK("http://141.218.60.56/~jnz1568/getInfo.php?workbook=12_05.xlsx&amp;sheet=U0&amp;row=7213&amp;col=7&amp;number=0.0299&amp;sourceID=14","0.0299")</f>
        <v>0.0299</v>
      </c>
    </row>
    <row r="7214" spans="1:7">
      <c r="A7214" s="3"/>
      <c r="B7214" s="3"/>
      <c r="C7214" s="3"/>
      <c r="D7214" s="3"/>
      <c r="E7214" s="3">
        <v>11</v>
      </c>
      <c r="F7214" s="4" t="str">
        <f>HYPERLINK("http://141.218.60.56/~jnz1568/getInfo.php?workbook=12_05.xlsx&amp;sheet=U0&amp;row=7214&amp;col=6&amp;number=4&amp;sourceID=14","4")</f>
        <v>4</v>
      </c>
      <c r="G7214" s="4" t="str">
        <f>HYPERLINK("http://141.218.60.56/~jnz1568/getInfo.php?workbook=12_05.xlsx&amp;sheet=U0&amp;row=7214&amp;col=7&amp;number=0.0298&amp;sourceID=14","0.0298")</f>
        <v>0.0298</v>
      </c>
    </row>
    <row r="7215" spans="1:7">
      <c r="A7215" s="3"/>
      <c r="B7215" s="3"/>
      <c r="C7215" s="3"/>
      <c r="D7215" s="3"/>
      <c r="E7215" s="3">
        <v>12</v>
      </c>
      <c r="F7215" s="4" t="str">
        <f>HYPERLINK("http://141.218.60.56/~jnz1568/getInfo.php?workbook=12_05.xlsx&amp;sheet=U0&amp;row=7215&amp;col=6&amp;number=4.1&amp;sourceID=14","4.1")</f>
        <v>4.1</v>
      </c>
      <c r="G7215" s="4" t="str">
        <f>HYPERLINK("http://141.218.60.56/~jnz1568/getInfo.php?workbook=12_05.xlsx&amp;sheet=U0&amp;row=7215&amp;col=7&amp;number=0.0297&amp;sourceID=14","0.0297")</f>
        <v>0.0297</v>
      </c>
    </row>
    <row r="7216" spans="1:7">
      <c r="A7216" s="3"/>
      <c r="B7216" s="3"/>
      <c r="C7216" s="3"/>
      <c r="D7216" s="3"/>
      <c r="E7216" s="3">
        <v>13</v>
      </c>
      <c r="F7216" s="4" t="str">
        <f>HYPERLINK("http://141.218.60.56/~jnz1568/getInfo.php?workbook=12_05.xlsx&amp;sheet=U0&amp;row=7216&amp;col=6&amp;number=4.2&amp;sourceID=14","4.2")</f>
        <v>4.2</v>
      </c>
      <c r="G7216" s="4" t="str">
        <f>HYPERLINK("http://141.218.60.56/~jnz1568/getInfo.php?workbook=12_05.xlsx&amp;sheet=U0&amp;row=7216&amp;col=7&amp;number=0.0297&amp;sourceID=14","0.0297")</f>
        <v>0.0297</v>
      </c>
    </row>
    <row r="7217" spans="1:7">
      <c r="A7217" s="3"/>
      <c r="B7217" s="3"/>
      <c r="C7217" s="3"/>
      <c r="D7217" s="3"/>
      <c r="E7217" s="3">
        <v>14</v>
      </c>
      <c r="F7217" s="4" t="str">
        <f>HYPERLINK("http://141.218.60.56/~jnz1568/getInfo.php?workbook=12_05.xlsx&amp;sheet=U0&amp;row=7217&amp;col=6&amp;number=4.3&amp;sourceID=14","4.3")</f>
        <v>4.3</v>
      </c>
      <c r="G7217" s="4" t="str">
        <f>HYPERLINK("http://141.218.60.56/~jnz1568/getInfo.php?workbook=12_05.xlsx&amp;sheet=U0&amp;row=7217&amp;col=7&amp;number=0.0295&amp;sourceID=14","0.0295")</f>
        <v>0.0295</v>
      </c>
    </row>
    <row r="7218" spans="1:7">
      <c r="A7218" s="3"/>
      <c r="B7218" s="3"/>
      <c r="C7218" s="3"/>
      <c r="D7218" s="3"/>
      <c r="E7218" s="3">
        <v>15</v>
      </c>
      <c r="F7218" s="4" t="str">
        <f>HYPERLINK("http://141.218.60.56/~jnz1568/getInfo.php?workbook=12_05.xlsx&amp;sheet=U0&amp;row=7218&amp;col=6&amp;number=4.4&amp;sourceID=14","4.4")</f>
        <v>4.4</v>
      </c>
      <c r="G7218" s="4" t="str">
        <f>HYPERLINK("http://141.218.60.56/~jnz1568/getInfo.php?workbook=12_05.xlsx&amp;sheet=U0&amp;row=7218&amp;col=7&amp;number=0.0294&amp;sourceID=14","0.0294")</f>
        <v>0.0294</v>
      </c>
    </row>
    <row r="7219" spans="1:7">
      <c r="A7219" s="3"/>
      <c r="B7219" s="3"/>
      <c r="C7219" s="3"/>
      <c r="D7219" s="3"/>
      <c r="E7219" s="3">
        <v>16</v>
      </c>
      <c r="F7219" s="4" t="str">
        <f>HYPERLINK("http://141.218.60.56/~jnz1568/getInfo.php?workbook=12_05.xlsx&amp;sheet=U0&amp;row=7219&amp;col=6&amp;number=4.5&amp;sourceID=14","4.5")</f>
        <v>4.5</v>
      </c>
      <c r="G7219" s="4" t="str">
        <f>HYPERLINK("http://141.218.60.56/~jnz1568/getInfo.php?workbook=12_05.xlsx&amp;sheet=U0&amp;row=7219&amp;col=7&amp;number=0.0292&amp;sourceID=14","0.0292")</f>
        <v>0.0292</v>
      </c>
    </row>
    <row r="7220" spans="1:7">
      <c r="A7220" s="3"/>
      <c r="B7220" s="3"/>
      <c r="C7220" s="3"/>
      <c r="D7220" s="3"/>
      <c r="E7220" s="3">
        <v>17</v>
      </c>
      <c r="F7220" s="4" t="str">
        <f>HYPERLINK("http://141.218.60.56/~jnz1568/getInfo.php?workbook=12_05.xlsx&amp;sheet=U0&amp;row=7220&amp;col=6&amp;number=4.6&amp;sourceID=14","4.6")</f>
        <v>4.6</v>
      </c>
      <c r="G7220" s="4" t="str">
        <f>HYPERLINK("http://141.218.60.56/~jnz1568/getInfo.php?workbook=12_05.xlsx&amp;sheet=U0&amp;row=7220&amp;col=7&amp;number=0.029&amp;sourceID=14","0.029")</f>
        <v>0.029</v>
      </c>
    </row>
    <row r="7221" spans="1:7">
      <c r="A7221" s="3"/>
      <c r="B7221" s="3"/>
      <c r="C7221" s="3"/>
      <c r="D7221" s="3"/>
      <c r="E7221" s="3">
        <v>18</v>
      </c>
      <c r="F7221" s="4" t="str">
        <f>HYPERLINK("http://141.218.60.56/~jnz1568/getInfo.php?workbook=12_05.xlsx&amp;sheet=U0&amp;row=7221&amp;col=6&amp;number=4.7&amp;sourceID=14","4.7")</f>
        <v>4.7</v>
      </c>
      <c r="G7221" s="4" t="str">
        <f>HYPERLINK("http://141.218.60.56/~jnz1568/getInfo.php?workbook=12_05.xlsx&amp;sheet=U0&amp;row=7221&amp;col=7&amp;number=0.0287&amp;sourceID=14","0.0287")</f>
        <v>0.0287</v>
      </c>
    </row>
    <row r="7222" spans="1:7">
      <c r="A7222" s="3"/>
      <c r="B7222" s="3"/>
      <c r="C7222" s="3"/>
      <c r="D7222" s="3"/>
      <c r="E7222" s="3">
        <v>19</v>
      </c>
      <c r="F7222" s="4" t="str">
        <f>HYPERLINK("http://141.218.60.56/~jnz1568/getInfo.php?workbook=12_05.xlsx&amp;sheet=U0&amp;row=7222&amp;col=6&amp;number=4.8&amp;sourceID=14","4.8")</f>
        <v>4.8</v>
      </c>
      <c r="G7222" s="4" t="str">
        <f>HYPERLINK("http://141.218.60.56/~jnz1568/getInfo.php?workbook=12_05.xlsx&amp;sheet=U0&amp;row=7222&amp;col=7&amp;number=0.0284&amp;sourceID=14","0.0284")</f>
        <v>0.0284</v>
      </c>
    </row>
    <row r="7223" spans="1:7">
      <c r="A7223" s="3"/>
      <c r="B7223" s="3"/>
      <c r="C7223" s="3"/>
      <c r="D7223" s="3"/>
      <c r="E7223" s="3">
        <v>20</v>
      </c>
      <c r="F7223" s="4" t="str">
        <f>HYPERLINK("http://141.218.60.56/~jnz1568/getInfo.php?workbook=12_05.xlsx&amp;sheet=U0&amp;row=7223&amp;col=6&amp;number=4.9&amp;sourceID=14","4.9")</f>
        <v>4.9</v>
      </c>
      <c r="G7223" s="4" t="str">
        <f>HYPERLINK("http://141.218.60.56/~jnz1568/getInfo.php?workbook=12_05.xlsx&amp;sheet=U0&amp;row=7223&amp;col=7&amp;number=0.028&amp;sourceID=14","0.028")</f>
        <v>0.028</v>
      </c>
    </row>
    <row r="7224" spans="1:7">
      <c r="A7224" s="3">
        <v>12</v>
      </c>
      <c r="B7224" s="3">
        <v>5</v>
      </c>
      <c r="C7224" s="3">
        <v>4</v>
      </c>
      <c r="D7224" s="3">
        <v>121</v>
      </c>
      <c r="E7224" s="3">
        <v>1</v>
      </c>
      <c r="F7224" s="4" t="str">
        <f>HYPERLINK("http://141.218.60.56/~jnz1568/getInfo.php?workbook=12_05.xlsx&amp;sheet=U0&amp;row=7224&amp;col=6&amp;number=3&amp;sourceID=14","3")</f>
        <v>3</v>
      </c>
      <c r="G7224" s="4" t="str">
        <f>HYPERLINK("http://141.218.60.56/~jnz1568/getInfo.php?workbook=12_05.xlsx&amp;sheet=U0&amp;row=7224&amp;col=7&amp;number=0.0248&amp;sourceID=14","0.0248")</f>
        <v>0.0248</v>
      </c>
    </row>
    <row r="7225" spans="1:7">
      <c r="A7225" s="3"/>
      <c r="B7225" s="3"/>
      <c r="C7225" s="3"/>
      <c r="D7225" s="3"/>
      <c r="E7225" s="3">
        <v>2</v>
      </c>
      <c r="F7225" s="4" t="str">
        <f>HYPERLINK("http://141.218.60.56/~jnz1568/getInfo.php?workbook=12_05.xlsx&amp;sheet=U0&amp;row=7225&amp;col=6&amp;number=3.1&amp;sourceID=14","3.1")</f>
        <v>3.1</v>
      </c>
      <c r="G7225" s="4" t="str">
        <f>HYPERLINK("http://141.218.60.56/~jnz1568/getInfo.php?workbook=12_05.xlsx&amp;sheet=U0&amp;row=7225&amp;col=7&amp;number=0.0248&amp;sourceID=14","0.0248")</f>
        <v>0.0248</v>
      </c>
    </row>
    <row r="7226" spans="1:7">
      <c r="A7226" s="3"/>
      <c r="B7226" s="3"/>
      <c r="C7226" s="3"/>
      <c r="D7226" s="3"/>
      <c r="E7226" s="3">
        <v>3</v>
      </c>
      <c r="F7226" s="4" t="str">
        <f>HYPERLINK("http://141.218.60.56/~jnz1568/getInfo.php?workbook=12_05.xlsx&amp;sheet=U0&amp;row=7226&amp;col=6&amp;number=3.2&amp;sourceID=14","3.2")</f>
        <v>3.2</v>
      </c>
      <c r="G7226" s="4" t="str">
        <f>HYPERLINK("http://141.218.60.56/~jnz1568/getInfo.php?workbook=12_05.xlsx&amp;sheet=U0&amp;row=7226&amp;col=7&amp;number=0.0248&amp;sourceID=14","0.0248")</f>
        <v>0.0248</v>
      </c>
    </row>
    <row r="7227" spans="1:7">
      <c r="A7227" s="3"/>
      <c r="B7227" s="3"/>
      <c r="C7227" s="3"/>
      <c r="D7227" s="3"/>
      <c r="E7227" s="3">
        <v>4</v>
      </c>
      <c r="F7227" s="4" t="str">
        <f>HYPERLINK("http://141.218.60.56/~jnz1568/getInfo.php?workbook=12_05.xlsx&amp;sheet=U0&amp;row=7227&amp;col=6&amp;number=3.3&amp;sourceID=14","3.3")</f>
        <v>3.3</v>
      </c>
      <c r="G7227" s="4" t="str">
        <f>HYPERLINK("http://141.218.60.56/~jnz1568/getInfo.php?workbook=12_05.xlsx&amp;sheet=U0&amp;row=7227&amp;col=7&amp;number=0.0248&amp;sourceID=14","0.0248")</f>
        <v>0.0248</v>
      </c>
    </row>
    <row r="7228" spans="1:7">
      <c r="A7228" s="3"/>
      <c r="B7228" s="3"/>
      <c r="C7228" s="3"/>
      <c r="D7228" s="3"/>
      <c r="E7228" s="3">
        <v>5</v>
      </c>
      <c r="F7228" s="4" t="str">
        <f>HYPERLINK("http://141.218.60.56/~jnz1568/getInfo.php?workbook=12_05.xlsx&amp;sheet=U0&amp;row=7228&amp;col=6&amp;number=3.4&amp;sourceID=14","3.4")</f>
        <v>3.4</v>
      </c>
      <c r="G7228" s="4" t="str">
        <f>HYPERLINK("http://141.218.60.56/~jnz1568/getInfo.php?workbook=12_05.xlsx&amp;sheet=U0&amp;row=7228&amp;col=7&amp;number=0.0248&amp;sourceID=14","0.0248")</f>
        <v>0.0248</v>
      </c>
    </row>
    <row r="7229" spans="1:7">
      <c r="A7229" s="3"/>
      <c r="B7229" s="3"/>
      <c r="C7229" s="3"/>
      <c r="D7229" s="3"/>
      <c r="E7229" s="3">
        <v>6</v>
      </c>
      <c r="F7229" s="4" t="str">
        <f>HYPERLINK("http://141.218.60.56/~jnz1568/getInfo.php?workbook=12_05.xlsx&amp;sheet=U0&amp;row=7229&amp;col=6&amp;number=3.5&amp;sourceID=14","3.5")</f>
        <v>3.5</v>
      </c>
      <c r="G7229" s="4" t="str">
        <f>HYPERLINK("http://141.218.60.56/~jnz1568/getInfo.php?workbook=12_05.xlsx&amp;sheet=U0&amp;row=7229&amp;col=7&amp;number=0.0247&amp;sourceID=14","0.0247")</f>
        <v>0.0247</v>
      </c>
    </row>
    <row r="7230" spans="1:7">
      <c r="A7230" s="3"/>
      <c r="B7230" s="3"/>
      <c r="C7230" s="3"/>
      <c r="D7230" s="3"/>
      <c r="E7230" s="3">
        <v>7</v>
      </c>
      <c r="F7230" s="4" t="str">
        <f>HYPERLINK("http://141.218.60.56/~jnz1568/getInfo.php?workbook=12_05.xlsx&amp;sheet=U0&amp;row=7230&amp;col=6&amp;number=3.6&amp;sourceID=14","3.6")</f>
        <v>3.6</v>
      </c>
      <c r="G7230" s="4" t="str">
        <f>HYPERLINK("http://141.218.60.56/~jnz1568/getInfo.php?workbook=12_05.xlsx&amp;sheet=U0&amp;row=7230&amp;col=7&amp;number=0.0247&amp;sourceID=14","0.0247")</f>
        <v>0.0247</v>
      </c>
    </row>
    <row r="7231" spans="1:7">
      <c r="A7231" s="3"/>
      <c r="B7231" s="3"/>
      <c r="C7231" s="3"/>
      <c r="D7231" s="3"/>
      <c r="E7231" s="3">
        <v>8</v>
      </c>
      <c r="F7231" s="4" t="str">
        <f>HYPERLINK("http://141.218.60.56/~jnz1568/getInfo.php?workbook=12_05.xlsx&amp;sheet=U0&amp;row=7231&amp;col=6&amp;number=3.7&amp;sourceID=14","3.7")</f>
        <v>3.7</v>
      </c>
      <c r="G7231" s="4" t="str">
        <f>HYPERLINK("http://141.218.60.56/~jnz1568/getInfo.php?workbook=12_05.xlsx&amp;sheet=U0&amp;row=7231&amp;col=7&amp;number=0.0247&amp;sourceID=14","0.0247")</f>
        <v>0.0247</v>
      </c>
    </row>
    <row r="7232" spans="1:7">
      <c r="A7232" s="3"/>
      <c r="B7232" s="3"/>
      <c r="C7232" s="3"/>
      <c r="D7232" s="3"/>
      <c r="E7232" s="3">
        <v>9</v>
      </c>
      <c r="F7232" s="4" t="str">
        <f>HYPERLINK("http://141.218.60.56/~jnz1568/getInfo.php?workbook=12_05.xlsx&amp;sheet=U0&amp;row=7232&amp;col=6&amp;number=3.8&amp;sourceID=14","3.8")</f>
        <v>3.8</v>
      </c>
      <c r="G7232" s="4" t="str">
        <f>HYPERLINK("http://141.218.60.56/~jnz1568/getInfo.php?workbook=12_05.xlsx&amp;sheet=U0&amp;row=7232&amp;col=7&amp;number=0.0246&amp;sourceID=14","0.0246")</f>
        <v>0.0246</v>
      </c>
    </row>
    <row r="7233" spans="1:7">
      <c r="A7233" s="3"/>
      <c r="B7233" s="3"/>
      <c r="C7233" s="3"/>
      <c r="D7233" s="3"/>
      <c r="E7233" s="3">
        <v>10</v>
      </c>
      <c r="F7233" s="4" t="str">
        <f>HYPERLINK("http://141.218.60.56/~jnz1568/getInfo.php?workbook=12_05.xlsx&amp;sheet=U0&amp;row=7233&amp;col=6&amp;number=3.9&amp;sourceID=14","3.9")</f>
        <v>3.9</v>
      </c>
      <c r="G7233" s="4" t="str">
        <f>HYPERLINK("http://141.218.60.56/~jnz1568/getInfo.php?workbook=12_05.xlsx&amp;sheet=U0&amp;row=7233&amp;col=7&amp;number=0.0246&amp;sourceID=14","0.0246")</f>
        <v>0.0246</v>
      </c>
    </row>
    <row r="7234" spans="1:7">
      <c r="A7234" s="3"/>
      <c r="B7234" s="3"/>
      <c r="C7234" s="3"/>
      <c r="D7234" s="3"/>
      <c r="E7234" s="3">
        <v>11</v>
      </c>
      <c r="F7234" s="4" t="str">
        <f>HYPERLINK("http://141.218.60.56/~jnz1568/getInfo.php?workbook=12_05.xlsx&amp;sheet=U0&amp;row=7234&amp;col=6&amp;number=4&amp;sourceID=14","4")</f>
        <v>4</v>
      </c>
      <c r="G7234" s="4" t="str">
        <f>HYPERLINK("http://141.218.60.56/~jnz1568/getInfo.php?workbook=12_05.xlsx&amp;sheet=U0&amp;row=7234&amp;col=7&amp;number=0.0245&amp;sourceID=14","0.0245")</f>
        <v>0.0245</v>
      </c>
    </row>
    <row r="7235" spans="1:7">
      <c r="A7235" s="3"/>
      <c r="B7235" s="3"/>
      <c r="C7235" s="3"/>
      <c r="D7235" s="3"/>
      <c r="E7235" s="3">
        <v>12</v>
      </c>
      <c r="F7235" s="4" t="str">
        <f>HYPERLINK("http://141.218.60.56/~jnz1568/getInfo.php?workbook=12_05.xlsx&amp;sheet=U0&amp;row=7235&amp;col=6&amp;number=4.1&amp;sourceID=14","4.1")</f>
        <v>4.1</v>
      </c>
      <c r="G7235" s="4" t="str">
        <f>HYPERLINK("http://141.218.60.56/~jnz1568/getInfo.php?workbook=12_05.xlsx&amp;sheet=U0&amp;row=7235&amp;col=7&amp;number=0.0244&amp;sourceID=14","0.0244")</f>
        <v>0.0244</v>
      </c>
    </row>
    <row r="7236" spans="1:7">
      <c r="A7236" s="3"/>
      <c r="B7236" s="3"/>
      <c r="C7236" s="3"/>
      <c r="D7236" s="3"/>
      <c r="E7236" s="3">
        <v>13</v>
      </c>
      <c r="F7236" s="4" t="str">
        <f>HYPERLINK("http://141.218.60.56/~jnz1568/getInfo.php?workbook=12_05.xlsx&amp;sheet=U0&amp;row=7236&amp;col=6&amp;number=4.2&amp;sourceID=14","4.2")</f>
        <v>4.2</v>
      </c>
      <c r="G7236" s="4" t="str">
        <f>HYPERLINK("http://141.218.60.56/~jnz1568/getInfo.php?workbook=12_05.xlsx&amp;sheet=U0&amp;row=7236&amp;col=7&amp;number=0.0243&amp;sourceID=14","0.0243")</f>
        <v>0.0243</v>
      </c>
    </row>
    <row r="7237" spans="1:7">
      <c r="A7237" s="3"/>
      <c r="B7237" s="3"/>
      <c r="C7237" s="3"/>
      <c r="D7237" s="3"/>
      <c r="E7237" s="3">
        <v>14</v>
      </c>
      <c r="F7237" s="4" t="str">
        <f>HYPERLINK("http://141.218.60.56/~jnz1568/getInfo.php?workbook=12_05.xlsx&amp;sheet=U0&amp;row=7237&amp;col=6&amp;number=4.3&amp;sourceID=14","4.3")</f>
        <v>4.3</v>
      </c>
      <c r="G7237" s="4" t="str">
        <f>HYPERLINK("http://141.218.60.56/~jnz1568/getInfo.php?workbook=12_05.xlsx&amp;sheet=U0&amp;row=7237&amp;col=7&amp;number=0.0242&amp;sourceID=14","0.0242")</f>
        <v>0.0242</v>
      </c>
    </row>
    <row r="7238" spans="1:7">
      <c r="A7238" s="3"/>
      <c r="B7238" s="3"/>
      <c r="C7238" s="3"/>
      <c r="D7238" s="3"/>
      <c r="E7238" s="3">
        <v>15</v>
      </c>
      <c r="F7238" s="4" t="str">
        <f>HYPERLINK("http://141.218.60.56/~jnz1568/getInfo.php?workbook=12_05.xlsx&amp;sheet=U0&amp;row=7238&amp;col=6&amp;number=4.4&amp;sourceID=14","4.4")</f>
        <v>4.4</v>
      </c>
      <c r="G7238" s="4" t="str">
        <f>HYPERLINK("http://141.218.60.56/~jnz1568/getInfo.php?workbook=12_05.xlsx&amp;sheet=U0&amp;row=7238&amp;col=7&amp;number=0.0241&amp;sourceID=14","0.0241")</f>
        <v>0.0241</v>
      </c>
    </row>
    <row r="7239" spans="1:7">
      <c r="A7239" s="3"/>
      <c r="B7239" s="3"/>
      <c r="C7239" s="3"/>
      <c r="D7239" s="3"/>
      <c r="E7239" s="3">
        <v>16</v>
      </c>
      <c r="F7239" s="4" t="str">
        <f>HYPERLINK("http://141.218.60.56/~jnz1568/getInfo.php?workbook=12_05.xlsx&amp;sheet=U0&amp;row=7239&amp;col=6&amp;number=4.5&amp;sourceID=14","4.5")</f>
        <v>4.5</v>
      </c>
      <c r="G7239" s="4" t="str">
        <f>HYPERLINK("http://141.218.60.56/~jnz1568/getInfo.php?workbook=12_05.xlsx&amp;sheet=U0&amp;row=7239&amp;col=7&amp;number=0.0239&amp;sourceID=14","0.0239")</f>
        <v>0.0239</v>
      </c>
    </row>
    <row r="7240" spans="1:7">
      <c r="A7240" s="3"/>
      <c r="B7240" s="3"/>
      <c r="C7240" s="3"/>
      <c r="D7240" s="3"/>
      <c r="E7240" s="3">
        <v>17</v>
      </c>
      <c r="F7240" s="4" t="str">
        <f>HYPERLINK("http://141.218.60.56/~jnz1568/getInfo.php?workbook=12_05.xlsx&amp;sheet=U0&amp;row=7240&amp;col=6&amp;number=4.6&amp;sourceID=14","4.6")</f>
        <v>4.6</v>
      </c>
      <c r="G7240" s="4" t="str">
        <f>HYPERLINK("http://141.218.60.56/~jnz1568/getInfo.php?workbook=12_05.xlsx&amp;sheet=U0&amp;row=7240&amp;col=7&amp;number=0.0236&amp;sourceID=14","0.0236")</f>
        <v>0.0236</v>
      </c>
    </row>
    <row r="7241" spans="1:7">
      <c r="A7241" s="3"/>
      <c r="B7241" s="3"/>
      <c r="C7241" s="3"/>
      <c r="D7241" s="3"/>
      <c r="E7241" s="3">
        <v>18</v>
      </c>
      <c r="F7241" s="4" t="str">
        <f>HYPERLINK("http://141.218.60.56/~jnz1568/getInfo.php?workbook=12_05.xlsx&amp;sheet=U0&amp;row=7241&amp;col=6&amp;number=4.7&amp;sourceID=14","4.7")</f>
        <v>4.7</v>
      </c>
      <c r="G7241" s="4" t="str">
        <f>HYPERLINK("http://141.218.60.56/~jnz1568/getInfo.php?workbook=12_05.xlsx&amp;sheet=U0&amp;row=7241&amp;col=7&amp;number=0.0233&amp;sourceID=14","0.0233")</f>
        <v>0.0233</v>
      </c>
    </row>
    <row r="7242" spans="1:7">
      <c r="A7242" s="3"/>
      <c r="B7242" s="3"/>
      <c r="C7242" s="3"/>
      <c r="D7242" s="3"/>
      <c r="E7242" s="3">
        <v>19</v>
      </c>
      <c r="F7242" s="4" t="str">
        <f>HYPERLINK("http://141.218.60.56/~jnz1568/getInfo.php?workbook=12_05.xlsx&amp;sheet=U0&amp;row=7242&amp;col=6&amp;number=4.8&amp;sourceID=14","4.8")</f>
        <v>4.8</v>
      </c>
      <c r="G7242" s="4" t="str">
        <f>HYPERLINK("http://141.218.60.56/~jnz1568/getInfo.php?workbook=12_05.xlsx&amp;sheet=U0&amp;row=7242&amp;col=7&amp;number=0.023&amp;sourceID=14","0.023")</f>
        <v>0.023</v>
      </c>
    </row>
    <row r="7243" spans="1:7">
      <c r="A7243" s="3"/>
      <c r="B7243" s="3"/>
      <c r="C7243" s="3"/>
      <c r="D7243" s="3"/>
      <c r="E7243" s="3">
        <v>20</v>
      </c>
      <c r="F7243" s="4" t="str">
        <f>HYPERLINK("http://141.218.60.56/~jnz1568/getInfo.php?workbook=12_05.xlsx&amp;sheet=U0&amp;row=7243&amp;col=6&amp;number=4.9&amp;sourceID=14","4.9")</f>
        <v>4.9</v>
      </c>
      <c r="G7243" s="4" t="str">
        <f>HYPERLINK("http://141.218.60.56/~jnz1568/getInfo.php?workbook=12_05.xlsx&amp;sheet=U0&amp;row=7243&amp;col=7&amp;number=0.0225&amp;sourceID=14","0.0225")</f>
        <v>0.0225</v>
      </c>
    </row>
    <row r="7244" spans="1:7">
      <c r="A7244" s="3">
        <v>12</v>
      </c>
      <c r="B7244" s="3">
        <v>5</v>
      </c>
      <c r="C7244" s="3">
        <v>4</v>
      </c>
      <c r="D7244" s="3">
        <v>122</v>
      </c>
      <c r="E7244" s="3">
        <v>1</v>
      </c>
      <c r="F7244" s="4" t="str">
        <f>HYPERLINK("http://141.218.60.56/~jnz1568/getInfo.php?workbook=12_05.xlsx&amp;sheet=U0&amp;row=7244&amp;col=6&amp;number=3&amp;sourceID=14","3")</f>
        <v>3</v>
      </c>
      <c r="G7244" s="4" t="str">
        <f>HYPERLINK("http://141.218.60.56/~jnz1568/getInfo.php?workbook=12_05.xlsx&amp;sheet=U0&amp;row=7244&amp;col=7&amp;number=0.000215&amp;sourceID=14","0.000215")</f>
        <v>0.000215</v>
      </c>
    </row>
    <row r="7245" spans="1:7">
      <c r="A7245" s="3"/>
      <c r="B7245" s="3"/>
      <c r="C7245" s="3"/>
      <c r="D7245" s="3"/>
      <c r="E7245" s="3">
        <v>2</v>
      </c>
      <c r="F7245" s="4" t="str">
        <f>HYPERLINK("http://141.218.60.56/~jnz1568/getInfo.php?workbook=12_05.xlsx&amp;sheet=U0&amp;row=7245&amp;col=6&amp;number=3.1&amp;sourceID=14","3.1")</f>
        <v>3.1</v>
      </c>
      <c r="G7245" s="4" t="str">
        <f>HYPERLINK("http://141.218.60.56/~jnz1568/getInfo.php?workbook=12_05.xlsx&amp;sheet=U0&amp;row=7245&amp;col=7&amp;number=0.000214&amp;sourceID=14","0.000214")</f>
        <v>0.000214</v>
      </c>
    </row>
    <row r="7246" spans="1:7">
      <c r="A7246" s="3"/>
      <c r="B7246" s="3"/>
      <c r="C7246" s="3"/>
      <c r="D7246" s="3"/>
      <c r="E7246" s="3">
        <v>3</v>
      </c>
      <c r="F7246" s="4" t="str">
        <f>HYPERLINK("http://141.218.60.56/~jnz1568/getInfo.php?workbook=12_05.xlsx&amp;sheet=U0&amp;row=7246&amp;col=6&amp;number=3.2&amp;sourceID=14","3.2")</f>
        <v>3.2</v>
      </c>
      <c r="G7246" s="4" t="str">
        <f>HYPERLINK("http://141.218.60.56/~jnz1568/getInfo.php?workbook=12_05.xlsx&amp;sheet=U0&amp;row=7246&amp;col=7&amp;number=0.000214&amp;sourceID=14","0.000214")</f>
        <v>0.000214</v>
      </c>
    </row>
    <row r="7247" spans="1:7">
      <c r="A7247" s="3"/>
      <c r="B7247" s="3"/>
      <c r="C7247" s="3"/>
      <c r="D7247" s="3"/>
      <c r="E7247" s="3">
        <v>4</v>
      </c>
      <c r="F7247" s="4" t="str">
        <f>HYPERLINK("http://141.218.60.56/~jnz1568/getInfo.php?workbook=12_05.xlsx&amp;sheet=U0&amp;row=7247&amp;col=6&amp;number=3.3&amp;sourceID=14","3.3")</f>
        <v>3.3</v>
      </c>
      <c r="G7247" s="4" t="str">
        <f>HYPERLINK("http://141.218.60.56/~jnz1568/getInfo.php?workbook=12_05.xlsx&amp;sheet=U0&amp;row=7247&amp;col=7&amp;number=0.000214&amp;sourceID=14","0.000214")</f>
        <v>0.000214</v>
      </c>
    </row>
    <row r="7248" spans="1:7">
      <c r="A7248" s="3"/>
      <c r="B7248" s="3"/>
      <c r="C7248" s="3"/>
      <c r="D7248" s="3"/>
      <c r="E7248" s="3">
        <v>5</v>
      </c>
      <c r="F7248" s="4" t="str">
        <f>HYPERLINK("http://141.218.60.56/~jnz1568/getInfo.php?workbook=12_05.xlsx&amp;sheet=U0&amp;row=7248&amp;col=6&amp;number=3.4&amp;sourceID=14","3.4")</f>
        <v>3.4</v>
      </c>
      <c r="G7248" s="4" t="str">
        <f>HYPERLINK("http://141.218.60.56/~jnz1568/getInfo.php?workbook=12_05.xlsx&amp;sheet=U0&amp;row=7248&amp;col=7&amp;number=0.000214&amp;sourceID=14","0.000214")</f>
        <v>0.000214</v>
      </c>
    </row>
    <row r="7249" spans="1:7">
      <c r="A7249" s="3"/>
      <c r="B7249" s="3"/>
      <c r="C7249" s="3"/>
      <c r="D7249" s="3"/>
      <c r="E7249" s="3">
        <v>6</v>
      </c>
      <c r="F7249" s="4" t="str">
        <f>HYPERLINK("http://141.218.60.56/~jnz1568/getInfo.php?workbook=12_05.xlsx&amp;sheet=U0&amp;row=7249&amp;col=6&amp;number=3.5&amp;sourceID=14","3.5")</f>
        <v>3.5</v>
      </c>
      <c r="G7249" s="4" t="str">
        <f>HYPERLINK("http://141.218.60.56/~jnz1568/getInfo.php?workbook=12_05.xlsx&amp;sheet=U0&amp;row=7249&amp;col=7&amp;number=0.000214&amp;sourceID=14","0.000214")</f>
        <v>0.000214</v>
      </c>
    </row>
    <row r="7250" spans="1:7">
      <c r="A7250" s="3"/>
      <c r="B7250" s="3"/>
      <c r="C7250" s="3"/>
      <c r="D7250" s="3"/>
      <c r="E7250" s="3">
        <v>7</v>
      </c>
      <c r="F7250" s="4" t="str">
        <f>HYPERLINK("http://141.218.60.56/~jnz1568/getInfo.php?workbook=12_05.xlsx&amp;sheet=U0&amp;row=7250&amp;col=6&amp;number=3.6&amp;sourceID=14","3.6")</f>
        <v>3.6</v>
      </c>
      <c r="G7250" s="4" t="str">
        <f>HYPERLINK("http://141.218.60.56/~jnz1568/getInfo.php?workbook=12_05.xlsx&amp;sheet=U0&amp;row=7250&amp;col=7&amp;number=0.000214&amp;sourceID=14","0.000214")</f>
        <v>0.000214</v>
      </c>
    </row>
    <row r="7251" spans="1:7">
      <c r="A7251" s="3"/>
      <c r="B7251" s="3"/>
      <c r="C7251" s="3"/>
      <c r="D7251" s="3"/>
      <c r="E7251" s="3">
        <v>8</v>
      </c>
      <c r="F7251" s="4" t="str">
        <f>HYPERLINK("http://141.218.60.56/~jnz1568/getInfo.php?workbook=12_05.xlsx&amp;sheet=U0&amp;row=7251&amp;col=6&amp;number=3.7&amp;sourceID=14","3.7")</f>
        <v>3.7</v>
      </c>
      <c r="G7251" s="4" t="str">
        <f>HYPERLINK("http://141.218.60.56/~jnz1568/getInfo.php?workbook=12_05.xlsx&amp;sheet=U0&amp;row=7251&amp;col=7&amp;number=0.000214&amp;sourceID=14","0.000214")</f>
        <v>0.000214</v>
      </c>
    </row>
    <row r="7252" spans="1:7">
      <c r="A7252" s="3"/>
      <c r="B7252" s="3"/>
      <c r="C7252" s="3"/>
      <c r="D7252" s="3"/>
      <c r="E7252" s="3">
        <v>9</v>
      </c>
      <c r="F7252" s="4" t="str">
        <f>HYPERLINK("http://141.218.60.56/~jnz1568/getInfo.php?workbook=12_05.xlsx&amp;sheet=U0&amp;row=7252&amp;col=6&amp;number=3.8&amp;sourceID=14","3.8")</f>
        <v>3.8</v>
      </c>
      <c r="G7252" s="4" t="str">
        <f>HYPERLINK("http://141.218.60.56/~jnz1568/getInfo.php?workbook=12_05.xlsx&amp;sheet=U0&amp;row=7252&amp;col=7&amp;number=0.000213&amp;sourceID=14","0.000213")</f>
        <v>0.000213</v>
      </c>
    </row>
    <row r="7253" spans="1:7">
      <c r="A7253" s="3"/>
      <c r="B7253" s="3"/>
      <c r="C7253" s="3"/>
      <c r="D7253" s="3"/>
      <c r="E7253" s="3">
        <v>10</v>
      </c>
      <c r="F7253" s="4" t="str">
        <f>HYPERLINK("http://141.218.60.56/~jnz1568/getInfo.php?workbook=12_05.xlsx&amp;sheet=U0&amp;row=7253&amp;col=6&amp;number=3.9&amp;sourceID=14","3.9")</f>
        <v>3.9</v>
      </c>
      <c r="G7253" s="4" t="str">
        <f>HYPERLINK("http://141.218.60.56/~jnz1568/getInfo.php?workbook=12_05.xlsx&amp;sheet=U0&amp;row=7253&amp;col=7&amp;number=0.000213&amp;sourceID=14","0.000213")</f>
        <v>0.000213</v>
      </c>
    </row>
    <row r="7254" spans="1:7">
      <c r="A7254" s="3"/>
      <c r="B7254" s="3"/>
      <c r="C7254" s="3"/>
      <c r="D7254" s="3"/>
      <c r="E7254" s="3">
        <v>11</v>
      </c>
      <c r="F7254" s="4" t="str">
        <f>HYPERLINK("http://141.218.60.56/~jnz1568/getInfo.php?workbook=12_05.xlsx&amp;sheet=U0&amp;row=7254&amp;col=6&amp;number=4&amp;sourceID=14","4")</f>
        <v>4</v>
      </c>
      <c r="G7254" s="4" t="str">
        <f>HYPERLINK("http://141.218.60.56/~jnz1568/getInfo.php?workbook=12_05.xlsx&amp;sheet=U0&amp;row=7254&amp;col=7&amp;number=0.000212&amp;sourceID=14","0.000212")</f>
        <v>0.000212</v>
      </c>
    </row>
    <row r="7255" spans="1:7">
      <c r="A7255" s="3"/>
      <c r="B7255" s="3"/>
      <c r="C7255" s="3"/>
      <c r="D7255" s="3"/>
      <c r="E7255" s="3">
        <v>12</v>
      </c>
      <c r="F7255" s="4" t="str">
        <f>HYPERLINK("http://141.218.60.56/~jnz1568/getInfo.php?workbook=12_05.xlsx&amp;sheet=U0&amp;row=7255&amp;col=6&amp;number=4.1&amp;sourceID=14","4.1")</f>
        <v>4.1</v>
      </c>
      <c r="G7255" s="4" t="str">
        <f>HYPERLINK("http://141.218.60.56/~jnz1568/getInfo.php?workbook=12_05.xlsx&amp;sheet=U0&amp;row=7255&amp;col=7&amp;number=0.000212&amp;sourceID=14","0.000212")</f>
        <v>0.000212</v>
      </c>
    </row>
    <row r="7256" spans="1:7">
      <c r="A7256" s="3"/>
      <c r="B7256" s="3"/>
      <c r="C7256" s="3"/>
      <c r="D7256" s="3"/>
      <c r="E7256" s="3">
        <v>13</v>
      </c>
      <c r="F7256" s="4" t="str">
        <f>HYPERLINK("http://141.218.60.56/~jnz1568/getInfo.php?workbook=12_05.xlsx&amp;sheet=U0&amp;row=7256&amp;col=6&amp;number=4.2&amp;sourceID=14","4.2")</f>
        <v>4.2</v>
      </c>
      <c r="G7256" s="4" t="str">
        <f>HYPERLINK("http://141.218.60.56/~jnz1568/getInfo.php?workbook=12_05.xlsx&amp;sheet=U0&amp;row=7256&amp;col=7&amp;number=0.000211&amp;sourceID=14","0.000211")</f>
        <v>0.000211</v>
      </c>
    </row>
    <row r="7257" spans="1:7">
      <c r="A7257" s="3"/>
      <c r="B7257" s="3"/>
      <c r="C7257" s="3"/>
      <c r="D7257" s="3"/>
      <c r="E7257" s="3">
        <v>14</v>
      </c>
      <c r="F7257" s="4" t="str">
        <f>HYPERLINK("http://141.218.60.56/~jnz1568/getInfo.php?workbook=12_05.xlsx&amp;sheet=U0&amp;row=7257&amp;col=6&amp;number=4.3&amp;sourceID=14","4.3")</f>
        <v>4.3</v>
      </c>
      <c r="G7257" s="4" t="str">
        <f>HYPERLINK("http://141.218.60.56/~jnz1568/getInfo.php?workbook=12_05.xlsx&amp;sheet=U0&amp;row=7257&amp;col=7&amp;number=0.00021&amp;sourceID=14","0.00021")</f>
        <v>0.00021</v>
      </c>
    </row>
    <row r="7258" spans="1:7">
      <c r="A7258" s="3"/>
      <c r="B7258" s="3"/>
      <c r="C7258" s="3"/>
      <c r="D7258" s="3"/>
      <c r="E7258" s="3">
        <v>15</v>
      </c>
      <c r="F7258" s="4" t="str">
        <f>HYPERLINK("http://141.218.60.56/~jnz1568/getInfo.php?workbook=12_05.xlsx&amp;sheet=U0&amp;row=7258&amp;col=6&amp;number=4.4&amp;sourceID=14","4.4")</f>
        <v>4.4</v>
      </c>
      <c r="G7258" s="4" t="str">
        <f>HYPERLINK("http://141.218.60.56/~jnz1568/getInfo.php?workbook=12_05.xlsx&amp;sheet=U0&amp;row=7258&amp;col=7&amp;number=0.000208&amp;sourceID=14","0.000208")</f>
        <v>0.000208</v>
      </c>
    </row>
    <row r="7259" spans="1:7">
      <c r="A7259" s="3"/>
      <c r="B7259" s="3"/>
      <c r="C7259" s="3"/>
      <c r="D7259" s="3"/>
      <c r="E7259" s="3">
        <v>16</v>
      </c>
      <c r="F7259" s="4" t="str">
        <f>HYPERLINK("http://141.218.60.56/~jnz1568/getInfo.php?workbook=12_05.xlsx&amp;sheet=U0&amp;row=7259&amp;col=6&amp;number=4.5&amp;sourceID=14","4.5")</f>
        <v>4.5</v>
      </c>
      <c r="G7259" s="4" t="str">
        <f>HYPERLINK("http://141.218.60.56/~jnz1568/getInfo.php?workbook=12_05.xlsx&amp;sheet=U0&amp;row=7259&amp;col=7&amp;number=0.000207&amp;sourceID=14","0.000207")</f>
        <v>0.000207</v>
      </c>
    </row>
    <row r="7260" spans="1:7">
      <c r="A7260" s="3"/>
      <c r="B7260" s="3"/>
      <c r="C7260" s="3"/>
      <c r="D7260" s="3"/>
      <c r="E7260" s="3">
        <v>17</v>
      </c>
      <c r="F7260" s="4" t="str">
        <f>HYPERLINK("http://141.218.60.56/~jnz1568/getInfo.php?workbook=12_05.xlsx&amp;sheet=U0&amp;row=7260&amp;col=6&amp;number=4.6&amp;sourceID=14","4.6")</f>
        <v>4.6</v>
      </c>
      <c r="G7260" s="4" t="str">
        <f>HYPERLINK("http://141.218.60.56/~jnz1568/getInfo.php?workbook=12_05.xlsx&amp;sheet=U0&amp;row=7260&amp;col=7&amp;number=0.000205&amp;sourceID=14","0.000205")</f>
        <v>0.000205</v>
      </c>
    </row>
    <row r="7261" spans="1:7">
      <c r="A7261" s="3"/>
      <c r="B7261" s="3"/>
      <c r="C7261" s="3"/>
      <c r="D7261" s="3"/>
      <c r="E7261" s="3">
        <v>18</v>
      </c>
      <c r="F7261" s="4" t="str">
        <f>HYPERLINK("http://141.218.60.56/~jnz1568/getInfo.php?workbook=12_05.xlsx&amp;sheet=U0&amp;row=7261&amp;col=6&amp;number=4.7&amp;sourceID=14","4.7")</f>
        <v>4.7</v>
      </c>
      <c r="G7261" s="4" t="str">
        <f>HYPERLINK("http://141.218.60.56/~jnz1568/getInfo.php?workbook=12_05.xlsx&amp;sheet=U0&amp;row=7261&amp;col=7&amp;number=0.000202&amp;sourceID=14","0.000202")</f>
        <v>0.000202</v>
      </c>
    </row>
    <row r="7262" spans="1:7">
      <c r="A7262" s="3"/>
      <c r="B7262" s="3"/>
      <c r="C7262" s="3"/>
      <c r="D7262" s="3"/>
      <c r="E7262" s="3">
        <v>19</v>
      </c>
      <c r="F7262" s="4" t="str">
        <f>HYPERLINK("http://141.218.60.56/~jnz1568/getInfo.php?workbook=12_05.xlsx&amp;sheet=U0&amp;row=7262&amp;col=6&amp;number=4.8&amp;sourceID=14","4.8")</f>
        <v>4.8</v>
      </c>
      <c r="G7262" s="4" t="str">
        <f>HYPERLINK("http://141.218.60.56/~jnz1568/getInfo.php?workbook=12_05.xlsx&amp;sheet=U0&amp;row=7262&amp;col=7&amp;number=0.000199&amp;sourceID=14","0.000199")</f>
        <v>0.000199</v>
      </c>
    </row>
    <row r="7263" spans="1:7">
      <c r="A7263" s="3"/>
      <c r="B7263" s="3"/>
      <c r="C7263" s="3"/>
      <c r="D7263" s="3"/>
      <c r="E7263" s="3">
        <v>20</v>
      </c>
      <c r="F7263" s="4" t="str">
        <f>HYPERLINK("http://141.218.60.56/~jnz1568/getInfo.php?workbook=12_05.xlsx&amp;sheet=U0&amp;row=7263&amp;col=6&amp;number=4.9&amp;sourceID=14","4.9")</f>
        <v>4.9</v>
      </c>
      <c r="G7263" s="4" t="str">
        <f>HYPERLINK("http://141.218.60.56/~jnz1568/getInfo.php?workbook=12_05.xlsx&amp;sheet=U0&amp;row=7263&amp;col=7&amp;number=0.000196&amp;sourceID=14","0.000196")</f>
        <v>0.000196</v>
      </c>
    </row>
    <row r="7264" spans="1:7">
      <c r="A7264" s="3">
        <v>12</v>
      </c>
      <c r="B7264" s="3">
        <v>5</v>
      </c>
      <c r="C7264" s="3">
        <v>4</v>
      </c>
      <c r="D7264" s="3">
        <v>123</v>
      </c>
      <c r="E7264" s="3">
        <v>1</v>
      </c>
      <c r="F7264" s="4" t="str">
        <f>HYPERLINK("http://141.218.60.56/~jnz1568/getInfo.php?workbook=12_05.xlsx&amp;sheet=U0&amp;row=7264&amp;col=6&amp;number=3&amp;sourceID=14","3")</f>
        <v>3</v>
      </c>
      <c r="G7264" s="4" t="str">
        <f>HYPERLINK("http://141.218.60.56/~jnz1568/getInfo.php?workbook=12_05.xlsx&amp;sheet=U0&amp;row=7264&amp;col=7&amp;number=0.00157&amp;sourceID=14","0.00157")</f>
        <v>0.00157</v>
      </c>
    </row>
    <row r="7265" spans="1:7">
      <c r="A7265" s="3"/>
      <c r="B7265" s="3"/>
      <c r="C7265" s="3"/>
      <c r="D7265" s="3"/>
      <c r="E7265" s="3">
        <v>2</v>
      </c>
      <c r="F7265" s="4" t="str">
        <f>HYPERLINK("http://141.218.60.56/~jnz1568/getInfo.php?workbook=12_05.xlsx&amp;sheet=U0&amp;row=7265&amp;col=6&amp;number=3.1&amp;sourceID=14","3.1")</f>
        <v>3.1</v>
      </c>
      <c r="G7265" s="4" t="str">
        <f>HYPERLINK("http://141.218.60.56/~jnz1568/getInfo.php?workbook=12_05.xlsx&amp;sheet=U0&amp;row=7265&amp;col=7&amp;number=0.00157&amp;sourceID=14","0.00157")</f>
        <v>0.00157</v>
      </c>
    </row>
    <row r="7266" spans="1:7">
      <c r="A7266" s="3"/>
      <c r="B7266" s="3"/>
      <c r="C7266" s="3"/>
      <c r="D7266" s="3"/>
      <c r="E7266" s="3">
        <v>3</v>
      </c>
      <c r="F7266" s="4" t="str">
        <f>HYPERLINK("http://141.218.60.56/~jnz1568/getInfo.php?workbook=12_05.xlsx&amp;sheet=U0&amp;row=7266&amp;col=6&amp;number=3.2&amp;sourceID=14","3.2")</f>
        <v>3.2</v>
      </c>
      <c r="G7266" s="4" t="str">
        <f>HYPERLINK("http://141.218.60.56/~jnz1568/getInfo.php?workbook=12_05.xlsx&amp;sheet=U0&amp;row=7266&amp;col=7&amp;number=0.00157&amp;sourceID=14","0.00157")</f>
        <v>0.00157</v>
      </c>
    </row>
    <row r="7267" spans="1:7">
      <c r="A7267" s="3"/>
      <c r="B7267" s="3"/>
      <c r="C7267" s="3"/>
      <c r="D7267" s="3"/>
      <c r="E7267" s="3">
        <v>4</v>
      </c>
      <c r="F7267" s="4" t="str">
        <f>HYPERLINK("http://141.218.60.56/~jnz1568/getInfo.php?workbook=12_05.xlsx&amp;sheet=U0&amp;row=7267&amp;col=6&amp;number=3.3&amp;sourceID=14","3.3")</f>
        <v>3.3</v>
      </c>
      <c r="G7267" s="4" t="str">
        <f>HYPERLINK("http://141.218.60.56/~jnz1568/getInfo.php?workbook=12_05.xlsx&amp;sheet=U0&amp;row=7267&amp;col=7&amp;number=0.00157&amp;sourceID=14","0.00157")</f>
        <v>0.00157</v>
      </c>
    </row>
    <row r="7268" spans="1:7">
      <c r="A7268" s="3"/>
      <c r="B7268" s="3"/>
      <c r="C7268" s="3"/>
      <c r="D7268" s="3"/>
      <c r="E7268" s="3">
        <v>5</v>
      </c>
      <c r="F7268" s="4" t="str">
        <f>HYPERLINK("http://141.218.60.56/~jnz1568/getInfo.php?workbook=12_05.xlsx&amp;sheet=U0&amp;row=7268&amp;col=6&amp;number=3.4&amp;sourceID=14","3.4")</f>
        <v>3.4</v>
      </c>
      <c r="G7268" s="4" t="str">
        <f>HYPERLINK("http://141.218.60.56/~jnz1568/getInfo.php?workbook=12_05.xlsx&amp;sheet=U0&amp;row=7268&amp;col=7&amp;number=0.00157&amp;sourceID=14","0.00157")</f>
        <v>0.00157</v>
      </c>
    </row>
    <row r="7269" spans="1:7">
      <c r="A7269" s="3"/>
      <c r="B7269" s="3"/>
      <c r="C7269" s="3"/>
      <c r="D7269" s="3"/>
      <c r="E7269" s="3">
        <v>6</v>
      </c>
      <c r="F7269" s="4" t="str">
        <f>HYPERLINK("http://141.218.60.56/~jnz1568/getInfo.php?workbook=12_05.xlsx&amp;sheet=U0&amp;row=7269&amp;col=6&amp;number=3.5&amp;sourceID=14","3.5")</f>
        <v>3.5</v>
      </c>
      <c r="G7269" s="4" t="str">
        <f>HYPERLINK("http://141.218.60.56/~jnz1568/getInfo.php?workbook=12_05.xlsx&amp;sheet=U0&amp;row=7269&amp;col=7&amp;number=0.00157&amp;sourceID=14","0.00157")</f>
        <v>0.00157</v>
      </c>
    </row>
    <row r="7270" spans="1:7">
      <c r="A7270" s="3"/>
      <c r="B7270" s="3"/>
      <c r="C7270" s="3"/>
      <c r="D7270" s="3"/>
      <c r="E7270" s="3">
        <v>7</v>
      </c>
      <c r="F7270" s="4" t="str">
        <f>HYPERLINK("http://141.218.60.56/~jnz1568/getInfo.php?workbook=12_05.xlsx&amp;sheet=U0&amp;row=7270&amp;col=6&amp;number=3.6&amp;sourceID=14","3.6")</f>
        <v>3.6</v>
      </c>
      <c r="G7270" s="4" t="str">
        <f>HYPERLINK("http://141.218.60.56/~jnz1568/getInfo.php?workbook=12_05.xlsx&amp;sheet=U0&amp;row=7270&amp;col=7&amp;number=0.00157&amp;sourceID=14","0.00157")</f>
        <v>0.00157</v>
      </c>
    </row>
    <row r="7271" spans="1:7">
      <c r="A7271" s="3"/>
      <c r="B7271" s="3"/>
      <c r="C7271" s="3"/>
      <c r="D7271" s="3"/>
      <c r="E7271" s="3">
        <v>8</v>
      </c>
      <c r="F7271" s="4" t="str">
        <f>HYPERLINK("http://141.218.60.56/~jnz1568/getInfo.php?workbook=12_05.xlsx&amp;sheet=U0&amp;row=7271&amp;col=6&amp;number=3.7&amp;sourceID=14","3.7")</f>
        <v>3.7</v>
      </c>
      <c r="G7271" s="4" t="str">
        <f>HYPERLINK("http://141.218.60.56/~jnz1568/getInfo.php?workbook=12_05.xlsx&amp;sheet=U0&amp;row=7271&amp;col=7&amp;number=0.00157&amp;sourceID=14","0.00157")</f>
        <v>0.00157</v>
      </c>
    </row>
    <row r="7272" spans="1:7">
      <c r="A7272" s="3"/>
      <c r="B7272" s="3"/>
      <c r="C7272" s="3"/>
      <c r="D7272" s="3"/>
      <c r="E7272" s="3">
        <v>9</v>
      </c>
      <c r="F7272" s="4" t="str">
        <f>HYPERLINK("http://141.218.60.56/~jnz1568/getInfo.php?workbook=12_05.xlsx&amp;sheet=U0&amp;row=7272&amp;col=6&amp;number=3.8&amp;sourceID=14","3.8")</f>
        <v>3.8</v>
      </c>
      <c r="G7272" s="4" t="str">
        <f>HYPERLINK("http://141.218.60.56/~jnz1568/getInfo.php?workbook=12_05.xlsx&amp;sheet=U0&amp;row=7272&amp;col=7&amp;number=0.00157&amp;sourceID=14","0.00157")</f>
        <v>0.00157</v>
      </c>
    </row>
    <row r="7273" spans="1:7">
      <c r="A7273" s="3"/>
      <c r="B7273" s="3"/>
      <c r="C7273" s="3"/>
      <c r="D7273" s="3"/>
      <c r="E7273" s="3">
        <v>10</v>
      </c>
      <c r="F7273" s="4" t="str">
        <f>HYPERLINK("http://141.218.60.56/~jnz1568/getInfo.php?workbook=12_05.xlsx&amp;sheet=U0&amp;row=7273&amp;col=6&amp;number=3.9&amp;sourceID=14","3.9")</f>
        <v>3.9</v>
      </c>
      <c r="G7273" s="4" t="str">
        <f>HYPERLINK("http://141.218.60.56/~jnz1568/getInfo.php?workbook=12_05.xlsx&amp;sheet=U0&amp;row=7273&amp;col=7&amp;number=0.00157&amp;sourceID=14","0.00157")</f>
        <v>0.00157</v>
      </c>
    </row>
    <row r="7274" spans="1:7">
      <c r="A7274" s="3"/>
      <c r="B7274" s="3"/>
      <c r="C7274" s="3"/>
      <c r="D7274" s="3"/>
      <c r="E7274" s="3">
        <v>11</v>
      </c>
      <c r="F7274" s="4" t="str">
        <f>HYPERLINK("http://141.218.60.56/~jnz1568/getInfo.php?workbook=12_05.xlsx&amp;sheet=U0&amp;row=7274&amp;col=6&amp;number=4&amp;sourceID=14","4")</f>
        <v>4</v>
      </c>
      <c r="G7274" s="4" t="str">
        <f>HYPERLINK("http://141.218.60.56/~jnz1568/getInfo.php?workbook=12_05.xlsx&amp;sheet=U0&amp;row=7274&amp;col=7&amp;number=0.00156&amp;sourceID=14","0.00156")</f>
        <v>0.00156</v>
      </c>
    </row>
    <row r="7275" spans="1:7">
      <c r="A7275" s="3"/>
      <c r="B7275" s="3"/>
      <c r="C7275" s="3"/>
      <c r="D7275" s="3"/>
      <c r="E7275" s="3">
        <v>12</v>
      </c>
      <c r="F7275" s="4" t="str">
        <f>HYPERLINK("http://141.218.60.56/~jnz1568/getInfo.php?workbook=12_05.xlsx&amp;sheet=U0&amp;row=7275&amp;col=6&amp;number=4.1&amp;sourceID=14","4.1")</f>
        <v>4.1</v>
      </c>
      <c r="G7275" s="4" t="str">
        <f>HYPERLINK("http://141.218.60.56/~jnz1568/getInfo.php?workbook=12_05.xlsx&amp;sheet=U0&amp;row=7275&amp;col=7&amp;number=0.00156&amp;sourceID=14","0.00156")</f>
        <v>0.00156</v>
      </c>
    </row>
    <row r="7276" spans="1:7">
      <c r="A7276" s="3"/>
      <c r="B7276" s="3"/>
      <c r="C7276" s="3"/>
      <c r="D7276" s="3"/>
      <c r="E7276" s="3">
        <v>13</v>
      </c>
      <c r="F7276" s="4" t="str">
        <f>HYPERLINK("http://141.218.60.56/~jnz1568/getInfo.php?workbook=12_05.xlsx&amp;sheet=U0&amp;row=7276&amp;col=6&amp;number=4.2&amp;sourceID=14","4.2")</f>
        <v>4.2</v>
      </c>
      <c r="G7276" s="4" t="str">
        <f>HYPERLINK("http://141.218.60.56/~jnz1568/getInfo.php?workbook=12_05.xlsx&amp;sheet=U0&amp;row=7276&amp;col=7&amp;number=0.00156&amp;sourceID=14","0.00156")</f>
        <v>0.00156</v>
      </c>
    </row>
    <row r="7277" spans="1:7">
      <c r="A7277" s="3"/>
      <c r="B7277" s="3"/>
      <c r="C7277" s="3"/>
      <c r="D7277" s="3"/>
      <c r="E7277" s="3">
        <v>14</v>
      </c>
      <c r="F7277" s="4" t="str">
        <f>HYPERLINK("http://141.218.60.56/~jnz1568/getInfo.php?workbook=12_05.xlsx&amp;sheet=U0&amp;row=7277&amp;col=6&amp;number=4.3&amp;sourceID=14","4.3")</f>
        <v>4.3</v>
      </c>
      <c r="G7277" s="4" t="str">
        <f>HYPERLINK("http://141.218.60.56/~jnz1568/getInfo.php?workbook=12_05.xlsx&amp;sheet=U0&amp;row=7277&amp;col=7&amp;number=0.00155&amp;sourceID=14","0.00155")</f>
        <v>0.00155</v>
      </c>
    </row>
    <row r="7278" spans="1:7">
      <c r="A7278" s="3"/>
      <c r="B7278" s="3"/>
      <c r="C7278" s="3"/>
      <c r="D7278" s="3"/>
      <c r="E7278" s="3">
        <v>15</v>
      </c>
      <c r="F7278" s="4" t="str">
        <f>HYPERLINK("http://141.218.60.56/~jnz1568/getInfo.php?workbook=12_05.xlsx&amp;sheet=U0&amp;row=7278&amp;col=6&amp;number=4.4&amp;sourceID=14","4.4")</f>
        <v>4.4</v>
      </c>
      <c r="G7278" s="4" t="str">
        <f>HYPERLINK("http://141.218.60.56/~jnz1568/getInfo.php?workbook=12_05.xlsx&amp;sheet=U0&amp;row=7278&amp;col=7&amp;number=0.00155&amp;sourceID=14","0.00155")</f>
        <v>0.00155</v>
      </c>
    </row>
    <row r="7279" spans="1:7">
      <c r="A7279" s="3"/>
      <c r="B7279" s="3"/>
      <c r="C7279" s="3"/>
      <c r="D7279" s="3"/>
      <c r="E7279" s="3">
        <v>16</v>
      </c>
      <c r="F7279" s="4" t="str">
        <f>HYPERLINK("http://141.218.60.56/~jnz1568/getInfo.php?workbook=12_05.xlsx&amp;sheet=U0&amp;row=7279&amp;col=6&amp;number=4.5&amp;sourceID=14","4.5")</f>
        <v>4.5</v>
      </c>
      <c r="G7279" s="4" t="str">
        <f>HYPERLINK("http://141.218.60.56/~jnz1568/getInfo.php?workbook=12_05.xlsx&amp;sheet=U0&amp;row=7279&amp;col=7&amp;number=0.00154&amp;sourceID=14","0.00154")</f>
        <v>0.00154</v>
      </c>
    </row>
    <row r="7280" spans="1:7">
      <c r="A7280" s="3"/>
      <c r="B7280" s="3"/>
      <c r="C7280" s="3"/>
      <c r="D7280" s="3"/>
      <c r="E7280" s="3">
        <v>17</v>
      </c>
      <c r="F7280" s="4" t="str">
        <f>HYPERLINK("http://141.218.60.56/~jnz1568/getInfo.php?workbook=12_05.xlsx&amp;sheet=U0&amp;row=7280&amp;col=6&amp;number=4.6&amp;sourceID=14","4.6")</f>
        <v>4.6</v>
      </c>
      <c r="G7280" s="4" t="str">
        <f>HYPERLINK("http://141.218.60.56/~jnz1568/getInfo.php?workbook=12_05.xlsx&amp;sheet=U0&amp;row=7280&amp;col=7&amp;number=0.00153&amp;sourceID=14","0.00153")</f>
        <v>0.00153</v>
      </c>
    </row>
    <row r="7281" spans="1:7">
      <c r="A7281" s="3"/>
      <c r="B7281" s="3"/>
      <c r="C7281" s="3"/>
      <c r="D7281" s="3"/>
      <c r="E7281" s="3">
        <v>18</v>
      </c>
      <c r="F7281" s="4" t="str">
        <f>HYPERLINK("http://141.218.60.56/~jnz1568/getInfo.php?workbook=12_05.xlsx&amp;sheet=U0&amp;row=7281&amp;col=6&amp;number=4.7&amp;sourceID=14","4.7")</f>
        <v>4.7</v>
      </c>
      <c r="G7281" s="4" t="str">
        <f>HYPERLINK("http://141.218.60.56/~jnz1568/getInfo.php?workbook=12_05.xlsx&amp;sheet=U0&amp;row=7281&amp;col=7&amp;number=0.00152&amp;sourceID=14","0.00152")</f>
        <v>0.00152</v>
      </c>
    </row>
    <row r="7282" spans="1:7">
      <c r="A7282" s="3"/>
      <c r="B7282" s="3"/>
      <c r="C7282" s="3"/>
      <c r="D7282" s="3"/>
      <c r="E7282" s="3">
        <v>19</v>
      </c>
      <c r="F7282" s="4" t="str">
        <f>HYPERLINK("http://141.218.60.56/~jnz1568/getInfo.php?workbook=12_05.xlsx&amp;sheet=U0&amp;row=7282&amp;col=6&amp;number=4.8&amp;sourceID=14","4.8")</f>
        <v>4.8</v>
      </c>
      <c r="G7282" s="4" t="str">
        <f>HYPERLINK("http://141.218.60.56/~jnz1568/getInfo.php?workbook=12_05.xlsx&amp;sheet=U0&amp;row=7282&amp;col=7&amp;number=0.00151&amp;sourceID=14","0.00151")</f>
        <v>0.00151</v>
      </c>
    </row>
    <row r="7283" spans="1:7">
      <c r="A7283" s="3"/>
      <c r="B7283" s="3"/>
      <c r="C7283" s="3"/>
      <c r="D7283" s="3"/>
      <c r="E7283" s="3">
        <v>20</v>
      </c>
      <c r="F7283" s="4" t="str">
        <f>HYPERLINK("http://141.218.60.56/~jnz1568/getInfo.php?workbook=12_05.xlsx&amp;sheet=U0&amp;row=7283&amp;col=6&amp;number=4.9&amp;sourceID=14","4.9")</f>
        <v>4.9</v>
      </c>
      <c r="G7283" s="4" t="str">
        <f>HYPERLINK("http://141.218.60.56/~jnz1568/getInfo.php?workbook=12_05.xlsx&amp;sheet=U0&amp;row=7283&amp;col=7&amp;number=0.00149&amp;sourceID=14","0.00149")</f>
        <v>0.00149</v>
      </c>
    </row>
    <row r="7284" spans="1:7">
      <c r="A7284" s="3">
        <v>12</v>
      </c>
      <c r="B7284" s="3">
        <v>5</v>
      </c>
      <c r="C7284" s="3">
        <v>3</v>
      </c>
      <c r="D7284" s="3">
        <v>17</v>
      </c>
      <c r="E7284" s="3">
        <v>1</v>
      </c>
      <c r="F7284" s="4" t="str">
        <f>HYPERLINK("http://141.218.60.56/~jnz1568/getInfo.php?workbook=12_05.xlsx&amp;sheet=U0&amp;row=7284&amp;col=6&amp;number=3&amp;sourceID=14","3")</f>
        <v>3</v>
      </c>
      <c r="G7284" s="4" t="str">
        <f>HYPERLINK("http://141.218.60.56/~jnz1568/getInfo.php?workbook=12_05.xlsx&amp;sheet=U0&amp;row=7284&amp;col=7&amp;number=0.00676&amp;sourceID=14","0.00676")</f>
        <v>0.00676</v>
      </c>
    </row>
    <row r="7285" spans="1:7">
      <c r="A7285" s="3"/>
      <c r="B7285" s="3"/>
      <c r="C7285" s="3"/>
      <c r="D7285" s="3"/>
      <c r="E7285" s="3">
        <v>2</v>
      </c>
      <c r="F7285" s="4" t="str">
        <f>HYPERLINK("http://141.218.60.56/~jnz1568/getInfo.php?workbook=12_05.xlsx&amp;sheet=U0&amp;row=7285&amp;col=6&amp;number=3.1&amp;sourceID=14","3.1")</f>
        <v>3.1</v>
      </c>
      <c r="G7285" s="4" t="str">
        <f>HYPERLINK("http://141.218.60.56/~jnz1568/getInfo.php?workbook=12_05.xlsx&amp;sheet=U0&amp;row=7285&amp;col=7&amp;number=0.00676&amp;sourceID=14","0.00676")</f>
        <v>0.00676</v>
      </c>
    </row>
    <row r="7286" spans="1:7">
      <c r="A7286" s="3"/>
      <c r="B7286" s="3"/>
      <c r="C7286" s="3"/>
      <c r="D7286" s="3"/>
      <c r="E7286" s="3">
        <v>3</v>
      </c>
      <c r="F7286" s="4" t="str">
        <f>HYPERLINK("http://141.218.60.56/~jnz1568/getInfo.php?workbook=12_05.xlsx&amp;sheet=U0&amp;row=7286&amp;col=6&amp;number=3.2&amp;sourceID=14","3.2")</f>
        <v>3.2</v>
      </c>
      <c r="G7286" s="4" t="str">
        <f>HYPERLINK("http://141.218.60.56/~jnz1568/getInfo.php?workbook=12_05.xlsx&amp;sheet=U0&amp;row=7286&amp;col=7&amp;number=0.00676&amp;sourceID=14","0.00676")</f>
        <v>0.00676</v>
      </c>
    </row>
    <row r="7287" spans="1:7">
      <c r="A7287" s="3"/>
      <c r="B7287" s="3"/>
      <c r="C7287" s="3"/>
      <c r="D7287" s="3"/>
      <c r="E7287" s="3">
        <v>4</v>
      </c>
      <c r="F7287" s="4" t="str">
        <f>HYPERLINK("http://141.218.60.56/~jnz1568/getInfo.php?workbook=12_05.xlsx&amp;sheet=U0&amp;row=7287&amp;col=6&amp;number=3.3&amp;sourceID=14","3.3")</f>
        <v>3.3</v>
      </c>
      <c r="G7287" s="4" t="str">
        <f>HYPERLINK("http://141.218.60.56/~jnz1568/getInfo.php?workbook=12_05.xlsx&amp;sheet=U0&amp;row=7287&amp;col=7&amp;number=0.00675&amp;sourceID=14","0.00675")</f>
        <v>0.00675</v>
      </c>
    </row>
    <row r="7288" spans="1:7">
      <c r="A7288" s="3"/>
      <c r="B7288" s="3"/>
      <c r="C7288" s="3"/>
      <c r="D7288" s="3"/>
      <c r="E7288" s="3">
        <v>5</v>
      </c>
      <c r="F7288" s="4" t="str">
        <f>HYPERLINK("http://141.218.60.56/~jnz1568/getInfo.php?workbook=12_05.xlsx&amp;sheet=U0&amp;row=7288&amp;col=6&amp;number=3.4&amp;sourceID=14","3.4")</f>
        <v>3.4</v>
      </c>
      <c r="G7288" s="4" t="str">
        <f>HYPERLINK("http://141.218.60.56/~jnz1568/getInfo.php?workbook=12_05.xlsx&amp;sheet=U0&amp;row=7288&amp;col=7&amp;number=0.00675&amp;sourceID=14","0.00675")</f>
        <v>0.00675</v>
      </c>
    </row>
    <row r="7289" spans="1:7">
      <c r="A7289" s="3"/>
      <c r="B7289" s="3"/>
      <c r="C7289" s="3"/>
      <c r="D7289" s="3"/>
      <c r="E7289" s="3">
        <v>6</v>
      </c>
      <c r="F7289" s="4" t="str">
        <f>HYPERLINK("http://141.218.60.56/~jnz1568/getInfo.php?workbook=12_05.xlsx&amp;sheet=U0&amp;row=7289&amp;col=6&amp;number=3.5&amp;sourceID=14","3.5")</f>
        <v>3.5</v>
      </c>
      <c r="G7289" s="4" t="str">
        <f>HYPERLINK("http://141.218.60.56/~jnz1568/getInfo.php?workbook=12_05.xlsx&amp;sheet=U0&amp;row=7289&amp;col=7&amp;number=0.00675&amp;sourceID=14","0.00675")</f>
        <v>0.00675</v>
      </c>
    </row>
    <row r="7290" spans="1:7">
      <c r="A7290" s="3"/>
      <c r="B7290" s="3"/>
      <c r="C7290" s="3"/>
      <c r="D7290" s="3"/>
      <c r="E7290" s="3">
        <v>7</v>
      </c>
      <c r="F7290" s="4" t="str">
        <f>HYPERLINK("http://141.218.60.56/~jnz1568/getInfo.php?workbook=12_05.xlsx&amp;sheet=U0&amp;row=7290&amp;col=6&amp;number=3.6&amp;sourceID=14","3.6")</f>
        <v>3.6</v>
      </c>
      <c r="G7290" s="4" t="str">
        <f>HYPERLINK("http://141.218.60.56/~jnz1568/getInfo.php?workbook=12_05.xlsx&amp;sheet=U0&amp;row=7290&amp;col=7&amp;number=0.00674&amp;sourceID=14","0.00674")</f>
        <v>0.00674</v>
      </c>
    </row>
    <row r="7291" spans="1:7">
      <c r="A7291" s="3"/>
      <c r="B7291" s="3"/>
      <c r="C7291" s="3"/>
      <c r="D7291" s="3"/>
      <c r="E7291" s="3">
        <v>8</v>
      </c>
      <c r="F7291" s="4" t="str">
        <f>HYPERLINK("http://141.218.60.56/~jnz1568/getInfo.php?workbook=12_05.xlsx&amp;sheet=U0&amp;row=7291&amp;col=6&amp;number=3.7&amp;sourceID=14","3.7")</f>
        <v>3.7</v>
      </c>
      <c r="G7291" s="4" t="str">
        <f>HYPERLINK("http://141.218.60.56/~jnz1568/getInfo.php?workbook=12_05.xlsx&amp;sheet=U0&amp;row=7291&amp;col=7&amp;number=0.00674&amp;sourceID=14","0.00674")</f>
        <v>0.00674</v>
      </c>
    </row>
    <row r="7292" spans="1:7">
      <c r="A7292" s="3"/>
      <c r="B7292" s="3"/>
      <c r="C7292" s="3"/>
      <c r="D7292" s="3"/>
      <c r="E7292" s="3">
        <v>9</v>
      </c>
      <c r="F7292" s="4" t="str">
        <f>HYPERLINK("http://141.218.60.56/~jnz1568/getInfo.php?workbook=12_05.xlsx&amp;sheet=U0&amp;row=7292&amp;col=6&amp;number=3.8&amp;sourceID=14","3.8")</f>
        <v>3.8</v>
      </c>
      <c r="G7292" s="4" t="str">
        <f>HYPERLINK("http://141.218.60.56/~jnz1568/getInfo.php?workbook=12_05.xlsx&amp;sheet=U0&amp;row=7292&amp;col=7&amp;number=0.00673&amp;sourceID=14","0.00673")</f>
        <v>0.00673</v>
      </c>
    </row>
    <row r="7293" spans="1:7">
      <c r="A7293" s="3"/>
      <c r="B7293" s="3"/>
      <c r="C7293" s="3"/>
      <c r="D7293" s="3"/>
      <c r="E7293" s="3">
        <v>10</v>
      </c>
      <c r="F7293" s="4" t="str">
        <f>HYPERLINK("http://141.218.60.56/~jnz1568/getInfo.php?workbook=12_05.xlsx&amp;sheet=U0&amp;row=7293&amp;col=6&amp;number=3.9&amp;sourceID=14","3.9")</f>
        <v>3.9</v>
      </c>
      <c r="G7293" s="4" t="str">
        <f>HYPERLINK("http://141.218.60.56/~jnz1568/getInfo.php?workbook=12_05.xlsx&amp;sheet=U0&amp;row=7293&amp;col=7&amp;number=0.00672&amp;sourceID=14","0.00672")</f>
        <v>0.00672</v>
      </c>
    </row>
    <row r="7294" spans="1:7">
      <c r="A7294" s="3"/>
      <c r="B7294" s="3"/>
      <c r="C7294" s="3"/>
      <c r="D7294" s="3"/>
      <c r="E7294" s="3">
        <v>11</v>
      </c>
      <c r="F7294" s="4" t="str">
        <f>HYPERLINK("http://141.218.60.56/~jnz1568/getInfo.php?workbook=12_05.xlsx&amp;sheet=U0&amp;row=7294&amp;col=6&amp;number=4&amp;sourceID=14","4")</f>
        <v>4</v>
      </c>
      <c r="G7294" s="4" t="str">
        <f>HYPERLINK("http://141.218.60.56/~jnz1568/getInfo.php?workbook=12_05.xlsx&amp;sheet=U0&amp;row=7294&amp;col=7&amp;number=0.00671&amp;sourceID=14","0.00671")</f>
        <v>0.00671</v>
      </c>
    </row>
    <row r="7295" spans="1:7">
      <c r="A7295" s="3"/>
      <c r="B7295" s="3"/>
      <c r="C7295" s="3"/>
      <c r="D7295" s="3"/>
      <c r="E7295" s="3">
        <v>12</v>
      </c>
      <c r="F7295" s="4" t="str">
        <f>HYPERLINK("http://141.218.60.56/~jnz1568/getInfo.php?workbook=12_05.xlsx&amp;sheet=U0&amp;row=7295&amp;col=6&amp;number=4.1&amp;sourceID=14","4.1")</f>
        <v>4.1</v>
      </c>
      <c r="G7295" s="4" t="str">
        <f>HYPERLINK("http://141.218.60.56/~jnz1568/getInfo.php?workbook=12_05.xlsx&amp;sheet=U0&amp;row=7295&amp;col=7&amp;number=0.0067&amp;sourceID=14","0.0067")</f>
        <v>0.0067</v>
      </c>
    </row>
    <row r="7296" spans="1:7">
      <c r="A7296" s="3"/>
      <c r="B7296" s="3"/>
      <c r="C7296" s="3"/>
      <c r="D7296" s="3"/>
      <c r="E7296" s="3">
        <v>13</v>
      </c>
      <c r="F7296" s="4" t="str">
        <f>HYPERLINK("http://141.218.60.56/~jnz1568/getInfo.php?workbook=12_05.xlsx&amp;sheet=U0&amp;row=7296&amp;col=6&amp;number=4.2&amp;sourceID=14","4.2")</f>
        <v>4.2</v>
      </c>
      <c r="G7296" s="4" t="str">
        <f>HYPERLINK("http://141.218.60.56/~jnz1568/getInfo.php?workbook=12_05.xlsx&amp;sheet=U0&amp;row=7296&amp;col=7&amp;number=0.00668&amp;sourceID=14","0.00668")</f>
        <v>0.00668</v>
      </c>
    </row>
    <row r="7297" spans="1:7">
      <c r="A7297" s="3"/>
      <c r="B7297" s="3"/>
      <c r="C7297" s="3"/>
      <c r="D7297" s="3"/>
      <c r="E7297" s="3">
        <v>14</v>
      </c>
      <c r="F7297" s="4" t="str">
        <f>HYPERLINK("http://141.218.60.56/~jnz1568/getInfo.php?workbook=12_05.xlsx&amp;sheet=U0&amp;row=7297&amp;col=6&amp;number=4.3&amp;sourceID=14","4.3")</f>
        <v>4.3</v>
      </c>
      <c r="G7297" s="4" t="str">
        <f>HYPERLINK("http://141.218.60.56/~jnz1568/getInfo.php?workbook=12_05.xlsx&amp;sheet=U0&amp;row=7297&amp;col=7&amp;number=0.00666&amp;sourceID=14","0.00666")</f>
        <v>0.00666</v>
      </c>
    </row>
    <row r="7298" spans="1:7">
      <c r="A7298" s="3"/>
      <c r="B7298" s="3"/>
      <c r="C7298" s="3"/>
      <c r="D7298" s="3"/>
      <c r="E7298" s="3">
        <v>15</v>
      </c>
      <c r="F7298" s="4" t="str">
        <f>HYPERLINK("http://141.218.60.56/~jnz1568/getInfo.php?workbook=12_05.xlsx&amp;sheet=U0&amp;row=7298&amp;col=6&amp;number=4.4&amp;sourceID=14","4.4")</f>
        <v>4.4</v>
      </c>
      <c r="G7298" s="4" t="str">
        <f>HYPERLINK("http://141.218.60.56/~jnz1568/getInfo.php?workbook=12_05.xlsx&amp;sheet=U0&amp;row=7298&amp;col=7&amp;number=0.00663&amp;sourceID=14","0.00663")</f>
        <v>0.00663</v>
      </c>
    </row>
    <row r="7299" spans="1:7">
      <c r="A7299" s="3"/>
      <c r="B7299" s="3"/>
      <c r="C7299" s="3"/>
      <c r="D7299" s="3"/>
      <c r="E7299" s="3">
        <v>16</v>
      </c>
      <c r="F7299" s="4" t="str">
        <f>HYPERLINK("http://141.218.60.56/~jnz1568/getInfo.php?workbook=12_05.xlsx&amp;sheet=U0&amp;row=7299&amp;col=6&amp;number=4.5&amp;sourceID=14","4.5")</f>
        <v>4.5</v>
      </c>
      <c r="G7299" s="4" t="str">
        <f>HYPERLINK("http://141.218.60.56/~jnz1568/getInfo.php?workbook=12_05.xlsx&amp;sheet=U0&amp;row=7299&amp;col=7&amp;number=0.00659&amp;sourceID=14","0.00659")</f>
        <v>0.00659</v>
      </c>
    </row>
    <row r="7300" spans="1:7">
      <c r="A7300" s="3"/>
      <c r="B7300" s="3"/>
      <c r="C7300" s="3"/>
      <c r="D7300" s="3"/>
      <c r="E7300" s="3">
        <v>17</v>
      </c>
      <c r="F7300" s="4" t="str">
        <f>HYPERLINK("http://141.218.60.56/~jnz1568/getInfo.php?workbook=12_05.xlsx&amp;sheet=U0&amp;row=7300&amp;col=6&amp;number=4.6&amp;sourceID=14","4.6")</f>
        <v>4.6</v>
      </c>
      <c r="G7300" s="4" t="str">
        <f>HYPERLINK("http://141.218.60.56/~jnz1568/getInfo.php?workbook=12_05.xlsx&amp;sheet=U0&amp;row=7300&amp;col=7&amp;number=0.00655&amp;sourceID=14","0.00655")</f>
        <v>0.00655</v>
      </c>
    </row>
    <row r="7301" spans="1:7">
      <c r="A7301" s="3"/>
      <c r="B7301" s="3"/>
      <c r="C7301" s="3"/>
      <c r="D7301" s="3"/>
      <c r="E7301" s="3">
        <v>18</v>
      </c>
      <c r="F7301" s="4" t="str">
        <f>HYPERLINK("http://141.218.60.56/~jnz1568/getInfo.php?workbook=12_05.xlsx&amp;sheet=U0&amp;row=7301&amp;col=6&amp;number=4.7&amp;sourceID=14","4.7")</f>
        <v>4.7</v>
      </c>
      <c r="G7301" s="4" t="str">
        <f>HYPERLINK("http://141.218.60.56/~jnz1568/getInfo.php?workbook=12_05.xlsx&amp;sheet=U0&amp;row=7301&amp;col=7&amp;number=0.0065&amp;sourceID=14","0.0065")</f>
        <v>0.0065</v>
      </c>
    </row>
    <row r="7302" spans="1:7">
      <c r="A7302" s="3"/>
      <c r="B7302" s="3"/>
      <c r="C7302" s="3"/>
      <c r="D7302" s="3"/>
      <c r="E7302" s="3">
        <v>19</v>
      </c>
      <c r="F7302" s="4" t="str">
        <f>HYPERLINK("http://141.218.60.56/~jnz1568/getInfo.php?workbook=12_05.xlsx&amp;sheet=U0&amp;row=7302&amp;col=6&amp;number=4.8&amp;sourceID=14","4.8")</f>
        <v>4.8</v>
      </c>
      <c r="G7302" s="4" t="str">
        <f>HYPERLINK("http://141.218.60.56/~jnz1568/getInfo.php?workbook=12_05.xlsx&amp;sheet=U0&amp;row=7302&amp;col=7&amp;number=0.00643&amp;sourceID=14","0.00643")</f>
        <v>0.00643</v>
      </c>
    </row>
    <row r="7303" spans="1:7">
      <c r="A7303" s="3"/>
      <c r="B7303" s="3"/>
      <c r="C7303" s="3"/>
      <c r="D7303" s="3"/>
      <c r="E7303" s="3">
        <v>20</v>
      </c>
      <c r="F7303" s="4" t="str">
        <f>HYPERLINK("http://141.218.60.56/~jnz1568/getInfo.php?workbook=12_05.xlsx&amp;sheet=U0&amp;row=7303&amp;col=6&amp;number=4.9&amp;sourceID=14","4.9")</f>
        <v>4.9</v>
      </c>
      <c r="G7303" s="4" t="str">
        <f>HYPERLINK("http://141.218.60.56/~jnz1568/getInfo.php?workbook=12_05.xlsx&amp;sheet=U0&amp;row=7303&amp;col=7&amp;number=0.00635&amp;sourceID=14","0.00635")</f>
        <v>0.00635</v>
      </c>
    </row>
    <row r="7304" spans="1:7">
      <c r="A7304" s="3">
        <v>12</v>
      </c>
      <c r="B7304" s="3">
        <v>5</v>
      </c>
      <c r="C7304" s="3">
        <v>3</v>
      </c>
      <c r="D7304" s="3">
        <v>18</v>
      </c>
      <c r="E7304" s="3">
        <v>1</v>
      </c>
      <c r="F7304" s="4" t="str">
        <f>HYPERLINK("http://141.218.60.56/~jnz1568/getInfo.php?workbook=12_05.xlsx&amp;sheet=U0&amp;row=7304&amp;col=6&amp;number=3&amp;sourceID=14","3")</f>
        <v>3</v>
      </c>
      <c r="G7304" s="4" t="str">
        <f>HYPERLINK("http://141.218.60.56/~jnz1568/getInfo.php?workbook=12_05.xlsx&amp;sheet=U0&amp;row=7304&amp;col=7&amp;number=0.00545&amp;sourceID=14","0.00545")</f>
        <v>0.00545</v>
      </c>
    </row>
    <row r="7305" spans="1:7">
      <c r="A7305" s="3"/>
      <c r="B7305" s="3"/>
      <c r="C7305" s="3"/>
      <c r="D7305" s="3"/>
      <c r="E7305" s="3">
        <v>2</v>
      </c>
      <c r="F7305" s="4" t="str">
        <f>HYPERLINK("http://141.218.60.56/~jnz1568/getInfo.php?workbook=12_05.xlsx&amp;sheet=U0&amp;row=7305&amp;col=6&amp;number=3.1&amp;sourceID=14","3.1")</f>
        <v>3.1</v>
      </c>
      <c r="G7305" s="4" t="str">
        <f>HYPERLINK("http://141.218.60.56/~jnz1568/getInfo.php?workbook=12_05.xlsx&amp;sheet=U0&amp;row=7305&amp;col=7&amp;number=0.00545&amp;sourceID=14","0.00545")</f>
        <v>0.00545</v>
      </c>
    </row>
    <row r="7306" spans="1:7">
      <c r="A7306" s="3"/>
      <c r="B7306" s="3"/>
      <c r="C7306" s="3"/>
      <c r="D7306" s="3"/>
      <c r="E7306" s="3">
        <v>3</v>
      </c>
      <c r="F7306" s="4" t="str">
        <f>HYPERLINK("http://141.218.60.56/~jnz1568/getInfo.php?workbook=12_05.xlsx&amp;sheet=U0&amp;row=7306&amp;col=6&amp;number=3.2&amp;sourceID=14","3.2")</f>
        <v>3.2</v>
      </c>
      <c r="G7306" s="4" t="str">
        <f>HYPERLINK("http://141.218.60.56/~jnz1568/getInfo.php?workbook=12_05.xlsx&amp;sheet=U0&amp;row=7306&amp;col=7&amp;number=0.00545&amp;sourceID=14","0.00545")</f>
        <v>0.00545</v>
      </c>
    </row>
    <row r="7307" spans="1:7">
      <c r="A7307" s="3"/>
      <c r="B7307" s="3"/>
      <c r="C7307" s="3"/>
      <c r="D7307" s="3"/>
      <c r="E7307" s="3">
        <v>4</v>
      </c>
      <c r="F7307" s="4" t="str">
        <f>HYPERLINK("http://141.218.60.56/~jnz1568/getInfo.php?workbook=12_05.xlsx&amp;sheet=U0&amp;row=7307&amp;col=6&amp;number=3.3&amp;sourceID=14","3.3")</f>
        <v>3.3</v>
      </c>
      <c r="G7307" s="4" t="str">
        <f>HYPERLINK("http://141.218.60.56/~jnz1568/getInfo.php?workbook=12_05.xlsx&amp;sheet=U0&amp;row=7307&amp;col=7&amp;number=0.00545&amp;sourceID=14","0.00545")</f>
        <v>0.00545</v>
      </c>
    </row>
    <row r="7308" spans="1:7">
      <c r="A7308" s="3"/>
      <c r="B7308" s="3"/>
      <c r="C7308" s="3"/>
      <c r="D7308" s="3"/>
      <c r="E7308" s="3">
        <v>5</v>
      </c>
      <c r="F7308" s="4" t="str">
        <f>HYPERLINK("http://141.218.60.56/~jnz1568/getInfo.php?workbook=12_05.xlsx&amp;sheet=U0&amp;row=7308&amp;col=6&amp;number=3.4&amp;sourceID=14","3.4")</f>
        <v>3.4</v>
      </c>
      <c r="G7308" s="4" t="str">
        <f>HYPERLINK("http://141.218.60.56/~jnz1568/getInfo.php?workbook=12_05.xlsx&amp;sheet=U0&amp;row=7308&amp;col=7&amp;number=0.00544&amp;sourceID=14","0.00544")</f>
        <v>0.00544</v>
      </c>
    </row>
    <row r="7309" spans="1:7">
      <c r="A7309" s="3"/>
      <c r="B7309" s="3"/>
      <c r="C7309" s="3"/>
      <c r="D7309" s="3"/>
      <c r="E7309" s="3">
        <v>6</v>
      </c>
      <c r="F7309" s="4" t="str">
        <f>HYPERLINK("http://141.218.60.56/~jnz1568/getInfo.php?workbook=12_05.xlsx&amp;sheet=U0&amp;row=7309&amp;col=6&amp;number=3.5&amp;sourceID=14","3.5")</f>
        <v>3.5</v>
      </c>
      <c r="G7309" s="4" t="str">
        <f>HYPERLINK("http://141.218.60.56/~jnz1568/getInfo.php?workbook=12_05.xlsx&amp;sheet=U0&amp;row=7309&amp;col=7&amp;number=0.00544&amp;sourceID=14","0.00544")</f>
        <v>0.00544</v>
      </c>
    </row>
    <row r="7310" spans="1:7">
      <c r="A7310" s="3"/>
      <c r="B7310" s="3"/>
      <c r="C7310" s="3"/>
      <c r="D7310" s="3"/>
      <c r="E7310" s="3">
        <v>7</v>
      </c>
      <c r="F7310" s="4" t="str">
        <f>HYPERLINK("http://141.218.60.56/~jnz1568/getInfo.php?workbook=12_05.xlsx&amp;sheet=U0&amp;row=7310&amp;col=6&amp;number=3.6&amp;sourceID=14","3.6")</f>
        <v>3.6</v>
      </c>
      <c r="G7310" s="4" t="str">
        <f>HYPERLINK("http://141.218.60.56/~jnz1568/getInfo.php?workbook=12_05.xlsx&amp;sheet=U0&amp;row=7310&amp;col=7&amp;number=0.00544&amp;sourceID=14","0.00544")</f>
        <v>0.00544</v>
      </c>
    </row>
    <row r="7311" spans="1:7">
      <c r="A7311" s="3"/>
      <c r="B7311" s="3"/>
      <c r="C7311" s="3"/>
      <c r="D7311" s="3"/>
      <c r="E7311" s="3">
        <v>8</v>
      </c>
      <c r="F7311" s="4" t="str">
        <f>HYPERLINK("http://141.218.60.56/~jnz1568/getInfo.php?workbook=12_05.xlsx&amp;sheet=U0&amp;row=7311&amp;col=6&amp;number=3.7&amp;sourceID=14","3.7")</f>
        <v>3.7</v>
      </c>
      <c r="G7311" s="4" t="str">
        <f>HYPERLINK("http://141.218.60.56/~jnz1568/getInfo.php?workbook=12_05.xlsx&amp;sheet=U0&amp;row=7311&amp;col=7&amp;number=0.00543&amp;sourceID=14","0.00543")</f>
        <v>0.00543</v>
      </c>
    </row>
    <row r="7312" spans="1:7">
      <c r="A7312" s="3"/>
      <c r="B7312" s="3"/>
      <c r="C7312" s="3"/>
      <c r="D7312" s="3"/>
      <c r="E7312" s="3">
        <v>9</v>
      </c>
      <c r="F7312" s="4" t="str">
        <f>HYPERLINK("http://141.218.60.56/~jnz1568/getInfo.php?workbook=12_05.xlsx&amp;sheet=U0&amp;row=7312&amp;col=6&amp;number=3.8&amp;sourceID=14","3.8")</f>
        <v>3.8</v>
      </c>
      <c r="G7312" s="4" t="str">
        <f>HYPERLINK("http://141.218.60.56/~jnz1568/getInfo.php?workbook=12_05.xlsx&amp;sheet=U0&amp;row=7312&amp;col=7&amp;number=0.00543&amp;sourceID=14","0.00543")</f>
        <v>0.00543</v>
      </c>
    </row>
    <row r="7313" spans="1:7">
      <c r="A7313" s="3"/>
      <c r="B7313" s="3"/>
      <c r="C7313" s="3"/>
      <c r="D7313" s="3"/>
      <c r="E7313" s="3">
        <v>10</v>
      </c>
      <c r="F7313" s="4" t="str">
        <f>HYPERLINK("http://141.218.60.56/~jnz1568/getInfo.php?workbook=12_05.xlsx&amp;sheet=U0&amp;row=7313&amp;col=6&amp;number=3.9&amp;sourceID=14","3.9")</f>
        <v>3.9</v>
      </c>
      <c r="G7313" s="4" t="str">
        <f>HYPERLINK("http://141.218.60.56/~jnz1568/getInfo.php?workbook=12_05.xlsx&amp;sheet=U0&amp;row=7313&amp;col=7&amp;number=0.00542&amp;sourceID=14","0.00542")</f>
        <v>0.00542</v>
      </c>
    </row>
    <row r="7314" spans="1:7">
      <c r="A7314" s="3"/>
      <c r="B7314" s="3"/>
      <c r="C7314" s="3"/>
      <c r="D7314" s="3"/>
      <c r="E7314" s="3">
        <v>11</v>
      </c>
      <c r="F7314" s="4" t="str">
        <f>HYPERLINK("http://141.218.60.56/~jnz1568/getInfo.php?workbook=12_05.xlsx&amp;sheet=U0&amp;row=7314&amp;col=6&amp;number=4&amp;sourceID=14","4")</f>
        <v>4</v>
      </c>
      <c r="G7314" s="4" t="str">
        <f>HYPERLINK("http://141.218.60.56/~jnz1568/getInfo.php?workbook=12_05.xlsx&amp;sheet=U0&amp;row=7314&amp;col=7&amp;number=0.00541&amp;sourceID=14","0.00541")</f>
        <v>0.00541</v>
      </c>
    </row>
    <row r="7315" spans="1:7">
      <c r="A7315" s="3"/>
      <c r="B7315" s="3"/>
      <c r="C7315" s="3"/>
      <c r="D7315" s="3"/>
      <c r="E7315" s="3">
        <v>12</v>
      </c>
      <c r="F7315" s="4" t="str">
        <f>HYPERLINK("http://141.218.60.56/~jnz1568/getInfo.php?workbook=12_05.xlsx&amp;sheet=U0&amp;row=7315&amp;col=6&amp;number=4.1&amp;sourceID=14","4.1")</f>
        <v>4.1</v>
      </c>
      <c r="G7315" s="4" t="str">
        <f>HYPERLINK("http://141.218.60.56/~jnz1568/getInfo.php?workbook=12_05.xlsx&amp;sheet=U0&amp;row=7315&amp;col=7&amp;number=0.0054&amp;sourceID=14","0.0054")</f>
        <v>0.0054</v>
      </c>
    </row>
    <row r="7316" spans="1:7">
      <c r="A7316" s="3"/>
      <c r="B7316" s="3"/>
      <c r="C7316" s="3"/>
      <c r="D7316" s="3"/>
      <c r="E7316" s="3">
        <v>13</v>
      </c>
      <c r="F7316" s="4" t="str">
        <f>HYPERLINK("http://141.218.60.56/~jnz1568/getInfo.php?workbook=12_05.xlsx&amp;sheet=U0&amp;row=7316&amp;col=6&amp;number=4.2&amp;sourceID=14","4.2")</f>
        <v>4.2</v>
      </c>
      <c r="G7316" s="4" t="str">
        <f>HYPERLINK("http://141.218.60.56/~jnz1568/getInfo.php?workbook=12_05.xlsx&amp;sheet=U0&amp;row=7316&amp;col=7&amp;number=0.00538&amp;sourceID=14","0.00538")</f>
        <v>0.00538</v>
      </c>
    </row>
    <row r="7317" spans="1:7">
      <c r="A7317" s="3"/>
      <c r="B7317" s="3"/>
      <c r="C7317" s="3"/>
      <c r="D7317" s="3"/>
      <c r="E7317" s="3">
        <v>14</v>
      </c>
      <c r="F7317" s="4" t="str">
        <f>HYPERLINK("http://141.218.60.56/~jnz1568/getInfo.php?workbook=12_05.xlsx&amp;sheet=U0&amp;row=7317&amp;col=6&amp;number=4.3&amp;sourceID=14","4.3")</f>
        <v>4.3</v>
      </c>
      <c r="G7317" s="4" t="str">
        <f>HYPERLINK("http://141.218.60.56/~jnz1568/getInfo.php?workbook=12_05.xlsx&amp;sheet=U0&amp;row=7317&amp;col=7&amp;number=0.00536&amp;sourceID=14","0.00536")</f>
        <v>0.00536</v>
      </c>
    </row>
    <row r="7318" spans="1:7">
      <c r="A7318" s="3"/>
      <c r="B7318" s="3"/>
      <c r="C7318" s="3"/>
      <c r="D7318" s="3"/>
      <c r="E7318" s="3">
        <v>15</v>
      </c>
      <c r="F7318" s="4" t="str">
        <f>HYPERLINK("http://141.218.60.56/~jnz1568/getInfo.php?workbook=12_05.xlsx&amp;sheet=U0&amp;row=7318&amp;col=6&amp;number=4.4&amp;sourceID=14","4.4")</f>
        <v>4.4</v>
      </c>
      <c r="G7318" s="4" t="str">
        <f>HYPERLINK("http://141.218.60.56/~jnz1568/getInfo.php?workbook=12_05.xlsx&amp;sheet=U0&amp;row=7318&amp;col=7&amp;number=0.00534&amp;sourceID=14","0.00534")</f>
        <v>0.00534</v>
      </c>
    </row>
    <row r="7319" spans="1:7">
      <c r="A7319" s="3"/>
      <c r="B7319" s="3"/>
      <c r="C7319" s="3"/>
      <c r="D7319" s="3"/>
      <c r="E7319" s="3">
        <v>16</v>
      </c>
      <c r="F7319" s="4" t="str">
        <f>HYPERLINK("http://141.218.60.56/~jnz1568/getInfo.php?workbook=12_05.xlsx&amp;sheet=U0&amp;row=7319&amp;col=6&amp;number=4.5&amp;sourceID=14","4.5")</f>
        <v>4.5</v>
      </c>
      <c r="G7319" s="4" t="str">
        <f>HYPERLINK("http://141.218.60.56/~jnz1568/getInfo.php?workbook=12_05.xlsx&amp;sheet=U0&amp;row=7319&amp;col=7&amp;number=0.00531&amp;sourceID=14","0.00531")</f>
        <v>0.00531</v>
      </c>
    </row>
    <row r="7320" spans="1:7">
      <c r="A7320" s="3"/>
      <c r="B7320" s="3"/>
      <c r="C7320" s="3"/>
      <c r="D7320" s="3"/>
      <c r="E7320" s="3">
        <v>17</v>
      </c>
      <c r="F7320" s="4" t="str">
        <f>HYPERLINK("http://141.218.60.56/~jnz1568/getInfo.php?workbook=12_05.xlsx&amp;sheet=U0&amp;row=7320&amp;col=6&amp;number=4.6&amp;sourceID=14","4.6")</f>
        <v>4.6</v>
      </c>
      <c r="G7320" s="4" t="str">
        <f>HYPERLINK("http://141.218.60.56/~jnz1568/getInfo.php?workbook=12_05.xlsx&amp;sheet=U0&amp;row=7320&amp;col=7&amp;number=0.00527&amp;sourceID=14","0.00527")</f>
        <v>0.00527</v>
      </c>
    </row>
    <row r="7321" spans="1:7">
      <c r="A7321" s="3"/>
      <c r="B7321" s="3"/>
      <c r="C7321" s="3"/>
      <c r="D7321" s="3"/>
      <c r="E7321" s="3">
        <v>18</v>
      </c>
      <c r="F7321" s="4" t="str">
        <f>HYPERLINK("http://141.218.60.56/~jnz1568/getInfo.php?workbook=12_05.xlsx&amp;sheet=U0&amp;row=7321&amp;col=6&amp;number=4.7&amp;sourceID=14","4.7")</f>
        <v>4.7</v>
      </c>
      <c r="G7321" s="4" t="str">
        <f>HYPERLINK("http://141.218.60.56/~jnz1568/getInfo.php?workbook=12_05.xlsx&amp;sheet=U0&amp;row=7321&amp;col=7&amp;number=0.00522&amp;sourceID=14","0.00522")</f>
        <v>0.00522</v>
      </c>
    </row>
    <row r="7322" spans="1:7">
      <c r="A7322" s="3"/>
      <c r="B7322" s="3"/>
      <c r="C7322" s="3"/>
      <c r="D7322" s="3"/>
      <c r="E7322" s="3">
        <v>19</v>
      </c>
      <c r="F7322" s="4" t="str">
        <f>HYPERLINK("http://141.218.60.56/~jnz1568/getInfo.php?workbook=12_05.xlsx&amp;sheet=U0&amp;row=7322&amp;col=6&amp;number=4.8&amp;sourceID=14","4.8")</f>
        <v>4.8</v>
      </c>
      <c r="G7322" s="4" t="str">
        <f>HYPERLINK("http://141.218.60.56/~jnz1568/getInfo.php?workbook=12_05.xlsx&amp;sheet=U0&amp;row=7322&amp;col=7&amp;number=0.00516&amp;sourceID=14","0.00516")</f>
        <v>0.00516</v>
      </c>
    </row>
    <row r="7323" spans="1:7">
      <c r="A7323" s="3"/>
      <c r="B7323" s="3"/>
      <c r="C7323" s="3"/>
      <c r="D7323" s="3"/>
      <c r="E7323" s="3">
        <v>20</v>
      </c>
      <c r="F7323" s="4" t="str">
        <f>HYPERLINK("http://141.218.60.56/~jnz1568/getInfo.php?workbook=12_05.xlsx&amp;sheet=U0&amp;row=7323&amp;col=6&amp;number=4.9&amp;sourceID=14","4.9")</f>
        <v>4.9</v>
      </c>
      <c r="G7323" s="4" t="str">
        <f>HYPERLINK("http://141.218.60.56/~jnz1568/getInfo.php?workbook=12_05.xlsx&amp;sheet=U0&amp;row=7323&amp;col=7&amp;number=0.00509&amp;sourceID=14","0.00509")</f>
        <v>0.00509</v>
      </c>
    </row>
    <row r="7324" spans="1:7">
      <c r="A7324" s="3">
        <v>12</v>
      </c>
      <c r="B7324" s="3">
        <v>5</v>
      </c>
      <c r="C7324" s="3">
        <v>3</v>
      </c>
      <c r="D7324" s="3">
        <v>19</v>
      </c>
      <c r="E7324" s="3">
        <v>1</v>
      </c>
      <c r="F7324" s="4" t="str">
        <f>HYPERLINK("http://141.218.60.56/~jnz1568/getInfo.php?workbook=12_05.xlsx&amp;sheet=U0&amp;row=7324&amp;col=6&amp;number=3&amp;sourceID=14","3")</f>
        <v>3</v>
      </c>
      <c r="G7324" s="4" t="str">
        <f>HYPERLINK("http://141.218.60.56/~jnz1568/getInfo.php?workbook=12_05.xlsx&amp;sheet=U0&amp;row=7324&amp;col=7&amp;number=0.175&amp;sourceID=14","0.175")</f>
        <v>0.175</v>
      </c>
    </row>
    <row r="7325" spans="1:7">
      <c r="A7325" s="3"/>
      <c r="B7325" s="3"/>
      <c r="C7325" s="3"/>
      <c r="D7325" s="3"/>
      <c r="E7325" s="3">
        <v>2</v>
      </c>
      <c r="F7325" s="4" t="str">
        <f>HYPERLINK("http://141.218.60.56/~jnz1568/getInfo.php?workbook=12_05.xlsx&amp;sheet=U0&amp;row=7325&amp;col=6&amp;number=3.1&amp;sourceID=14","3.1")</f>
        <v>3.1</v>
      </c>
      <c r="G7325" s="4" t="str">
        <f>HYPERLINK("http://141.218.60.56/~jnz1568/getInfo.php?workbook=12_05.xlsx&amp;sheet=U0&amp;row=7325&amp;col=7&amp;number=0.175&amp;sourceID=14","0.175")</f>
        <v>0.175</v>
      </c>
    </row>
    <row r="7326" spans="1:7">
      <c r="A7326" s="3"/>
      <c r="B7326" s="3"/>
      <c r="C7326" s="3"/>
      <c r="D7326" s="3"/>
      <c r="E7326" s="3">
        <v>3</v>
      </c>
      <c r="F7326" s="4" t="str">
        <f>HYPERLINK("http://141.218.60.56/~jnz1568/getInfo.php?workbook=12_05.xlsx&amp;sheet=U0&amp;row=7326&amp;col=6&amp;number=3.2&amp;sourceID=14","3.2")</f>
        <v>3.2</v>
      </c>
      <c r="G7326" s="4" t="str">
        <f>HYPERLINK("http://141.218.60.56/~jnz1568/getInfo.php?workbook=12_05.xlsx&amp;sheet=U0&amp;row=7326&amp;col=7&amp;number=0.175&amp;sourceID=14","0.175")</f>
        <v>0.175</v>
      </c>
    </row>
    <row r="7327" spans="1:7">
      <c r="A7327" s="3"/>
      <c r="B7327" s="3"/>
      <c r="C7327" s="3"/>
      <c r="D7327" s="3"/>
      <c r="E7327" s="3">
        <v>4</v>
      </c>
      <c r="F7327" s="4" t="str">
        <f>HYPERLINK("http://141.218.60.56/~jnz1568/getInfo.php?workbook=12_05.xlsx&amp;sheet=U0&amp;row=7327&amp;col=6&amp;number=3.3&amp;sourceID=14","3.3")</f>
        <v>3.3</v>
      </c>
      <c r="G7327" s="4" t="str">
        <f>HYPERLINK("http://141.218.60.56/~jnz1568/getInfo.php?workbook=12_05.xlsx&amp;sheet=U0&amp;row=7327&amp;col=7&amp;number=0.175&amp;sourceID=14","0.175")</f>
        <v>0.175</v>
      </c>
    </row>
    <row r="7328" spans="1:7">
      <c r="A7328" s="3"/>
      <c r="B7328" s="3"/>
      <c r="C7328" s="3"/>
      <c r="D7328" s="3"/>
      <c r="E7328" s="3">
        <v>5</v>
      </c>
      <c r="F7328" s="4" t="str">
        <f>HYPERLINK("http://141.218.60.56/~jnz1568/getInfo.php?workbook=12_05.xlsx&amp;sheet=U0&amp;row=7328&amp;col=6&amp;number=3.4&amp;sourceID=14","3.4")</f>
        <v>3.4</v>
      </c>
      <c r="G7328" s="4" t="str">
        <f>HYPERLINK("http://141.218.60.56/~jnz1568/getInfo.php?workbook=12_05.xlsx&amp;sheet=U0&amp;row=7328&amp;col=7&amp;number=0.175&amp;sourceID=14","0.175")</f>
        <v>0.175</v>
      </c>
    </row>
    <row r="7329" spans="1:7">
      <c r="A7329" s="3"/>
      <c r="B7329" s="3"/>
      <c r="C7329" s="3"/>
      <c r="D7329" s="3"/>
      <c r="E7329" s="3">
        <v>6</v>
      </c>
      <c r="F7329" s="4" t="str">
        <f>HYPERLINK("http://141.218.60.56/~jnz1568/getInfo.php?workbook=12_05.xlsx&amp;sheet=U0&amp;row=7329&amp;col=6&amp;number=3.5&amp;sourceID=14","3.5")</f>
        <v>3.5</v>
      </c>
      <c r="G7329" s="4" t="str">
        <f>HYPERLINK("http://141.218.60.56/~jnz1568/getInfo.php?workbook=12_05.xlsx&amp;sheet=U0&amp;row=7329&amp;col=7&amp;number=0.175&amp;sourceID=14","0.175")</f>
        <v>0.175</v>
      </c>
    </row>
    <row r="7330" spans="1:7">
      <c r="A7330" s="3"/>
      <c r="B7330" s="3"/>
      <c r="C7330" s="3"/>
      <c r="D7330" s="3"/>
      <c r="E7330" s="3">
        <v>7</v>
      </c>
      <c r="F7330" s="4" t="str">
        <f>HYPERLINK("http://141.218.60.56/~jnz1568/getInfo.php?workbook=12_05.xlsx&amp;sheet=U0&amp;row=7330&amp;col=6&amp;number=3.6&amp;sourceID=14","3.6")</f>
        <v>3.6</v>
      </c>
      <c r="G7330" s="4" t="str">
        <f>HYPERLINK("http://141.218.60.56/~jnz1568/getInfo.php?workbook=12_05.xlsx&amp;sheet=U0&amp;row=7330&amp;col=7&amp;number=0.175&amp;sourceID=14","0.175")</f>
        <v>0.175</v>
      </c>
    </row>
    <row r="7331" spans="1:7">
      <c r="A7331" s="3"/>
      <c r="B7331" s="3"/>
      <c r="C7331" s="3"/>
      <c r="D7331" s="3"/>
      <c r="E7331" s="3">
        <v>8</v>
      </c>
      <c r="F7331" s="4" t="str">
        <f>HYPERLINK("http://141.218.60.56/~jnz1568/getInfo.php?workbook=12_05.xlsx&amp;sheet=U0&amp;row=7331&amp;col=6&amp;number=3.7&amp;sourceID=14","3.7")</f>
        <v>3.7</v>
      </c>
      <c r="G7331" s="4" t="str">
        <f>HYPERLINK("http://141.218.60.56/~jnz1568/getInfo.php?workbook=12_05.xlsx&amp;sheet=U0&amp;row=7331&amp;col=7&amp;number=0.175&amp;sourceID=14","0.175")</f>
        <v>0.175</v>
      </c>
    </row>
    <row r="7332" spans="1:7">
      <c r="A7332" s="3"/>
      <c r="B7332" s="3"/>
      <c r="C7332" s="3"/>
      <c r="D7332" s="3"/>
      <c r="E7332" s="3">
        <v>9</v>
      </c>
      <c r="F7332" s="4" t="str">
        <f>HYPERLINK("http://141.218.60.56/~jnz1568/getInfo.php?workbook=12_05.xlsx&amp;sheet=U0&amp;row=7332&amp;col=6&amp;number=3.8&amp;sourceID=14","3.8")</f>
        <v>3.8</v>
      </c>
      <c r="G7332" s="4" t="str">
        <f>HYPERLINK("http://141.218.60.56/~jnz1568/getInfo.php?workbook=12_05.xlsx&amp;sheet=U0&amp;row=7332&amp;col=7&amp;number=0.175&amp;sourceID=14","0.175")</f>
        <v>0.175</v>
      </c>
    </row>
    <row r="7333" spans="1:7">
      <c r="A7333" s="3"/>
      <c r="B7333" s="3"/>
      <c r="C7333" s="3"/>
      <c r="D7333" s="3"/>
      <c r="E7333" s="3">
        <v>10</v>
      </c>
      <c r="F7333" s="4" t="str">
        <f>HYPERLINK("http://141.218.60.56/~jnz1568/getInfo.php?workbook=12_05.xlsx&amp;sheet=U0&amp;row=7333&amp;col=6&amp;number=3.9&amp;sourceID=14","3.9")</f>
        <v>3.9</v>
      </c>
      <c r="G7333" s="4" t="str">
        <f>HYPERLINK("http://141.218.60.56/~jnz1568/getInfo.php?workbook=12_05.xlsx&amp;sheet=U0&amp;row=7333&amp;col=7&amp;number=0.175&amp;sourceID=14","0.175")</f>
        <v>0.175</v>
      </c>
    </row>
    <row r="7334" spans="1:7">
      <c r="A7334" s="3"/>
      <c r="B7334" s="3"/>
      <c r="C7334" s="3"/>
      <c r="D7334" s="3"/>
      <c r="E7334" s="3">
        <v>11</v>
      </c>
      <c r="F7334" s="4" t="str">
        <f>HYPERLINK("http://141.218.60.56/~jnz1568/getInfo.php?workbook=12_05.xlsx&amp;sheet=U0&amp;row=7334&amp;col=6&amp;number=4&amp;sourceID=14","4")</f>
        <v>4</v>
      </c>
      <c r="G7334" s="4" t="str">
        <f>HYPERLINK("http://141.218.60.56/~jnz1568/getInfo.php?workbook=12_05.xlsx&amp;sheet=U0&amp;row=7334&amp;col=7&amp;number=0.175&amp;sourceID=14","0.175")</f>
        <v>0.175</v>
      </c>
    </row>
    <row r="7335" spans="1:7">
      <c r="A7335" s="3"/>
      <c r="B7335" s="3"/>
      <c r="C7335" s="3"/>
      <c r="D7335" s="3"/>
      <c r="E7335" s="3">
        <v>12</v>
      </c>
      <c r="F7335" s="4" t="str">
        <f>HYPERLINK("http://141.218.60.56/~jnz1568/getInfo.php?workbook=12_05.xlsx&amp;sheet=U0&amp;row=7335&amp;col=6&amp;number=4.1&amp;sourceID=14","4.1")</f>
        <v>4.1</v>
      </c>
      <c r="G7335" s="4" t="str">
        <f>HYPERLINK("http://141.218.60.56/~jnz1568/getInfo.php?workbook=12_05.xlsx&amp;sheet=U0&amp;row=7335&amp;col=7&amp;number=0.175&amp;sourceID=14","0.175")</f>
        <v>0.175</v>
      </c>
    </row>
    <row r="7336" spans="1:7">
      <c r="A7336" s="3"/>
      <c r="B7336" s="3"/>
      <c r="C7336" s="3"/>
      <c r="D7336" s="3"/>
      <c r="E7336" s="3">
        <v>13</v>
      </c>
      <c r="F7336" s="4" t="str">
        <f>HYPERLINK("http://141.218.60.56/~jnz1568/getInfo.php?workbook=12_05.xlsx&amp;sheet=U0&amp;row=7336&amp;col=6&amp;number=4.2&amp;sourceID=14","4.2")</f>
        <v>4.2</v>
      </c>
      <c r="G7336" s="4" t="str">
        <f>HYPERLINK("http://141.218.60.56/~jnz1568/getInfo.php?workbook=12_05.xlsx&amp;sheet=U0&amp;row=7336&amp;col=7&amp;number=0.175&amp;sourceID=14","0.175")</f>
        <v>0.175</v>
      </c>
    </row>
    <row r="7337" spans="1:7">
      <c r="A7337" s="3"/>
      <c r="B7337" s="3"/>
      <c r="C7337" s="3"/>
      <c r="D7337" s="3"/>
      <c r="E7337" s="3">
        <v>14</v>
      </c>
      <c r="F7337" s="4" t="str">
        <f>HYPERLINK("http://141.218.60.56/~jnz1568/getInfo.php?workbook=12_05.xlsx&amp;sheet=U0&amp;row=7337&amp;col=6&amp;number=4.3&amp;sourceID=14","4.3")</f>
        <v>4.3</v>
      </c>
      <c r="G7337" s="4" t="str">
        <f>HYPERLINK("http://141.218.60.56/~jnz1568/getInfo.php?workbook=12_05.xlsx&amp;sheet=U0&amp;row=7337&amp;col=7&amp;number=0.175&amp;sourceID=14","0.175")</f>
        <v>0.175</v>
      </c>
    </row>
    <row r="7338" spans="1:7">
      <c r="A7338" s="3"/>
      <c r="B7338" s="3"/>
      <c r="C7338" s="3"/>
      <c r="D7338" s="3"/>
      <c r="E7338" s="3">
        <v>15</v>
      </c>
      <c r="F7338" s="4" t="str">
        <f>HYPERLINK("http://141.218.60.56/~jnz1568/getInfo.php?workbook=12_05.xlsx&amp;sheet=U0&amp;row=7338&amp;col=6&amp;number=4.4&amp;sourceID=14","4.4")</f>
        <v>4.4</v>
      </c>
      <c r="G7338" s="4" t="str">
        <f>HYPERLINK("http://141.218.60.56/~jnz1568/getInfo.php?workbook=12_05.xlsx&amp;sheet=U0&amp;row=7338&amp;col=7&amp;number=0.175&amp;sourceID=14","0.175")</f>
        <v>0.175</v>
      </c>
    </row>
    <row r="7339" spans="1:7">
      <c r="A7339" s="3"/>
      <c r="B7339" s="3"/>
      <c r="C7339" s="3"/>
      <c r="D7339" s="3"/>
      <c r="E7339" s="3">
        <v>16</v>
      </c>
      <c r="F7339" s="4" t="str">
        <f>HYPERLINK("http://141.218.60.56/~jnz1568/getInfo.php?workbook=12_05.xlsx&amp;sheet=U0&amp;row=7339&amp;col=6&amp;number=4.5&amp;sourceID=14","4.5")</f>
        <v>4.5</v>
      </c>
      <c r="G7339" s="4" t="str">
        <f>HYPERLINK("http://141.218.60.56/~jnz1568/getInfo.php?workbook=12_05.xlsx&amp;sheet=U0&amp;row=7339&amp;col=7&amp;number=0.175&amp;sourceID=14","0.175")</f>
        <v>0.175</v>
      </c>
    </row>
    <row r="7340" spans="1:7">
      <c r="A7340" s="3"/>
      <c r="B7340" s="3"/>
      <c r="C7340" s="3"/>
      <c r="D7340" s="3"/>
      <c r="E7340" s="3">
        <v>17</v>
      </c>
      <c r="F7340" s="4" t="str">
        <f>HYPERLINK("http://141.218.60.56/~jnz1568/getInfo.php?workbook=12_05.xlsx&amp;sheet=U0&amp;row=7340&amp;col=6&amp;number=4.6&amp;sourceID=14","4.6")</f>
        <v>4.6</v>
      </c>
      <c r="G7340" s="4" t="str">
        <f>HYPERLINK("http://141.218.60.56/~jnz1568/getInfo.php?workbook=12_05.xlsx&amp;sheet=U0&amp;row=7340&amp;col=7&amp;number=0.176&amp;sourceID=14","0.176")</f>
        <v>0.176</v>
      </c>
    </row>
    <row r="7341" spans="1:7">
      <c r="A7341" s="3"/>
      <c r="B7341" s="3"/>
      <c r="C7341" s="3"/>
      <c r="D7341" s="3"/>
      <c r="E7341" s="3">
        <v>18</v>
      </c>
      <c r="F7341" s="4" t="str">
        <f>HYPERLINK("http://141.218.60.56/~jnz1568/getInfo.php?workbook=12_05.xlsx&amp;sheet=U0&amp;row=7341&amp;col=6&amp;number=4.7&amp;sourceID=14","4.7")</f>
        <v>4.7</v>
      </c>
      <c r="G7341" s="4" t="str">
        <f>HYPERLINK("http://141.218.60.56/~jnz1568/getInfo.php?workbook=12_05.xlsx&amp;sheet=U0&amp;row=7341&amp;col=7&amp;number=0.176&amp;sourceID=14","0.176")</f>
        <v>0.176</v>
      </c>
    </row>
    <row r="7342" spans="1:7">
      <c r="A7342" s="3"/>
      <c r="B7342" s="3"/>
      <c r="C7342" s="3"/>
      <c r="D7342" s="3"/>
      <c r="E7342" s="3">
        <v>19</v>
      </c>
      <c r="F7342" s="4" t="str">
        <f>HYPERLINK("http://141.218.60.56/~jnz1568/getInfo.php?workbook=12_05.xlsx&amp;sheet=U0&amp;row=7342&amp;col=6&amp;number=4.8&amp;sourceID=14","4.8")</f>
        <v>4.8</v>
      </c>
      <c r="G7342" s="4" t="str">
        <f>HYPERLINK("http://141.218.60.56/~jnz1568/getInfo.php?workbook=12_05.xlsx&amp;sheet=U0&amp;row=7342&amp;col=7&amp;number=0.176&amp;sourceID=14","0.176")</f>
        <v>0.176</v>
      </c>
    </row>
    <row r="7343" spans="1:7">
      <c r="A7343" s="3"/>
      <c r="B7343" s="3"/>
      <c r="C7343" s="3"/>
      <c r="D7343" s="3"/>
      <c r="E7343" s="3">
        <v>20</v>
      </c>
      <c r="F7343" s="4" t="str">
        <f>HYPERLINK("http://141.218.60.56/~jnz1568/getInfo.php?workbook=12_05.xlsx&amp;sheet=U0&amp;row=7343&amp;col=6&amp;number=4.9&amp;sourceID=14","4.9")</f>
        <v>4.9</v>
      </c>
      <c r="G7343" s="4" t="str">
        <f>HYPERLINK("http://141.218.60.56/~jnz1568/getInfo.php?workbook=12_05.xlsx&amp;sheet=U0&amp;row=7343&amp;col=7&amp;number=0.176&amp;sourceID=14","0.176")</f>
        <v>0.176</v>
      </c>
    </row>
    <row r="7344" spans="1:7">
      <c r="A7344" s="3">
        <v>12</v>
      </c>
      <c r="B7344" s="3">
        <v>5</v>
      </c>
      <c r="C7344" s="3">
        <v>3</v>
      </c>
      <c r="D7344" s="3">
        <v>20</v>
      </c>
      <c r="E7344" s="3">
        <v>1</v>
      </c>
      <c r="F7344" s="4" t="str">
        <f>HYPERLINK("http://141.218.60.56/~jnz1568/getInfo.php?workbook=12_05.xlsx&amp;sheet=U0&amp;row=7344&amp;col=6&amp;number=3&amp;sourceID=14","3")</f>
        <v>3</v>
      </c>
      <c r="G7344" s="4" t="str">
        <f>HYPERLINK("http://141.218.60.56/~jnz1568/getInfo.php?workbook=12_05.xlsx&amp;sheet=U0&amp;row=7344&amp;col=7&amp;number=0.00185&amp;sourceID=14","0.00185")</f>
        <v>0.00185</v>
      </c>
    </row>
    <row r="7345" spans="1:7">
      <c r="A7345" s="3"/>
      <c r="B7345" s="3"/>
      <c r="C7345" s="3"/>
      <c r="D7345" s="3"/>
      <c r="E7345" s="3">
        <v>2</v>
      </c>
      <c r="F7345" s="4" t="str">
        <f>HYPERLINK("http://141.218.60.56/~jnz1568/getInfo.php?workbook=12_05.xlsx&amp;sheet=U0&amp;row=7345&amp;col=6&amp;number=3.1&amp;sourceID=14","3.1")</f>
        <v>3.1</v>
      </c>
      <c r="G7345" s="4" t="str">
        <f>HYPERLINK("http://141.218.60.56/~jnz1568/getInfo.php?workbook=12_05.xlsx&amp;sheet=U0&amp;row=7345&amp;col=7&amp;number=0.00185&amp;sourceID=14","0.00185")</f>
        <v>0.00185</v>
      </c>
    </row>
    <row r="7346" spans="1:7">
      <c r="A7346" s="3"/>
      <c r="B7346" s="3"/>
      <c r="C7346" s="3"/>
      <c r="D7346" s="3"/>
      <c r="E7346" s="3">
        <v>3</v>
      </c>
      <c r="F7346" s="4" t="str">
        <f>HYPERLINK("http://141.218.60.56/~jnz1568/getInfo.php?workbook=12_05.xlsx&amp;sheet=U0&amp;row=7346&amp;col=6&amp;number=3.2&amp;sourceID=14","3.2")</f>
        <v>3.2</v>
      </c>
      <c r="G7346" s="4" t="str">
        <f>HYPERLINK("http://141.218.60.56/~jnz1568/getInfo.php?workbook=12_05.xlsx&amp;sheet=U0&amp;row=7346&amp;col=7&amp;number=0.00185&amp;sourceID=14","0.00185")</f>
        <v>0.00185</v>
      </c>
    </row>
    <row r="7347" spans="1:7">
      <c r="A7347" s="3"/>
      <c r="B7347" s="3"/>
      <c r="C7347" s="3"/>
      <c r="D7347" s="3"/>
      <c r="E7347" s="3">
        <v>4</v>
      </c>
      <c r="F7347" s="4" t="str">
        <f>HYPERLINK("http://141.218.60.56/~jnz1568/getInfo.php?workbook=12_05.xlsx&amp;sheet=U0&amp;row=7347&amp;col=6&amp;number=3.3&amp;sourceID=14","3.3")</f>
        <v>3.3</v>
      </c>
      <c r="G7347" s="4" t="str">
        <f>HYPERLINK("http://141.218.60.56/~jnz1568/getInfo.php?workbook=12_05.xlsx&amp;sheet=U0&amp;row=7347&amp;col=7&amp;number=0.00185&amp;sourceID=14","0.00185")</f>
        <v>0.00185</v>
      </c>
    </row>
    <row r="7348" spans="1:7">
      <c r="A7348" s="3"/>
      <c r="B7348" s="3"/>
      <c r="C7348" s="3"/>
      <c r="D7348" s="3"/>
      <c r="E7348" s="3">
        <v>5</v>
      </c>
      <c r="F7348" s="4" t="str">
        <f>HYPERLINK("http://141.218.60.56/~jnz1568/getInfo.php?workbook=12_05.xlsx&amp;sheet=U0&amp;row=7348&amp;col=6&amp;number=3.4&amp;sourceID=14","3.4")</f>
        <v>3.4</v>
      </c>
      <c r="G7348" s="4" t="str">
        <f>HYPERLINK("http://141.218.60.56/~jnz1568/getInfo.php?workbook=12_05.xlsx&amp;sheet=U0&amp;row=7348&amp;col=7&amp;number=0.00185&amp;sourceID=14","0.00185")</f>
        <v>0.00185</v>
      </c>
    </row>
    <row r="7349" spans="1:7">
      <c r="A7349" s="3"/>
      <c r="B7349" s="3"/>
      <c r="C7349" s="3"/>
      <c r="D7349" s="3"/>
      <c r="E7349" s="3">
        <v>6</v>
      </c>
      <c r="F7349" s="4" t="str">
        <f>HYPERLINK("http://141.218.60.56/~jnz1568/getInfo.php?workbook=12_05.xlsx&amp;sheet=U0&amp;row=7349&amp;col=6&amp;number=3.5&amp;sourceID=14","3.5")</f>
        <v>3.5</v>
      </c>
      <c r="G7349" s="4" t="str">
        <f>HYPERLINK("http://141.218.60.56/~jnz1568/getInfo.php?workbook=12_05.xlsx&amp;sheet=U0&amp;row=7349&amp;col=7&amp;number=0.00184&amp;sourceID=14","0.00184")</f>
        <v>0.00184</v>
      </c>
    </row>
    <row r="7350" spans="1:7">
      <c r="A7350" s="3"/>
      <c r="B7350" s="3"/>
      <c r="C7350" s="3"/>
      <c r="D7350" s="3"/>
      <c r="E7350" s="3">
        <v>7</v>
      </c>
      <c r="F7350" s="4" t="str">
        <f>HYPERLINK("http://141.218.60.56/~jnz1568/getInfo.php?workbook=12_05.xlsx&amp;sheet=U0&amp;row=7350&amp;col=6&amp;number=3.6&amp;sourceID=14","3.6")</f>
        <v>3.6</v>
      </c>
      <c r="G7350" s="4" t="str">
        <f>HYPERLINK("http://141.218.60.56/~jnz1568/getInfo.php?workbook=12_05.xlsx&amp;sheet=U0&amp;row=7350&amp;col=7&amp;number=0.00184&amp;sourceID=14","0.00184")</f>
        <v>0.00184</v>
      </c>
    </row>
    <row r="7351" spans="1:7">
      <c r="A7351" s="3"/>
      <c r="B7351" s="3"/>
      <c r="C7351" s="3"/>
      <c r="D7351" s="3"/>
      <c r="E7351" s="3">
        <v>8</v>
      </c>
      <c r="F7351" s="4" t="str">
        <f>HYPERLINK("http://141.218.60.56/~jnz1568/getInfo.php?workbook=12_05.xlsx&amp;sheet=U0&amp;row=7351&amp;col=6&amp;number=3.7&amp;sourceID=14","3.7")</f>
        <v>3.7</v>
      </c>
      <c r="G7351" s="4" t="str">
        <f>HYPERLINK("http://141.218.60.56/~jnz1568/getInfo.php?workbook=12_05.xlsx&amp;sheet=U0&amp;row=7351&amp;col=7&amp;number=0.00184&amp;sourceID=14","0.00184")</f>
        <v>0.00184</v>
      </c>
    </row>
    <row r="7352" spans="1:7">
      <c r="A7352" s="3"/>
      <c r="B7352" s="3"/>
      <c r="C7352" s="3"/>
      <c r="D7352" s="3"/>
      <c r="E7352" s="3">
        <v>9</v>
      </c>
      <c r="F7352" s="4" t="str">
        <f>HYPERLINK("http://141.218.60.56/~jnz1568/getInfo.php?workbook=12_05.xlsx&amp;sheet=U0&amp;row=7352&amp;col=6&amp;number=3.8&amp;sourceID=14","3.8")</f>
        <v>3.8</v>
      </c>
      <c r="G7352" s="4" t="str">
        <f>HYPERLINK("http://141.218.60.56/~jnz1568/getInfo.php?workbook=12_05.xlsx&amp;sheet=U0&amp;row=7352&amp;col=7&amp;number=0.00184&amp;sourceID=14","0.00184")</f>
        <v>0.00184</v>
      </c>
    </row>
    <row r="7353" spans="1:7">
      <c r="A7353" s="3"/>
      <c r="B7353" s="3"/>
      <c r="C7353" s="3"/>
      <c r="D7353" s="3"/>
      <c r="E7353" s="3">
        <v>10</v>
      </c>
      <c r="F7353" s="4" t="str">
        <f>HYPERLINK("http://141.218.60.56/~jnz1568/getInfo.php?workbook=12_05.xlsx&amp;sheet=U0&amp;row=7353&amp;col=6&amp;number=3.9&amp;sourceID=14","3.9")</f>
        <v>3.9</v>
      </c>
      <c r="G7353" s="4" t="str">
        <f>HYPERLINK("http://141.218.60.56/~jnz1568/getInfo.php?workbook=12_05.xlsx&amp;sheet=U0&amp;row=7353&amp;col=7&amp;number=0.00184&amp;sourceID=14","0.00184")</f>
        <v>0.00184</v>
      </c>
    </row>
    <row r="7354" spans="1:7">
      <c r="A7354" s="3"/>
      <c r="B7354" s="3"/>
      <c r="C7354" s="3"/>
      <c r="D7354" s="3"/>
      <c r="E7354" s="3">
        <v>11</v>
      </c>
      <c r="F7354" s="4" t="str">
        <f>HYPERLINK("http://141.218.60.56/~jnz1568/getInfo.php?workbook=12_05.xlsx&amp;sheet=U0&amp;row=7354&amp;col=6&amp;number=4&amp;sourceID=14","4")</f>
        <v>4</v>
      </c>
      <c r="G7354" s="4" t="str">
        <f>HYPERLINK("http://141.218.60.56/~jnz1568/getInfo.php?workbook=12_05.xlsx&amp;sheet=U0&amp;row=7354&amp;col=7&amp;number=0.00183&amp;sourceID=14","0.00183")</f>
        <v>0.00183</v>
      </c>
    </row>
    <row r="7355" spans="1:7">
      <c r="A7355" s="3"/>
      <c r="B7355" s="3"/>
      <c r="C7355" s="3"/>
      <c r="D7355" s="3"/>
      <c r="E7355" s="3">
        <v>12</v>
      </c>
      <c r="F7355" s="4" t="str">
        <f>HYPERLINK("http://141.218.60.56/~jnz1568/getInfo.php?workbook=12_05.xlsx&amp;sheet=U0&amp;row=7355&amp;col=6&amp;number=4.1&amp;sourceID=14","4.1")</f>
        <v>4.1</v>
      </c>
      <c r="G7355" s="4" t="str">
        <f>HYPERLINK("http://141.218.60.56/~jnz1568/getInfo.php?workbook=12_05.xlsx&amp;sheet=U0&amp;row=7355&amp;col=7&amp;number=0.00183&amp;sourceID=14","0.00183")</f>
        <v>0.00183</v>
      </c>
    </row>
    <row r="7356" spans="1:7">
      <c r="A7356" s="3"/>
      <c r="B7356" s="3"/>
      <c r="C7356" s="3"/>
      <c r="D7356" s="3"/>
      <c r="E7356" s="3">
        <v>13</v>
      </c>
      <c r="F7356" s="4" t="str">
        <f>HYPERLINK("http://141.218.60.56/~jnz1568/getInfo.php?workbook=12_05.xlsx&amp;sheet=U0&amp;row=7356&amp;col=6&amp;number=4.2&amp;sourceID=14","4.2")</f>
        <v>4.2</v>
      </c>
      <c r="G7356" s="4" t="str">
        <f>HYPERLINK("http://141.218.60.56/~jnz1568/getInfo.php?workbook=12_05.xlsx&amp;sheet=U0&amp;row=7356&amp;col=7&amp;number=0.00182&amp;sourceID=14","0.00182")</f>
        <v>0.00182</v>
      </c>
    </row>
    <row r="7357" spans="1:7">
      <c r="A7357" s="3"/>
      <c r="B7357" s="3"/>
      <c r="C7357" s="3"/>
      <c r="D7357" s="3"/>
      <c r="E7357" s="3">
        <v>14</v>
      </c>
      <c r="F7357" s="4" t="str">
        <f>HYPERLINK("http://141.218.60.56/~jnz1568/getInfo.php?workbook=12_05.xlsx&amp;sheet=U0&amp;row=7357&amp;col=6&amp;number=4.3&amp;sourceID=14","4.3")</f>
        <v>4.3</v>
      </c>
      <c r="G7357" s="4" t="str">
        <f>HYPERLINK("http://141.218.60.56/~jnz1568/getInfo.php?workbook=12_05.xlsx&amp;sheet=U0&amp;row=7357&amp;col=7&amp;number=0.00182&amp;sourceID=14","0.00182")</f>
        <v>0.00182</v>
      </c>
    </row>
    <row r="7358" spans="1:7">
      <c r="A7358" s="3"/>
      <c r="B7358" s="3"/>
      <c r="C7358" s="3"/>
      <c r="D7358" s="3"/>
      <c r="E7358" s="3">
        <v>15</v>
      </c>
      <c r="F7358" s="4" t="str">
        <f>HYPERLINK("http://141.218.60.56/~jnz1568/getInfo.php?workbook=12_05.xlsx&amp;sheet=U0&amp;row=7358&amp;col=6&amp;number=4.4&amp;sourceID=14","4.4")</f>
        <v>4.4</v>
      </c>
      <c r="G7358" s="4" t="str">
        <f>HYPERLINK("http://141.218.60.56/~jnz1568/getInfo.php?workbook=12_05.xlsx&amp;sheet=U0&amp;row=7358&amp;col=7&amp;number=0.00181&amp;sourceID=14","0.00181")</f>
        <v>0.00181</v>
      </c>
    </row>
    <row r="7359" spans="1:7">
      <c r="A7359" s="3"/>
      <c r="B7359" s="3"/>
      <c r="C7359" s="3"/>
      <c r="D7359" s="3"/>
      <c r="E7359" s="3">
        <v>16</v>
      </c>
      <c r="F7359" s="4" t="str">
        <f>HYPERLINK("http://141.218.60.56/~jnz1568/getInfo.php?workbook=12_05.xlsx&amp;sheet=U0&amp;row=7359&amp;col=6&amp;number=4.5&amp;sourceID=14","4.5")</f>
        <v>4.5</v>
      </c>
      <c r="G7359" s="4" t="str">
        <f>HYPERLINK("http://141.218.60.56/~jnz1568/getInfo.php?workbook=12_05.xlsx&amp;sheet=U0&amp;row=7359&amp;col=7&amp;number=0.0018&amp;sourceID=14","0.0018")</f>
        <v>0.0018</v>
      </c>
    </row>
    <row r="7360" spans="1:7">
      <c r="A7360" s="3"/>
      <c r="B7360" s="3"/>
      <c r="C7360" s="3"/>
      <c r="D7360" s="3"/>
      <c r="E7360" s="3">
        <v>17</v>
      </c>
      <c r="F7360" s="4" t="str">
        <f>HYPERLINK("http://141.218.60.56/~jnz1568/getInfo.php?workbook=12_05.xlsx&amp;sheet=U0&amp;row=7360&amp;col=6&amp;number=4.6&amp;sourceID=14","4.6")</f>
        <v>4.6</v>
      </c>
      <c r="G7360" s="4" t="str">
        <f>HYPERLINK("http://141.218.60.56/~jnz1568/getInfo.php?workbook=12_05.xlsx&amp;sheet=U0&amp;row=7360&amp;col=7&amp;number=0.00178&amp;sourceID=14","0.00178")</f>
        <v>0.00178</v>
      </c>
    </row>
    <row r="7361" spans="1:7">
      <c r="A7361" s="3"/>
      <c r="B7361" s="3"/>
      <c r="C7361" s="3"/>
      <c r="D7361" s="3"/>
      <c r="E7361" s="3">
        <v>18</v>
      </c>
      <c r="F7361" s="4" t="str">
        <f>HYPERLINK("http://141.218.60.56/~jnz1568/getInfo.php?workbook=12_05.xlsx&amp;sheet=U0&amp;row=7361&amp;col=6&amp;number=4.7&amp;sourceID=14","4.7")</f>
        <v>4.7</v>
      </c>
      <c r="G7361" s="4" t="str">
        <f>HYPERLINK("http://141.218.60.56/~jnz1568/getInfo.php?workbook=12_05.xlsx&amp;sheet=U0&amp;row=7361&amp;col=7&amp;number=0.00177&amp;sourceID=14","0.00177")</f>
        <v>0.00177</v>
      </c>
    </row>
    <row r="7362" spans="1:7">
      <c r="A7362" s="3"/>
      <c r="B7362" s="3"/>
      <c r="C7362" s="3"/>
      <c r="D7362" s="3"/>
      <c r="E7362" s="3">
        <v>19</v>
      </c>
      <c r="F7362" s="4" t="str">
        <f>HYPERLINK("http://141.218.60.56/~jnz1568/getInfo.php?workbook=12_05.xlsx&amp;sheet=U0&amp;row=7362&amp;col=6&amp;number=4.8&amp;sourceID=14","4.8")</f>
        <v>4.8</v>
      </c>
      <c r="G7362" s="4" t="str">
        <f>HYPERLINK("http://141.218.60.56/~jnz1568/getInfo.php?workbook=12_05.xlsx&amp;sheet=U0&amp;row=7362&amp;col=7&amp;number=0.00174&amp;sourceID=14","0.00174")</f>
        <v>0.00174</v>
      </c>
    </row>
    <row r="7363" spans="1:7">
      <c r="A7363" s="3"/>
      <c r="B7363" s="3"/>
      <c r="C7363" s="3"/>
      <c r="D7363" s="3"/>
      <c r="E7363" s="3">
        <v>20</v>
      </c>
      <c r="F7363" s="4" t="str">
        <f>HYPERLINK("http://141.218.60.56/~jnz1568/getInfo.php?workbook=12_05.xlsx&amp;sheet=U0&amp;row=7363&amp;col=6&amp;number=4.9&amp;sourceID=14","4.9")</f>
        <v>4.9</v>
      </c>
      <c r="G7363" s="4" t="str">
        <f>HYPERLINK("http://141.218.60.56/~jnz1568/getInfo.php?workbook=12_05.xlsx&amp;sheet=U0&amp;row=7363&amp;col=7&amp;number=0.00172&amp;sourceID=14","0.00172")</f>
        <v>0.00172</v>
      </c>
    </row>
    <row r="7364" spans="1:7">
      <c r="A7364" s="3">
        <v>12</v>
      </c>
      <c r="B7364" s="3">
        <v>5</v>
      </c>
      <c r="C7364" s="3">
        <v>3</v>
      </c>
      <c r="D7364" s="3">
        <v>21</v>
      </c>
      <c r="E7364" s="3">
        <v>1</v>
      </c>
      <c r="F7364" s="4" t="str">
        <f>HYPERLINK("http://141.218.60.56/~jnz1568/getInfo.php?workbook=12_05.xlsx&amp;sheet=U0&amp;row=7364&amp;col=6&amp;number=3&amp;sourceID=14","3")</f>
        <v>3</v>
      </c>
      <c r="G7364" s="4" t="str">
        <f>HYPERLINK("http://141.218.60.56/~jnz1568/getInfo.php?workbook=12_05.xlsx&amp;sheet=U0&amp;row=7364&amp;col=7&amp;number=0.000369&amp;sourceID=14","0.000369")</f>
        <v>0.000369</v>
      </c>
    </row>
    <row r="7365" spans="1:7">
      <c r="A7365" s="3"/>
      <c r="B7365" s="3"/>
      <c r="C7365" s="3"/>
      <c r="D7365" s="3"/>
      <c r="E7365" s="3">
        <v>2</v>
      </c>
      <c r="F7365" s="4" t="str">
        <f>HYPERLINK("http://141.218.60.56/~jnz1568/getInfo.php?workbook=12_05.xlsx&amp;sheet=U0&amp;row=7365&amp;col=6&amp;number=3.1&amp;sourceID=14","3.1")</f>
        <v>3.1</v>
      </c>
      <c r="G7365" s="4" t="str">
        <f>HYPERLINK("http://141.218.60.56/~jnz1568/getInfo.php?workbook=12_05.xlsx&amp;sheet=U0&amp;row=7365&amp;col=7&amp;number=0.000369&amp;sourceID=14","0.000369")</f>
        <v>0.000369</v>
      </c>
    </row>
    <row r="7366" spans="1:7">
      <c r="A7366" s="3"/>
      <c r="B7366" s="3"/>
      <c r="C7366" s="3"/>
      <c r="D7366" s="3"/>
      <c r="E7366" s="3">
        <v>3</v>
      </c>
      <c r="F7366" s="4" t="str">
        <f>HYPERLINK("http://141.218.60.56/~jnz1568/getInfo.php?workbook=12_05.xlsx&amp;sheet=U0&amp;row=7366&amp;col=6&amp;number=3.2&amp;sourceID=14","3.2")</f>
        <v>3.2</v>
      </c>
      <c r="G7366" s="4" t="str">
        <f>HYPERLINK("http://141.218.60.56/~jnz1568/getInfo.php?workbook=12_05.xlsx&amp;sheet=U0&amp;row=7366&amp;col=7&amp;number=0.000369&amp;sourceID=14","0.000369")</f>
        <v>0.000369</v>
      </c>
    </row>
    <row r="7367" spans="1:7">
      <c r="A7367" s="3"/>
      <c r="B7367" s="3"/>
      <c r="C7367" s="3"/>
      <c r="D7367" s="3"/>
      <c r="E7367" s="3">
        <v>4</v>
      </c>
      <c r="F7367" s="4" t="str">
        <f>HYPERLINK("http://141.218.60.56/~jnz1568/getInfo.php?workbook=12_05.xlsx&amp;sheet=U0&amp;row=7367&amp;col=6&amp;number=3.3&amp;sourceID=14","3.3")</f>
        <v>3.3</v>
      </c>
      <c r="G7367" s="4" t="str">
        <f>HYPERLINK("http://141.218.60.56/~jnz1568/getInfo.php?workbook=12_05.xlsx&amp;sheet=U0&amp;row=7367&amp;col=7&amp;number=0.000368&amp;sourceID=14","0.000368")</f>
        <v>0.000368</v>
      </c>
    </row>
    <row r="7368" spans="1:7">
      <c r="A7368" s="3"/>
      <c r="B7368" s="3"/>
      <c r="C7368" s="3"/>
      <c r="D7368" s="3"/>
      <c r="E7368" s="3">
        <v>5</v>
      </c>
      <c r="F7368" s="4" t="str">
        <f>HYPERLINK("http://141.218.60.56/~jnz1568/getInfo.php?workbook=12_05.xlsx&amp;sheet=U0&amp;row=7368&amp;col=6&amp;number=3.4&amp;sourceID=14","3.4")</f>
        <v>3.4</v>
      </c>
      <c r="G7368" s="4" t="str">
        <f>HYPERLINK("http://141.218.60.56/~jnz1568/getInfo.php?workbook=12_05.xlsx&amp;sheet=U0&amp;row=7368&amp;col=7&amp;number=0.000368&amp;sourceID=14","0.000368")</f>
        <v>0.000368</v>
      </c>
    </row>
    <row r="7369" spans="1:7">
      <c r="A7369" s="3"/>
      <c r="B7369" s="3"/>
      <c r="C7369" s="3"/>
      <c r="D7369" s="3"/>
      <c r="E7369" s="3">
        <v>6</v>
      </c>
      <c r="F7369" s="4" t="str">
        <f>HYPERLINK("http://141.218.60.56/~jnz1568/getInfo.php?workbook=12_05.xlsx&amp;sheet=U0&amp;row=7369&amp;col=6&amp;number=3.5&amp;sourceID=14","3.5")</f>
        <v>3.5</v>
      </c>
      <c r="G7369" s="4" t="str">
        <f>HYPERLINK("http://141.218.60.56/~jnz1568/getInfo.php?workbook=12_05.xlsx&amp;sheet=U0&amp;row=7369&amp;col=7&amp;number=0.000368&amp;sourceID=14","0.000368")</f>
        <v>0.000368</v>
      </c>
    </row>
    <row r="7370" spans="1:7">
      <c r="A7370" s="3"/>
      <c r="B7370" s="3"/>
      <c r="C7370" s="3"/>
      <c r="D7370" s="3"/>
      <c r="E7370" s="3">
        <v>7</v>
      </c>
      <c r="F7370" s="4" t="str">
        <f>HYPERLINK("http://141.218.60.56/~jnz1568/getInfo.php?workbook=12_05.xlsx&amp;sheet=U0&amp;row=7370&amp;col=6&amp;number=3.6&amp;sourceID=14","3.6")</f>
        <v>3.6</v>
      </c>
      <c r="G7370" s="4" t="str">
        <f>HYPERLINK("http://141.218.60.56/~jnz1568/getInfo.php?workbook=12_05.xlsx&amp;sheet=U0&amp;row=7370&amp;col=7&amp;number=0.000368&amp;sourceID=14","0.000368")</f>
        <v>0.000368</v>
      </c>
    </row>
    <row r="7371" spans="1:7">
      <c r="A7371" s="3"/>
      <c r="B7371" s="3"/>
      <c r="C7371" s="3"/>
      <c r="D7371" s="3"/>
      <c r="E7371" s="3">
        <v>8</v>
      </c>
      <c r="F7371" s="4" t="str">
        <f>HYPERLINK("http://141.218.60.56/~jnz1568/getInfo.php?workbook=12_05.xlsx&amp;sheet=U0&amp;row=7371&amp;col=6&amp;number=3.7&amp;sourceID=14","3.7")</f>
        <v>3.7</v>
      </c>
      <c r="G7371" s="4" t="str">
        <f>HYPERLINK("http://141.218.60.56/~jnz1568/getInfo.php?workbook=12_05.xlsx&amp;sheet=U0&amp;row=7371&amp;col=7&amp;number=0.000367&amp;sourceID=14","0.000367")</f>
        <v>0.000367</v>
      </c>
    </row>
    <row r="7372" spans="1:7">
      <c r="A7372" s="3"/>
      <c r="B7372" s="3"/>
      <c r="C7372" s="3"/>
      <c r="D7372" s="3"/>
      <c r="E7372" s="3">
        <v>9</v>
      </c>
      <c r="F7372" s="4" t="str">
        <f>HYPERLINK("http://141.218.60.56/~jnz1568/getInfo.php?workbook=12_05.xlsx&amp;sheet=U0&amp;row=7372&amp;col=6&amp;number=3.8&amp;sourceID=14","3.8")</f>
        <v>3.8</v>
      </c>
      <c r="G7372" s="4" t="str">
        <f>HYPERLINK("http://141.218.60.56/~jnz1568/getInfo.php?workbook=12_05.xlsx&amp;sheet=U0&amp;row=7372&amp;col=7&amp;number=0.000367&amp;sourceID=14","0.000367")</f>
        <v>0.000367</v>
      </c>
    </row>
    <row r="7373" spans="1:7">
      <c r="A7373" s="3"/>
      <c r="B7373" s="3"/>
      <c r="C7373" s="3"/>
      <c r="D7373" s="3"/>
      <c r="E7373" s="3">
        <v>10</v>
      </c>
      <c r="F7373" s="4" t="str">
        <f>HYPERLINK("http://141.218.60.56/~jnz1568/getInfo.php?workbook=12_05.xlsx&amp;sheet=U0&amp;row=7373&amp;col=6&amp;number=3.9&amp;sourceID=14","3.9")</f>
        <v>3.9</v>
      </c>
      <c r="G7373" s="4" t="str">
        <f>HYPERLINK("http://141.218.60.56/~jnz1568/getInfo.php?workbook=12_05.xlsx&amp;sheet=U0&amp;row=7373&amp;col=7&amp;number=0.000366&amp;sourceID=14","0.000366")</f>
        <v>0.000366</v>
      </c>
    </row>
    <row r="7374" spans="1:7">
      <c r="A7374" s="3"/>
      <c r="B7374" s="3"/>
      <c r="C7374" s="3"/>
      <c r="D7374" s="3"/>
      <c r="E7374" s="3">
        <v>11</v>
      </c>
      <c r="F7374" s="4" t="str">
        <f>HYPERLINK("http://141.218.60.56/~jnz1568/getInfo.php?workbook=12_05.xlsx&amp;sheet=U0&amp;row=7374&amp;col=6&amp;number=4&amp;sourceID=14","4")</f>
        <v>4</v>
      </c>
      <c r="G7374" s="4" t="str">
        <f>HYPERLINK("http://141.218.60.56/~jnz1568/getInfo.php?workbook=12_05.xlsx&amp;sheet=U0&amp;row=7374&amp;col=7&amp;number=0.000366&amp;sourceID=14","0.000366")</f>
        <v>0.000366</v>
      </c>
    </row>
    <row r="7375" spans="1:7">
      <c r="A7375" s="3"/>
      <c r="B7375" s="3"/>
      <c r="C7375" s="3"/>
      <c r="D7375" s="3"/>
      <c r="E7375" s="3">
        <v>12</v>
      </c>
      <c r="F7375" s="4" t="str">
        <f>HYPERLINK("http://141.218.60.56/~jnz1568/getInfo.php?workbook=12_05.xlsx&amp;sheet=U0&amp;row=7375&amp;col=6&amp;number=4.1&amp;sourceID=14","4.1")</f>
        <v>4.1</v>
      </c>
      <c r="G7375" s="4" t="str">
        <f>HYPERLINK("http://141.218.60.56/~jnz1568/getInfo.php?workbook=12_05.xlsx&amp;sheet=U0&amp;row=7375&amp;col=7&amp;number=0.000365&amp;sourceID=14","0.000365")</f>
        <v>0.000365</v>
      </c>
    </row>
    <row r="7376" spans="1:7">
      <c r="A7376" s="3"/>
      <c r="B7376" s="3"/>
      <c r="C7376" s="3"/>
      <c r="D7376" s="3"/>
      <c r="E7376" s="3">
        <v>13</v>
      </c>
      <c r="F7376" s="4" t="str">
        <f>HYPERLINK("http://141.218.60.56/~jnz1568/getInfo.php?workbook=12_05.xlsx&amp;sheet=U0&amp;row=7376&amp;col=6&amp;number=4.2&amp;sourceID=14","4.2")</f>
        <v>4.2</v>
      </c>
      <c r="G7376" s="4" t="str">
        <f>HYPERLINK("http://141.218.60.56/~jnz1568/getInfo.php?workbook=12_05.xlsx&amp;sheet=U0&amp;row=7376&amp;col=7&amp;number=0.000364&amp;sourceID=14","0.000364")</f>
        <v>0.000364</v>
      </c>
    </row>
    <row r="7377" spans="1:7">
      <c r="A7377" s="3"/>
      <c r="B7377" s="3"/>
      <c r="C7377" s="3"/>
      <c r="D7377" s="3"/>
      <c r="E7377" s="3">
        <v>14</v>
      </c>
      <c r="F7377" s="4" t="str">
        <f>HYPERLINK("http://141.218.60.56/~jnz1568/getInfo.php?workbook=12_05.xlsx&amp;sheet=U0&amp;row=7377&amp;col=6&amp;number=4.3&amp;sourceID=14","4.3")</f>
        <v>4.3</v>
      </c>
      <c r="G7377" s="4" t="str">
        <f>HYPERLINK("http://141.218.60.56/~jnz1568/getInfo.php?workbook=12_05.xlsx&amp;sheet=U0&amp;row=7377&amp;col=7&amp;number=0.000362&amp;sourceID=14","0.000362")</f>
        <v>0.000362</v>
      </c>
    </row>
    <row r="7378" spans="1:7">
      <c r="A7378" s="3"/>
      <c r="B7378" s="3"/>
      <c r="C7378" s="3"/>
      <c r="D7378" s="3"/>
      <c r="E7378" s="3">
        <v>15</v>
      </c>
      <c r="F7378" s="4" t="str">
        <f>HYPERLINK("http://141.218.60.56/~jnz1568/getInfo.php?workbook=12_05.xlsx&amp;sheet=U0&amp;row=7378&amp;col=6&amp;number=4.4&amp;sourceID=14","4.4")</f>
        <v>4.4</v>
      </c>
      <c r="G7378" s="4" t="str">
        <f>HYPERLINK("http://141.218.60.56/~jnz1568/getInfo.php?workbook=12_05.xlsx&amp;sheet=U0&amp;row=7378&amp;col=7&amp;number=0.000361&amp;sourceID=14","0.000361")</f>
        <v>0.000361</v>
      </c>
    </row>
    <row r="7379" spans="1:7">
      <c r="A7379" s="3"/>
      <c r="B7379" s="3"/>
      <c r="C7379" s="3"/>
      <c r="D7379" s="3"/>
      <c r="E7379" s="3">
        <v>16</v>
      </c>
      <c r="F7379" s="4" t="str">
        <f>HYPERLINK("http://141.218.60.56/~jnz1568/getInfo.php?workbook=12_05.xlsx&amp;sheet=U0&amp;row=7379&amp;col=6&amp;number=4.5&amp;sourceID=14","4.5")</f>
        <v>4.5</v>
      </c>
      <c r="G7379" s="4" t="str">
        <f>HYPERLINK("http://141.218.60.56/~jnz1568/getInfo.php?workbook=12_05.xlsx&amp;sheet=U0&amp;row=7379&amp;col=7&amp;number=0.000359&amp;sourceID=14","0.000359")</f>
        <v>0.000359</v>
      </c>
    </row>
    <row r="7380" spans="1:7">
      <c r="A7380" s="3"/>
      <c r="B7380" s="3"/>
      <c r="C7380" s="3"/>
      <c r="D7380" s="3"/>
      <c r="E7380" s="3">
        <v>17</v>
      </c>
      <c r="F7380" s="4" t="str">
        <f>HYPERLINK("http://141.218.60.56/~jnz1568/getInfo.php?workbook=12_05.xlsx&amp;sheet=U0&amp;row=7380&amp;col=6&amp;number=4.6&amp;sourceID=14","4.6")</f>
        <v>4.6</v>
      </c>
      <c r="G7380" s="4" t="str">
        <f>HYPERLINK("http://141.218.60.56/~jnz1568/getInfo.php?workbook=12_05.xlsx&amp;sheet=U0&amp;row=7380&amp;col=7&amp;number=0.000356&amp;sourceID=14","0.000356")</f>
        <v>0.000356</v>
      </c>
    </row>
    <row r="7381" spans="1:7">
      <c r="A7381" s="3"/>
      <c r="B7381" s="3"/>
      <c r="C7381" s="3"/>
      <c r="D7381" s="3"/>
      <c r="E7381" s="3">
        <v>18</v>
      </c>
      <c r="F7381" s="4" t="str">
        <f>HYPERLINK("http://141.218.60.56/~jnz1568/getInfo.php?workbook=12_05.xlsx&amp;sheet=U0&amp;row=7381&amp;col=6&amp;number=4.7&amp;sourceID=14","4.7")</f>
        <v>4.7</v>
      </c>
      <c r="G7381" s="4" t="str">
        <f>HYPERLINK("http://141.218.60.56/~jnz1568/getInfo.php?workbook=12_05.xlsx&amp;sheet=U0&amp;row=7381&amp;col=7&amp;number=0.000353&amp;sourceID=14","0.000353")</f>
        <v>0.000353</v>
      </c>
    </row>
    <row r="7382" spans="1:7">
      <c r="A7382" s="3"/>
      <c r="B7382" s="3"/>
      <c r="C7382" s="3"/>
      <c r="D7382" s="3"/>
      <c r="E7382" s="3">
        <v>19</v>
      </c>
      <c r="F7382" s="4" t="str">
        <f>HYPERLINK("http://141.218.60.56/~jnz1568/getInfo.php?workbook=12_05.xlsx&amp;sheet=U0&amp;row=7382&amp;col=6&amp;number=4.8&amp;sourceID=14","4.8")</f>
        <v>4.8</v>
      </c>
      <c r="G7382" s="4" t="str">
        <f>HYPERLINK("http://141.218.60.56/~jnz1568/getInfo.php?workbook=12_05.xlsx&amp;sheet=U0&amp;row=7382&amp;col=7&amp;number=0.000349&amp;sourceID=14","0.000349")</f>
        <v>0.000349</v>
      </c>
    </row>
    <row r="7383" spans="1:7">
      <c r="A7383" s="3"/>
      <c r="B7383" s="3"/>
      <c r="C7383" s="3"/>
      <c r="D7383" s="3"/>
      <c r="E7383" s="3">
        <v>20</v>
      </c>
      <c r="F7383" s="4" t="str">
        <f>HYPERLINK("http://141.218.60.56/~jnz1568/getInfo.php?workbook=12_05.xlsx&amp;sheet=U0&amp;row=7383&amp;col=6&amp;number=4.9&amp;sourceID=14","4.9")</f>
        <v>4.9</v>
      </c>
      <c r="G7383" s="4" t="str">
        <f>HYPERLINK("http://141.218.60.56/~jnz1568/getInfo.php?workbook=12_05.xlsx&amp;sheet=U0&amp;row=7383&amp;col=7&amp;number=0.000344&amp;sourceID=14","0.000344")</f>
        <v>0.000344</v>
      </c>
    </row>
    <row r="7384" spans="1:7">
      <c r="A7384" s="3">
        <v>12</v>
      </c>
      <c r="B7384" s="3">
        <v>5</v>
      </c>
      <c r="C7384" s="3">
        <v>3</v>
      </c>
      <c r="D7384" s="3">
        <v>22</v>
      </c>
      <c r="E7384" s="3">
        <v>1</v>
      </c>
      <c r="F7384" s="4" t="str">
        <f>HYPERLINK("http://141.218.60.56/~jnz1568/getInfo.php?workbook=12_05.xlsx&amp;sheet=U0&amp;row=7384&amp;col=6&amp;number=3&amp;sourceID=14","3")</f>
        <v>3</v>
      </c>
      <c r="G7384" s="4" t="str">
        <f>HYPERLINK("http://141.218.60.56/~jnz1568/getInfo.php?workbook=12_05.xlsx&amp;sheet=U0&amp;row=7384&amp;col=7&amp;number=0.000105&amp;sourceID=14","0.000105")</f>
        <v>0.000105</v>
      </c>
    </row>
    <row r="7385" spans="1:7">
      <c r="A7385" s="3"/>
      <c r="B7385" s="3"/>
      <c r="C7385" s="3"/>
      <c r="D7385" s="3"/>
      <c r="E7385" s="3">
        <v>2</v>
      </c>
      <c r="F7385" s="4" t="str">
        <f>HYPERLINK("http://141.218.60.56/~jnz1568/getInfo.php?workbook=12_05.xlsx&amp;sheet=U0&amp;row=7385&amp;col=6&amp;number=3.1&amp;sourceID=14","3.1")</f>
        <v>3.1</v>
      </c>
      <c r="G7385" s="4" t="str">
        <f>HYPERLINK("http://141.218.60.56/~jnz1568/getInfo.php?workbook=12_05.xlsx&amp;sheet=U0&amp;row=7385&amp;col=7&amp;number=0.000105&amp;sourceID=14","0.000105")</f>
        <v>0.000105</v>
      </c>
    </row>
    <row r="7386" spans="1:7">
      <c r="A7386" s="3"/>
      <c r="B7386" s="3"/>
      <c r="C7386" s="3"/>
      <c r="D7386" s="3"/>
      <c r="E7386" s="3">
        <v>3</v>
      </c>
      <c r="F7386" s="4" t="str">
        <f>HYPERLINK("http://141.218.60.56/~jnz1568/getInfo.php?workbook=12_05.xlsx&amp;sheet=U0&amp;row=7386&amp;col=6&amp;number=3.2&amp;sourceID=14","3.2")</f>
        <v>3.2</v>
      </c>
      <c r="G7386" s="4" t="str">
        <f>HYPERLINK("http://141.218.60.56/~jnz1568/getInfo.php?workbook=12_05.xlsx&amp;sheet=U0&amp;row=7386&amp;col=7&amp;number=0.000105&amp;sourceID=14","0.000105")</f>
        <v>0.000105</v>
      </c>
    </row>
    <row r="7387" spans="1:7">
      <c r="A7387" s="3"/>
      <c r="B7387" s="3"/>
      <c r="C7387" s="3"/>
      <c r="D7387" s="3"/>
      <c r="E7387" s="3">
        <v>4</v>
      </c>
      <c r="F7387" s="4" t="str">
        <f>HYPERLINK("http://141.218.60.56/~jnz1568/getInfo.php?workbook=12_05.xlsx&amp;sheet=U0&amp;row=7387&amp;col=6&amp;number=3.3&amp;sourceID=14","3.3")</f>
        <v>3.3</v>
      </c>
      <c r="G7387" s="4" t="str">
        <f>HYPERLINK("http://141.218.60.56/~jnz1568/getInfo.php?workbook=12_05.xlsx&amp;sheet=U0&amp;row=7387&amp;col=7&amp;number=0.000105&amp;sourceID=14","0.000105")</f>
        <v>0.000105</v>
      </c>
    </row>
    <row r="7388" spans="1:7">
      <c r="A7388" s="3"/>
      <c r="B7388" s="3"/>
      <c r="C7388" s="3"/>
      <c r="D7388" s="3"/>
      <c r="E7388" s="3">
        <v>5</v>
      </c>
      <c r="F7388" s="4" t="str">
        <f>HYPERLINK("http://141.218.60.56/~jnz1568/getInfo.php?workbook=12_05.xlsx&amp;sheet=U0&amp;row=7388&amp;col=6&amp;number=3.4&amp;sourceID=14","3.4")</f>
        <v>3.4</v>
      </c>
      <c r="G7388" s="4" t="str">
        <f>HYPERLINK("http://141.218.60.56/~jnz1568/getInfo.php?workbook=12_05.xlsx&amp;sheet=U0&amp;row=7388&amp;col=7&amp;number=0.000105&amp;sourceID=14","0.000105")</f>
        <v>0.000105</v>
      </c>
    </row>
    <row r="7389" spans="1:7">
      <c r="A7389" s="3"/>
      <c r="B7389" s="3"/>
      <c r="C7389" s="3"/>
      <c r="D7389" s="3"/>
      <c r="E7389" s="3">
        <v>6</v>
      </c>
      <c r="F7389" s="4" t="str">
        <f>HYPERLINK("http://141.218.60.56/~jnz1568/getInfo.php?workbook=12_05.xlsx&amp;sheet=U0&amp;row=7389&amp;col=6&amp;number=3.5&amp;sourceID=14","3.5")</f>
        <v>3.5</v>
      </c>
      <c r="G7389" s="4" t="str">
        <f>HYPERLINK("http://141.218.60.56/~jnz1568/getInfo.php?workbook=12_05.xlsx&amp;sheet=U0&amp;row=7389&amp;col=7&amp;number=0.000105&amp;sourceID=14","0.000105")</f>
        <v>0.000105</v>
      </c>
    </row>
    <row r="7390" spans="1:7">
      <c r="A7390" s="3"/>
      <c r="B7390" s="3"/>
      <c r="C7390" s="3"/>
      <c r="D7390" s="3"/>
      <c r="E7390" s="3">
        <v>7</v>
      </c>
      <c r="F7390" s="4" t="str">
        <f>HYPERLINK("http://141.218.60.56/~jnz1568/getInfo.php?workbook=12_05.xlsx&amp;sheet=U0&amp;row=7390&amp;col=6&amp;number=3.6&amp;sourceID=14","3.6")</f>
        <v>3.6</v>
      </c>
      <c r="G7390" s="4" t="str">
        <f>HYPERLINK("http://141.218.60.56/~jnz1568/getInfo.php?workbook=12_05.xlsx&amp;sheet=U0&amp;row=7390&amp;col=7&amp;number=0.000105&amp;sourceID=14","0.000105")</f>
        <v>0.000105</v>
      </c>
    </row>
    <row r="7391" spans="1:7">
      <c r="A7391" s="3"/>
      <c r="B7391" s="3"/>
      <c r="C7391" s="3"/>
      <c r="D7391" s="3"/>
      <c r="E7391" s="3">
        <v>8</v>
      </c>
      <c r="F7391" s="4" t="str">
        <f>HYPERLINK("http://141.218.60.56/~jnz1568/getInfo.php?workbook=12_05.xlsx&amp;sheet=U0&amp;row=7391&amp;col=6&amp;number=3.7&amp;sourceID=14","3.7")</f>
        <v>3.7</v>
      </c>
      <c r="G7391" s="4" t="str">
        <f>HYPERLINK("http://141.218.60.56/~jnz1568/getInfo.php?workbook=12_05.xlsx&amp;sheet=U0&amp;row=7391&amp;col=7&amp;number=0.000105&amp;sourceID=14","0.000105")</f>
        <v>0.000105</v>
      </c>
    </row>
    <row r="7392" spans="1:7">
      <c r="A7392" s="3"/>
      <c r="B7392" s="3"/>
      <c r="C7392" s="3"/>
      <c r="D7392" s="3"/>
      <c r="E7392" s="3">
        <v>9</v>
      </c>
      <c r="F7392" s="4" t="str">
        <f>HYPERLINK("http://141.218.60.56/~jnz1568/getInfo.php?workbook=12_05.xlsx&amp;sheet=U0&amp;row=7392&amp;col=6&amp;number=3.8&amp;sourceID=14","3.8")</f>
        <v>3.8</v>
      </c>
      <c r="G7392" s="4" t="str">
        <f>HYPERLINK("http://141.218.60.56/~jnz1568/getInfo.php?workbook=12_05.xlsx&amp;sheet=U0&amp;row=7392&amp;col=7&amp;number=0.000105&amp;sourceID=14","0.000105")</f>
        <v>0.000105</v>
      </c>
    </row>
    <row r="7393" spans="1:7">
      <c r="A7393" s="3"/>
      <c r="B7393" s="3"/>
      <c r="C7393" s="3"/>
      <c r="D7393" s="3"/>
      <c r="E7393" s="3">
        <v>10</v>
      </c>
      <c r="F7393" s="4" t="str">
        <f>HYPERLINK("http://141.218.60.56/~jnz1568/getInfo.php?workbook=12_05.xlsx&amp;sheet=U0&amp;row=7393&amp;col=6&amp;number=3.9&amp;sourceID=14","3.9")</f>
        <v>3.9</v>
      </c>
      <c r="G7393" s="4" t="str">
        <f>HYPERLINK("http://141.218.60.56/~jnz1568/getInfo.php?workbook=12_05.xlsx&amp;sheet=U0&amp;row=7393&amp;col=7&amp;number=0.000105&amp;sourceID=14","0.000105")</f>
        <v>0.000105</v>
      </c>
    </row>
    <row r="7394" spans="1:7">
      <c r="A7394" s="3"/>
      <c r="B7394" s="3"/>
      <c r="C7394" s="3"/>
      <c r="D7394" s="3"/>
      <c r="E7394" s="3">
        <v>11</v>
      </c>
      <c r="F7394" s="4" t="str">
        <f>HYPERLINK("http://141.218.60.56/~jnz1568/getInfo.php?workbook=12_05.xlsx&amp;sheet=U0&amp;row=7394&amp;col=6&amp;number=4&amp;sourceID=14","4")</f>
        <v>4</v>
      </c>
      <c r="G7394" s="4" t="str">
        <f>HYPERLINK("http://141.218.60.56/~jnz1568/getInfo.php?workbook=12_05.xlsx&amp;sheet=U0&amp;row=7394&amp;col=7&amp;number=0.000104&amp;sourceID=14","0.000104")</f>
        <v>0.000104</v>
      </c>
    </row>
    <row r="7395" spans="1:7">
      <c r="A7395" s="3"/>
      <c r="B7395" s="3"/>
      <c r="C7395" s="3"/>
      <c r="D7395" s="3"/>
      <c r="E7395" s="3">
        <v>12</v>
      </c>
      <c r="F7395" s="4" t="str">
        <f>HYPERLINK("http://141.218.60.56/~jnz1568/getInfo.php?workbook=12_05.xlsx&amp;sheet=U0&amp;row=7395&amp;col=6&amp;number=4.1&amp;sourceID=14","4.1")</f>
        <v>4.1</v>
      </c>
      <c r="G7395" s="4" t="str">
        <f>HYPERLINK("http://141.218.60.56/~jnz1568/getInfo.php?workbook=12_05.xlsx&amp;sheet=U0&amp;row=7395&amp;col=7&amp;number=0.000104&amp;sourceID=14","0.000104")</f>
        <v>0.000104</v>
      </c>
    </row>
    <row r="7396" spans="1:7">
      <c r="A7396" s="3"/>
      <c r="B7396" s="3"/>
      <c r="C7396" s="3"/>
      <c r="D7396" s="3"/>
      <c r="E7396" s="3">
        <v>13</v>
      </c>
      <c r="F7396" s="4" t="str">
        <f>HYPERLINK("http://141.218.60.56/~jnz1568/getInfo.php?workbook=12_05.xlsx&amp;sheet=U0&amp;row=7396&amp;col=6&amp;number=4.2&amp;sourceID=14","4.2")</f>
        <v>4.2</v>
      </c>
      <c r="G7396" s="4" t="str">
        <f>HYPERLINK("http://141.218.60.56/~jnz1568/getInfo.php?workbook=12_05.xlsx&amp;sheet=U0&amp;row=7396&amp;col=7&amp;number=0.000104&amp;sourceID=14","0.000104")</f>
        <v>0.000104</v>
      </c>
    </row>
    <row r="7397" spans="1:7">
      <c r="A7397" s="3"/>
      <c r="B7397" s="3"/>
      <c r="C7397" s="3"/>
      <c r="D7397" s="3"/>
      <c r="E7397" s="3">
        <v>14</v>
      </c>
      <c r="F7397" s="4" t="str">
        <f>HYPERLINK("http://141.218.60.56/~jnz1568/getInfo.php?workbook=12_05.xlsx&amp;sheet=U0&amp;row=7397&amp;col=6&amp;number=4.3&amp;sourceID=14","4.3")</f>
        <v>4.3</v>
      </c>
      <c r="G7397" s="4" t="str">
        <f>HYPERLINK("http://141.218.60.56/~jnz1568/getInfo.php?workbook=12_05.xlsx&amp;sheet=U0&amp;row=7397&amp;col=7&amp;number=0.000104&amp;sourceID=14","0.000104")</f>
        <v>0.000104</v>
      </c>
    </row>
    <row r="7398" spans="1:7">
      <c r="A7398" s="3"/>
      <c r="B7398" s="3"/>
      <c r="C7398" s="3"/>
      <c r="D7398" s="3"/>
      <c r="E7398" s="3">
        <v>15</v>
      </c>
      <c r="F7398" s="4" t="str">
        <f>HYPERLINK("http://141.218.60.56/~jnz1568/getInfo.php?workbook=12_05.xlsx&amp;sheet=U0&amp;row=7398&amp;col=6&amp;number=4.4&amp;sourceID=14","4.4")</f>
        <v>4.4</v>
      </c>
      <c r="G7398" s="4" t="str">
        <f>HYPERLINK("http://141.218.60.56/~jnz1568/getInfo.php?workbook=12_05.xlsx&amp;sheet=U0&amp;row=7398&amp;col=7&amp;number=0.000104&amp;sourceID=14","0.000104")</f>
        <v>0.000104</v>
      </c>
    </row>
    <row r="7399" spans="1:7">
      <c r="A7399" s="3"/>
      <c r="B7399" s="3"/>
      <c r="C7399" s="3"/>
      <c r="D7399" s="3"/>
      <c r="E7399" s="3">
        <v>16</v>
      </c>
      <c r="F7399" s="4" t="str">
        <f>HYPERLINK("http://141.218.60.56/~jnz1568/getInfo.php?workbook=12_05.xlsx&amp;sheet=U0&amp;row=7399&amp;col=6&amp;number=4.5&amp;sourceID=14","4.5")</f>
        <v>4.5</v>
      </c>
      <c r="G7399" s="4" t="str">
        <f>HYPERLINK("http://141.218.60.56/~jnz1568/getInfo.php?workbook=12_05.xlsx&amp;sheet=U0&amp;row=7399&amp;col=7&amp;number=0.000103&amp;sourceID=14","0.000103")</f>
        <v>0.000103</v>
      </c>
    </row>
    <row r="7400" spans="1:7">
      <c r="A7400" s="3"/>
      <c r="B7400" s="3"/>
      <c r="C7400" s="3"/>
      <c r="D7400" s="3"/>
      <c r="E7400" s="3">
        <v>17</v>
      </c>
      <c r="F7400" s="4" t="str">
        <f>HYPERLINK("http://141.218.60.56/~jnz1568/getInfo.php?workbook=12_05.xlsx&amp;sheet=U0&amp;row=7400&amp;col=6&amp;number=4.6&amp;sourceID=14","4.6")</f>
        <v>4.6</v>
      </c>
      <c r="G7400" s="4" t="str">
        <f>HYPERLINK("http://141.218.60.56/~jnz1568/getInfo.php?workbook=12_05.xlsx&amp;sheet=U0&amp;row=7400&amp;col=7&amp;number=0.000103&amp;sourceID=14","0.000103")</f>
        <v>0.000103</v>
      </c>
    </row>
    <row r="7401" spans="1:7">
      <c r="A7401" s="3"/>
      <c r="B7401" s="3"/>
      <c r="C7401" s="3"/>
      <c r="D7401" s="3"/>
      <c r="E7401" s="3">
        <v>18</v>
      </c>
      <c r="F7401" s="4" t="str">
        <f>HYPERLINK("http://141.218.60.56/~jnz1568/getInfo.php?workbook=12_05.xlsx&amp;sheet=U0&amp;row=7401&amp;col=6&amp;number=4.7&amp;sourceID=14","4.7")</f>
        <v>4.7</v>
      </c>
      <c r="G7401" s="4" t="str">
        <f>HYPERLINK("http://141.218.60.56/~jnz1568/getInfo.php?workbook=12_05.xlsx&amp;sheet=U0&amp;row=7401&amp;col=7&amp;number=0.000102&amp;sourceID=14","0.000102")</f>
        <v>0.000102</v>
      </c>
    </row>
    <row r="7402" spans="1:7">
      <c r="A7402" s="3"/>
      <c r="B7402" s="3"/>
      <c r="C7402" s="3"/>
      <c r="D7402" s="3"/>
      <c r="E7402" s="3">
        <v>19</v>
      </c>
      <c r="F7402" s="4" t="str">
        <f>HYPERLINK("http://141.218.60.56/~jnz1568/getInfo.php?workbook=12_05.xlsx&amp;sheet=U0&amp;row=7402&amp;col=6&amp;number=4.8&amp;sourceID=14","4.8")</f>
        <v>4.8</v>
      </c>
      <c r="G7402" s="4" t="str">
        <f>HYPERLINK("http://141.218.60.56/~jnz1568/getInfo.php?workbook=12_05.xlsx&amp;sheet=U0&amp;row=7402&amp;col=7&amp;number=0.000102&amp;sourceID=14","0.000102")</f>
        <v>0.000102</v>
      </c>
    </row>
    <row r="7403" spans="1:7">
      <c r="A7403" s="3"/>
      <c r="B7403" s="3"/>
      <c r="C7403" s="3"/>
      <c r="D7403" s="3"/>
      <c r="E7403" s="3">
        <v>20</v>
      </c>
      <c r="F7403" s="4" t="str">
        <f>HYPERLINK("http://141.218.60.56/~jnz1568/getInfo.php?workbook=12_05.xlsx&amp;sheet=U0&amp;row=7403&amp;col=6&amp;number=4.9&amp;sourceID=14","4.9")</f>
        <v>4.9</v>
      </c>
      <c r="G7403" s="4" t="str">
        <f>HYPERLINK("http://141.218.60.56/~jnz1568/getInfo.php?workbook=12_05.xlsx&amp;sheet=U0&amp;row=7403&amp;col=7&amp;number=0.000101&amp;sourceID=14","0.000101")</f>
        <v>0.000101</v>
      </c>
    </row>
    <row r="7404" spans="1:7">
      <c r="A7404" s="3">
        <v>12</v>
      </c>
      <c r="B7404" s="3">
        <v>5</v>
      </c>
      <c r="C7404" s="3">
        <v>3</v>
      </c>
      <c r="D7404" s="3">
        <v>23</v>
      </c>
      <c r="E7404" s="3">
        <v>1</v>
      </c>
      <c r="F7404" s="4" t="str">
        <f>HYPERLINK("http://141.218.60.56/~jnz1568/getInfo.php?workbook=12_05.xlsx&amp;sheet=U0&amp;row=7404&amp;col=6&amp;number=3&amp;sourceID=14","3")</f>
        <v>3</v>
      </c>
      <c r="G7404" s="4" t="str">
        <f>HYPERLINK("http://141.218.60.56/~jnz1568/getInfo.php?workbook=12_05.xlsx&amp;sheet=U0&amp;row=7404&amp;col=7&amp;number=0.0541&amp;sourceID=14","0.0541")</f>
        <v>0.0541</v>
      </c>
    </row>
    <row r="7405" spans="1:7">
      <c r="A7405" s="3"/>
      <c r="B7405" s="3"/>
      <c r="C7405" s="3"/>
      <c r="D7405" s="3"/>
      <c r="E7405" s="3">
        <v>2</v>
      </c>
      <c r="F7405" s="4" t="str">
        <f>HYPERLINK("http://141.218.60.56/~jnz1568/getInfo.php?workbook=12_05.xlsx&amp;sheet=U0&amp;row=7405&amp;col=6&amp;number=3.1&amp;sourceID=14","3.1")</f>
        <v>3.1</v>
      </c>
      <c r="G7405" s="4" t="str">
        <f>HYPERLINK("http://141.218.60.56/~jnz1568/getInfo.php?workbook=12_05.xlsx&amp;sheet=U0&amp;row=7405&amp;col=7&amp;number=0.0541&amp;sourceID=14","0.0541")</f>
        <v>0.0541</v>
      </c>
    </row>
    <row r="7406" spans="1:7">
      <c r="A7406" s="3"/>
      <c r="B7406" s="3"/>
      <c r="C7406" s="3"/>
      <c r="D7406" s="3"/>
      <c r="E7406" s="3">
        <v>3</v>
      </c>
      <c r="F7406" s="4" t="str">
        <f>HYPERLINK("http://141.218.60.56/~jnz1568/getInfo.php?workbook=12_05.xlsx&amp;sheet=U0&amp;row=7406&amp;col=6&amp;number=3.2&amp;sourceID=14","3.2")</f>
        <v>3.2</v>
      </c>
      <c r="G7406" s="4" t="str">
        <f>HYPERLINK("http://141.218.60.56/~jnz1568/getInfo.php?workbook=12_05.xlsx&amp;sheet=U0&amp;row=7406&amp;col=7&amp;number=0.0541&amp;sourceID=14","0.0541")</f>
        <v>0.0541</v>
      </c>
    </row>
    <row r="7407" spans="1:7">
      <c r="A7407" s="3"/>
      <c r="B7407" s="3"/>
      <c r="C7407" s="3"/>
      <c r="D7407" s="3"/>
      <c r="E7407" s="3">
        <v>4</v>
      </c>
      <c r="F7407" s="4" t="str">
        <f>HYPERLINK("http://141.218.60.56/~jnz1568/getInfo.php?workbook=12_05.xlsx&amp;sheet=U0&amp;row=7407&amp;col=6&amp;number=3.3&amp;sourceID=14","3.3")</f>
        <v>3.3</v>
      </c>
      <c r="G7407" s="4" t="str">
        <f>HYPERLINK("http://141.218.60.56/~jnz1568/getInfo.php?workbook=12_05.xlsx&amp;sheet=U0&amp;row=7407&amp;col=7&amp;number=0.0541&amp;sourceID=14","0.0541")</f>
        <v>0.0541</v>
      </c>
    </row>
    <row r="7408" spans="1:7">
      <c r="A7408" s="3"/>
      <c r="B7408" s="3"/>
      <c r="C7408" s="3"/>
      <c r="D7408" s="3"/>
      <c r="E7408" s="3">
        <v>5</v>
      </c>
      <c r="F7408" s="4" t="str">
        <f>HYPERLINK("http://141.218.60.56/~jnz1568/getInfo.php?workbook=12_05.xlsx&amp;sheet=U0&amp;row=7408&amp;col=6&amp;number=3.4&amp;sourceID=14","3.4")</f>
        <v>3.4</v>
      </c>
      <c r="G7408" s="4" t="str">
        <f>HYPERLINK("http://141.218.60.56/~jnz1568/getInfo.php?workbook=12_05.xlsx&amp;sheet=U0&amp;row=7408&amp;col=7&amp;number=0.0541&amp;sourceID=14","0.0541")</f>
        <v>0.0541</v>
      </c>
    </row>
    <row r="7409" spans="1:7">
      <c r="A7409" s="3"/>
      <c r="B7409" s="3"/>
      <c r="C7409" s="3"/>
      <c r="D7409" s="3"/>
      <c r="E7409" s="3">
        <v>6</v>
      </c>
      <c r="F7409" s="4" t="str">
        <f>HYPERLINK("http://141.218.60.56/~jnz1568/getInfo.php?workbook=12_05.xlsx&amp;sheet=U0&amp;row=7409&amp;col=6&amp;number=3.5&amp;sourceID=14","3.5")</f>
        <v>3.5</v>
      </c>
      <c r="G7409" s="4" t="str">
        <f>HYPERLINK("http://141.218.60.56/~jnz1568/getInfo.php?workbook=12_05.xlsx&amp;sheet=U0&amp;row=7409&amp;col=7&amp;number=0.0541&amp;sourceID=14","0.0541")</f>
        <v>0.0541</v>
      </c>
    </row>
    <row r="7410" spans="1:7">
      <c r="A7410" s="3"/>
      <c r="B7410" s="3"/>
      <c r="C7410" s="3"/>
      <c r="D7410" s="3"/>
      <c r="E7410" s="3">
        <v>7</v>
      </c>
      <c r="F7410" s="4" t="str">
        <f>HYPERLINK("http://141.218.60.56/~jnz1568/getInfo.php?workbook=12_05.xlsx&amp;sheet=U0&amp;row=7410&amp;col=6&amp;number=3.6&amp;sourceID=14","3.6")</f>
        <v>3.6</v>
      </c>
      <c r="G7410" s="4" t="str">
        <f>HYPERLINK("http://141.218.60.56/~jnz1568/getInfo.php?workbook=12_05.xlsx&amp;sheet=U0&amp;row=7410&amp;col=7&amp;number=0.0541&amp;sourceID=14","0.0541")</f>
        <v>0.0541</v>
      </c>
    </row>
    <row r="7411" spans="1:7">
      <c r="A7411" s="3"/>
      <c r="B7411" s="3"/>
      <c r="C7411" s="3"/>
      <c r="D7411" s="3"/>
      <c r="E7411" s="3">
        <v>8</v>
      </c>
      <c r="F7411" s="4" t="str">
        <f>HYPERLINK("http://141.218.60.56/~jnz1568/getInfo.php?workbook=12_05.xlsx&amp;sheet=U0&amp;row=7411&amp;col=6&amp;number=3.7&amp;sourceID=14","3.7")</f>
        <v>3.7</v>
      </c>
      <c r="G7411" s="4" t="str">
        <f>HYPERLINK("http://141.218.60.56/~jnz1568/getInfo.php?workbook=12_05.xlsx&amp;sheet=U0&amp;row=7411&amp;col=7&amp;number=0.0541&amp;sourceID=14","0.0541")</f>
        <v>0.0541</v>
      </c>
    </row>
    <row r="7412" spans="1:7">
      <c r="A7412" s="3"/>
      <c r="B7412" s="3"/>
      <c r="C7412" s="3"/>
      <c r="D7412" s="3"/>
      <c r="E7412" s="3">
        <v>9</v>
      </c>
      <c r="F7412" s="4" t="str">
        <f>HYPERLINK("http://141.218.60.56/~jnz1568/getInfo.php?workbook=12_05.xlsx&amp;sheet=U0&amp;row=7412&amp;col=6&amp;number=3.8&amp;sourceID=14","3.8")</f>
        <v>3.8</v>
      </c>
      <c r="G7412" s="4" t="str">
        <f>HYPERLINK("http://141.218.60.56/~jnz1568/getInfo.php?workbook=12_05.xlsx&amp;sheet=U0&amp;row=7412&amp;col=7&amp;number=0.0541&amp;sourceID=14","0.0541")</f>
        <v>0.0541</v>
      </c>
    </row>
    <row r="7413" spans="1:7">
      <c r="A7413" s="3"/>
      <c r="B7413" s="3"/>
      <c r="C7413" s="3"/>
      <c r="D7413" s="3"/>
      <c r="E7413" s="3">
        <v>10</v>
      </c>
      <c r="F7413" s="4" t="str">
        <f>HYPERLINK("http://141.218.60.56/~jnz1568/getInfo.php?workbook=12_05.xlsx&amp;sheet=U0&amp;row=7413&amp;col=6&amp;number=3.9&amp;sourceID=14","3.9")</f>
        <v>3.9</v>
      </c>
      <c r="G7413" s="4" t="str">
        <f>HYPERLINK("http://141.218.60.56/~jnz1568/getInfo.php?workbook=12_05.xlsx&amp;sheet=U0&amp;row=7413&amp;col=7&amp;number=0.0542&amp;sourceID=14","0.0542")</f>
        <v>0.0542</v>
      </c>
    </row>
    <row r="7414" spans="1:7">
      <c r="A7414" s="3"/>
      <c r="B7414" s="3"/>
      <c r="C7414" s="3"/>
      <c r="D7414" s="3"/>
      <c r="E7414" s="3">
        <v>11</v>
      </c>
      <c r="F7414" s="4" t="str">
        <f>HYPERLINK("http://141.218.60.56/~jnz1568/getInfo.php?workbook=12_05.xlsx&amp;sheet=U0&amp;row=7414&amp;col=6&amp;number=4&amp;sourceID=14","4")</f>
        <v>4</v>
      </c>
      <c r="G7414" s="4" t="str">
        <f>HYPERLINK("http://141.218.60.56/~jnz1568/getInfo.php?workbook=12_05.xlsx&amp;sheet=U0&amp;row=7414&amp;col=7&amp;number=0.0542&amp;sourceID=14","0.0542")</f>
        <v>0.0542</v>
      </c>
    </row>
    <row r="7415" spans="1:7">
      <c r="A7415" s="3"/>
      <c r="B7415" s="3"/>
      <c r="C7415" s="3"/>
      <c r="D7415" s="3"/>
      <c r="E7415" s="3">
        <v>12</v>
      </c>
      <c r="F7415" s="4" t="str">
        <f>HYPERLINK("http://141.218.60.56/~jnz1568/getInfo.php?workbook=12_05.xlsx&amp;sheet=U0&amp;row=7415&amp;col=6&amp;number=4.1&amp;sourceID=14","4.1")</f>
        <v>4.1</v>
      </c>
      <c r="G7415" s="4" t="str">
        <f>HYPERLINK("http://141.218.60.56/~jnz1568/getInfo.php?workbook=12_05.xlsx&amp;sheet=U0&amp;row=7415&amp;col=7&amp;number=0.0542&amp;sourceID=14","0.0542")</f>
        <v>0.0542</v>
      </c>
    </row>
    <row r="7416" spans="1:7">
      <c r="A7416" s="3"/>
      <c r="B7416" s="3"/>
      <c r="C7416" s="3"/>
      <c r="D7416" s="3"/>
      <c r="E7416" s="3">
        <v>13</v>
      </c>
      <c r="F7416" s="4" t="str">
        <f>HYPERLINK("http://141.218.60.56/~jnz1568/getInfo.php?workbook=12_05.xlsx&amp;sheet=U0&amp;row=7416&amp;col=6&amp;number=4.2&amp;sourceID=14","4.2")</f>
        <v>4.2</v>
      </c>
      <c r="G7416" s="4" t="str">
        <f>HYPERLINK("http://141.218.60.56/~jnz1568/getInfo.php?workbook=12_05.xlsx&amp;sheet=U0&amp;row=7416&amp;col=7&amp;number=0.0542&amp;sourceID=14","0.0542")</f>
        <v>0.0542</v>
      </c>
    </row>
    <row r="7417" spans="1:7">
      <c r="A7417" s="3"/>
      <c r="B7417" s="3"/>
      <c r="C7417" s="3"/>
      <c r="D7417" s="3"/>
      <c r="E7417" s="3">
        <v>14</v>
      </c>
      <c r="F7417" s="4" t="str">
        <f>HYPERLINK("http://141.218.60.56/~jnz1568/getInfo.php?workbook=12_05.xlsx&amp;sheet=U0&amp;row=7417&amp;col=6&amp;number=4.3&amp;sourceID=14","4.3")</f>
        <v>4.3</v>
      </c>
      <c r="G7417" s="4" t="str">
        <f>HYPERLINK("http://141.218.60.56/~jnz1568/getInfo.php?workbook=12_05.xlsx&amp;sheet=U0&amp;row=7417&amp;col=7&amp;number=0.0543&amp;sourceID=14","0.0543")</f>
        <v>0.0543</v>
      </c>
    </row>
    <row r="7418" spans="1:7">
      <c r="A7418" s="3"/>
      <c r="B7418" s="3"/>
      <c r="C7418" s="3"/>
      <c r="D7418" s="3"/>
      <c r="E7418" s="3">
        <v>15</v>
      </c>
      <c r="F7418" s="4" t="str">
        <f>HYPERLINK("http://141.218.60.56/~jnz1568/getInfo.php?workbook=12_05.xlsx&amp;sheet=U0&amp;row=7418&amp;col=6&amp;number=4.4&amp;sourceID=14","4.4")</f>
        <v>4.4</v>
      </c>
      <c r="G7418" s="4" t="str">
        <f>HYPERLINK("http://141.218.60.56/~jnz1568/getInfo.php?workbook=12_05.xlsx&amp;sheet=U0&amp;row=7418&amp;col=7&amp;number=0.0543&amp;sourceID=14","0.0543")</f>
        <v>0.0543</v>
      </c>
    </row>
    <row r="7419" spans="1:7">
      <c r="A7419" s="3"/>
      <c r="B7419" s="3"/>
      <c r="C7419" s="3"/>
      <c r="D7419" s="3"/>
      <c r="E7419" s="3">
        <v>16</v>
      </c>
      <c r="F7419" s="4" t="str">
        <f>HYPERLINK("http://141.218.60.56/~jnz1568/getInfo.php?workbook=12_05.xlsx&amp;sheet=U0&amp;row=7419&amp;col=6&amp;number=4.5&amp;sourceID=14","4.5")</f>
        <v>4.5</v>
      </c>
      <c r="G7419" s="4" t="str">
        <f>HYPERLINK("http://141.218.60.56/~jnz1568/getInfo.php?workbook=12_05.xlsx&amp;sheet=U0&amp;row=7419&amp;col=7&amp;number=0.0544&amp;sourceID=14","0.0544")</f>
        <v>0.0544</v>
      </c>
    </row>
    <row r="7420" spans="1:7">
      <c r="A7420" s="3"/>
      <c r="B7420" s="3"/>
      <c r="C7420" s="3"/>
      <c r="D7420" s="3"/>
      <c r="E7420" s="3">
        <v>17</v>
      </c>
      <c r="F7420" s="4" t="str">
        <f>HYPERLINK("http://141.218.60.56/~jnz1568/getInfo.php?workbook=12_05.xlsx&amp;sheet=U0&amp;row=7420&amp;col=6&amp;number=4.6&amp;sourceID=14","4.6")</f>
        <v>4.6</v>
      </c>
      <c r="G7420" s="4" t="str">
        <f>HYPERLINK("http://141.218.60.56/~jnz1568/getInfo.php?workbook=12_05.xlsx&amp;sheet=U0&amp;row=7420&amp;col=7&amp;number=0.0544&amp;sourceID=14","0.0544")</f>
        <v>0.0544</v>
      </c>
    </row>
    <row r="7421" spans="1:7">
      <c r="A7421" s="3"/>
      <c r="B7421" s="3"/>
      <c r="C7421" s="3"/>
      <c r="D7421" s="3"/>
      <c r="E7421" s="3">
        <v>18</v>
      </c>
      <c r="F7421" s="4" t="str">
        <f>HYPERLINK("http://141.218.60.56/~jnz1568/getInfo.php?workbook=12_05.xlsx&amp;sheet=U0&amp;row=7421&amp;col=6&amp;number=4.7&amp;sourceID=14","4.7")</f>
        <v>4.7</v>
      </c>
      <c r="G7421" s="4" t="str">
        <f>HYPERLINK("http://141.218.60.56/~jnz1568/getInfo.php?workbook=12_05.xlsx&amp;sheet=U0&amp;row=7421&amp;col=7&amp;number=0.0545&amp;sourceID=14","0.0545")</f>
        <v>0.0545</v>
      </c>
    </row>
    <row r="7422" spans="1:7">
      <c r="A7422" s="3"/>
      <c r="B7422" s="3"/>
      <c r="C7422" s="3"/>
      <c r="D7422" s="3"/>
      <c r="E7422" s="3">
        <v>19</v>
      </c>
      <c r="F7422" s="4" t="str">
        <f>HYPERLINK("http://141.218.60.56/~jnz1568/getInfo.php?workbook=12_05.xlsx&amp;sheet=U0&amp;row=7422&amp;col=6&amp;number=4.8&amp;sourceID=14","4.8")</f>
        <v>4.8</v>
      </c>
      <c r="G7422" s="4" t="str">
        <f>HYPERLINK("http://141.218.60.56/~jnz1568/getInfo.php?workbook=12_05.xlsx&amp;sheet=U0&amp;row=7422&amp;col=7&amp;number=0.0546&amp;sourceID=14","0.0546")</f>
        <v>0.0546</v>
      </c>
    </row>
    <row r="7423" spans="1:7">
      <c r="A7423" s="3"/>
      <c r="B7423" s="3"/>
      <c r="C7423" s="3"/>
      <c r="D7423" s="3"/>
      <c r="E7423" s="3">
        <v>20</v>
      </c>
      <c r="F7423" s="4" t="str">
        <f>HYPERLINK("http://141.218.60.56/~jnz1568/getInfo.php?workbook=12_05.xlsx&amp;sheet=U0&amp;row=7423&amp;col=6&amp;number=4.9&amp;sourceID=14","4.9")</f>
        <v>4.9</v>
      </c>
      <c r="G7423" s="4" t="str">
        <f>HYPERLINK("http://141.218.60.56/~jnz1568/getInfo.php?workbook=12_05.xlsx&amp;sheet=U0&amp;row=7423&amp;col=7&amp;number=0.0548&amp;sourceID=14","0.0548")</f>
        <v>0.0548</v>
      </c>
    </row>
    <row r="7424" spans="1:7">
      <c r="A7424" s="3">
        <v>12</v>
      </c>
      <c r="B7424" s="3">
        <v>5</v>
      </c>
      <c r="C7424" s="3">
        <v>3</v>
      </c>
      <c r="D7424" s="3">
        <v>24</v>
      </c>
      <c r="E7424" s="3">
        <v>1</v>
      </c>
      <c r="F7424" s="4" t="str">
        <f>HYPERLINK("http://141.218.60.56/~jnz1568/getInfo.php?workbook=12_05.xlsx&amp;sheet=U0&amp;row=7424&amp;col=6&amp;number=3&amp;sourceID=14","3")</f>
        <v>3</v>
      </c>
      <c r="G7424" s="4" t="str">
        <f>HYPERLINK("http://141.218.60.56/~jnz1568/getInfo.php?workbook=12_05.xlsx&amp;sheet=U0&amp;row=7424&amp;col=7&amp;number=0.00137&amp;sourceID=14","0.00137")</f>
        <v>0.00137</v>
      </c>
    </row>
    <row r="7425" spans="1:7">
      <c r="A7425" s="3"/>
      <c r="B7425" s="3"/>
      <c r="C7425" s="3"/>
      <c r="D7425" s="3"/>
      <c r="E7425" s="3">
        <v>2</v>
      </c>
      <c r="F7425" s="4" t="str">
        <f>HYPERLINK("http://141.218.60.56/~jnz1568/getInfo.php?workbook=12_05.xlsx&amp;sheet=U0&amp;row=7425&amp;col=6&amp;number=3.1&amp;sourceID=14","3.1")</f>
        <v>3.1</v>
      </c>
      <c r="G7425" s="4" t="str">
        <f>HYPERLINK("http://141.218.60.56/~jnz1568/getInfo.php?workbook=12_05.xlsx&amp;sheet=U0&amp;row=7425&amp;col=7&amp;number=0.00137&amp;sourceID=14","0.00137")</f>
        <v>0.00137</v>
      </c>
    </row>
    <row r="7426" spans="1:7">
      <c r="A7426" s="3"/>
      <c r="B7426" s="3"/>
      <c r="C7426" s="3"/>
      <c r="D7426" s="3"/>
      <c r="E7426" s="3">
        <v>3</v>
      </c>
      <c r="F7426" s="4" t="str">
        <f>HYPERLINK("http://141.218.60.56/~jnz1568/getInfo.php?workbook=12_05.xlsx&amp;sheet=U0&amp;row=7426&amp;col=6&amp;number=3.2&amp;sourceID=14","3.2")</f>
        <v>3.2</v>
      </c>
      <c r="G7426" s="4" t="str">
        <f>HYPERLINK("http://141.218.60.56/~jnz1568/getInfo.php?workbook=12_05.xlsx&amp;sheet=U0&amp;row=7426&amp;col=7&amp;number=0.00136&amp;sourceID=14","0.00136")</f>
        <v>0.00136</v>
      </c>
    </row>
    <row r="7427" spans="1:7">
      <c r="A7427" s="3"/>
      <c r="B7427" s="3"/>
      <c r="C7427" s="3"/>
      <c r="D7427" s="3"/>
      <c r="E7427" s="3">
        <v>4</v>
      </c>
      <c r="F7427" s="4" t="str">
        <f>HYPERLINK("http://141.218.60.56/~jnz1568/getInfo.php?workbook=12_05.xlsx&amp;sheet=U0&amp;row=7427&amp;col=6&amp;number=3.3&amp;sourceID=14","3.3")</f>
        <v>3.3</v>
      </c>
      <c r="G7427" s="4" t="str">
        <f>HYPERLINK("http://141.218.60.56/~jnz1568/getInfo.php?workbook=12_05.xlsx&amp;sheet=U0&amp;row=7427&amp;col=7&amp;number=0.00136&amp;sourceID=14","0.00136")</f>
        <v>0.00136</v>
      </c>
    </row>
    <row r="7428" spans="1:7">
      <c r="A7428" s="3"/>
      <c r="B7428" s="3"/>
      <c r="C7428" s="3"/>
      <c r="D7428" s="3"/>
      <c r="E7428" s="3">
        <v>5</v>
      </c>
      <c r="F7428" s="4" t="str">
        <f>HYPERLINK("http://141.218.60.56/~jnz1568/getInfo.php?workbook=12_05.xlsx&amp;sheet=U0&amp;row=7428&amp;col=6&amp;number=3.4&amp;sourceID=14","3.4")</f>
        <v>3.4</v>
      </c>
      <c r="G7428" s="4" t="str">
        <f>HYPERLINK("http://141.218.60.56/~jnz1568/getInfo.php?workbook=12_05.xlsx&amp;sheet=U0&amp;row=7428&amp;col=7&amp;number=0.00136&amp;sourceID=14","0.00136")</f>
        <v>0.00136</v>
      </c>
    </row>
    <row r="7429" spans="1:7">
      <c r="A7429" s="3"/>
      <c r="B7429" s="3"/>
      <c r="C7429" s="3"/>
      <c r="D7429" s="3"/>
      <c r="E7429" s="3">
        <v>6</v>
      </c>
      <c r="F7429" s="4" t="str">
        <f>HYPERLINK("http://141.218.60.56/~jnz1568/getInfo.php?workbook=12_05.xlsx&amp;sheet=U0&amp;row=7429&amp;col=6&amp;number=3.5&amp;sourceID=14","3.5")</f>
        <v>3.5</v>
      </c>
      <c r="G7429" s="4" t="str">
        <f>HYPERLINK("http://141.218.60.56/~jnz1568/getInfo.php?workbook=12_05.xlsx&amp;sheet=U0&amp;row=7429&amp;col=7&amp;number=0.00136&amp;sourceID=14","0.00136")</f>
        <v>0.00136</v>
      </c>
    </row>
    <row r="7430" spans="1:7">
      <c r="A7430" s="3"/>
      <c r="B7430" s="3"/>
      <c r="C7430" s="3"/>
      <c r="D7430" s="3"/>
      <c r="E7430" s="3">
        <v>7</v>
      </c>
      <c r="F7430" s="4" t="str">
        <f>HYPERLINK("http://141.218.60.56/~jnz1568/getInfo.php?workbook=12_05.xlsx&amp;sheet=U0&amp;row=7430&amp;col=6&amp;number=3.6&amp;sourceID=14","3.6")</f>
        <v>3.6</v>
      </c>
      <c r="G7430" s="4" t="str">
        <f>HYPERLINK("http://141.218.60.56/~jnz1568/getInfo.php?workbook=12_05.xlsx&amp;sheet=U0&amp;row=7430&amp;col=7&amp;number=0.00136&amp;sourceID=14","0.00136")</f>
        <v>0.00136</v>
      </c>
    </row>
    <row r="7431" spans="1:7">
      <c r="A7431" s="3"/>
      <c r="B7431" s="3"/>
      <c r="C7431" s="3"/>
      <c r="D7431" s="3"/>
      <c r="E7431" s="3">
        <v>8</v>
      </c>
      <c r="F7431" s="4" t="str">
        <f>HYPERLINK("http://141.218.60.56/~jnz1568/getInfo.php?workbook=12_05.xlsx&amp;sheet=U0&amp;row=7431&amp;col=6&amp;number=3.7&amp;sourceID=14","3.7")</f>
        <v>3.7</v>
      </c>
      <c r="G7431" s="4" t="str">
        <f>HYPERLINK("http://141.218.60.56/~jnz1568/getInfo.php?workbook=12_05.xlsx&amp;sheet=U0&amp;row=7431&amp;col=7&amp;number=0.00136&amp;sourceID=14","0.00136")</f>
        <v>0.00136</v>
      </c>
    </row>
    <row r="7432" spans="1:7">
      <c r="A7432" s="3"/>
      <c r="B7432" s="3"/>
      <c r="C7432" s="3"/>
      <c r="D7432" s="3"/>
      <c r="E7432" s="3">
        <v>9</v>
      </c>
      <c r="F7432" s="4" t="str">
        <f>HYPERLINK("http://141.218.60.56/~jnz1568/getInfo.php?workbook=12_05.xlsx&amp;sheet=U0&amp;row=7432&amp;col=6&amp;number=3.8&amp;sourceID=14","3.8")</f>
        <v>3.8</v>
      </c>
      <c r="G7432" s="4" t="str">
        <f>HYPERLINK("http://141.218.60.56/~jnz1568/getInfo.php?workbook=12_05.xlsx&amp;sheet=U0&amp;row=7432&amp;col=7&amp;number=0.00136&amp;sourceID=14","0.00136")</f>
        <v>0.00136</v>
      </c>
    </row>
    <row r="7433" spans="1:7">
      <c r="A7433" s="3"/>
      <c r="B7433" s="3"/>
      <c r="C7433" s="3"/>
      <c r="D7433" s="3"/>
      <c r="E7433" s="3">
        <v>10</v>
      </c>
      <c r="F7433" s="4" t="str">
        <f>HYPERLINK("http://141.218.60.56/~jnz1568/getInfo.php?workbook=12_05.xlsx&amp;sheet=U0&amp;row=7433&amp;col=6&amp;number=3.9&amp;sourceID=14","3.9")</f>
        <v>3.9</v>
      </c>
      <c r="G7433" s="4" t="str">
        <f>HYPERLINK("http://141.218.60.56/~jnz1568/getInfo.php?workbook=12_05.xlsx&amp;sheet=U0&amp;row=7433&amp;col=7&amp;number=0.00136&amp;sourceID=14","0.00136")</f>
        <v>0.00136</v>
      </c>
    </row>
    <row r="7434" spans="1:7">
      <c r="A7434" s="3"/>
      <c r="B7434" s="3"/>
      <c r="C7434" s="3"/>
      <c r="D7434" s="3"/>
      <c r="E7434" s="3">
        <v>11</v>
      </c>
      <c r="F7434" s="4" t="str">
        <f>HYPERLINK("http://141.218.60.56/~jnz1568/getInfo.php?workbook=12_05.xlsx&amp;sheet=U0&amp;row=7434&amp;col=6&amp;number=4&amp;sourceID=14","4")</f>
        <v>4</v>
      </c>
      <c r="G7434" s="4" t="str">
        <f>HYPERLINK("http://141.218.60.56/~jnz1568/getInfo.php?workbook=12_05.xlsx&amp;sheet=U0&amp;row=7434&amp;col=7&amp;number=0.00135&amp;sourceID=14","0.00135")</f>
        <v>0.00135</v>
      </c>
    </row>
    <row r="7435" spans="1:7">
      <c r="A7435" s="3"/>
      <c r="B7435" s="3"/>
      <c r="C7435" s="3"/>
      <c r="D7435" s="3"/>
      <c r="E7435" s="3">
        <v>12</v>
      </c>
      <c r="F7435" s="4" t="str">
        <f>HYPERLINK("http://141.218.60.56/~jnz1568/getInfo.php?workbook=12_05.xlsx&amp;sheet=U0&amp;row=7435&amp;col=6&amp;number=4.1&amp;sourceID=14","4.1")</f>
        <v>4.1</v>
      </c>
      <c r="G7435" s="4" t="str">
        <f>HYPERLINK("http://141.218.60.56/~jnz1568/getInfo.php?workbook=12_05.xlsx&amp;sheet=U0&amp;row=7435&amp;col=7&amp;number=0.00135&amp;sourceID=14","0.00135")</f>
        <v>0.00135</v>
      </c>
    </row>
    <row r="7436" spans="1:7">
      <c r="A7436" s="3"/>
      <c r="B7436" s="3"/>
      <c r="C7436" s="3"/>
      <c r="D7436" s="3"/>
      <c r="E7436" s="3">
        <v>13</v>
      </c>
      <c r="F7436" s="4" t="str">
        <f>HYPERLINK("http://141.218.60.56/~jnz1568/getInfo.php?workbook=12_05.xlsx&amp;sheet=U0&amp;row=7436&amp;col=6&amp;number=4.2&amp;sourceID=14","4.2")</f>
        <v>4.2</v>
      </c>
      <c r="G7436" s="4" t="str">
        <f>HYPERLINK("http://141.218.60.56/~jnz1568/getInfo.php?workbook=12_05.xlsx&amp;sheet=U0&amp;row=7436&amp;col=7&amp;number=0.00135&amp;sourceID=14","0.00135")</f>
        <v>0.00135</v>
      </c>
    </row>
    <row r="7437" spans="1:7">
      <c r="A7437" s="3"/>
      <c r="B7437" s="3"/>
      <c r="C7437" s="3"/>
      <c r="D7437" s="3"/>
      <c r="E7437" s="3">
        <v>14</v>
      </c>
      <c r="F7437" s="4" t="str">
        <f>HYPERLINK("http://141.218.60.56/~jnz1568/getInfo.php?workbook=12_05.xlsx&amp;sheet=U0&amp;row=7437&amp;col=6&amp;number=4.3&amp;sourceID=14","4.3")</f>
        <v>4.3</v>
      </c>
      <c r="G7437" s="4" t="str">
        <f>HYPERLINK("http://141.218.60.56/~jnz1568/getInfo.php?workbook=12_05.xlsx&amp;sheet=U0&amp;row=7437&amp;col=7&amp;number=0.00134&amp;sourceID=14","0.00134")</f>
        <v>0.00134</v>
      </c>
    </row>
    <row r="7438" spans="1:7">
      <c r="A7438" s="3"/>
      <c r="B7438" s="3"/>
      <c r="C7438" s="3"/>
      <c r="D7438" s="3"/>
      <c r="E7438" s="3">
        <v>15</v>
      </c>
      <c r="F7438" s="4" t="str">
        <f>HYPERLINK("http://141.218.60.56/~jnz1568/getInfo.php?workbook=12_05.xlsx&amp;sheet=U0&amp;row=7438&amp;col=6&amp;number=4.4&amp;sourceID=14","4.4")</f>
        <v>4.4</v>
      </c>
      <c r="G7438" s="4" t="str">
        <f>HYPERLINK("http://141.218.60.56/~jnz1568/getInfo.php?workbook=12_05.xlsx&amp;sheet=U0&amp;row=7438&amp;col=7&amp;number=0.00133&amp;sourceID=14","0.00133")</f>
        <v>0.00133</v>
      </c>
    </row>
    <row r="7439" spans="1:7">
      <c r="A7439" s="3"/>
      <c r="B7439" s="3"/>
      <c r="C7439" s="3"/>
      <c r="D7439" s="3"/>
      <c r="E7439" s="3">
        <v>16</v>
      </c>
      <c r="F7439" s="4" t="str">
        <f>HYPERLINK("http://141.218.60.56/~jnz1568/getInfo.php?workbook=12_05.xlsx&amp;sheet=U0&amp;row=7439&amp;col=6&amp;number=4.5&amp;sourceID=14","4.5")</f>
        <v>4.5</v>
      </c>
      <c r="G7439" s="4" t="str">
        <f>HYPERLINK("http://141.218.60.56/~jnz1568/getInfo.php?workbook=12_05.xlsx&amp;sheet=U0&amp;row=7439&amp;col=7&amp;number=0.00133&amp;sourceID=14","0.00133")</f>
        <v>0.00133</v>
      </c>
    </row>
    <row r="7440" spans="1:7">
      <c r="A7440" s="3"/>
      <c r="B7440" s="3"/>
      <c r="C7440" s="3"/>
      <c r="D7440" s="3"/>
      <c r="E7440" s="3">
        <v>17</v>
      </c>
      <c r="F7440" s="4" t="str">
        <f>HYPERLINK("http://141.218.60.56/~jnz1568/getInfo.php?workbook=12_05.xlsx&amp;sheet=U0&amp;row=7440&amp;col=6&amp;number=4.6&amp;sourceID=14","4.6")</f>
        <v>4.6</v>
      </c>
      <c r="G7440" s="4" t="str">
        <f>HYPERLINK("http://141.218.60.56/~jnz1568/getInfo.php?workbook=12_05.xlsx&amp;sheet=U0&amp;row=7440&amp;col=7&amp;number=0.00132&amp;sourceID=14","0.00132")</f>
        <v>0.00132</v>
      </c>
    </row>
    <row r="7441" spans="1:7">
      <c r="A7441" s="3"/>
      <c r="B7441" s="3"/>
      <c r="C7441" s="3"/>
      <c r="D7441" s="3"/>
      <c r="E7441" s="3">
        <v>18</v>
      </c>
      <c r="F7441" s="4" t="str">
        <f>HYPERLINK("http://141.218.60.56/~jnz1568/getInfo.php?workbook=12_05.xlsx&amp;sheet=U0&amp;row=7441&amp;col=6&amp;number=4.7&amp;sourceID=14","4.7")</f>
        <v>4.7</v>
      </c>
      <c r="G7441" s="4" t="str">
        <f>HYPERLINK("http://141.218.60.56/~jnz1568/getInfo.php?workbook=12_05.xlsx&amp;sheet=U0&amp;row=7441&amp;col=7&amp;number=0.0013&amp;sourceID=14","0.0013")</f>
        <v>0.0013</v>
      </c>
    </row>
    <row r="7442" spans="1:7">
      <c r="A7442" s="3"/>
      <c r="B7442" s="3"/>
      <c r="C7442" s="3"/>
      <c r="D7442" s="3"/>
      <c r="E7442" s="3">
        <v>19</v>
      </c>
      <c r="F7442" s="4" t="str">
        <f>HYPERLINK("http://141.218.60.56/~jnz1568/getInfo.php?workbook=12_05.xlsx&amp;sheet=U0&amp;row=7442&amp;col=6&amp;number=4.8&amp;sourceID=14","4.8")</f>
        <v>4.8</v>
      </c>
      <c r="G7442" s="4" t="str">
        <f>HYPERLINK("http://141.218.60.56/~jnz1568/getInfo.php?workbook=12_05.xlsx&amp;sheet=U0&amp;row=7442&amp;col=7&amp;number=0.00129&amp;sourceID=14","0.00129")</f>
        <v>0.00129</v>
      </c>
    </row>
    <row r="7443" spans="1:7">
      <c r="A7443" s="3"/>
      <c r="B7443" s="3"/>
      <c r="C7443" s="3"/>
      <c r="D7443" s="3"/>
      <c r="E7443" s="3">
        <v>20</v>
      </c>
      <c r="F7443" s="4" t="str">
        <f>HYPERLINK("http://141.218.60.56/~jnz1568/getInfo.php?workbook=12_05.xlsx&amp;sheet=U0&amp;row=7443&amp;col=6&amp;number=4.9&amp;sourceID=14","4.9")</f>
        <v>4.9</v>
      </c>
      <c r="G7443" s="4" t="str">
        <f>HYPERLINK("http://141.218.60.56/~jnz1568/getInfo.php?workbook=12_05.xlsx&amp;sheet=U0&amp;row=7443&amp;col=7&amp;number=0.00127&amp;sourceID=14","0.00127")</f>
        <v>0.00127</v>
      </c>
    </row>
    <row r="7444" spans="1:7">
      <c r="A7444" s="3">
        <v>12</v>
      </c>
      <c r="B7444" s="3">
        <v>5</v>
      </c>
      <c r="C7444" s="3">
        <v>3</v>
      </c>
      <c r="D7444" s="3">
        <v>25</v>
      </c>
      <c r="E7444" s="3">
        <v>1</v>
      </c>
      <c r="F7444" s="4" t="str">
        <f>HYPERLINK("http://141.218.60.56/~jnz1568/getInfo.php?workbook=12_05.xlsx&amp;sheet=U0&amp;row=7444&amp;col=6&amp;number=3&amp;sourceID=14","3")</f>
        <v>3</v>
      </c>
      <c r="G7444" s="4" t="str">
        <f>HYPERLINK("http://141.218.60.56/~jnz1568/getInfo.php?workbook=12_05.xlsx&amp;sheet=U0&amp;row=7444&amp;col=7&amp;number=0.00139&amp;sourceID=14","0.00139")</f>
        <v>0.00139</v>
      </c>
    </row>
    <row r="7445" spans="1:7">
      <c r="A7445" s="3"/>
      <c r="B7445" s="3"/>
      <c r="C7445" s="3"/>
      <c r="D7445" s="3"/>
      <c r="E7445" s="3">
        <v>2</v>
      </c>
      <c r="F7445" s="4" t="str">
        <f>HYPERLINK("http://141.218.60.56/~jnz1568/getInfo.php?workbook=12_05.xlsx&amp;sheet=U0&amp;row=7445&amp;col=6&amp;number=3.1&amp;sourceID=14","3.1")</f>
        <v>3.1</v>
      </c>
      <c r="G7445" s="4" t="str">
        <f>HYPERLINK("http://141.218.60.56/~jnz1568/getInfo.php?workbook=12_05.xlsx&amp;sheet=U0&amp;row=7445&amp;col=7&amp;number=0.00139&amp;sourceID=14","0.00139")</f>
        <v>0.00139</v>
      </c>
    </row>
    <row r="7446" spans="1:7">
      <c r="A7446" s="3"/>
      <c r="B7446" s="3"/>
      <c r="C7446" s="3"/>
      <c r="D7446" s="3"/>
      <c r="E7446" s="3">
        <v>3</v>
      </c>
      <c r="F7446" s="4" t="str">
        <f>HYPERLINK("http://141.218.60.56/~jnz1568/getInfo.php?workbook=12_05.xlsx&amp;sheet=U0&amp;row=7446&amp;col=6&amp;number=3.2&amp;sourceID=14","3.2")</f>
        <v>3.2</v>
      </c>
      <c r="G7446" s="4" t="str">
        <f>HYPERLINK("http://141.218.60.56/~jnz1568/getInfo.php?workbook=12_05.xlsx&amp;sheet=U0&amp;row=7446&amp;col=7&amp;number=0.00138&amp;sourceID=14","0.00138")</f>
        <v>0.00138</v>
      </c>
    </row>
    <row r="7447" spans="1:7">
      <c r="A7447" s="3"/>
      <c r="B7447" s="3"/>
      <c r="C7447" s="3"/>
      <c r="D7447" s="3"/>
      <c r="E7447" s="3">
        <v>4</v>
      </c>
      <c r="F7447" s="4" t="str">
        <f>HYPERLINK("http://141.218.60.56/~jnz1568/getInfo.php?workbook=12_05.xlsx&amp;sheet=U0&amp;row=7447&amp;col=6&amp;number=3.3&amp;sourceID=14","3.3")</f>
        <v>3.3</v>
      </c>
      <c r="G7447" s="4" t="str">
        <f>HYPERLINK("http://141.218.60.56/~jnz1568/getInfo.php?workbook=12_05.xlsx&amp;sheet=U0&amp;row=7447&amp;col=7&amp;number=0.00138&amp;sourceID=14","0.00138")</f>
        <v>0.00138</v>
      </c>
    </row>
    <row r="7448" spans="1:7">
      <c r="A7448" s="3"/>
      <c r="B7448" s="3"/>
      <c r="C7448" s="3"/>
      <c r="D7448" s="3"/>
      <c r="E7448" s="3">
        <v>5</v>
      </c>
      <c r="F7448" s="4" t="str">
        <f>HYPERLINK("http://141.218.60.56/~jnz1568/getInfo.php?workbook=12_05.xlsx&amp;sheet=U0&amp;row=7448&amp;col=6&amp;number=3.4&amp;sourceID=14","3.4")</f>
        <v>3.4</v>
      </c>
      <c r="G7448" s="4" t="str">
        <f>HYPERLINK("http://141.218.60.56/~jnz1568/getInfo.php?workbook=12_05.xlsx&amp;sheet=U0&amp;row=7448&amp;col=7&amp;number=0.00138&amp;sourceID=14","0.00138")</f>
        <v>0.00138</v>
      </c>
    </row>
    <row r="7449" spans="1:7">
      <c r="A7449" s="3"/>
      <c r="B7449" s="3"/>
      <c r="C7449" s="3"/>
      <c r="D7449" s="3"/>
      <c r="E7449" s="3">
        <v>6</v>
      </c>
      <c r="F7449" s="4" t="str">
        <f>HYPERLINK("http://141.218.60.56/~jnz1568/getInfo.php?workbook=12_05.xlsx&amp;sheet=U0&amp;row=7449&amp;col=6&amp;number=3.5&amp;sourceID=14","3.5")</f>
        <v>3.5</v>
      </c>
      <c r="G7449" s="4" t="str">
        <f>HYPERLINK("http://141.218.60.56/~jnz1568/getInfo.php?workbook=12_05.xlsx&amp;sheet=U0&amp;row=7449&amp;col=7&amp;number=0.00138&amp;sourceID=14","0.00138")</f>
        <v>0.00138</v>
      </c>
    </row>
    <row r="7450" spans="1:7">
      <c r="A7450" s="3"/>
      <c r="B7450" s="3"/>
      <c r="C7450" s="3"/>
      <c r="D7450" s="3"/>
      <c r="E7450" s="3">
        <v>7</v>
      </c>
      <c r="F7450" s="4" t="str">
        <f>HYPERLINK("http://141.218.60.56/~jnz1568/getInfo.php?workbook=12_05.xlsx&amp;sheet=U0&amp;row=7450&amp;col=6&amp;number=3.6&amp;sourceID=14","3.6")</f>
        <v>3.6</v>
      </c>
      <c r="G7450" s="4" t="str">
        <f>HYPERLINK("http://141.218.60.56/~jnz1568/getInfo.php?workbook=12_05.xlsx&amp;sheet=U0&amp;row=7450&amp;col=7&amp;number=0.00138&amp;sourceID=14","0.00138")</f>
        <v>0.00138</v>
      </c>
    </row>
    <row r="7451" spans="1:7">
      <c r="A7451" s="3"/>
      <c r="B7451" s="3"/>
      <c r="C7451" s="3"/>
      <c r="D7451" s="3"/>
      <c r="E7451" s="3">
        <v>8</v>
      </c>
      <c r="F7451" s="4" t="str">
        <f>HYPERLINK("http://141.218.60.56/~jnz1568/getInfo.php?workbook=12_05.xlsx&amp;sheet=U0&amp;row=7451&amp;col=6&amp;number=3.7&amp;sourceID=14","3.7")</f>
        <v>3.7</v>
      </c>
      <c r="G7451" s="4" t="str">
        <f>HYPERLINK("http://141.218.60.56/~jnz1568/getInfo.php?workbook=12_05.xlsx&amp;sheet=U0&amp;row=7451&amp;col=7&amp;number=0.00138&amp;sourceID=14","0.00138")</f>
        <v>0.00138</v>
      </c>
    </row>
    <row r="7452" spans="1:7">
      <c r="A7452" s="3"/>
      <c r="B7452" s="3"/>
      <c r="C7452" s="3"/>
      <c r="D7452" s="3"/>
      <c r="E7452" s="3">
        <v>9</v>
      </c>
      <c r="F7452" s="4" t="str">
        <f>HYPERLINK("http://141.218.60.56/~jnz1568/getInfo.php?workbook=12_05.xlsx&amp;sheet=U0&amp;row=7452&amp;col=6&amp;number=3.8&amp;sourceID=14","3.8")</f>
        <v>3.8</v>
      </c>
      <c r="G7452" s="4" t="str">
        <f>HYPERLINK("http://141.218.60.56/~jnz1568/getInfo.php?workbook=12_05.xlsx&amp;sheet=U0&amp;row=7452&amp;col=7&amp;number=0.00138&amp;sourceID=14","0.00138")</f>
        <v>0.00138</v>
      </c>
    </row>
    <row r="7453" spans="1:7">
      <c r="A7453" s="3"/>
      <c r="B7453" s="3"/>
      <c r="C7453" s="3"/>
      <c r="D7453" s="3"/>
      <c r="E7453" s="3">
        <v>10</v>
      </c>
      <c r="F7453" s="4" t="str">
        <f>HYPERLINK("http://141.218.60.56/~jnz1568/getInfo.php?workbook=12_05.xlsx&amp;sheet=U0&amp;row=7453&amp;col=6&amp;number=3.9&amp;sourceID=14","3.9")</f>
        <v>3.9</v>
      </c>
      <c r="G7453" s="4" t="str">
        <f>HYPERLINK("http://141.218.60.56/~jnz1568/getInfo.php?workbook=12_05.xlsx&amp;sheet=U0&amp;row=7453&amp;col=7&amp;number=0.00138&amp;sourceID=14","0.00138")</f>
        <v>0.00138</v>
      </c>
    </row>
    <row r="7454" spans="1:7">
      <c r="A7454" s="3"/>
      <c r="B7454" s="3"/>
      <c r="C7454" s="3"/>
      <c r="D7454" s="3"/>
      <c r="E7454" s="3">
        <v>11</v>
      </c>
      <c r="F7454" s="4" t="str">
        <f>HYPERLINK("http://141.218.60.56/~jnz1568/getInfo.php?workbook=12_05.xlsx&amp;sheet=U0&amp;row=7454&amp;col=6&amp;number=4&amp;sourceID=14","4")</f>
        <v>4</v>
      </c>
      <c r="G7454" s="4" t="str">
        <f>HYPERLINK("http://141.218.60.56/~jnz1568/getInfo.php?workbook=12_05.xlsx&amp;sheet=U0&amp;row=7454&amp;col=7&amp;number=0.00137&amp;sourceID=14","0.00137")</f>
        <v>0.00137</v>
      </c>
    </row>
    <row r="7455" spans="1:7">
      <c r="A7455" s="3"/>
      <c r="B7455" s="3"/>
      <c r="C7455" s="3"/>
      <c r="D7455" s="3"/>
      <c r="E7455" s="3">
        <v>12</v>
      </c>
      <c r="F7455" s="4" t="str">
        <f>HYPERLINK("http://141.218.60.56/~jnz1568/getInfo.php?workbook=12_05.xlsx&amp;sheet=U0&amp;row=7455&amp;col=6&amp;number=4.1&amp;sourceID=14","4.1")</f>
        <v>4.1</v>
      </c>
      <c r="G7455" s="4" t="str">
        <f>HYPERLINK("http://141.218.60.56/~jnz1568/getInfo.php?workbook=12_05.xlsx&amp;sheet=U0&amp;row=7455&amp;col=7&amp;number=0.00137&amp;sourceID=14","0.00137")</f>
        <v>0.00137</v>
      </c>
    </row>
    <row r="7456" spans="1:7">
      <c r="A7456" s="3"/>
      <c r="B7456" s="3"/>
      <c r="C7456" s="3"/>
      <c r="D7456" s="3"/>
      <c r="E7456" s="3">
        <v>13</v>
      </c>
      <c r="F7456" s="4" t="str">
        <f>HYPERLINK("http://141.218.60.56/~jnz1568/getInfo.php?workbook=12_05.xlsx&amp;sheet=U0&amp;row=7456&amp;col=6&amp;number=4.2&amp;sourceID=14","4.2")</f>
        <v>4.2</v>
      </c>
      <c r="G7456" s="4" t="str">
        <f>HYPERLINK("http://141.218.60.56/~jnz1568/getInfo.php?workbook=12_05.xlsx&amp;sheet=U0&amp;row=7456&amp;col=7&amp;number=0.00137&amp;sourceID=14","0.00137")</f>
        <v>0.00137</v>
      </c>
    </row>
    <row r="7457" spans="1:7">
      <c r="A7457" s="3"/>
      <c r="B7457" s="3"/>
      <c r="C7457" s="3"/>
      <c r="D7457" s="3"/>
      <c r="E7457" s="3">
        <v>14</v>
      </c>
      <c r="F7457" s="4" t="str">
        <f>HYPERLINK("http://141.218.60.56/~jnz1568/getInfo.php?workbook=12_05.xlsx&amp;sheet=U0&amp;row=7457&amp;col=6&amp;number=4.3&amp;sourceID=14","4.3")</f>
        <v>4.3</v>
      </c>
      <c r="G7457" s="4" t="str">
        <f>HYPERLINK("http://141.218.60.56/~jnz1568/getInfo.php?workbook=12_05.xlsx&amp;sheet=U0&amp;row=7457&amp;col=7&amp;number=0.00136&amp;sourceID=14","0.00136")</f>
        <v>0.00136</v>
      </c>
    </row>
    <row r="7458" spans="1:7">
      <c r="A7458" s="3"/>
      <c r="B7458" s="3"/>
      <c r="C7458" s="3"/>
      <c r="D7458" s="3"/>
      <c r="E7458" s="3">
        <v>15</v>
      </c>
      <c r="F7458" s="4" t="str">
        <f>HYPERLINK("http://141.218.60.56/~jnz1568/getInfo.php?workbook=12_05.xlsx&amp;sheet=U0&amp;row=7458&amp;col=6&amp;number=4.4&amp;sourceID=14","4.4")</f>
        <v>4.4</v>
      </c>
      <c r="G7458" s="4" t="str">
        <f>HYPERLINK("http://141.218.60.56/~jnz1568/getInfo.php?workbook=12_05.xlsx&amp;sheet=U0&amp;row=7458&amp;col=7&amp;number=0.00136&amp;sourceID=14","0.00136")</f>
        <v>0.00136</v>
      </c>
    </row>
    <row r="7459" spans="1:7">
      <c r="A7459" s="3"/>
      <c r="B7459" s="3"/>
      <c r="C7459" s="3"/>
      <c r="D7459" s="3"/>
      <c r="E7459" s="3">
        <v>16</v>
      </c>
      <c r="F7459" s="4" t="str">
        <f>HYPERLINK("http://141.218.60.56/~jnz1568/getInfo.php?workbook=12_05.xlsx&amp;sheet=U0&amp;row=7459&amp;col=6&amp;number=4.5&amp;sourceID=14","4.5")</f>
        <v>4.5</v>
      </c>
      <c r="G7459" s="4" t="str">
        <f>HYPERLINK("http://141.218.60.56/~jnz1568/getInfo.php?workbook=12_05.xlsx&amp;sheet=U0&amp;row=7459&amp;col=7&amp;number=0.00135&amp;sourceID=14","0.00135")</f>
        <v>0.00135</v>
      </c>
    </row>
    <row r="7460" spans="1:7">
      <c r="A7460" s="3"/>
      <c r="B7460" s="3"/>
      <c r="C7460" s="3"/>
      <c r="D7460" s="3"/>
      <c r="E7460" s="3">
        <v>17</v>
      </c>
      <c r="F7460" s="4" t="str">
        <f>HYPERLINK("http://141.218.60.56/~jnz1568/getInfo.php?workbook=12_05.xlsx&amp;sheet=U0&amp;row=7460&amp;col=6&amp;number=4.6&amp;sourceID=14","4.6")</f>
        <v>4.6</v>
      </c>
      <c r="G7460" s="4" t="str">
        <f>HYPERLINK("http://141.218.60.56/~jnz1568/getInfo.php?workbook=12_05.xlsx&amp;sheet=U0&amp;row=7460&amp;col=7&amp;number=0.00134&amp;sourceID=14","0.00134")</f>
        <v>0.00134</v>
      </c>
    </row>
    <row r="7461" spans="1:7">
      <c r="A7461" s="3"/>
      <c r="B7461" s="3"/>
      <c r="C7461" s="3"/>
      <c r="D7461" s="3"/>
      <c r="E7461" s="3">
        <v>18</v>
      </c>
      <c r="F7461" s="4" t="str">
        <f>HYPERLINK("http://141.218.60.56/~jnz1568/getInfo.php?workbook=12_05.xlsx&amp;sheet=U0&amp;row=7461&amp;col=6&amp;number=4.7&amp;sourceID=14","4.7")</f>
        <v>4.7</v>
      </c>
      <c r="G7461" s="4" t="str">
        <f>HYPERLINK("http://141.218.60.56/~jnz1568/getInfo.php?workbook=12_05.xlsx&amp;sheet=U0&amp;row=7461&amp;col=7&amp;number=0.00133&amp;sourceID=14","0.00133")</f>
        <v>0.00133</v>
      </c>
    </row>
    <row r="7462" spans="1:7">
      <c r="A7462" s="3"/>
      <c r="B7462" s="3"/>
      <c r="C7462" s="3"/>
      <c r="D7462" s="3"/>
      <c r="E7462" s="3">
        <v>19</v>
      </c>
      <c r="F7462" s="4" t="str">
        <f>HYPERLINK("http://141.218.60.56/~jnz1568/getInfo.php?workbook=12_05.xlsx&amp;sheet=U0&amp;row=7462&amp;col=6&amp;number=4.8&amp;sourceID=14","4.8")</f>
        <v>4.8</v>
      </c>
      <c r="G7462" s="4" t="str">
        <f>HYPERLINK("http://141.218.60.56/~jnz1568/getInfo.php?workbook=12_05.xlsx&amp;sheet=U0&amp;row=7462&amp;col=7&amp;number=0.00131&amp;sourceID=14","0.00131")</f>
        <v>0.00131</v>
      </c>
    </row>
    <row r="7463" spans="1:7">
      <c r="A7463" s="3"/>
      <c r="B7463" s="3"/>
      <c r="C7463" s="3"/>
      <c r="D7463" s="3"/>
      <c r="E7463" s="3">
        <v>20</v>
      </c>
      <c r="F7463" s="4" t="str">
        <f>HYPERLINK("http://141.218.60.56/~jnz1568/getInfo.php?workbook=12_05.xlsx&amp;sheet=U0&amp;row=7463&amp;col=6&amp;number=4.9&amp;sourceID=14","4.9")</f>
        <v>4.9</v>
      </c>
      <c r="G7463" s="4" t="str">
        <f>HYPERLINK("http://141.218.60.56/~jnz1568/getInfo.php?workbook=12_05.xlsx&amp;sheet=U0&amp;row=7463&amp;col=7&amp;number=0.00129&amp;sourceID=14","0.00129")</f>
        <v>0.00129</v>
      </c>
    </row>
    <row r="7464" spans="1:7">
      <c r="A7464" s="3">
        <v>12</v>
      </c>
      <c r="B7464" s="3">
        <v>5</v>
      </c>
      <c r="C7464" s="3">
        <v>3</v>
      </c>
      <c r="D7464" s="3">
        <v>27</v>
      </c>
      <c r="E7464" s="3">
        <v>1</v>
      </c>
      <c r="F7464" s="4" t="str">
        <f>HYPERLINK("http://141.218.60.56/~jnz1568/getInfo.php?workbook=12_05.xlsx&amp;sheet=U0&amp;row=7464&amp;col=6&amp;number=3&amp;sourceID=14","3")</f>
        <v>3</v>
      </c>
      <c r="G7464" s="4" t="str">
        <f>HYPERLINK("http://141.218.60.56/~jnz1568/getInfo.php?workbook=12_05.xlsx&amp;sheet=U0&amp;row=7464&amp;col=7&amp;number=0.000112&amp;sourceID=14","0.000112")</f>
        <v>0.000112</v>
      </c>
    </row>
    <row r="7465" spans="1:7">
      <c r="A7465" s="3"/>
      <c r="B7465" s="3"/>
      <c r="C7465" s="3"/>
      <c r="D7465" s="3"/>
      <c r="E7465" s="3">
        <v>2</v>
      </c>
      <c r="F7465" s="4" t="str">
        <f>HYPERLINK("http://141.218.60.56/~jnz1568/getInfo.php?workbook=12_05.xlsx&amp;sheet=U0&amp;row=7465&amp;col=6&amp;number=3.1&amp;sourceID=14","3.1")</f>
        <v>3.1</v>
      </c>
      <c r="G7465" s="4" t="str">
        <f>HYPERLINK("http://141.218.60.56/~jnz1568/getInfo.php?workbook=12_05.xlsx&amp;sheet=U0&amp;row=7465&amp;col=7&amp;number=0.000112&amp;sourceID=14","0.000112")</f>
        <v>0.000112</v>
      </c>
    </row>
    <row r="7466" spans="1:7">
      <c r="A7466" s="3"/>
      <c r="B7466" s="3"/>
      <c r="C7466" s="3"/>
      <c r="D7466" s="3"/>
      <c r="E7466" s="3">
        <v>3</v>
      </c>
      <c r="F7466" s="4" t="str">
        <f>HYPERLINK("http://141.218.60.56/~jnz1568/getInfo.php?workbook=12_05.xlsx&amp;sheet=U0&amp;row=7466&amp;col=6&amp;number=3.2&amp;sourceID=14","3.2")</f>
        <v>3.2</v>
      </c>
      <c r="G7466" s="4" t="str">
        <f>HYPERLINK("http://141.218.60.56/~jnz1568/getInfo.php?workbook=12_05.xlsx&amp;sheet=U0&amp;row=7466&amp;col=7&amp;number=0.000112&amp;sourceID=14","0.000112")</f>
        <v>0.000112</v>
      </c>
    </row>
    <row r="7467" spans="1:7">
      <c r="A7467" s="3"/>
      <c r="B7467" s="3"/>
      <c r="C7467" s="3"/>
      <c r="D7467" s="3"/>
      <c r="E7467" s="3">
        <v>4</v>
      </c>
      <c r="F7467" s="4" t="str">
        <f>HYPERLINK("http://141.218.60.56/~jnz1568/getInfo.php?workbook=12_05.xlsx&amp;sheet=U0&amp;row=7467&amp;col=6&amp;number=3.3&amp;sourceID=14","3.3")</f>
        <v>3.3</v>
      </c>
      <c r="G7467" s="4" t="str">
        <f>HYPERLINK("http://141.218.60.56/~jnz1568/getInfo.php?workbook=12_05.xlsx&amp;sheet=U0&amp;row=7467&amp;col=7&amp;number=0.000112&amp;sourceID=14","0.000112")</f>
        <v>0.000112</v>
      </c>
    </row>
    <row r="7468" spans="1:7">
      <c r="A7468" s="3"/>
      <c r="B7468" s="3"/>
      <c r="C7468" s="3"/>
      <c r="D7468" s="3"/>
      <c r="E7468" s="3">
        <v>5</v>
      </c>
      <c r="F7468" s="4" t="str">
        <f>HYPERLINK("http://141.218.60.56/~jnz1568/getInfo.php?workbook=12_05.xlsx&amp;sheet=U0&amp;row=7468&amp;col=6&amp;number=3.4&amp;sourceID=14","3.4")</f>
        <v>3.4</v>
      </c>
      <c r="G7468" s="4" t="str">
        <f>HYPERLINK("http://141.218.60.56/~jnz1568/getInfo.php?workbook=12_05.xlsx&amp;sheet=U0&amp;row=7468&amp;col=7&amp;number=0.000112&amp;sourceID=14","0.000112")</f>
        <v>0.000112</v>
      </c>
    </row>
    <row r="7469" spans="1:7">
      <c r="A7469" s="3"/>
      <c r="B7469" s="3"/>
      <c r="C7469" s="3"/>
      <c r="D7469" s="3"/>
      <c r="E7469" s="3">
        <v>6</v>
      </c>
      <c r="F7469" s="4" t="str">
        <f>HYPERLINK("http://141.218.60.56/~jnz1568/getInfo.php?workbook=12_05.xlsx&amp;sheet=U0&amp;row=7469&amp;col=6&amp;number=3.5&amp;sourceID=14","3.5")</f>
        <v>3.5</v>
      </c>
      <c r="G7469" s="4" t="str">
        <f>HYPERLINK("http://141.218.60.56/~jnz1568/getInfo.php?workbook=12_05.xlsx&amp;sheet=U0&amp;row=7469&amp;col=7&amp;number=0.000112&amp;sourceID=14","0.000112")</f>
        <v>0.000112</v>
      </c>
    </row>
    <row r="7470" spans="1:7">
      <c r="A7470" s="3"/>
      <c r="B7470" s="3"/>
      <c r="C7470" s="3"/>
      <c r="D7470" s="3"/>
      <c r="E7470" s="3">
        <v>7</v>
      </c>
      <c r="F7470" s="4" t="str">
        <f>HYPERLINK("http://141.218.60.56/~jnz1568/getInfo.php?workbook=12_05.xlsx&amp;sheet=U0&amp;row=7470&amp;col=6&amp;number=3.6&amp;sourceID=14","3.6")</f>
        <v>3.6</v>
      </c>
      <c r="G7470" s="4" t="str">
        <f>HYPERLINK("http://141.218.60.56/~jnz1568/getInfo.php?workbook=12_05.xlsx&amp;sheet=U0&amp;row=7470&amp;col=7&amp;number=0.000112&amp;sourceID=14","0.000112")</f>
        <v>0.000112</v>
      </c>
    </row>
    <row r="7471" spans="1:7">
      <c r="A7471" s="3"/>
      <c r="B7471" s="3"/>
      <c r="C7471" s="3"/>
      <c r="D7471" s="3"/>
      <c r="E7471" s="3">
        <v>8</v>
      </c>
      <c r="F7471" s="4" t="str">
        <f>HYPERLINK("http://141.218.60.56/~jnz1568/getInfo.php?workbook=12_05.xlsx&amp;sheet=U0&amp;row=7471&amp;col=6&amp;number=3.7&amp;sourceID=14","3.7")</f>
        <v>3.7</v>
      </c>
      <c r="G7471" s="4" t="str">
        <f>HYPERLINK("http://141.218.60.56/~jnz1568/getInfo.php?workbook=12_05.xlsx&amp;sheet=U0&amp;row=7471&amp;col=7&amp;number=0.000112&amp;sourceID=14","0.000112")</f>
        <v>0.000112</v>
      </c>
    </row>
    <row r="7472" spans="1:7">
      <c r="A7472" s="3"/>
      <c r="B7472" s="3"/>
      <c r="C7472" s="3"/>
      <c r="D7472" s="3"/>
      <c r="E7472" s="3">
        <v>9</v>
      </c>
      <c r="F7472" s="4" t="str">
        <f>HYPERLINK("http://141.218.60.56/~jnz1568/getInfo.php?workbook=12_05.xlsx&amp;sheet=U0&amp;row=7472&amp;col=6&amp;number=3.8&amp;sourceID=14","3.8")</f>
        <v>3.8</v>
      </c>
      <c r="G7472" s="4" t="str">
        <f>HYPERLINK("http://141.218.60.56/~jnz1568/getInfo.php?workbook=12_05.xlsx&amp;sheet=U0&amp;row=7472&amp;col=7&amp;number=0.000112&amp;sourceID=14","0.000112")</f>
        <v>0.000112</v>
      </c>
    </row>
    <row r="7473" spans="1:7">
      <c r="A7473" s="3"/>
      <c r="B7473" s="3"/>
      <c r="C7473" s="3"/>
      <c r="D7473" s="3"/>
      <c r="E7473" s="3">
        <v>10</v>
      </c>
      <c r="F7473" s="4" t="str">
        <f>HYPERLINK("http://141.218.60.56/~jnz1568/getInfo.php?workbook=12_05.xlsx&amp;sheet=U0&amp;row=7473&amp;col=6&amp;number=3.9&amp;sourceID=14","3.9")</f>
        <v>3.9</v>
      </c>
      <c r="G7473" s="4" t="str">
        <f>HYPERLINK("http://141.218.60.56/~jnz1568/getInfo.php?workbook=12_05.xlsx&amp;sheet=U0&amp;row=7473&amp;col=7&amp;number=0.000112&amp;sourceID=14","0.000112")</f>
        <v>0.000112</v>
      </c>
    </row>
    <row r="7474" spans="1:7">
      <c r="A7474" s="3"/>
      <c r="B7474" s="3"/>
      <c r="C7474" s="3"/>
      <c r="D7474" s="3"/>
      <c r="E7474" s="3">
        <v>11</v>
      </c>
      <c r="F7474" s="4" t="str">
        <f>HYPERLINK("http://141.218.60.56/~jnz1568/getInfo.php?workbook=12_05.xlsx&amp;sheet=U0&amp;row=7474&amp;col=6&amp;number=4&amp;sourceID=14","4")</f>
        <v>4</v>
      </c>
      <c r="G7474" s="4" t="str">
        <f>HYPERLINK("http://141.218.60.56/~jnz1568/getInfo.php?workbook=12_05.xlsx&amp;sheet=U0&amp;row=7474&amp;col=7&amp;number=0.000112&amp;sourceID=14","0.000112")</f>
        <v>0.000112</v>
      </c>
    </row>
    <row r="7475" spans="1:7">
      <c r="A7475" s="3"/>
      <c r="B7475" s="3"/>
      <c r="C7475" s="3"/>
      <c r="D7475" s="3"/>
      <c r="E7475" s="3">
        <v>12</v>
      </c>
      <c r="F7475" s="4" t="str">
        <f>HYPERLINK("http://141.218.60.56/~jnz1568/getInfo.php?workbook=12_05.xlsx&amp;sheet=U0&amp;row=7475&amp;col=6&amp;number=4.1&amp;sourceID=14","4.1")</f>
        <v>4.1</v>
      </c>
      <c r="G7475" s="4" t="str">
        <f>HYPERLINK("http://141.218.60.56/~jnz1568/getInfo.php?workbook=12_05.xlsx&amp;sheet=U0&amp;row=7475&amp;col=7&amp;number=0.000111&amp;sourceID=14","0.000111")</f>
        <v>0.000111</v>
      </c>
    </row>
    <row r="7476" spans="1:7">
      <c r="A7476" s="3"/>
      <c r="B7476" s="3"/>
      <c r="C7476" s="3"/>
      <c r="D7476" s="3"/>
      <c r="E7476" s="3">
        <v>13</v>
      </c>
      <c r="F7476" s="4" t="str">
        <f>HYPERLINK("http://141.218.60.56/~jnz1568/getInfo.php?workbook=12_05.xlsx&amp;sheet=U0&amp;row=7476&amp;col=6&amp;number=4.2&amp;sourceID=14","4.2")</f>
        <v>4.2</v>
      </c>
      <c r="G7476" s="4" t="str">
        <f>HYPERLINK("http://141.218.60.56/~jnz1568/getInfo.php?workbook=12_05.xlsx&amp;sheet=U0&amp;row=7476&amp;col=7&amp;number=0.000111&amp;sourceID=14","0.000111")</f>
        <v>0.000111</v>
      </c>
    </row>
    <row r="7477" spans="1:7">
      <c r="A7477" s="3"/>
      <c r="B7477" s="3"/>
      <c r="C7477" s="3"/>
      <c r="D7477" s="3"/>
      <c r="E7477" s="3">
        <v>14</v>
      </c>
      <c r="F7477" s="4" t="str">
        <f>HYPERLINK("http://141.218.60.56/~jnz1568/getInfo.php?workbook=12_05.xlsx&amp;sheet=U0&amp;row=7477&amp;col=6&amp;number=4.3&amp;sourceID=14","4.3")</f>
        <v>4.3</v>
      </c>
      <c r="G7477" s="4" t="str">
        <f>HYPERLINK("http://141.218.60.56/~jnz1568/getInfo.php?workbook=12_05.xlsx&amp;sheet=U0&amp;row=7477&amp;col=7&amp;number=0.000111&amp;sourceID=14","0.000111")</f>
        <v>0.000111</v>
      </c>
    </row>
    <row r="7478" spans="1:7">
      <c r="A7478" s="3"/>
      <c r="B7478" s="3"/>
      <c r="C7478" s="3"/>
      <c r="D7478" s="3"/>
      <c r="E7478" s="3">
        <v>15</v>
      </c>
      <c r="F7478" s="4" t="str">
        <f>HYPERLINK("http://141.218.60.56/~jnz1568/getInfo.php?workbook=12_05.xlsx&amp;sheet=U0&amp;row=7478&amp;col=6&amp;number=4.4&amp;sourceID=14","4.4")</f>
        <v>4.4</v>
      </c>
      <c r="G7478" s="4" t="str">
        <f>HYPERLINK("http://141.218.60.56/~jnz1568/getInfo.php?workbook=12_05.xlsx&amp;sheet=U0&amp;row=7478&amp;col=7&amp;number=0.00011&amp;sourceID=14","0.00011")</f>
        <v>0.00011</v>
      </c>
    </row>
    <row r="7479" spans="1:7">
      <c r="A7479" s="3"/>
      <c r="B7479" s="3"/>
      <c r="C7479" s="3"/>
      <c r="D7479" s="3"/>
      <c r="E7479" s="3">
        <v>16</v>
      </c>
      <c r="F7479" s="4" t="str">
        <f>HYPERLINK("http://141.218.60.56/~jnz1568/getInfo.php?workbook=12_05.xlsx&amp;sheet=U0&amp;row=7479&amp;col=6&amp;number=4.5&amp;sourceID=14","4.5")</f>
        <v>4.5</v>
      </c>
      <c r="G7479" s="4" t="str">
        <f>HYPERLINK("http://141.218.60.56/~jnz1568/getInfo.php?workbook=12_05.xlsx&amp;sheet=U0&amp;row=7479&amp;col=7&amp;number=0.00011&amp;sourceID=14","0.00011")</f>
        <v>0.00011</v>
      </c>
    </row>
    <row r="7480" spans="1:7">
      <c r="A7480" s="3"/>
      <c r="B7480" s="3"/>
      <c r="C7480" s="3"/>
      <c r="D7480" s="3"/>
      <c r="E7480" s="3">
        <v>17</v>
      </c>
      <c r="F7480" s="4" t="str">
        <f>HYPERLINK("http://141.218.60.56/~jnz1568/getInfo.php?workbook=12_05.xlsx&amp;sheet=U0&amp;row=7480&amp;col=6&amp;number=4.6&amp;sourceID=14","4.6")</f>
        <v>4.6</v>
      </c>
      <c r="G7480" s="4" t="str">
        <f>HYPERLINK("http://141.218.60.56/~jnz1568/getInfo.php?workbook=12_05.xlsx&amp;sheet=U0&amp;row=7480&amp;col=7&amp;number=0.000109&amp;sourceID=14","0.000109")</f>
        <v>0.000109</v>
      </c>
    </row>
    <row r="7481" spans="1:7">
      <c r="A7481" s="3"/>
      <c r="B7481" s="3"/>
      <c r="C7481" s="3"/>
      <c r="D7481" s="3"/>
      <c r="E7481" s="3">
        <v>18</v>
      </c>
      <c r="F7481" s="4" t="str">
        <f>HYPERLINK("http://141.218.60.56/~jnz1568/getInfo.php?workbook=12_05.xlsx&amp;sheet=U0&amp;row=7481&amp;col=6&amp;number=4.7&amp;sourceID=14","4.7")</f>
        <v>4.7</v>
      </c>
      <c r="G7481" s="4" t="str">
        <f>HYPERLINK("http://141.218.60.56/~jnz1568/getInfo.php?workbook=12_05.xlsx&amp;sheet=U0&amp;row=7481&amp;col=7&amp;number=0.000108&amp;sourceID=14","0.000108")</f>
        <v>0.000108</v>
      </c>
    </row>
    <row r="7482" spans="1:7">
      <c r="A7482" s="3"/>
      <c r="B7482" s="3"/>
      <c r="C7482" s="3"/>
      <c r="D7482" s="3"/>
      <c r="E7482" s="3">
        <v>19</v>
      </c>
      <c r="F7482" s="4" t="str">
        <f>HYPERLINK("http://141.218.60.56/~jnz1568/getInfo.php?workbook=12_05.xlsx&amp;sheet=U0&amp;row=7482&amp;col=6&amp;number=4.8&amp;sourceID=14","4.8")</f>
        <v>4.8</v>
      </c>
      <c r="G7482" s="4" t="str">
        <f>HYPERLINK("http://141.218.60.56/~jnz1568/getInfo.php?workbook=12_05.xlsx&amp;sheet=U0&amp;row=7482&amp;col=7&amp;number=0.000107&amp;sourceID=14","0.000107")</f>
        <v>0.000107</v>
      </c>
    </row>
    <row r="7483" spans="1:7">
      <c r="A7483" s="3"/>
      <c r="B7483" s="3"/>
      <c r="C7483" s="3"/>
      <c r="D7483" s="3"/>
      <c r="E7483" s="3">
        <v>20</v>
      </c>
      <c r="F7483" s="4" t="str">
        <f>HYPERLINK("http://141.218.60.56/~jnz1568/getInfo.php?workbook=12_05.xlsx&amp;sheet=U0&amp;row=7483&amp;col=6&amp;number=4.9&amp;sourceID=14","4.9")</f>
        <v>4.9</v>
      </c>
      <c r="G7483" s="4" t="str">
        <f>HYPERLINK("http://141.218.60.56/~jnz1568/getInfo.php?workbook=12_05.xlsx&amp;sheet=U0&amp;row=7483&amp;col=7&amp;number=0.000106&amp;sourceID=14","0.000106")</f>
        <v>0.000106</v>
      </c>
    </row>
    <row r="7484" spans="1:7">
      <c r="A7484" s="3">
        <v>12</v>
      </c>
      <c r="B7484" s="3">
        <v>5</v>
      </c>
      <c r="C7484" s="3">
        <v>3</v>
      </c>
      <c r="D7484" s="3">
        <v>32</v>
      </c>
      <c r="E7484" s="3">
        <v>1</v>
      </c>
      <c r="F7484" s="4" t="str">
        <f>HYPERLINK("http://141.218.60.56/~jnz1568/getInfo.php?workbook=12_05.xlsx&amp;sheet=U0&amp;row=7484&amp;col=6&amp;number=3&amp;sourceID=14","3")</f>
        <v>3</v>
      </c>
      <c r="G7484" s="4" t="str">
        <f>HYPERLINK("http://141.218.60.56/~jnz1568/getInfo.php?workbook=12_05.xlsx&amp;sheet=U0&amp;row=7484&amp;col=7&amp;number=0.0101&amp;sourceID=14","0.0101")</f>
        <v>0.0101</v>
      </c>
    </row>
    <row r="7485" spans="1:7">
      <c r="A7485" s="3"/>
      <c r="B7485" s="3"/>
      <c r="C7485" s="3"/>
      <c r="D7485" s="3"/>
      <c r="E7485" s="3">
        <v>2</v>
      </c>
      <c r="F7485" s="4" t="str">
        <f>HYPERLINK("http://141.218.60.56/~jnz1568/getInfo.php?workbook=12_05.xlsx&amp;sheet=U0&amp;row=7485&amp;col=6&amp;number=3.1&amp;sourceID=14","3.1")</f>
        <v>3.1</v>
      </c>
      <c r="G7485" s="4" t="str">
        <f>HYPERLINK("http://141.218.60.56/~jnz1568/getInfo.php?workbook=12_05.xlsx&amp;sheet=U0&amp;row=7485&amp;col=7&amp;number=0.0101&amp;sourceID=14","0.0101")</f>
        <v>0.0101</v>
      </c>
    </row>
    <row r="7486" spans="1:7">
      <c r="A7486" s="3"/>
      <c r="B7486" s="3"/>
      <c r="C7486" s="3"/>
      <c r="D7486" s="3"/>
      <c r="E7486" s="3">
        <v>3</v>
      </c>
      <c r="F7486" s="4" t="str">
        <f>HYPERLINK("http://141.218.60.56/~jnz1568/getInfo.php?workbook=12_05.xlsx&amp;sheet=U0&amp;row=7486&amp;col=6&amp;number=3.2&amp;sourceID=14","3.2")</f>
        <v>3.2</v>
      </c>
      <c r="G7486" s="4" t="str">
        <f>HYPERLINK("http://141.218.60.56/~jnz1568/getInfo.php?workbook=12_05.xlsx&amp;sheet=U0&amp;row=7486&amp;col=7&amp;number=0.0101&amp;sourceID=14","0.0101")</f>
        <v>0.0101</v>
      </c>
    </row>
    <row r="7487" spans="1:7">
      <c r="A7487" s="3"/>
      <c r="B7487" s="3"/>
      <c r="C7487" s="3"/>
      <c r="D7487" s="3"/>
      <c r="E7487" s="3">
        <v>4</v>
      </c>
      <c r="F7487" s="4" t="str">
        <f>HYPERLINK("http://141.218.60.56/~jnz1568/getInfo.php?workbook=12_05.xlsx&amp;sheet=U0&amp;row=7487&amp;col=6&amp;number=3.3&amp;sourceID=14","3.3")</f>
        <v>3.3</v>
      </c>
      <c r="G7487" s="4" t="str">
        <f>HYPERLINK("http://141.218.60.56/~jnz1568/getInfo.php?workbook=12_05.xlsx&amp;sheet=U0&amp;row=7487&amp;col=7&amp;number=0.0101&amp;sourceID=14","0.0101")</f>
        <v>0.0101</v>
      </c>
    </row>
    <row r="7488" spans="1:7">
      <c r="A7488" s="3"/>
      <c r="B7488" s="3"/>
      <c r="C7488" s="3"/>
      <c r="D7488" s="3"/>
      <c r="E7488" s="3">
        <v>5</v>
      </c>
      <c r="F7488" s="4" t="str">
        <f>HYPERLINK("http://141.218.60.56/~jnz1568/getInfo.php?workbook=12_05.xlsx&amp;sheet=U0&amp;row=7488&amp;col=6&amp;number=3.4&amp;sourceID=14","3.4")</f>
        <v>3.4</v>
      </c>
      <c r="G7488" s="4" t="str">
        <f>HYPERLINK("http://141.218.60.56/~jnz1568/getInfo.php?workbook=12_05.xlsx&amp;sheet=U0&amp;row=7488&amp;col=7&amp;number=0.0101&amp;sourceID=14","0.0101")</f>
        <v>0.0101</v>
      </c>
    </row>
    <row r="7489" spans="1:7">
      <c r="A7489" s="3"/>
      <c r="B7489" s="3"/>
      <c r="C7489" s="3"/>
      <c r="D7489" s="3"/>
      <c r="E7489" s="3">
        <v>6</v>
      </c>
      <c r="F7489" s="4" t="str">
        <f>HYPERLINK("http://141.218.60.56/~jnz1568/getInfo.php?workbook=12_05.xlsx&amp;sheet=U0&amp;row=7489&amp;col=6&amp;number=3.5&amp;sourceID=14","3.5")</f>
        <v>3.5</v>
      </c>
      <c r="G7489" s="4" t="str">
        <f>HYPERLINK("http://141.218.60.56/~jnz1568/getInfo.php?workbook=12_05.xlsx&amp;sheet=U0&amp;row=7489&amp;col=7&amp;number=0.0101&amp;sourceID=14","0.0101")</f>
        <v>0.0101</v>
      </c>
    </row>
    <row r="7490" spans="1:7">
      <c r="A7490" s="3"/>
      <c r="B7490" s="3"/>
      <c r="C7490" s="3"/>
      <c r="D7490" s="3"/>
      <c r="E7490" s="3">
        <v>7</v>
      </c>
      <c r="F7490" s="4" t="str">
        <f>HYPERLINK("http://141.218.60.56/~jnz1568/getInfo.php?workbook=12_05.xlsx&amp;sheet=U0&amp;row=7490&amp;col=6&amp;number=3.6&amp;sourceID=14","3.6")</f>
        <v>3.6</v>
      </c>
      <c r="G7490" s="4" t="str">
        <f>HYPERLINK("http://141.218.60.56/~jnz1568/getInfo.php?workbook=12_05.xlsx&amp;sheet=U0&amp;row=7490&amp;col=7&amp;number=0.0101&amp;sourceID=14","0.0101")</f>
        <v>0.0101</v>
      </c>
    </row>
    <row r="7491" spans="1:7">
      <c r="A7491" s="3"/>
      <c r="B7491" s="3"/>
      <c r="C7491" s="3"/>
      <c r="D7491" s="3"/>
      <c r="E7491" s="3">
        <v>8</v>
      </c>
      <c r="F7491" s="4" t="str">
        <f>HYPERLINK("http://141.218.60.56/~jnz1568/getInfo.php?workbook=12_05.xlsx&amp;sheet=U0&amp;row=7491&amp;col=6&amp;number=3.7&amp;sourceID=14","3.7")</f>
        <v>3.7</v>
      </c>
      <c r="G7491" s="4" t="str">
        <f>HYPERLINK("http://141.218.60.56/~jnz1568/getInfo.php?workbook=12_05.xlsx&amp;sheet=U0&amp;row=7491&amp;col=7&amp;number=0.0101&amp;sourceID=14","0.0101")</f>
        <v>0.0101</v>
      </c>
    </row>
    <row r="7492" spans="1:7">
      <c r="A7492" s="3"/>
      <c r="B7492" s="3"/>
      <c r="C7492" s="3"/>
      <c r="D7492" s="3"/>
      <c r="E7492" s="3">
        <v>9</v>
      </c>
      <c r="F7492" s="4" t="str">
        <f>HYPERLINK("http://141.218.60.56/~jnz1568/getInfo.php?workbook=12_05.xlsx&amp;sheet=U0&amp;row=7492&amp;col=6&amp;number=3.8&amp;sourceID=14","3.8")</f>
        <v>3.8</v>
      </c>
      <c r="G7492" s="4" t="str">
        <f>HYPERLINK("http://141.218.60.56/~jnz1568/getInfo.php?workbook=12_05.xlsx&amp;sheet=U0&amp;row=7492&amp;col=7&amp;number=0.0101&amp;sourceID=14","0.0101")</f>
        <v>0.0101</v>
      </c>
    </row>
    <row r="7493" spans="1:7">
      <c r="A7493" s="3"/>
      <c r="B7493" s="3"/>
      <c r="C7493" s="3"/>
      <c r="D7493" s="3"/>
      <c r="E7493" s="3">
        <v>10</v>
      </c>
      <c r="F7493" s="4" t="str">
        <f>HYPERLINK("http://141.218.60.56/~jnz1568/getInfo.php?workbook=12_05.xlsx&amp;sheet=U0&amp;row=7493&amp;col=6&amp;number=3.9&amp;sourceID=14","3.9")</f>
        <v>3.9</v>
      </c>
      <c r="G7493" s="4" t="str">
        <f>HYPERLINK("http://141.218.60.56/~jnz1568/getInfo.php?workbook=12_05.xlsx&amp;sheet=U0&amp;row=7493&amp;col=7&amp;number=0.0101&amp;sourceID=14","0.0101")</f>
        <v>0.0101</v>
      </c>
    </row>
    <row r="7494" spans="1:7">
      <c r="A7494" s="3"/>
      <c r="B7494" s="3"/>
      <c r="C7494" s="3"/>
      <c r="D7494" s="3"/>
      <c r="E7494" s="3">
        <v>11</v>
      </c>
      <c r="F7494" s="4" t="str">
        <f>HYPERLINK("http://141.218.60.56/~jnz1568/getInfo.php?workbook=12_05.xlsx&amp;sheet=U0&amp;row=7494&amp;col=6&amp;number=4&amp;sourceID=14","4")</f>
        <v>4</v>
      </c>
      <c r="G7494" s="4" t="str">
        <f>HYPERLINK("http://141.218.60.56/~jnz1568/getInfo.php?workbook=12_05.xlsx&amp;sheet=U0&amp;row=7494&amp;col=7&amp;number=0.01&amp;sourceID=14","0.01")</f>
        <v>0.01</v>
      </c>
    </row>
    <row r="7495" spans="1:7">
      <c r="A7495" s="3"/>
      <c r="B7495" s="3"/>
      <c r="C7495" s="3"/>
      <c r="D7495" s="3"/>
      <c r="E7495" s="3">
        <v>12</v>
      </c>
      <c r="F7495" s="4" t="str">
        <f>HYPERLINK("http://141.218.60.56/~jnz1568/getInfo.php?workbook=12_05.xlsx&amp;sheet=U0&amp;row=7495&amp;col=6&amp;number=4.1&amp;sourceID=14","4.1")</f>
        <v>4.1</v>
      </c>
      <c r="G7495" s="4" t="str">
        <f>HYPERLINK("http://141.218.60.56/~jnz1568/getInfo.php?workbook=12_05.xlsx&amp;sheet=U0&amp;row=7495&amp;col=7&amp;number=0.01&amp;sourceID=14","0.01")</f>
        <v>0.01</v>
      </c>
    </row>
    <row r="7496" spans="1:7">
      <c r="A7496" s="3"/>
      <c r="B7496" s="3"/>
      <c r="C7496" s="3"/>
      <c r="D7496" s="3"/>
      <c r="E7496" s="3">
        <v>13</v>
      </c>
      <c r="F7496" s="4" t="str">
        <f>HYPERLINK("http://141.218.60.56/~jnz1568/getInfo.php?workbook=12_05.xlsx&amp;sheet=U0&amp;row=7496&amp;col=6&amp;number=4.2&amp;sourceID=14","4.2")</f>
        <v>4.2</v>
      </c>
      <c r="G7496" s="4" t="str">
        <f>HYPERLINK("http://141.218.60.56/~jnz1568/getInfo.php?workbook=12_05.xlsx&amp;sheet=U0&amp;row=7496&amp;col=7&amp;number=0.00999&amp;sourceID=14","0.00999")</f>
        <v>0.00999</v>
      </c>
    </row>
    <row r="7497" spans="1:7">
      <c r="A7497" s="3"/>
      <c r="B7497" s="3"/>
      <c r="C7497" s="3"/>
      <c r="D7497" s="3"/>
      <c r="E7497" s="3">
        <v>14</v>
      </c>
      <c r="F7497" s="4" t="str">
        <f>HYPERLINK("http://141.218.60.56/~jnz1568/getInfo.php?workbook=12_05.xlsx&amp;sheet=U0&amp;row=7497&amp;col=6&amp;number=4.3&amp;sourceID=14","4.3")</f>
        <v>4.3</v>
      </c>
      <c r="G7497" s="4" t="str">
        <f>HYPERLINK("http://141.218.60.56/~jnz1568/getInfo.php?workbook=12_05.xlsx&amp;sheet=U0&amp;row=7497&amp;col=7&amp;number=0.00996&amp;sourceID=14","0.00996")</f>
        <v>0.00996</v>
      </c>
    </row>
    <row r="7498" spans="1:7">
      <c r="A7498" s="3"/>
      <c r="B7498" s="3"/>
      <c r="C7498" s="3"/>
      <c r="D7498" s="3"/>
      <c r="E7498" s="3">
        <v>15</v>
      </c>
      <c r="F7498" s="4" t="str">
        <f>HYPERLINK("http://141.218.60.56/~jnz1568/getInfo.php?workbook=12_05.xlsx&amp;sheet=U0&amp;row=7498&amp;col=6&amp;number=4.4&amp;sourceID=14","4.4")</f>
        <v>4.4</v>
      </c>
      <c r="G7498" s="4" t="str">
        <f>HYPERLINK("http://141.218.60.56/~jnz1568/getInfo.php?workbook=12_05.xlsx&amp;sheet=U0&amp;row=7498&amp;col=7&amp;number=0.00992&amp;sourceID=14","0.00992")</f>
        <v>0.00992</v>
      </c>
    </row>
    <row r="7499" spans="1:7">
      <c r="A7499" s="3"/>
      <c r="B7499" s="3"/>
      <c r="C7499" s="3"/>
      <c r="D7499" s="3"/>
      <c r="E7499" s="3">
        <v>16</v>
      </c>
      <c r="F7499" s="4" t="str">
        <f>HYPERLINK("http://141.218.60.56/~jnz1568/getInfo.php?workbook=12_05.xlsx&amp;sheet=U0&amp;row=7499&amp;col=6&amp;number=4.5&amp;sourceID=14","4.5")</f>
        <v>4.5</v>
      </c>
      <c r="G7499" s="4" t="str">
        <f>HYPERLINK("http://141.218.60.56/~jnz1568/getInfo.php?workbook=12_05.xlsx&amp;sheet=U0&amp;row=7499&amp;col=7&amp;number=0.00987&amp;sourceID=14","0.00987")</f>
        <v>0.00987</v>
      </c>
    </row>
    <row r="7500" spans="1:7">
      <c r="A7500" s="3"/>
      <c r="B7500" s="3"/>
      <c r="C7500" s="3"/>
      <c r="D7500" s="3"/>
      <c r="E7500" s="3">
        <v>17</v>
      </c>
      <c r="F7500" s="4" t="str">
        <f>HYPERLINK("http://141.218.60.56/~jnz1568/getInfo.php?workbook=12_05.xlsx&amp;sheet=U0&amp;row=7500&amp;col=6&amp;number=4.6&amp;sourceID=14","4.6")</f>
        <v>4.6</v>
      </c>
      <c r="G7500" s="4" t="str">
        <f>HYPERLINK("http://141.218.60.56/~jnz1568/getInfo.php?workbook=12_05.xlsx&amp;sheet=U0&amp;row=7500&amp;col=7&amp;number=0.00981&amp;sourceID=14","0.00981")</f>
        <v>0.00981</v>
      </c>
    </row>
    <row r="7501" spans="1:7">
      <c r="A7501" s="3"/>
      <c r="B7501" s="3"/>
      <c r="C7501" s="3"/>
      <c r="D7501" s="3"/>
      <c r="E7501" s="3">
        <v>18</v>
      </c>
      <c r="F7501" s="4" t="str">
        <f>HYPERLINK("http://141.218.60.56/~jnz1568/getInfo.php?workbook=12_05.xlsx&amp;sheet=U0&amp;row=7501&amp;col=6&amp;number=4.7&amp;sourceID=14","4.7")</f>
        <v>4.7</v>
      </c>
      <c r="G7501" s="4" t="str">
        <f>HYPERLINK("http://141.218.60.56/~jnz1568/getInfo.php?workbook=12_05.xlsx&amp;sheet=U0&amp;row=7501&amp;col=7&amp;number=0.00973&amp;sourceID=14","0.00973")</f>
        <v>0.00973</v>
      </c>
    </row>
    <row r="7502" spans="1:7">
      <c r="A7502" s="3"/>
      <c r="B7502" s="3"/>
      <c r="C7502" s="3"/>
      <c r="D7502" s="3"/>
      <c r="E7502" s="3">
        <v>19</v>
      </c>
      <c r="F7502" s="4" t="str">
        <f>HYPERLINK("http://141.218.60.56/~jnz1568/getInfo.php?workbook=12_05.xlsx&amp;sheet=U0&amp;row=7502&amp;col=6&amp;number=4.8&amp;sourceID=14","4.8")</f>
        <v>4.8</v>
      </c>
      <c r="G7502" s="4" t="str">
        <f>HYPERLINK("http://141.218.60.56/~jnz1568/getInfo.php?workbook=12_05.xlsx&amp;sheet=U0&amp;row=7502&amp;col=7&amp;number=0.00963&amp;sourceID=14","0.00963")</f>
        <v>0.00963</v>
      </c>
    </row>
    <row r="7503" spans="1:7">
      <c r="A7503" s="3"/>
      <c r="B7503" s="3"/>
      <c r="C7503" s="3"/>
      <c r="D7503" s="3"/>
      <c r="E7503" s="3">
        <v>20</v>
      </c>
      <c r="F7503" s="4" t="str">
        <f>HYPERLINK("http://141.218.60.56/~jnz1568/getInfo.php?workbook=12_05.xlsx&amp;sheet=U0&amp;row=7503&amp;col=6&amp;number=4.9&amp;sourceID=14","4.9")</f>
        <v>4.9</v>
      </c>
      <c r="G7503" s="4" t="str">
        <f>HYPERLINK("http://141.218.60.56/~jnz1568/getInfo.php?workbook=12_05.xlsx&amp;sheet=U0&amp;row=7503&amp;col=7&amp;number=0.00951&amp;sourceID=14","0.00951")</f>
        <v>0.00951</v>
      </c>
    </row>
    <row r="7504" spans="1:7">
      <c r="A7504" s="3">
        <v>12</v>
      </c>
      <c r="B7504" s="3">
        <v>5</v>
      </c>
      <c r="C7504" s="3">
        <v>3</v>
      </c>
      <c r="D7504" s="3">
        <v>33</v>
      </c>
      <c r="E7504" s="3">
        <v>1</v>
      </c>
      <c r="F7504" s="4" t="str">
        <f>HYPERLINK("http://141.218.60.56/~jnz1568/getInfo.php?workbook=12_05.xlsx&amp;sheet=U0&amp;row=7504&amp;col=6&amp;number=3&amp;sourceID=14","3")</f>
        <v>3</v>
      </c>
      <c r="G7504" s="4" t="str">
        <f>HYPERLINK("http://141.218.60.56/~jnz1568/getInfo.php?workbook=12_05.xlsx&amp;sheet=U0&amp;row=7504&amp;col=7&amp;number=0.00553&amp;sourceID=14","0.00553")</f>
        <v>0.00553</v>
      </c>
    </row>
    <row r="7505" spans="1:7">
      <c r="A7505" s="3"/>
      <c r="B7505" s="3"/>
      <c r="C7505" s="3"/>
      <c r="D7505" s="3"/>
      <c r="E7505" s="3">
        <v>2</v>
      </c>
      <c r="F7505" s="4" t="str">
        <f>HYPERLINK("http://141.218.60.56/~jnz1568/getInfo.php?workbook=12_05.xlsx&amp;sheet=U0&amp;row=7505&amp;col=6&amp;number=3.1&amp;sourceID=14","3.1")</f>
        <v>3.1</v>
      </c>
      <c r="G7505" s="4" t="str">
        <f>HYPERLINK("http://141.218.60.56/~jnz1568/getInfo.php?workbook=12_05.xlsx&amp;sheet=U0&amp;row=7505&amp;col=7&amp;number=0.00553&amp;sourceID=14","0.00553")</f>
        <v>0.00553</v>
      </c>
    </row>
    <row r="7506" spans="1:7">
      <c r="A7506" s="3"/>
      <c r="B7506" s="3"/>
      <c r="C7506" s="3"/>
      <c r="D7506" s="3"/>
      <c r="E7506" s="3">
        <v>3</v>
      </c>
      <c r="F7506" s="4" t="str">
        <f>HYPERLINK("http://141.218.60.56/~jnz1568/getInfo.php?workbook=12_05.xlsx&amp;sheet=U0&amp;row=7506&amp;col=6&amp;number=3.2&amp;sourceID=14","3.2")</f>
        <v>3.2</v>
      </c>
      <c r="G7506" s="4" t="str">
        <f>HYPERLINK("http://141.218.60.56/~jnz1568/getInfo.php?workbook=12_05.xlsx&amp;sheet=U0&amp;row=7506&amp;col=7&amp;number=0.00553&amp;sourceID=14","0.00553")</f>
        <v>0.00553</v>
      </c>
    </row>
    <row r="7507" spans="1:7">
      <c r="A7507" s="3"/>
      <c r="B7507" s="3"/>
      <c r="C7507" s="3"/>
      <c r="D7507" s="3"/>
      <c r="E7507" s="3">
        <v>4</v>
      </c>
      <c r="F7507" s="4" t="str">
        <f>HYPERLINK("http://141.218.60.56/~jnz1568/getInfo.php?workbook=12_05.xlsx&amp;sheet=U0&amp;row=7507&amp;col=6&amp;number=3.3&amp;sourceID=14","3.3")</f>
        <v>3.3</v>
      </c>
      <c r="G7507" s="4" t="str">
        <f>HYPERLINK("http://141.218.60.56/~jnz1568/getInfo.php?workbook=12_05.xlsx&amp;sheet=U0&amp;row=7507&amp;col=7&amp;number=0.00553&amp;sourceID=14","0.00553")</f>
        <v>0.00553</v>
      </c>
    </row>
    <row r="7508" spans="1:7">
      <c r="A7508" s="3"/>
      <c r="B7508" s="3"/>
      <c r="C7508" s="3"/>
      <c r="D7508" s="3"/>
      <c r="E7508" s="3">
        <v>5</v>
      </c>
      <c r="F7508" s="4" t="str">
        <f>HYPERLINK("http://141.218.60.56/~jnz1568/getInfo.php?workbook=12_05.xlsx&amp;sheet=U0&amp;row=7508&amp;col=6&amp;number=3.4&amp;sourceID=14","3.4")</f>
        <v>3.4</v>
      </c>
      <c r="G7508" s="4" t="str">
        <f>HYPERLINK("http://141.218.60.56/~jnz1568/getInfo.php?workbook=12_05.xlsx&amp;sheet=U0&amp;row=7508&amp;col=7&amp;number=0.00553&amp;sourceID=14","0.00553")</f>
        <v>0.00553</v>
      </c>
    </row>
    <row r="7509" spans="1:7">
      <c r="A7509" s="3"/>
      <c r="B7509" s="3"/>
      <c r="C7509" s="3"/>
      <c r="D7509" s="3"/>
      <c r="E7509" s="3">
        <v>6</v>
      </c>
      <c r="F7509" s="4" t="str">
        <f>HYPERLINK("http://141.218.60.56/~jnz1568/getInfo.php?workbook=12_05.xlsx&amp;sheet=U0&amp;row=7509&amp;col=6&amp;number=3.5&amp;sourceID=14","3.5")</f>
        <v>3.5</v>
      </c>
      <c r="G7509" s="4" t="str">
        <f>HYPERLINK("http://141.218.60.56/~jnz1568/getInfo.php?workbook=12_05.xlsx&amp;sheet=U0&amp;row=7509&amp;col=7&amp;number=0.00553&amp;sourceID=14","0.00553")</f>
        <v>0.00553</v>
      </c>
    </row>
    <row r="7510" spans="1:7">
      <c r="A7510" s="3"/>
      <c r="B7510" s="3"/>
      <c r="C7510" s="3"/>
      <c r="D7510" s="3"/>
      <c r="E7510" s="3">
        <v>7</v>
      </c>
      <c r="F7510" s="4" t="str">
        <f>HYPERLINK("http://141.218.60.56/~jnz1568/getInfo.php?workbook=12_05.xlsx&amp;sheet=U0&amp;row=7510&amp;col=6&amp;number=3.6&amp;sourceID=14","3.6")</f>
        <v>3.6</v>
      </c>
      <c r="G7510" s="4" t="str">
        <f>HYPERLINK("http://141.218.60.56/~jnz1568/getInfo.php?workbook=12_05.xlsx&amp;sheet=U0&amp;row=7510&amp;col=7&amp;number=0.00553&amp;sourceID=14","0.00553")</f>
        <v>0.00553</v>
      </c>
    </row>
    <row r="7511" spans="1:7">
      <c r="A7511" s="3"/>
      <c r="B7511" s="3"/>
      <c r="C7511" s="3"/>
      <c r="D7511" s="3"/>
      <c r="E7511" s="3">
        <v>8</v>
      </c>
      <c r="F7511" s="4" t="str">
        <f>HYPERLINK("http://141.218.60.56/~jnz1568/getInfo.php?workbook=12_05.xlsx&amp;sheet=U0&amp;row=7511&amp;col=6&amp;number=3.7&amp;sourceID=14","3.7")</f>
        <v>3.7</v>
      </c>
      <c r="G7511" s="4" t="str">
        <f>HYPERLINK("http://141.218.60.56/~jnz1568/getInfo.php?workbook=12_05.xlsx&amp;sheet=U0&amp;row=7511&amp;col=7&amp;number=0.00553&amp;sourceID=14","0.00553")</f>
        <v>0.00553</v>
      </c>
    </row>
    <row r="7512" spans="1:7">
      <c r="A7512" s="3"/>
      <c r="B7512" s="3"/>
      <c r="C7512" s="3"/>
      <c r="D7512" s="3"/>
      <c r="E7512" s="3">
        <v>9</v>
      </c>
      <c r="F7512" s="4" t="str">
        <f>HYPERLINK("http://141.218.60.56/~jnz1568/getInfo.php?workbook=12_05.xlsx&amp;sheet=U0&amp;row=7512&amp;col=6&amp;number=3.8&amp;sourceID=14","3.8")</f>
        <v>3.8</v>
      </c>
      <c r="G7512" s="4" t="str">
        <f>HYPERLINK("http://141.218.60.56/~jnz1568/getInfo.php?workbook=12_05.xlsx&amp;sheet=U0&amp;row=7512&amp;col=7&amp;number=0.00553&amp;sourceID=14","0.00553")</f>
        <v>0.00553</v>
      </c>
    </row>
    <row r="7513" spans="1:7">
      <c r="A7513" s="3"/>
      <c r="B7513" s="3"/>
      <c r="C7513" s="3"/>
      <c r="D7513" s="3"/>
      <c r="E7513" s="3">
        <v>10</v>
      </c>
      <c r="F7513" s="4" t="str">
        <f>HYPERLINK("http://141.218.60.56/~jnz1568/getInfo.php?workbook=12_05.xlsx&amp;sheet=U0&amp;row=7513&amp;col=6&amp;number=3.9&amp;sourceID=14","3.9")</f>
        <v>3.9</v>
      </c>
      <c r="G7513" s="4" t="str">
        <f>HYPERLINK("http://141.218.60.56/~jnz1568/getInfo.php?workbook=12_05.xlsx&amp;sheet=U0&amp;row=7513&amp;col=7&amp;number=0.00552&amp;sourceID=14","0.00552")</f>
        <v>0.00552</v>
      </c>
    </row>
    <row r="7514" spans="1:7">
      <c r="A7514" s="3"/>
      <c r="B7514" s="3"/>
      <c r="C7514" s="3"/>
      <c r="D7514" s="3"/>
      <c r="E7514" s="3">
        <v>11</v>
      </c>
      <c r="F7514" s="4" t="str">
        <f>HYPERLINK("http://141.218.60.56/~jnz1568/getInfo.php?workbook=12_05.xlsx&amp;sheet=U0&amp;row=7514&amp;col=6&amp;number=4&amp;sourceID=14","4")</f>
        <v>4</v>
      </c>
      <c r="G7514" s="4" t="str">
        <f>HYPERLINK("http://141.218.60.56/~jnz1568/getInfo.php?workbook=12_05.xlsx&amp;sheet=U0&amp;row=7514&amp;col=7&amp;number=0.00552&amp;sourceID=14","0.00552")</f>
        <v>0.00552</v>
      </c>
    </row>
    <row r="7515" spans="1:7">
      <c r="A7515" s="3"/>
      <c r="B7515" s="3"/>
      <c r="C7515" s="3"/>
      <c r="D7515" s="3"/>
      <c r="E7515" s="3">
        <v>12</v>
      </c>
      <c r="F7515" s="4" t="str">
        <f>HYPERLINK("http://141.218.60.56/~jnz1568/getInfo.php?workbook=12_05.xlsx&amp;sheet=U0&amp;row=7515&amp;col=6&amp;number=4.1&amp;sourceID=14","4.1")</f>
        <v>4.1</v>
      </c>
      <c r="G7515" s="4" t="str">
        <f>HYPERLINK("http://141.218.60.56/~jnz1568/getInfo.php?workbook=12_05.xlsx&amp;sheet=U0&amp;row=7515&amp;col=7&amp;number=0.00552&amp;sourceID=14","0.00552")</f>
        <v>0.00552</v>
      </c>
    </row>
    <row r="7516" spans="1:7">
      <c r="A7516" s="3"/>
      <c r="B7516" s="3"/>
      <c r="C7516" s="3"/>
      <c r="D7516" s="3"/>
      <c r="E7516" s="3">
        <v>13</v>
      </c>
      <c r="F7516" s="4" t="str">
        <f>HYPERLINK("http://141.218.60.56/~jnz1568/getInfo.php?workbook=12_05.xlsx&amp;sheet=U0&amp;row=7516&amp;col=6&amp;number=4.2&amp;sourceID=14","4.2")</f>
        <v>4.2</v>
      </c>
      <c r="G7516" s="4" t="str">
        <f>HYPERLINK("http://141.218.60.56/~jnz1568/getInfo.php?workbook=12_05.xlsx&amp;sheet=U0&amp;row=7516&amp;col=7&amp;number=0.00552&amp;sourceID=14","0.00552")</f>
        <v>0.00552</v>
      </c>
    </row>
    <row r="7517" spans="1:7">
      <c r="A7517" s="3"/>
      <c r="B7517" s="3"/>
      <c r="C7517" s="3"/>
      <c r="D7517" s="3"/>
      <c r="E7517" s="3">
        <v>14</v>
      </c>
      <c r="F7517" s="4" t="str">
        <f>HYPERLINK("http://141.218.60.56/~jnz1568/getInfo.php?workbook=12_05.xlsx&amp;sheet=U0&amp;row=7517&amp;col=6&amp;number=4.3&amp;sourceID=14","4.3")</f>
        <v>4.3</v>
      </c>
      <c r="G7517" s="4" t="str">
        <f>HYPERLINK("http://141.218.60.56/~jnz1568/getInfo.php?workbook=12_05.xlsx&amp;sheet=U0&amp;row=7517&amp;col=7&amp;number=0.00552&amp;sourceID=14","0.00552")</f>
        <v>0.00552</v>
      </c>
    </row>
    <row r="7518" spans="1:7">
      <c r="A7518" s="3"/>
      <c r="B7518" s="3"/>
      <c r="C7518" s="3"/>
      <c r="D7518" s="3"/>
      <c r="E7518" s="3">
        <v>15</v>
      </c>
      <c r="F7518" s="4" t="str">
        <f>HYPERLINK("http://141.218.60.56/~jnz1568/getInfo.php?workbook=12_05.xlsx&amp;sheet=U0&amp;row=7518&amp;col=6&amp;number=4.4&amp;sourceID=14","4.4")</f>
        <v>4.4</v>
      </c>
      <c r="G7518" s="4" t="str">
        <f>HYPERLINK("http://141.218.60.56/~jnz1568/getInfo.php?workbook=12_05.xlsx&amp;sheet=U0&amp;row=7518&amp;col=7&amp;number=0.00551&amp;sourceID=14","0.00551")</f>
        <v>0.00551</v>
      </c>
    </row>
    <row r="7519" spans="1:7">
      <c r="A7519" s="3"/>
      <c r="B7519" s="3"/>
      <c r="C7519" s="3"/>
      <c r="D7519" s="3"/>
      <c r="E7519" s="3">
        <v>16</v>
      </c>
      <c r="F7519" s="4" t="str">
        <f>HYPERLINK("http://141.218.60.56/~jnz1568/getInfo.php?workbook=12_05.xlsx&amp;sheet=U0&amp;row=7519&amp;col=6&amp;number=4.5&amp;sourceID=14","4.5")</f>
        <v>4.5</v>
      </c>
      <c r="G7519" s="4" t="str">
        <f>HYPERLINK("http://141.218.60.56/~jnz1568/getInfo.php?workbook=12_05.xlsx&amp;sheet=U0&amp;row=7519&amp;col=7&amp;number=0.00551&amp;sourceID=14","0.00551")</f>
        <v>0.00551</v>
      </c>
    </row>
    <row r="7520" spans="1:7">
      <c r="A7520" s="3"/>
      <c r="B7520" s="3"/>
      <c r="C7520" s="3"/>
      <c r="D7520" s="3"/>
      <c r="E7520" s="3">
        <v>17</v>
      </c>
      <c r="F7520" s="4" t="str">
        <f>HYPERLINK("http://141.218.60.56/~jnz1568/getInfo.php?workbook=12_05.xlsx&amp;sheet=U0&amp;row=7520&amp;col=6&amp;number=4.6&amp;sourceID=14","4.6")</f>
        <v>4.6</v>
      </c>
      <c r="G7520" s="4" t="str">
        <f>HYPERLINK("http://141.218.60.56/~jnz1568/getInfo.php?workbook=12_05.xlsx&amp;sheet=U0&amp;row=7520&amp;col=7&amp;number=0.00551&amp;sourceID=14","0.00551")</f>
        <v>0.00551</v>
      </c>
    </row>
    <row r="7521" spans="1:7">
      <c r="A7521" s="3"/>
      <c r="B7521" s="3"/>
      <c r="C7521" s="3"/>
      <c r="D7521" s="3"/>
      <c r="E7521" s="3">
        <v>18</v>
      </c>
      <c r="F7521" s="4" t="str">
        <f>HYPERLINK("http://141.218.60.56/~jnz1568/getInfo.php?workbook=12_05.xlsx&amp;sheet=U0&amp;row=7521&amp;col=6&amp;number=4.7&amp;sourceID=14","4.7")</f>
        <v>4.7</v>
      </c>
      <c r="G7521" s="4" t="str">
        <f>HYPERLINK("http://141.218.60.56/~jnz1568/getInfo.php?workbook=12_05.xlsx&amp;sheet=U0&amp;row=7521&amp;col=7&amp;number=0.0055&amp;sourceID=14","0.0055")</f>
        <v>0.0055</v>
      </c>
    </row>
    <row r="7522" spans="1:7">
      <c r="A7522" s="3"/>
      <c r="B7522" s="3"/>
      <c r="C7522" s="3"/>
      <c r="D7522" s="3"/>
      <c r="E7522" s="3">
        <v>19</v>
      </c>
      <c r="F7522" s="4" t="str">
        <f>HYPERLINK("http://141.218.60.56/~jnz1568/getInfo.php?workbook=12_05.xlsx&amp;sheet=U0&amp;row=7522&amp;col=6&amp;number=4.8&amp;sourceID=14","4.8")</f>
        <v>4.8</v>
      </c>
      <c r="G7522" s="4" t="str">
        <f>HYPERLINK("http://141.218.60.56/~jnz1568/getInfo.php?workbook=12_05.xlsx&amp;sheet=U0&amp;row=7522&amp;col=7&amp;number=0.00549&amp;sourceID=14","0.00549")</f>
        <v>0.00549</v>
      </c>
    </row>
    <row r="7523" spans="1:7">
      <c r="A7523" s="3"/>
      <c r="B7523" s="3"/>
      <c r="C7523" s="3"/>
      <c r="D7523" s="3"/>
      <c r="E7523" s="3">
        <v>20</v>
      </c>
      <c r="F7523" s="4" t="str">
        <f>HYPERLINK("http://141.218.60.56/~jnz1568/getInfo.php?workbook=12_05.xlsx&amp;sheet=U0&amp;row=7523&amp;col=6&amp;number=4.9&amp;sourceID=14","4.9")</f>
        <v>4.9</v>
      </c>
      <c r="G7523" s="4" t="str">
        <f>HYPERLINK("http://141.218.60.56/~jnz1568/getInfo.php?workbook=12_05.xlsx&amp;sheet=U0&amp;row=7523&amp;col=7&amp;number=0.00548&amp;sourceID=14","0.00548")</f>
        <v>0.00548</v>
      </c>
    </row>
    <row r="7524" spans="1:7">
      <c r="A7524" s="3">
        <v>12</v>
      </c>
      <c r="B7524" s="3">
        <v>5</v>
      </c>
      <c r="C7524" s="3">
        <v>3</v>
      </c>
      <c r="D7524" s="3">
        <v>34</v>
      </c>
      <c r="E7524" s="3">
        <v>1</v>
      </c>
      <c r="F7524" s="4" t="str">
        <f>HYPERLINK("http://141.218.60.56/~jnz1568/getInfo.php?workbook=12_05.xlsx&amp;sheet=U0&amp;row=7524&amp;col=6&amp;number=3&amp;sourceID=14","3")</f>
        <v>3</v>
      </c>
      <c r="G7524" s="4" t="str">
        <f>HYPERLINK("http://141.218.60.56/~jnz1568/getInfo.php?workbook=12_05.xlsx&amp;sheet=U0&amp;row=7524&amp;col=7&amp;number=0.00446&amp;sourceID=14","0.00446")</f>
        <v>0.00446</v>
      </c>
    </row>
    <row r="7525" spans="1:7">
      <c r="A7525" s="3"/>
      <c r="B7525" s="3"/>
      <c r="C7525" s="3"/>
      <c r="D7525" s="3"/>
      <c r="E7525" s="3">
        <v>2</v>
      </c>
      <c r="F7525" s="4" t="str">
        <f>HYPERLINK("http://141.218.60.56/~jnz1568/getInfo.php?workbook=12_05.xlsx&amp;sheet=U0&amp;row=7525&amp;col=6&amp;number=3.1&amp;sourceID=14","3.1")</f>
        <v>3.1</v>
      </c>
      <c r="G7525" s="4" t="str">
        <f>HYPERLINK("http://141.218.60.56/~jnz1568/getInfo.php?workbook=12_05.xlsx&amp;sheet=U0&amp;row=7525&amp;col=7&amp;number=0.00446&amp;sourceID=14","0.00446")</f>
        <v>0.00446</v>
      </c>
    </row>
    <row r="7526" spans="1:7">
      <c r="A7526" s="3"/>
      <c r="B7526" s="3"/>
      <c r="C7526" s="3"/>
      <c r="D7526" s="3"/>
      <c r="E7526" s="3">
        <v>3</v>
      </c>
      <c r="F7526" s="4" t="str">
        <f>HYPERLINK("http://141.218.60.56/~jnz1568/getInfo.php?workbook=12_05.xlsx&amp;sheet=U0&amp;row=7526&amp;col=6&amp;number=3.2&amp;sourceID=14","3.2")</f>
        <v>3.2</v>
      </c>
      <c r="G7526" s="4" t="str">
        <f>HYPERLINK("http://141.218.60.56/~jnz1568/getInfo.php?workbook=12_05.xlsx&amp;sheet=U0&amp;row=7526&amp;col=7&amp;number=0.00446&amp;sourceID=14","0.00446")</f>
        <v>0.00446</v>
      </c>
    </row>
    <row r="7527" spans="1:7">
      <c r="A7527" s="3"/>
      <c r="B7527" s="3"/>
      <c r="C7527" s="3"/>
      <c r="D7527" s="3"/>
      <c r="E7527" s="3">
        <v>4</v>
      </c>
      <c r="F7527" s="4" t="str">
        <f>HYPERLINK("http://141.218.60.56/~jnz1568/getInfo.php?workbook=12_05.xlsx&amp;sheet=U0&amp;row=7527&amp;col=6&amp;number=3.3&amp;sourceID=14","3.3")</f>
        <v>3.3</v>
      </c>
      <c r="G7527" s="4" t="str">
        <f>HYPERLINK("http://141.218.60.56/~jnz1568/getInfo.php?workbook=12_05.xlsx&amp;sheet=U0&amp;row=7527&amp;col=7&amp;number=0.00446&amp;sourceID=14","0.00446")</f>
        <v>0.00446</v>
      </c>
    </row>
    <row r="7528" spans="1:7">
      <c r="A7528" s="3"/>
      <c r="B7528" s="3"/>
      <c r="C7528" s="3"/>
      <c r="D7528" s="3"/>
      <c r="E7528" s="3">
        <v>5</v>
      </c>
      <c r="F7528" s="4" t="str">
        <f>HYPERLINK("http://141.218.60.56/~jnz1568/getInfo.php?workbook=12_05.xlsx&amp;sheet=U0&amp;row=7528&amp;col=6&amp;number=3.4&amp;sourceID=14","3.4")</f>
        <v>3.4</v>
      </c>
      <c r="G7528" s="4" t="str">
        <f>HYPERLINK("http://141.218.60.56/~jnz1568/getInfo.php?workbook=12_05.xlsx&amp;sheet=U0&amp;row=7528&amp;col=7&amp;number=0.00445&amp;sourceID=14","0.00445")</f>
        <v>0.00445</v>
      </c>
    </row>
    <row r="7529" spans="1:7">
      <c r="A7529" s="3"/>
      <c r="B7529" s="3"/>
      <c r="C7529" s="3"/>
      <c r="D7529" s="3"/>
      <c r="E7529" s="3">
        <v>6</v>
      </c>
      <c r="F7529" s="4" t="str">
        <f>HYPERLINK("http://141.218.60.56/~jnz1568/getInfo.php?workbook=12_05.xlsx&amp;sheet=U0&amp;row=7529&amp;col=6&amp;number=3.5&amp;sourceID=14","3.5")</f>
        <v>3.5</v>
      </c>
      <c r="G7529" s="4" t="str">
        <f>HYPERLINK("http://141.218.60.56/~jnz1568/getInfo.php?workbook=12_05.xlsx&amp;sheet=U0&amp;row=7529&amp;col=7&amp;number=0.00445&amp;sourceID=14","0.00445")</f>
        <v>0.00445</v>
      </c>
    </row>
    <row r="7530" spans="1:7">
      <c r="A7530" s="3"/>
      <c r="B7530" s="3"/>
      <c r="C7530" s="3"/>
      <c r="D7530" s="3"/>
      <c r="E7530" s="3">
        <v>7</v>
      </c>
      <c r="F7530" s="4" t="str">
        <f>HYPERLINK("http://141.218.60.56/~jnz1568/getInfo.php?workbook=12_05.xlsx&amp;sheet=U0&amp;row=7530&amp;col=6&amp;number=3.6&amp;sourceID=14","3.6")</f>
        <v>3.6</v>
      </c>
      <c r="G7530" s="4" t="str">
        <f>HYPERLINK("http://141.218.60.56/~jnz1568/getInfo.php?workbook=12_05.xlsx&amp;sheet=U0&amp;row=7530&amp;col=7&amp;number=0.00445&amp;sourceID=14","0.00445")</f>
        <v>0.00445</v>
      </c>
    </row>
    <row r="7531" spans="1:7">
      <c r="A7531" s="3"/>
      <c r="B7531" s="3"/>
      <c r="C7531" s="3"/>
      <c r="D7531" s="3"/>
      <c r="E7531" s="3">
        <v>8</v>
      </c>
      <c r="F7531" s="4" t="str">
        <f>HYPERLINK("http://141.218.60.56/~jnz1568/getInfo.php?workbook=12_05.xlsx&amp;sheet=U0&amp;row=7531&amp;col=6&amp;number=3.7&amp;sourceID=14","3.7")</f>
        <v>3.7</v>
      </c>
      <c r="G7531" s="4" t="str">
        <f>HYPERLINK("http://141.218.60.56/~jnz1568/getInfo.php?workbook=12_05.xlsx&amp;sheet=U0&amp;row=7531&amp;col=7&amp;number=0.00444&amp;sourceID=14","0.00444")</f>
        <v>0.00444</v>
      </c>
    </row>
    <row r="7532" spans="1:7">
      <c r="A7532" s="3"/>
      <c r="B7532" s="3"/>
      <c r="C7532" s="3"/>
      <c r="D7532" s="3"/>
      <c r="E7532" s="3">
        <v>9</v>
      </c>
      <c r="F7532" s="4" t="str">
        <f>HYPERLINK("http://141.218.60.56/~jnz1568/getInfo.php?workbook=12_05.xlsx&amp;sheet=U0&amp;row=7532&amp;col=6&amp;number=3.8&amp;sourceID=14","3.8")</f>
        <v>3.8</v>
      </c>
      <c r="G7532" s="4" t="str">
        <f>HYPERLINK("http://141.218.60.56/~jnz1568/getInfo.php?workbook=12_05.xlsx&amp;sheet=U0&amp;row=7532&amp;col=7&amp;number=0.00444&amp;sourceID=14","0.00444")</f>
        <v>0.00444</v>
      </c>
    </row>
    <row r="7533" spans="1:7">
      <c r="A7533" s="3"/>
      <c r="B7533" s="3"/>
      <c r="C7533" s="3"/>
      <c r="D7533" s="3"/>
      <c r="E7533" s="3">
        <v>10</v>
      </c>
      <c r="F7533" s="4" t="str">
        <f>HYPERLINK("http://141.218.60.56/~jnz1568/getInfo.php?workbook=12_05.xlsx&amp;sheet=U0&amp;row=7533&amp;col=6&amp;number=3.9&amp;sourceID=14","3.9")</f>
        <v>3.9</v>
      </c>
      <c r="G7533" s="4" t="str">
        <f>HYPERLINK("http://141.218.60.56/~jnz1568/getInfo.php?workbook=12_05.xlsx&amp;sheet=U0&amp;row=7533&amp;col=7&amp;number=0.00443&amp;sourceID=14","0.00443")</f>
        <v>0.00443</v>
      </c>
    </row>
    <row r="7534" spans="1:7">
      <c r="A7534" s="3"/>
      <c r="B7534" s="3"/>
      <c r="C7534" s="3"/>
      <c r="D7534" s="3"/>
      <c r="E7534" s="3">
        <v>11</v>
      </c>
      <c r="F7534" s="4" t="str">
        <f>HYPERLINK("http://141.218.60.56/~jnz1568/getInfo.php?workbook=12_05.xlsx&amp;sheet=U0&amp;row=7534&amp;col=6&amp;number=4&amp;sourceID=14","4")</f>
        <v>4</v>
      </c>
      <c r="G7534" s="4" t="str">
        <f>HYPERLINK("http://141.218.60.56/~jnz1568/getInfo.php?workbook=12_05.xlsx&amp;sheet=U0&amp;row=7534&amp;col=7&amp;number=0.00442&amp;sourceID=14","0.00442")</f>
        <v>0.00442</v>
      </c>
    </row>
    <row r="7535" spans="1:7">
      <c r="A7535" s="3"/>
      <c r="B7535" s="3"/>
      <c r="C7535" s="3"/>
      <c r="D7535" s="3"/>
      <c r="E7535" s="3">
        <v>12</v>
      </c>
      <c r="F7535" s="4" t="str">
        <f>HYPERLINK("http://141.218.60.56/~jnz1568/getInfo.php?workbook=12_05.xlsx&amp;sheet=U0&amp;row=7535&amp;col=6&amp;number=4.1&amp;sourceID=14","4.1")</f>
        <v>4.1</v>
      </c>
      <c r="G7535" s="4" t="str">
        <f>HYPERLINK("http://141.218.60.56/~jnz1568/getInfo.php?workbook=12_05.xlsx&amp;sheet=U0&amp;row=7535&amp;col=7&amp;number=0.00441&amp;sourceID=14","0.00441")</f>
        <v>0.00441</v>
      </c>
    </row>
    <row r="7536" spans="1:7">
      <c r="A7536" s="3"/>
      <c r="B7536" s="3"/>
      <c r="C7536" s="3"/>
      <c r="D7536" s="3"/>
      <c r="E7536" s="3">
        <v>13</v>
      </c>
      <c r="F7536" s="4" t="str">
        <f>HYPERLINK("http://141.218.60.56/~jnz1568/getInfo.php?workbook=12_05.xlsx&amp;sheet=U0&amp;row=7536&amp;col=6&amp;number=4.2&amp;sourceID=14","4.2")</f>
        <v>4.2</v>
      </c>
      <c r="G7536" s="4" t="str">
        <f>HYPERLINK("http://141.218.60.56/~jnz1568/getInfo.php?workbook=12_05.xlsx&amp;sheet=U0&amp;row=7536&amp;col=7&amp;number=0.0044&amp;sourceID=14","0.0044")</f>
        <v>0.0044</v>
      </c>
    </row>
    <row r="7537" spans="1:7">
      <c r="A7537" s="3"/>
      <c r="B7537" s="3"/>
      <c r="C7537" s="3"/>
      <c r="D7537" s="3"/>
      <c r="E7537" s="3">
        <v>14</v>
      </c>
      <c r="F7537" s="4" t="str">
        <f>HYPERLINK("http://141.218.60.56/~jnz1568/getInfo.php?workbook=12_05.xlsx&amp;sheet=U0&amp;row=7537&amp;col=6&amp;number=4.3&amp;sourceID=14","4.3")</f>
        <v>4.3</v>
      </c>
      <c r="G7537" s="4" t="str">
        <f>HYPERLINK("http://141.218.60.56/~jnz1568/getInfo.php?workbook=12_05.xlsx&amp;sheet=U0&amp;row=7537&amp;col=7&amp;number=0.00438&amp;sourceID=14","0.00438")</f>
        <v>0.00438</v>
      </c>
    </row>
    <row r="7538" spans="1:7">
      <c r="A7538" s="3"/>
      <c r="B7538" s="3"/>
      <c r="C7538" s="3"/>
      <c r="D7538" s="3"/>
      <c r="E7538" s="3">
        <v>15</v>
      </c>
      <c r="F7538" s="4" t="str">
        <f>HYPERLINK("http://141.218.60.56/~jnz1568/getInfo.php?workbook=12_05.xlsx&amp;sheet=U0&amp;row=7538&amp;col=6&amp;number=4.4&amp;sourceID=14","4.4")</f>
        <v>4.4</v>
      </c>
      <c r="G7538" s="4" t="str">
        <f>HYPERLINK("http://141.218.60.56/~jnz1568/getInfo.php?workbook=12_05.xlsx&amp;sheet=U0&amp;row=7538&amp;col=7&amp;number=0.00436&amp;sourceID=14","0.00436")</f>
        <v>0.00436</v>
      </c>
    </row>
    <row r="7539" spans="1:7">
      <c r="A7539" s="3"/>
      <c r="B7539" s="3"/>
      <c r="C7539" s="3"/>
      <c r="D7539" s="3"/>
      <c r="E7539" s="3">
        <v>16</v>
      </c>
      <c r="F7539" s="4" t="str">
        <f>HYPERLINK("http://141.218.60.56/~jnz1568/getInfo.php?workbook=12_05.xlsx&amp;sheet=U0&amp;row=7539&amp;col=6&amp;number=4.5&amp;sourceID=14","4.5")</f>
        <v>4.5</v>
      </c>
      <c r="G7539" s="4" t="str">
        <f>HYPERLINK("http://141.218.60.56/~jnz1568/getInfo.php?workbook=12_05.xlsx&amp;sheet=U0&amp;row=7539&amp;col=7&amp;number=0.00433&amp;sourceID=14","0.00433")</f>
        <v>0.00433</v>
      </c>
    </row>
    <row r="7540" spans="1:7">
      <c r="A7540" s="3"/>
      <c r="B7540" s="3"/>
      <c r="C7540" s="3"/>
      <c r="D7540" s="3"/>
      <c r="E7540" s="3">
        <v>17</v>
      </c>
      <c r="F7540" s="4" t="str">
        <f>HYPERLINK("http://141.218.60.56/~jnz1568/getInfo.php?workbook=12_05.xlsx&amp;sheet=U0&amp;row=7540&amp;col=6&amp;number=4.6&amp;sourceID=14","4.6")</f>
        <v>4.6</v>
      </c>
      <c r="G7540" s="4" t="str">
        <f>HYPERLINK("http://141.218.60.56/~jnz1568/getInfo.php?workbook=12_05.xlsx&amp;sheet=U0&amp;row=7540&amp;col=7&amp;number=0.0043&amp;sourceID=14","0.0043")</f>
        <v>0.0043</v>
      </c>
    </row>
    <row r="7541" spans="1:7">
      <c r="A7541" s="3"/>
      <c r="B7541" s="3"/>
      <c r="C7541" s="3"/>
      <c r="D7541" s="3"/>
      <c r="E7541" s="3">
        <v>18</v>
      </c>
      <c r="F7541" s="4" t="str">
        <f>HYPERLINK("http://141.218.60.56/~jnz1568/getInfo.php?workbook=12_05.xlsx&amp;sheet=U0&amp;row=7541&amp;col=6&amp;number=4.7&amp;sourceID=14","4.7")</f>
        <v>4.7</v>
      </c>
      <c r="G7541" s="4" t="str">
        <f>HYPERLINK("http://141.218.60.56/~jnz1568/getInfo.php?workbook=12_05.xlsx&amp;sheet=U0&amp;row=7541&amp;col=7&amp;number=0.00426&amp;sourceID=14","0.00426")</f>
        <v>0.00426</v>
      </c>
    </row>
    <row r="7542" spans="1:7">
      <c r="A7542" s="3"/>
      <c r="B7542" s="3"/>
      <c r="C7542" s="3"/>
      <c r="D7542" s="3"/>
      <c r="E7542" s="3">
        <v>19</v>
      </c>
      <c r="F7542" s="4" t="str">
        <f>HYPERLINK("http://141.218.60.56/~jnz1568/getInfo.php?workbook=12_05.xlsx&amp;sheet=U0&amp;row=7542&amp;col=6&amp;number=4.8&amp;sourceID=14","4.8")</f>
        <v>4.8</v>
      </c>
      <c r="G7542" s="4" t="str">
        <f>HYPERLINK("http://141.218.60.56/~jnz1568/getInfo.php?workbook=12_05.xlsx&amp;sheet=U0&amp;row=7542&amp;col=7&amp;number=0.00421&amp;sourceID=14","0.00421")</f>
        <v>0.00421</v>
      </c>
    </row>
    <row r="7543" spans="1:7">
      <c r="A7543" s="3"/>
      <c r="B7543" s="3"/>
      <c r="C7543" s="3"/>
      <c r="D7543" s="3"/>
      <c r="E7543" s="3">
        <v>20</v>
      </c>
      <c r="F7543" s="4" t="str">
        <f>HYPERLINK("http://141.218.60.56/~jnz1568/getInfo.php?workbook=12_05.xlsx&amp;sheet=U0&amp;row=7543&amp;col=6&amp;number=4.9&amp;sourceID=14","4.9")</f>
        <v>4.9</v>
      </c>
      <c r="G7543" s="4" t="str">
        <f>HYPERLINK("http://141.218.60.56/~jnz1568/getInfo.php?workbook=12_05.xlsx&amp;sheet=U0&amp;row=7543&amp;col=7&amp;number=0.00415&amp;sourceID=14","0.00415")</f>
        <v>0.00415</v>
      </c>
    </row>
    <row r="7544" spans="1:7">
      <c r="A7544" s="3">
        <v>12</v>
      </c>
      <c r="B7544" s="3">
        <v>5</v>
      </c>
      <c r="C7544" s="3">
        <v>3</v>
      </c>
      <c r="D7544" s="3">
        <v>35</v>
      </c>
      <c r="E7544" s="3">
        <v>1</v>
      </c>
      <c r="F7544" s="4" t="str">
        <f>HYPERLINK("http://141.218.60.56/~jnz1568/getInfo.php?workbook=12_05.xlsx&amp;sheet=U0&amp;row=7544&amp;col=6&amp;number=3&amp;sourceID=14","3")</f>
        <v>3</v>
      </c>
      <c r="G7544" s="4" t="str">
        <f>HYPERLINK("http://141.218.60.56/~jnz1568/getInfo.php?workbook=12_05.xlsx&amp;sheet=U0&amp;row=7544&amp;col=7&amp;number=0.00643&amp;sourceID=14","0.00643")</f>
        <v>0.00643</v>
      </c>
    </row>
    <row r="7545" spans="1:7">
      <c r="A7545" s="3"/>
      <c r="B7545" s="3"/>
      <c r="C7545" s="3"/>
      <c r="D7545" s="3"/>
      <c r="E7545" s="3">
        <v>2</v>
      </c>
      <c r="F7545" s="4" t="str">
        <f>HYPERLINK("http://141.218.60.56/~jnz1568/getInfo.php?workbook=12_05.xlsx&amp;sheet=U0&amp;row=7545&amp;col=6&amp;number=3.1&amp;sourceID=14","3.1")</f>
        <v>3.1</v>
      </c>
      <c r="G7545" s="4" t="str">
        <f>HYPERLINK("http://141.218.60.56/~jnz1568/getInfo.php?workbook=12_05.xlsx&amp;sheet=U0&amp;row=7545&amp;col=7&amp;number=0.00643&amp;sourceID=14","0.00643")</f>
        <v>0.00643</v>
      </c>
    </row>
    <row r="7546" spans="1:7">
      <c r="A7546" s="3"/>
      <c r="B7546" s="3"/>
      <c r="C7546" s="3"/>
      <c r="D7546" s="3"/>
      <c r="E7546" s="3">
        <v>3</v>
      </c>
      <c r="F7546" s="4" t="str">
        <f>HYPERLINK("http://141.218.60.56/~jnz1568/getInfo.php?workbook=12_05.xlsx&amp;sheet=U0&amp;row=7546&amp;col=6&amp;number=3.2&amp;sourceID=14","3.2")</f>
        <v>3.2</v>
      </c>
      <c r="G7546" s="4" t="str">
        <f>HYPERLINK("http://141.218.60.56/~jnz1568/getInfo.php?workbook=12_05.xlsx&amp;sheet=U0&amp;row=7546&amp;col=7&amp;number=0.00643&amp;sourceID=14","0.00643")</f>
        <v>0.00643</v>
      </c>
    </row>
    <row r="7547" spans="1:7">
      <c r="A7547" s="3"/>
      <c r="B7547" s="3"/>
      <c r="C7547" s="3"/>
      <c r="D7547" s="3"/>
      <c r="E7547" s="3">
        <v>4</v>
      </c>
      <c r="F7547" s="4" t="str">
        <f>HYPERLINK("http://141.218.60.56/~jnz1568/getInfo.php?workbook=12_05.xlsx&amp;sheet=U0&amp;row=7547&amp;col=6&amp;number=3.3&amp;sourceID=14","3.3")</f>
        <v>3.3</v>
      </c>
      <c r="G7547" s="4" t="str">
        <f>HYPERLINK("http://141.218.60.56/~jnz1568/getInfo.php?workbook=12_05.xlsx&amp;sheet=U0&amp;row=7547&amp;col=7&amp;number=0.00643&amp;sourceID=14","0.00643")</f>
        <v>0.00643</v>
      </c>
    </row>
    <row r="7548" spans="1:7">
      <c r="A7548" s="3"/>
      <c r="B7548" s="3"/>
      <c r="C7548" s="3"/>
      <c r="D7548" s="3"/>
      <c r="E7548" s="3">
        <v>5</v>
      </c>
      <c r="F7548" s="4" t="str">
        <f>HYPERLINK("http://141.218.60.56/~jnz1568/getInfo.php?workbook=12_05.xlsx&amp;sheet=U0&amp;row=7548&amp;col=6&amp;number=3.4&amp;sourceID=14","3.4")</f>
        <v>3.4</v>
      </c>
      <c r="G7548" s="4" t="str">
        <f>HYPERLINK("http://141.218.60.56/~jnz1568/getInfo.php?workbook=12_05.xlsx&amp;sheet=U0&amp;row=7548&amp;col=7&amp;number=0.00642&amp;sourceID=14","0.00642")</f>
        <v>0.00642</v>
      </c>
    </row>
    <row r="7549" spans="1:7">
      <c r="A7549" s="3"/>
      <c r="B7549" s="3"/>
      <c r="C7549" s="3"/>
      <c r="D7549" s="3"/>
      <c r="E7549" s="3">
        <v>6</v>
      </c>
      <c r="F7549" s="4" t="str">
        <f>HYPERLINK("http://141.218.60.56/~jnz1568/getInfo.php?workbook=12_05.xlsx&amp;sheet=U0&amp;row=7549&amp;col=6&amp;number=3.5&amp;sourceID=14","3.5")</f>
        <v>3.5</v>
      </c>
      <c r="G7549" s="4" t="str">
        <f>HYPERLINK("http://141.218.60.56/~jnz1568/getInfo.php?workbook=12_05.xlsx&amp;sheet=U0&amp;row=7549&amp;col=7&amp;number=0.00642&amp;sourceID=14","0.00642")</f>
        <v>0.00642</v>
      </c>
    </row>
    <row r="7550" spans="1:7">
      <c r="A7550" s="3"/>
      <c r="B7550" s="3"/>
      <c r="C7550" s="3"/>
      <c r="D7550" s="3"/>
      <c r="E7550" s="3">
        <v>7</v>
      </c>
      <c r="F7550" s="4" t="str">
        <f>HYPERLINK("http://141.218.60.56/~jnz1568/getInfo.php?workbook=12_05.xlsx&amp;sheet=U0&amp;row=7550&amp;col=6&amp;number=3.6&amp;sourceID=14","3.6")</f>
        <v>3.6</v>
      </c>
      <c r="G7550" s="4" t="str">
        <f>HYPERLINK("http://141.218.60.56/~jnz1568/getInfo.php?workbook=12_05.xlsx&amp;sheet=U0&amp;row=7550&amp;col=7&amp;number=0.00642&amp;sourceID=14","0.00642")</f>
        <v>0.00642</v>
      </c>
    </row>
    <row r="7551" spans="1:7">
      <c r="A7551" s="3"/>
      <c r="B7551" s="3"/>
      <c r="C7551" s="3"/>
      <c r="D7551" s="3"/>
      <c r="E7551" s="3">
        <v>8</v>
      </c>
      <c r="F7551" s="4" t="str">
        <f>HYPERLINK("http://141.218.60.56/~jnz1568/getInfo.php?workbook=12_05.xlsx&amp;sheet=U0&amp;row=7551&amp;col=6&amp;number=3.7&amp;sourceID=14","3.7")</f>
        <v>3.7</v>
      </c>
      <c r="G7551" s="4" t="str">
        <f>HYPERLINK("http://141.218.60.56/~jnz1568/getInfo.php?workbook=12_05.xlsx&amp;sheet=U0&amp;row=7551&amp;col=7&amp;number=0.00641&amp;sourceID=14","0.00641")</f>
        <v>0.00641</v>
      </c>
    </row>
    <row r="7552" spans="1:7">
      <c r="A7552" s="3"/>
      <c r="B7552" s="3"/>
      <c r="C7552" s="3"/>
      <c r="D7552" s="3"/>
      <c r="E7552" s="3">
        <v>9</v>
      </c>
      <c r="F7552" s="4" t="str">
        <f>HYPERLINK("http://141.218.60.56/~jnz1568/getInfo.php?workbook=12_05.xlsx&amp;sheet=U0&amp;row=7552&amp;col=6&amp;number=3.8&amp;sourceID=14","3.8")</f>
        <v>3.8</v>
      </c>
      <c r="G7552" s="4" t="str">
        <f>HYPERLINK("http://141.218.60.56/~jnz1568/getInfo.php?workbook=12_05.xlsx&amp;sheet=U0&amp;row=7552&amp;col=7&amp;number=0.00641&amp;sourceID=14","0.00641")</f>
        <v>0.00641</v>
      </c>
    </row>
    <row r="7553" spans="1:7">
      <c r="A7553" s="3"/>
      <c r="B7553" s="3"/>
      <c r="C7553" s="3"/>
      <c r="D7553" s="3"/>
      <c r="E7553" s="3">
        <v>10</v>
      </c>
      <c r="F7553" s="4" t="str">
        <f>HYPERLINK("http://141.218.60.56/~jnz1568/getInfo.php?workbook=12_05.xlsx&amp;sheet=U0&amp;row=7553&amp;col=6&amp;number=3.9&amp;sourceID=14","3.9")</f>
        <v>3.9</v>
      </c>
      <c r="G7553" s="4" t="str">
        <f>HYPERLINK("http://141.218.60.56/~jnz1568/getInfo.php?workbook=12_05.xlsx&amp;sheet=U0&amp;row=7553&amp;col=7&amp;number=0.0064&amp;sourceID=14","0.0064")</f>
        <v>0.0064</v>
      </c>
    </row>
    <row r="7554" spans="1:7">
      <c r="A7554" s="3"/>
      <c r="B7554" s="3"/>
      <c r="C7554" s="3"/>
      <c r="D7554" s="3"/>
      <c r="E7554" s="3">
        <v>11</v>
      </c>
      <c r="F7554" s="4" t="str">
        <f>HYPERLINK("http://141.218.60.56/~jnz1568/getInfo.php?workbook=12_05.xlsx&amp;sheet=U0&amp;row=7554&amp;col=6&amp;number=4&amp;sourceID=14","4")</f>
        <v>4</v>
      </c>
      <c r="G7554" s="4" t="str">
        <f>HYPERLINK("http://141.218.60.56/~jnz1568/getInfo.php?workbook=12_05.xlsx&amp;sheet=U0&amp;row=7554&amp;col=7&amp;number=0.00639&amp;sourceID=14","0.00639")</f>
        <v>0.00639</v>
      </c>
    </row>
    <row r="7555" spans="1:7">
      <c r="A7555" s="3"/>
      <c r="B7555" s="3"/>
      <c r="C7555" s="3"/>
      <c r="D7555" s="3"/>
      <c r="E7555" s="3">
        <v>12</v>
      </c>
      <c r="F7555" s="4" t="str">
        <f>HYPERLINK("http://141.218.60.56/~jnz1568/getInfo.php?workbook=12_05.xlsx&amp;sheet=U0&amp;row=7555&amp;col=6&amp;number=4.1&amp;sourceID=14","4.1")</f>
        <v>4.1</v>
      </c>
      <c r="G7555" s="4" t="str">
        <f>HYPERLINK("http://141.218.60.56/~jnz1568/getInfo.php?workbook=12_05.xlsx&amp;sheet=U0&amp;row=7555&amp;col=7&amp;number=0.00638&amp;sourceID=14","0.00638")</f>
        <v>0.00638</v>
      </c>
    </row>
    <row r="7556" spans="1:7">
      <c r="A7556" s="3"/>
      <c r="B7556" s="3"/>
      <c r="C7556" s="3"/>
      <c r="D7556" s="3"/>
      <c r="E7556" s="3">
        <v>13</v>
      </c>
      <c r="F7556" s="4" t="str">
        <f>HYPERLINK("http://141.218.60.56/~jnz1568/getInfo.php?workbook=12_05.xlsx&amp;sheet=U0&amp;row=7556&amp;col=6&amp;number=4.2&amp;sourceID=14","4.2")</f>
        <v>4.2</v>
      </c>
      <c r="G7556" s="4" t="str">
        <f>HYPERLINK("http://141.218.60.56/~jnz1568/getInfo.php?workbook=12_05.xlsx&amp;sheet=U0&amp;row=7556&amp;col=7&amp;number=0.00636&amp;sourceID=14","0.00636")</f>
        <v>0.00636</v>
      </c>
    </row>
    <row r="7557" spans="1:7">
      <c r="A7557" s="3"/>
      <c r="B7557" s="3"/>
      <c r="C7557" s="3"/>
      <c r="D7557" s="3"/>
      <c r="E7557" s="3">
        <v>14</v>
      </c>
      <c r="F7557" s="4" t="str">
        <f>HYPERLINK("http://141.218.60.56/~jnz1568/getInfo.php?workbook=12_05.xlsx&amp;sheet=U0&amp;row=7557&amp;col=6&amp;number=4.3&amp;sourceID=14","4.3")</f>
        <v>4.3</v>
      </c>
      <c r="G7557" s="4" t="str">
        <f>HYPERLINK("http://141.218.60.56/~jnz1568/getInfo.php?workbook=12_05.xlsx&amp;sheet=U0&amp;row=7557&amp;col=7&amp;number=0.00634&amp;sourceID=14","0.00634")</f>
        <v>0.00634</v>
      </c>
    </row>
    <row r="7558" spans="1:7">
      <c r="A7558" s="3"/>
      <c r="B7558" s="3"/>
      <c r="C7558" s="3"/>
      <c r="D7558" s="3"/>
      <c r="E7558" s="3">
        <v>15</v>
      </c>
      <c r="F7558" s="4" t="str">
        <f>HYPERLINK("http://141.218.60.56/~jnz1568/getInfo.php?workbook=12_05.xlsx&amp;sheet=U0&amp;row=7558&amp;col=6&amp;number=4.4&amp;sourceID=14","4.4")</f>
        <v>4.4</v>
      </c>
      <c r="G7558" s="4" t="str">
        <f>HYPERLINK("http://141.218.60.56/~jnz1568/getInfo.php?workbook=12_05.xlsx&amp;sheet=U0&amp;row=7558&amp;col=7&amp;number=0.00632&amp;sourceID=14","0.00632")</f>
        <v>0.00632</v>
      </c>
    </row>
    <row r="7559" spans="1:7">
      <c r="A7559" s="3"/>
      <c r="B7559" s="3"/>
      <c r="C7559" s="3"/>
      <c r="D7559" s="3"/>
      <c r="E7559" s="3">
        <v>16</v>
      </c>
      <c r="F7559" s="4" t="str">
        <f>HYPERLINK("http://141.218.60.56/~jnz1568/getInfo.php?workbook=12_05.xlsx&amp;sheet=U0&amp;row=7559&amp;col=6&amp;number=4.5&amp;sourceID=14","4.5")</f>
        <v>4.5</v>
      </c>
      <c r="G7559" s="4" t="str">
        <f>HYPERLINK("http://141.218.60.56/~jnz1568/getInfo.php?workbook=12_05.xlsx&amp;sheet=U0&amp;row=7559&amp;col=7&amp;number=0.00628&amp;sourceID=14","0.00628")</f>
        <v>0.00628</v>
      </c>
    </row>
    <row r="7560" spans="1:7">
      <c r="A7560" s="3"/>
      <c r="B7560" s="3"/>
      <c r="C7560" s="3"/>
      <c r="D7560" s="3"/>
      <c r="E7560" s="3">
        <v>17</v>
      </c>
      <c r="F7560" s="4" t="str">
        <f>HYPERLINK("http://141.218.60.56/~jnz1568/getInfo.php?workbook=12_05.xlsx&amp;sheet=U0&amp;row=7560&amp;col=6&amp;number=4.6&amp;sourceID=14","4.6")</f>
        <v>4.6</v>
      </c>
      <c r="G7560" s="4" t="str">
        <f>HYPERLINK("http://141.218.60.56/~jnz1568/getInfo.php?workbook=12_05.xlsx&amp;sheet=U0&amp;row=7560&amp;col=7&amp;number=0.00625&amp;sourceID=14","0.00625")</f>
        <v>0.00625</v>
      </c>
    </row>
    <row r="7561" spans="1:7">
      <c r="A7561" s="3"/>
      <c r="B7561" s="3"/>
      <c r="C7561" s="3"/>
      <c r="D7561" s="3"/>
      <c r="E7561" s="3">
        <v>18</v>
      </c>
      <c r="F7561" s="4" t="str">
        <f>HYPERLINK("http://141.218.60.56/~jnz1568/getInfo.php?workbook=12_05.xlsx&amp;sheet=U0&amp;row=7561&amp;col=6&amp;number=4.7&amp;sourceID=14","4.7")</f>
        <v>4.7</v>
      </c>
      <c r="G7561" s="4" t="str">
        <f>HYPERLINK("http://141.218.60.56/~jnz1568/getInfo.php?workbook=12_05.xlsx&amp;sheet=U0&amp;row=7561&amp;col=7&amp;number=0.0062&amp;sourceID=14","0.0062")</f>
        <v>0.0062</v>
      </c>
    </row>
    <row r="7562" spans="1:7">
      <c r="A7562" s="3"/>
      <c r="B7562" s="3"/>
      <c r="C7562" s="3"/>
      <c r="D7562" s="3"/>
      <c r="E7562" s="3">
        <v>19</v>
      </c>
      <c r="F7562" s="4" t="str">
        <f>HYPERLINK("http://141.218.60.56/~jnz1568/getInfo.php?workbook=12_05.xlsx&amp;sheet=U0&amp;row=7562&amp;col=6&amp;number=4.8&amp;sourceID=14","4.8")</f>
        <v>4.8</v>
      </c>
      <c r="G7562" s="4" t="str">
        <f>HYPERLINK("http://141.218.60.56/~jnz1568/getInfo.php?workbook=12_05.xlsx&amp;sheet=U0&amp;row=7562&amp;col=7&amp;number=0.00614&amp;sourceID=14","0.00614")</f>
        <v>0.00614</v>
      </c>
    </row>
    <row r="7563" spans="1:7">
      <c r="A7563" s="3"/>
      <c r="B7563" s="3"/>
      <c r="C7563" s="3"/>
      <c r="D7563" s="3"/>
      <c r="E7563" s="3">
        <v>20</v>
      </c>
      <c r="F7563" s="4" t="str">
        <f>HYPERLINK("http://141.218.60.56/~jnz1568/getInfo.php?workbook=12_05.xlsx&amp;sheet=U0&amp;row=7563&amp;col=6&amp;number=4.9&amp;sourceID=14","4.9")</f>
        <v>4.9</v>
      </c>
      <c r="G7563" s="4" t="str">
        <f>HYPERLINK("http://141.218.60.56/~jnz1568/getInfo.php?workbook=12_05.xlsx&amp;sheet=U0&amp;row=7563&amp;col=7&amp;number=0.00607&amp;sourceID=14","0.00607")</f>
        <v>0.00607</v>
      </c>
    </row>
    <row r="7564" spans="1:7">
      <c r="A7564" s="3">
        <v>12</v>
      </c>
      <c r="B7564" s="3">
        <v>5</v>
      </c>
      <c r="C7564" s="3">
        <v>3</v>
      </c>
      <c r="D7564" s="3">
        <v>36</v>
      </c>
      <c r="E7564" s="3">
        <v>1</v>
      </c>
      <c r="F7564" s="4" t="str">
        <f>HYPERLINK("http://141.218.60.56/~jnz1568/getInfo.php?workbook=12_05.xlsx&amp;sheet=U0&amp;row=7564&amp;col=6&amp;number=3&amp;sourceID=14","3")</f>
        <v>3</v>
      </c>
      <c r="G7564" s="4" t="str">
        <f>HYPERLINK("http://141.218.60.56/~jnz1568/getInfo.php?workbook=12_05.xlsx&amp;sheet=U0&amp;row=7564&amp;col=7&amp;number=0.00871&amp;sourceID=14","0.00871")</f>
        <v>0.00871</v>
      </c>
    </row>
    <row r="7565" spans="1:7">
      <c r="A7565" s="3"/>
      <c r="B7565" s="3"/>
      <c r="C7565" s="3"/>
      <c r="D7565" s="3"/>
      <c r="E7565" s="3">
        <v>2</v>
      </c>
      <c r="F7565" s="4" t="str">
        <f>HYPERLINK("http://141.218.60.56/~jnz1568/getInfo.php?workbook=12_05.xlsx&amp;sheet=U0&amp;row=7565&amp;col=6&amp;number=3.1&amp;sourceID=14","3.1")</f>
        <v>3.1</v>
      </c>
      <c r="G7565" s="4" t="str">
        <f>HYPERLINK("http://141.218.60.56/~jnz1568/getInfo.php?workbook=12_05.xlsx&amp;sheet=U0&amp;row=7565&amp;col=7&amp;number=0.00871&amp;sourceID=14","0.00871")</f>
        <v>0.00871</v>
      </c>
    </row>
    <row r="7566" spans="1:7">
      <c r="A7566" s="3"/>
      <c r="B7566" s="3"/>
      <c r="C7566" s="3"/>
      <c r="D7566" s="3"/>
      <c r="E7566" s="3">
        <v>3</v>
      </c>
      <c r="F7566" s="4" t="str">
        <f>HYPERLINK("http://141.218.60.56/~jnz1568/getInfo.php?workbook=12_05.xlsx&amp;sheet=U0&amp;row=7566&amp;col=6&amp;number=3.2&amp;sourceID=14","3.2")</f>
        <v>3.2</v>
      </c>
      <c r="G7566" s="4" t="str">
        <f>HYPERLINK("http://141.218.60.56/~jnz1568/getInfo.php?workbook=12_05.xlsx&amp;sheet=U0&amp;row=7566&amp;col=7&amp;number=0.0087&amp;sourceID=14","0.0087")</f>
        <v>0.0087</v>
      </c>
    </row>
    <row r="7567" spans="1:7">
      <c r="A7567" s="3"/>
      <c r="B7567" s="3"/>
      <c r="C7567" s="3"/>
      <c r="D7567" s="3"/>
      <c r="E7567" s="3">
        <v>4</v>
      </c>
      <c r="F7567" s="4" t="str">
        <f>HYPERLINK("http://141.218.60.56/~jnz1568/getInfo.php?workbook=12_05.xlsx&amp;sheet=U0&amp;row=7567&amp;col=6&amp;number=3.3&amp;sourceID=14","3.3")</f>
        <v>3.3</v>
      </c>
      <c r="G7567" s="4" t="str">
        <f>HYPERLINK("http://141.218.60.56/~jnz1568/getInfo.php?workbook=12_05.xlsx&amp;sheet=U0&amp;row=7567&amp;col=7&amp;number=0.0087&amp;sourceID=14","0.0087")</f>
        <v>0.0087</v>
      </c>
    </row>
    <row r="7568" spans="1:7">
      <c r="A7568" s="3"/>
      <c r="B7568" s="3"/>
      <c r="C7568" s="3"/>
      <c r="D7568" s="3"/>
      <c r="E7568" s="3">
        <v>5</v>
      </c>
      <c r="F7568" s="4" t="str">
        <f>HYPERLINK("http://141.218.60.56/~jnz1568/getInfo.php?workbook=12_05.xlsx&amp;sheet=U0&amp;row=7568&amp;col=6&amp;number=3.4&amp;sourceID=14","3.4")</f>
        <v>3.4</v>
      </c>
      <c r="G7568" s="4" t="str">
        <f>HYPERLINK("http://141.218.60.56/~jnz1568/getInfo.php?workbook=12_05.xlsx&amp;sheet=U0&amp;row=7568&amp;col=7&amp;number=0.0087&amp;sourceID=14","0.0087")</f>
        <v>0.0087</v>
      </c>
    </row>
    <row r="7569" spans="1:7">
      <c r="A7569" s="3"/>
      <c r="B7569" s="3"/>
      <c r="C7569" s="3"/>
      <c r="D7569" s="3"/>
      <c r="E7569" s="3">
        <v>6</v>
      </c>
      <c r="F7569" s="4" t="str">
        <f>HYPERLINK("http://141.218.60.56/~jnz1568/getInfo.php?workbook=12_05.xlsx&amp;sheet=U0&amp;row=7569&amp;col=6&amp;number=3.5&amp;sourceID=14","3.5")</f>
        <v>3.5</v>
      </c>
      <c r="G7569" s="4" t="str">
        <f>HYPERLINK("http://141.218.60.56/~jnz1568/getInfo.php?workbook=12_05.xlsx&amp;sheet=U0&amp;row=7569&amp;col=7&amp;number=0.00869&amp;sourceID=14","0.00869")</f>
        <v>0.00869</v>
      </c>
    </row>
    <row r="7570" spans="1:7">
      <c r="A7570" s="3"/>
      <c r="B7570" s="3"/>
      <c r="C7570" s="3"/>
      <c r="D7570" s="3"/>
      <c r="E7570" s="3">
        <v>7</v>
      </c>
      <c r="F7570" s="4" t="str">
        <f>HYPERLINK("http://141.218.60.56/~jnz1568/getInfo.php?workbook=12_05.xlsx&amp;sheet=U0&amp;row=7570&amp;col=6&amp;number=3.6&amp;sourceID=14","3.6")</f>
        <v>3.6</v>
      </c>
      <c r="G7570" s="4" t="str">
        <f>HYPERLINK("http://141.218.60.56/~jnz1568/getInfo.php?workbook=12_05.xlsx&amp;sheet=U0&amp;row=7570&amp;col=7&amp;number=0.00868&amp;sourceID=14","0.00868")</f>
        <v>0.00868</v>
      </c>
    </row>
    <row r="7571" spans="1:7">
      <c r="A7571" s="3"/>
      <c r="B7571" s="3"/>
      <c r="C7571" s="3"/>
      <c r="D7571" s="3"/>
      <c r="E7571" s="3">
        <v>8</v>
      </c>
      <c r="F7571" s="4" t="str">
        <f>HYPERLINK("http://141.218.60.56/~jnz1568/getInfo.php?workbook=12_05.xlsx&amp;sheet=U0&amp;row=7571&amp;col=6&amp;number=3.7&amp;sourceID=14","3.7")</f>
        <v>3.7</v>
      </c>
      <c r="G7571" s="4" t="str">
        <f>HYPERLINK("http://141.218.60.56/~jnz1568/getInfo.php?workbook=12_05.xlsx&amp;sheet=U0&amp;row=7571&amp;col=7&amp;number=0.00867&amp;sourceID=14","0.00867")</f>
        <v>0.00867</v>
      </c>
    </row>
    <row r="7572" spans="1:7">
      <c r="A7572" s="3"/>
      <c r="B7572" s="3"/>
      <c r="C7572" s="3"/>
      <c r="D7572" s="3"/>
      <c r="E7572" s="3">
        <v>9</v>
      </c>
      <c r="F7572" s="4" t="str">
        <f>HYPERLINK("http://141.218.60.56/~jnz1568/getInfo.php?workbook=12_05.xlsx&amp;sheet=U0&amp;row=7572&amp;col=6&amp;number=3.8&amp;sourceID=14","3.8")</f>
        <v>3.8</v>
      </c>
      <c r="G7572" s="4" t="str">
        <f>HYPERLINK("http://141.218.60.56/~jnz1568/getInfo.php?workbook=12_05.xlsx&amp;sheet=U0&amp;row=7572&amp;col=7&amp;number=0.00866&amp;sourceID=14","0.00866")</f>
        <v>0.00866</v>
      </c>
    </row>
    <row r="7573" spans="1:7">
      <c r="A7573" s="3"/>
      <c r="B7573" s="3"/>
      <c r="C7573" s="3"/>
      <c r="D7573" s="3"/>
      <c r="E7573" s="3">
        <v>10</v>
      </c>
      <c r="F7573" s="4" t="str">
        <f>HYPERLINK("http://141.218.60.56/~jnz1568/getInfo.php?workbook=12_05.xlsx&amp;sheet=U0&amp;row=7573&amp;col=6&amp;number=3.9&amp;sourceID=14","3.9")</f>
        <v>3.9</v>
      </c>
      <c r="G7573" s="4" t="str">
        <f>HYPERLINK("http://141.218.60.56/~jnz1568/getInfo.php?workbook=12_05.xlsx&amp;sheet=U0&amp;row=7573&amp;col=7&amp;number=0.00865&amp;sourceID=14","0.00865")</f>
        <v>0.00865</v>
      </c>
    </row>
    <row r="7574" spans="1:7">
      <c r="A7574" s="3"/>
      <c r="B7574" s="3"/>
      <c r="C7574" s="3"/>
      <c r="D7574" s="3"/>
      <c r="E7574" s="3">
        <v>11</v>
      </c>
      <c r="F7574" s="4" t="str">
        <f>HYPERLINK("http://141.218.60.56/~jnz1568/getInfo.php?workbook=12_05.xlsx&amp;sheet=U0&amp;row=7574&amp;col=6&amp;number=4&amp;sourceID=14","4")</f>
        <v>4</v>
      </c>
      <c r="G7574" s="4" t="str">
        <f>HYPERLINK("http://141.218.60.56/~jnz1568/getInfo.php?workbook=12_05.xlsx&amp;sheet=U0&amp;row=7574&amp;col=7&amp;number=0.00863&amp;sourceID=14","0.00863")</f>
        <v>0.00863</v>
      </c>
    </row>
    <row r="7575" spans="1:7">
      <c r="A7575" s="3"/>
      <c r="B7575" s="3"/>
      <c r="C7575" s="3"/>
      <c r="D7575" s="3"/>
      <c r="E7575" s="3">
        <v>12</v>
      </c>
      <c r="F7575" s="4" t="str">
        <f>HYPERLINK("http://141.218.60.56/~jnz1568/getInfo.php?workbook=12_05.xlsx&amp;sheet=U0&amp;row=7575&amp;col=6&amp;number=4.1&amp;sourceID=14","4.1")</f>
        <v>4.1</v>
      </c>
      <c r="G7575" s="4" t="str">
        <f>HYPERLINK("http://141.218.60.56/~jnz1568/getInfo.php?workbook=12_05.xlsx&amp;sheet=U0&amp;row=7575&amp;col=7&amp;number=0.00861&amp;sourceID=14","0.00861")</f>
        <v>0.00861</v>
      </c>
    </row>
    <row r="7576" spans="1:7">
      <c r="A7576" s="3"/>
      <c r="B7576" s="3"/>
      <c r="C7576" s="3"/>
      <c r="D7576" s="3"/>
      <c r="E7576" s="3">
        <v>13</v>
      </c>
      <c r="F7576" s="4" t="str">
        <f>HYPERLINK("http://141.218.60.56/~jnz1568/getInfo.php?workbook=12_05.xlsx&amp;sheet=U0&amp;row=7576&amp;col=6&amp;number=4.2&amp;sourceID=14","4.2")</f>
        <v>4.2</v>
      </c>
      <c r="G7576" s="4" t="str">
        <f>HYPERLINK("http://141.218.60.56/~jnz1568/getInfo.php?workbook=12_05.xlsx&amp;sheet=U0&amp;row=7576&amp;col=7&amp;number=0.00858&amp;sourceID=14","0.00858")</f>
        <v>0.00858</v>
      </c>
    </row>
    <row r="7577" spans="1:7">
      <c r="A7577" s="3"/>
      <c r="B7577" s="3"/>
      <c r="C7577" s="3"/>
      <c r="D7577" s="3"/>
      <c r="E7577" s="3">
        <v>14</v>
      </c>
      <c r="F7577" s="4" t="str">
        <f>HYPERLINK("http://141.218.60.56/~jnz1568/getInfo.php?workbook=12_05.xlsx&amp;sheet=U0&amp;row=7577&amp;col=6&amp;number=4.3&amp;sourceID=14","4.3")</f>
        <v>4.3</v>
      </c>
      <c r="G7577" s="4" t="str">
        <f>HYPERLINK("http://141.218.60.56/~jnz1568/getInfo.php?workbook=12_05.xlsx&amp;sheet=U0&amp;row=7577&amp;col=7&amp;number=0.00855&amp;sourceID=14","0.00855")</f>
        <v>0.00855</v>
      </c>
    </row>
    <row r="7578" spans="1:7">
      <c r="A7578" s="3"/>
      <c r="B7578" s="3"/>
      <c r="C7578" s="3"/>
      <c r="D7578" s="3"/>
      <c r="E7578" s="3">
        <v>15</v>
      </c>
      <c r="F7578" s="4" t="str">
        <f>HYPERLINK("http://141.218.60.56/~jnz1568/getInfo.php?workbook=12_05.xlsx&amp;sheet=U0&amp;row=7578&amp;col=6&amp;number=4.4&amp;sourceID=14","4.4")</f>
        <v>4.4</v>
      </c>
      <c r="G7578" s="4" t="str">
        <f>HYPERLINK("http://141.218.60.56/~jnz1568/getInfo.php?workbook=12_05.xlsx&amp;sheet=U0&amp;row=7578&amp;col=7&amp;number=0.00851&amp;sourceID=14","0.00851")</f>
        <v>0.00851</v>
      </c>
    </row>
    <row r="7579" spans="1:7">
      <c r="A7579" s="3"/>
      <c r="B7579" s="3"/>
      <c r="C7579" s="3"/>
      <c r="D7579" s="3"/>
      <c r="E7579" s="3">
        <v>16</v>
      </c>
      <c r="F7579" s="4" t="str">
        <f>HYPERLINK("http://141.218.60.56/~jnz1568/getInfo.php?workbook=12_05.xlsx&amp;sheet=U0&amp;row=7579&amp;col=6&amp;number=4.5&amp;sourceID=14","4.5")</f>
        <v>4.5</v>
      </c>
      <c r="G7579" s="4" t="str">
        <f>HYPERLINK("http://141.218.60.56/~jnz1568/getInfo.php?workbook=12_05.xlsx&amp;sheet=U0&amp;row=7579&amp;col=7&amp;number=0.00846&amp;sourceID=14","0.00846")</f>
        <v>0.00846</v>
      </c>
    </row>
    <row r="7580" spans="1:7">
      <c r="A7580" s="3"/>
      <c r="B7580" s="3"/>
      <c r="C7580" s="3"/>
      <c r="D7580" s="3"/>
      <c r="E7580" s="3">
        <v>17</v>
      </c>
      <c r="F7580" s="4" t="str">
        <f>HYPERLINK("http://141.218.60.56/~jnz1568/getInfo.php?workbook=12_05.xlsx&amp;sheet=U0&amp;row=7580&amp;col=6&amp;number=4.6&amp;sourceID=14","4.6")</f>
        <v>4.6</v>
      </c>
      <c r="G7580" s="4" t="str">
        <f>HYPERLINK("http://141.218.60.56/~jnz1568/getInfo.php?workbook=12_05.xlsx&amp;sheet=U0&amp;row=7580&amp;col=7&amp;number=0.00839&amp;sourceID=14","0.00839")</f>
        <v>0.00839</v>
      </c>
    </row>
    <row r="7581" spans="1:7">
      <c r="A7581" s="3"/>
      <c r="B7581" s="3"/>
      <c r="C7581" s="3"/>
      <c r="D7581" s="3"/>
      <c r="E7581" s="3">
        <v>18</v>
      </c>
      <c r="F7581" s="4" t="str">
        <f>HYPERLINK("http://141.218.60.56/~jnz1568/getInfo.php?workbook=12_05.xlsx&amp;sheet=U0&amp;row=7581&amp;col=6&amp;number=4.7&amp;sourceID=14","4.7")</f>
        <v>4.7</v>
      </c>
      <c r="G7581" s="4" t="str">
        <f>HYPERLINK("http://141.218.60.56/~jnz1568/getInfo.php?workbook=12_05.xlsx&amp;sheet=U0&amp;row=7581&amp;col=7&amp;number=0.00831&amp;sourceID=14","0.00831")</f>
        <v>0.00831</v>
      </c>
    </row>
    <row r="7582" spans="1:7">
      <c r="A7582" s="3"/>
      <c r="B7582" s="3"/>
      <c r="C7582" s="3"/>
      <c r="D7582" s="3"/>
      <c r="E7582" s="3">
        <v>19</v>
      </c>
      <c r="F7582" s="4" t="str">
        <f>HYPERLINK("http://141.218.60.56/~jnz1568/getInfo.php?workbook=12_05.xlsx&amp;sheet=U0&amp;row=7582&amp;col=6&amp;number=4.8&amp;sourceID=14","4.8")</f>
        <v>4.8</v>
      </c>
      <c r="G7582" s="4" t="str">
        <f>HYPERLINK("http://141.218.60.56/~jnz1568/getInfo.php?workbook=12_05.xlsx&amp;sheet=U0&amp;row=7582&amp;col=7&amp;number=0.00821&amp;sourceID=14","0.00821")</f>
        <v>0.00821</v>
      </c>
    </row>
    <row r="7583" spans="1:7">
      <c r="A7583" s="3"/>
      <c r="B7583" s="3"/>
      <c r="C7583" s="3"/>
      <c r="D7583" s="3"/>
      <c r="E7583" s="3">
        <v>20</v>
      </c>
      <c r="F7583" s="4" t="str">
        <f>HYPERLINK("http://141.218.60.56/~jnz1568/getInfo.php?workbook=12_05.xlsx&amp;sheet=U0&amp;row=7583&amp;col=6&amp;number=4.9&amp;sourceID=14","4.9")</f>
        <v>4.9</v>
      </c>
      <c r="G7583" s="4" t="str">
        <f>HYPERLINK("http://141.218.60.56/~jnz1568/getInfo.php?workbook=12_05.xlsx&amp;sheet=U0&amp;row=7583&amp;col=7&amp;number=0.00809&amp;sourceID=14","0.00809")</f>
        <v>0.00809</v>
      </c>
    </row>
    <row r="7584" spans="1:7">
      <c r="A7584" s="3">
        <v>12</v>
      </c>
      <c r="B7584" s="3">
        <v>5</v>
      </c>
      <c r="C7584" s="3">
        <v>3</v>
      </c>
      <c r="D7584" s="3">
        <v>38</v>
      </c>
      <c r="E7584" s="3">
        <v>1</v>
      </c>
      <c r="F7584" s="4" t="str">
        <f>HYPERLINK("http://141.218.60.56/~jnz1568/getInfo.php?workbook=12_05.xlsx&amp;sheet=U0&amp;row=7584&amp;col=6&amp;number=3&amp;sourceID=14","3")</f>
        <v>3</v>
      </c>
      <c r="G7584" s="4" t="str">
        <f>HYPERLINK("http://141.218.60.56/~jnz1568/getInfo.php?workbook=12_05.xlsx&amp;sheet=U0&amp;row=7584&amp;col=7&amp;number=0.000137&amp;sourceID=14","0.000137")</f>
        <v>0.000137</v>
      </c>
    </row>
    <row r="7585" spans="1:7">
      <c r="A7585" s="3"/>
      <c r="B7585" s="3"/>
      <c r="C7585" s="3"/>
      <c r="D7585" s="3"/>
      <c r="E7585" s="3">
        <v>2</v>
      </c>
      <c r="F7585" s="4" t="str">
        <f>HYPERLINK("http://141.218.60.56/~jnz1568/getInfo.php?workbook=12_05.xlsx&amp;sheet=U0&amp;row=7585&amp;col=6&amp;number=3.1&amp;sourceID=14","3.1")</f>
        <v>3.1</v>
      </c>
      <c r="G7585" s="4" t="str">
        <f>HYPERLINK("http://141.218.60.56/~jnz1568/getInfo.php?workbook=12_05.xlsx&amp;sheet=U0&amp;row=7585&amp;col=7&amp;number=0.000137&amp;sourceID=14","0.000137")</f>
        <v>0.000137</v>
      </c>
    </row>
    <row r="7586" spans="1:7">
      <c r="A7586" s="3"/>
      <c r="B7586" s="3"/>
      <c r="C7586" s="3"/>
      <c r="D7586" s="3"/>
      <c r="E7586" s="3">
        <v>3</v>
      </c>
      <c r="F7586" s="4" t="str">
        <f>HYPERLINK("http://141.218.60.56/~jnz1568/getInfo.php?workbook=12_05.xlsx&amp;sheet=U0&amp;row=7586&amp;col=6&amp;number=3.2&amp;sourceID=14","3.2")</f>
        <v>3.2</v>
      </c>
      <c r="G7586" s="4" t="str">
        <f>HYPERLINK("http://141.218.60.56/~jnz1568/getInfo.php?workbook=12_05.xlsx&amp;sheet=U0&amp;row=7586&amp;col=7&amp;number=0.000137&amp;sourceID=14","0.000137")</f>
        <v>0.000137</v>
      </c>
    </row>
    <row r="7587" spans="1:7">
      <c r="A7587" s="3"/>
      <c r="B7587" s="3"/>
      <c r="C7587" s="3"/>
      <c r="D7587" s="3"/>
      <c r="E7587" s="3">
        <v>4</v>
      </c>
      <c r="F7587" s="4" t="str">
        <f>HYPERLINK("http://141.218.60.56/~jnz1568/getInfo.php?workbook=12_05.xlsx&amp;sheet=U0&amp;row=7587&amp;col=6&amp;number=3.3&amp;sourceID=14","3.3")</f>
        <v>3.3</v>
      </c>
      <c r="G7587" s="4" t="str">
        <f>HYPERLINK("http://141.218.60.56/~jnz1568/getInfo.php?workbook=12_05.xlsx&amp;sheet=U0&amp;row=7587&amp;col=7&amp;number=0.000137&amp;sourceID=14","0.000137")</f>
        <v>0.000137</v>
      </c>
    </row>
    <row r="7588" spans="1:7">
      <c r="A7588" s="3"/>
      <c r="B7588" s="3"/>
      <c r="C7588" s="3"/>
      <c r="D7588" s="3"/>
      <c r="E7588" s="3">
        <v>5</v>
      </c>
      <c r="F7588" s="4" t="str">
        <f>HYPERLINK("http://141.218.60.56/~jnz1568/getInfo.php?workbook=12_05.xlsx&amp;sheet=U0&amp;row=7588&amp;col=6&amp;number=3.4&amp;sourceID=14","3.4")</f>
        <v>3.4</v>
      </c>
      <c r="G7588" s="4" t="str">
        <f>HYPERLINK("http://141.218.60.56/~jnz1568/getInfo.php?workbook=12_05.xlsx&amp;sheet=U0&amp;row=7588&amp;col=7&amp;number=0.000136&amp;sourceID=14","0.000136")</f>
        <v>0.000136</v>
      </c>
    </row>
    <row r="7589" spans="1:7">
      <c r="A7589" s="3"/>
      <c r="B7589" s="3"/>
      <c r="C7589" s="3"/>
      <c r="D7589" s="3"/>
      <c r="E7589" s="3">
        <v>6</v>
      </c>
      <c r="F7589" s="4" t="str">
        <f>HYPERLINK("http://141.218.60.56/~jnz1568/getInfo.php?workbook=12_05.xlsx&amp;sheet=U0&amp;row=7589&amp;col=6&amp;number=3.5&amp;sourceID=14","3.5")</f>
        <v>3.5</v>
      </c>
      <c r="G7589" s="4" t="str">
        <f>HYPERLINK("http://141.218.60.56/~jnz1568/getInfo.php?workbook=12_05.xlsx&amp;sheet=U0&amp;row=7589&amp;col=7&amp;number=0.000136&amp;sourceID=14","0.000136")</f>
        <v>0.000136</v>
      </c>
    </row>
    <row r="7590" spans="1:7">
      <c r="A7590" s="3"/>
      <c r="B7590" s="3"/>
      <c r="C7590" s="3"/>
      <c r="D7590" s="3"/>
      <c r="E7590" s="3">
        <v>7</v>
      </c>
      <c r="F7590" s="4" t="str">
        <f>HYPERLINK("http://141.218.60.56/~jnz1568/getInfo.php?workbook=12_05.xlsx&amp;sheet=U0&amp;row=7590&amp;col=6&amp;number=3.6&amp;sourceID=14","3.6")</f>
        <v>3.6</v>
      </c>
      <c r="G7590" s="4" t="str">
        <f>HYPERLINK("http://141.218.60.56/~jnz1568/getInfo.php?workbook=12_05.xlsx&amp;sheet=U0&amp;row=7590&amp;col=7&amp;number=0.000136&amp;sourceID=14","0.000136")</f>
        <v>0.000136</v>
      </c>
    </row>
    <row r="7591" spans="1:7">
      <c r="A7591" s="3"/>
      <c r="B7591" s="3"/>
      <c r="C7591" s="3"/>
      <c r="D7591" s="3"/>
      <c r="E7591" s="3">
        <v>8</v>
      </c>
      <c r="F7591" s="4" t="str">
        <f>HYPERLINK("http://141.218.60.56/~jnz1568/getInfo.php?workbook=12_05.xlsx&amp;sheet=U0&amp;row=7591&amp;col=6&amp;number=3.7&amp;sourceID=14","3.7")</f>
        <v>3.7</v>
      </c>
      <c r="G7591" s="4" t="str">
        <f>HYPERLINK("http://141.218.60.56/~jnz1568/getInfo.php?workbook=12_05.xlsx&amp;sheet=U0&amp;row=7591&amp;col=7&amp;number=0.000136&amp;sourceID=14","0.000136")</f>
        <v>0.000136</v>
      </c>
    </row>
    <row r="7592" spans="1:7">
      <c r="A7592" s="3"/>
      <c r="B7592" s="3"/>
      <c r="C7592" s="3"/>
      <c r="D7592" s="3"/>
      <c r="E7592" s="3">
        <v>9</v>
      </c>
      <c r="F7592" s="4" t="str">
        <f>HYPERLINK("http://141.218.60.56/~jnz1568/getInfo.php?workbook=12_05.xlsx&amp;sheet=U0&amp;row=7592&amp;col=6&amp;number=3.8&amp;sourceID=14","3.8")</f>
        <v>3.8</v>
      </c>
      <c r="G7592" s="4" t="str">
        <f>HYPERLINK("http://141.218.60.56/~jnz1568/getInfo.php?workbook=12_05.xlsx&amp;sheet=U0&amp;row=7592&amp;col=7&amp;number=0.000136&amp;sourceID=14","0.000136")</f>
        <v>0.000136</v>
      </c>
    </row>
    <row r="7593" spans="1:7">
      <c r="A7593" s="3"/>
      <c r="B7593" s="3"/>
      <c r="C7593" s="3"/>
      <c r="D7593" s="3"/>
      <c r="E7593" s="3">
        <v>10</v>
      </c>
      <c r="F7593" s="4" t="str">
        <f>HYPERLINK("http://141.218.60.56/~jnz1568/getInfo.php?workbook=12_05.xlsx&amp;sheet=U0&amp;row=7593&amp;col=6&amp;number=3.9&amp;sourceID=14","3.9")</f>
        <v>3.9</v>
      </c>
      <c r="G7593" s="4" t="str">
        <f>HYPERLINK("http://141.218.60.56/~jnz1568/getInfo.php?workbook=12_05.xlsx&amp;sheet=U0&amp;row=7593&amp;col=7&amp;number=0.000136&amp;sourceID=14","0.000136")</f>
        <v>0.000136</v>
      </c>
    </row>
    <row r="7594" spans="1:7">
      <c r="A7594" s="3"/>
      <c r="B7594" s="3"/>
      <c r="C7594" s="3"/>
      <c r="D7594" s="3"/>
      <c r="E7594" s="3">
        <v>11</v>
      </c>
      <c r="F7594" s="4" t="str">
        <f>HYPERLINK("http://141.218.60.56/~jnz1568/getInfo.php?workbook=12_05.xlsx&amp;sheet=U0&amp;row=7594&amp;col=6&amp;number=4&amp;sourceID=14","4")</f>
        <v>4</v>
      </c>
      <c r="G7594" s="4" t="str">
        <f>HYPERLINK("http://141.218.60.56/~jnz1568/getInfo.php?workbook=12_05.xlsx&amp;sheet=U0&amp;row=7594&amp;col=7&amp;number=0.000136&amp;sourceID=14","0.000136")</f>
        <v>0.000136</v>
      </c>
    </row>
    <row r="7595" spans="1:7">
      <c r="A7595" s="3"/>
      <c r="B7595" s="3"/>
      <c r="C7595" s="3"/>
      <c r="D7595" s="3"/>
      <c r="E7595" s="3">
        <v>12</v>
      </c>
      <c r="F7595" s="4" t="str">
        <f>HYPERLINK("http://141.218.60.56/~jnz1568/getInfo.php?workbook=12_05.xlsx&amp;sheet=U0&amp;row=7595&amp;col=6&amp;number=4.1&amp;sourceID=14","4.1")</f>
        <v>4.1</v>
      </c>
      <c r="G7595" s="4" t="str">
        <f>HYPERLINK("http://141.218.60.56/~jnz1568/getInfo.php?workbook=12_05.xlsx&amp;sheet=U0&amp;row=7595&amp;col=7&amp;number=0.000135&amp;sourceID=14","0.000135")</f>
        <v>0.000135</v>
      </c>
    </row>
    <row r="7596" spans="1:7">
      <c r="A7596" s="3"/>
      <c r="B7596" s="3"/>
      <c r="C7596" s="3"/>
      <c r="D7596" s="3"/>
      <c r="E7596" s="3">
        <v>13</v>
      </c>
      <c r="F7596" s="4" t="str">
        <f>HYPERLINK("http://141.218.60.56/~jnz1568/getInfo.php?workbook=12_05.xlsx&amp;sheet=U0&amp;row=7596&amp;col=6&amp;number=4.2&amp;sourceID=14","4.2")</f>
        <v>4.2</v>
      </c>
      <c r="G7596" s="4" t="str">
        <f>HYPERLINK("http://141.218.60.56/~jnz1568/getInfo.php?workbook=12_05.xlsx&amp;sheet=U0&amp;row=7596&amp;col=7&amp;number=0.000135&amp;sourceID=14","0.000135")</f>
        <v>0.000135</v>
      </c>
    </row>
    <row r="7597" spans="1:7">
      <c r="A7597" s="3"/>
      <c r="B7597" s="3"/>
      <c r="C7597" s="3"/>
      <c r="D7597" s="3"/>
      <c r="E7597" s="3">
        <v>14</v>
      </c>
      <c r="F7597" s="4" t="str">
        <f>HYPERLINK("http://141.218.60.56/~jnz1568/getInfo.php?workbook=12_05.xlsx&amp;sheet=U0&amp;row=7597&amp;col=6&amp;number=4.3&amp;sourceID=14","4.3")</f>
        <v>4.3</v>
      </c>
      <c r="G7597" s="4" t="str">
        <f>HYPERLINK("http://141.218.60.56/~jnz1568/getInfo.php?workbook=12_05.xlsx&amp;sheet=U0&amp;row=7597&amp;col=7&amp;number=0.000134&amp;sourceID=14","0.000134")</f>
        <v>0.000134</v>
      </c>
    </row>
    <row r="7598" spans="1:7">
      <c r="A7598" s="3"/>
      <c r="B7598" s="3"/>
      <c r="C7598" s="3"/>
      <c r="D7598" s="3"/>
      <c r="E7598" s="3">
        <v>15</v>
      </c>
      <c r="F7598" s="4" t="str">
        <f>HYPERLINK("http://141.218.60.56/~jnz1568/getInfo.php?workbook=12_05.xlsx&amp;sheet=U0&amp;row=7598&amp;col=6&amp;number=4.4&amp;sourceID=14","4.4")</f>
        <v>4.4</v>
      </c>
      <c r="G7598" s="4" t="str">
        <f>HYPERLINK("http://141.218.60.56/~jnz1568/getInfo.php?workbook=12_05.xlsx&amp;sheet=U0&amp;row=7598&amp;col=7&amp;number=0.000134&amp;sourceID=14","0.000134")</f>
        <v>0.000134</v>
      </c>
    </row>
    <row r="7599" spans="1:7">
      <c r="A7599" s="3"/>
      <c r="B7599" s="3"/>
      <c r="C7599" s="3"/>
      <c r="D7599" s="3"/>
      <c r="E7599" s="3">
        <v>16</v>
      </c>
      <c r="F7599" s="4" t="str">
        <f>HYPERLINK("http://141.218.60.56/~jnz1568/getInfo.php?workbook=12_05.xlsx&amp;sheet=U0&amp;row=7599&amp;col=6&amp;number=4.5&amp;sourceID=14","4.5")</f>
        <v>4.5</v>
      </c>
      <c r="G7599" s="4" t="str">
        <f>HYPERLINK("http://141.218.60.56/~jnz1568/getInfo.php?workbook=12_05.xlsx&amp;sheet=U0&amp;row=7599&amp;col=7&amp;number=0.000133&amp;sourceID=14","0.000133")</f>
        <v>0.000133</v>
      </c>
    </row>
    <row r="7600" spans="1:7">
      <c r="A7600" s="3"/>
      <c r="B7600" s="3"/>
      <c r="C7600" s="3"/>
      <c r="D7600" s="3"/>
      <c r="E7600" s="3">
        <v>17</v>
      </c>
      <c r="F7600" s="4" t="str">
        <f>HYPERLINK("http://141.218.60.56/~jnz1568/getInfo.php?workbook=12_05.xlsx&amp;sheet=U0&amp;row=7600&amp;col=6&amp;number=4.6&amp;sourceID=14","4.6")</f>
        <v>4.6</v>
      </c>
      <c r="G7600" s="4" t="str">
        <f>HYPERLINK("http://141.218.60.56/~jnz1568/getInfo.php?workbook=12_05.xlsx&amp;sheet=U0&amp;row=7600&amp;col=7&amp;number=0.000132&amp;sourceID=14","0.000132")</f>
        <v>0.000132</v>
      </c>
    </row>
    <row r="7601" spans="1:7">
      <c r="A7601" s="3"/>
      <c r="B7601" s="3"/>
      <c r="C7601" s="3"/>
      <c r="D7601" s="3"/>
      <c r="E7601" s="3">
        <v>18</v>
      </c>
      <c r="F7601" s="4" t="str">
        <f>HYPERLINK("http://141.218.60.56/~jnz1568/getInfo.php?workbook=12_05.xlsx&amp;sheet=U0&amp;row=7601&amp;col=6&amp;number=4.7&amp;sourceID=14","4.7")</f>
        <v>4.7</v>
      </c>
      <c r="G7601" s="4" t="str">
        <f>HYPERLINK("http://141.218.60.56/~jnz1568/getInfo.php?workbook=12_05.xlsx&amp;sheet=U0&amp;row=7601&amp;col=7&amp;number=0.000131&amp;sourceID=14","0.000131")</f>
        <v>0.000131</v>
      </c>
    </row>
    <row r="7602" spans="1:7">
      <c r="A7602" s="3"/>
      <c r="B7602" s="3"/>
      <c r="C7602" s="3"/>
      <c r="D7602" s="3"/>
      <c r="E7602" s="3">
        <v>19</v>
      </c>
      <c r="F7602" s="4" t="str">
        <f>HYPERLINK("http://141.218.60.56/~jnz1568/getInfo.php?workbook=12_05.xlsx&amp;sheet=U0&amp;row=7602&amp;col=6&amp;number=4.8&amp;sourceID=14","4.8")</f>
        <v>4.8</v>
      </c>
      <c r="G7602" s="4" t="str">
        <f>HYPERLINK("http://141.218.60.56/~jnz1568/getInfo.php?workbook=12_05.xlsx&amp;sheet=U0&amp;row=7602&amp;col=7&amp;number=0.000129&amp;sourceID=14","0.000129")</f>
        <v>0.000129</v>
      </c>
    </row>
    <row r="7603" spans="1:7">
      <c r="A7603" s="3"/>
      <c r="B7603" s="3"/>
      <c r="C7603" s="3"/>
      <c r="D7603" s="3"/>
      <c r="E7603" s="3">
        <v>20</v>
      </c>
      <c r="F7603" s="4" t="str">
        <f>HYPERLINK("http://141.218.60.56/~jnz1568/getInfo.php?workbook=12_05.xlsx&amp;sheet=U0&amp;row=7603&amp;col=6&amp;number=4.9&amp;sourceID=14","4.9")</f>
        <v>4.9</v>
      </c>
      <c r="G7603" s="4" t="str">
        <f>HYPERLINK("http://141.218.60.56/~jnz1568/getInfo.php?workbook=12_05.xlsx&amp;sheet=U0&amp;row=7603&amp;col=7&amp;number=0.000127&amp;sourceID=14","0.000127")</f>
        <v>0.000127</v>
      </c>
    </row>
    <row r="7604" spans="1:7">
      <c r="A7604" s="3">
        <v>12</v>
      </c>
      <c r="B7604" s="3">
        <v>5</v>
      </c>
      <c r="C7604" s="3">
        <v>3</v>
      </c>
      <c r="D7604" s="3">
        <v>39</v>
      </c>
      <c r="E7604" s="3">
        <v>1</v>
      </c>
      <c r="F7604" s="4" t="str">
        <f>HYPERLINK("http://141.218.60.56/~jnz1568/getInfo.php?workbook=12_05.xlsx&amp;sheet=U0&amp;row=7604&amp;col=6&amp;number=3&amp;sourceID=14","3")</f>
        <v>3</v>
      </c>
      <c r="G7604" s="4" t="str">
        <f>HYPERLINK("http://141.218.60.56/~jnz1568/getInfo.php?workbook=12_05.xlsx&amp;sheet=U0&amp;row=7604&amp;col=7&amp;number=0.00162&amp;sourceID=14","0.00162")</f>
        <v>0.00162</v>
      </c>
    </row>
    <row r="7605" spans="1:7">
      <c r="A7605" s="3"/>
      <c r="B7605" s="3"/>
      <c r="C7605" s="3"/>
      <c r="D7605" s="3"/>
      <c r="E7605" s="3">
        <v>2</v>
      </c>
      <c r="F7605" s="4" t="str">
        <f>HYPERLINK("http://141.218.60.56/~jnz1568/getInfo.php?workbook=12_05.xlsx&amp;sheet=U0&amp;row=7605&amp;col=6&amp;number=3.1&amp;sourceID=14","3.1")</f>
        <v>3.1</v>
      </c>
      <c r="G7605" s="4" t="str">
        <f>HYPERLINK("http://141.218.60.56/~jnz1568/getInfo.php?workbook=12_05.xlsx&amp;sheet=U0&amp;row=7605&amp;col=7&amp;number=0.00162&amp;sourceID=14","0.00162")</f>
        <v>0.00162</v>
      </c>
    </row>
    <row r="7606" spans="1:7">
      <c r="A7606" s="3"/>
      <c r="B7606" s="3"/>
      <c r="C7606" s="3"/>
      <c r="D7606" s="3"/>
      <c r="E7606" s="3">
        <v>3</v>
      </c>
      <c r="F7606" s="4" t="str">
        <f>HYPERLINK("http://141.218.60.56/~jnz1568/getInfo.php?workbook=12_05.xlsx&amp;sheet=U0&amp;row=7606&amp;col=6&amp;number=3.2&amp;sourceID=14","3.2")</f>
        <v>3.2</v>
      </c>
      <c r="G7606" s="4" t="str">
        <f>HYPERLINK("http://141.218.60.56/~jnz1568/getInfo.php?workbook=12_05.xlsx&amp;sheet=U0&amp;row=7606&amp;col=7&amp;number=0.00162&amp;sourceID=14","0.00162")</f>
        <v>0.00162</v>
      </c>
    </row>
    <row r="7607" spans="1:7">
      <c r="A7607" s="3"/>
      <c r="B7607" s="3"/>
      <c r="C7607" s="3"/>
      <c r="D7607" s="3"/>
      <c r="E7607" s="3">
        <v>4</v>
      </c>
      <c r="F7607" s="4" t="str">
        <f>HYPERLINK("http://141.218.60.56/~jnz1568/getInfo.php?workbook=12_05.xlsx&amp;sheet=U0&amp;row=7607&amp;col=6&amp;number=3.3&amp;sourceID=14","3.3")</f>
        <v>3.3</v>
      </c>
      <c r="G7607" s="4" t="str">
        <f>HYPERLINK("http://141.218.60.56/~jnz1568/getInfo.php?workbook=12_05.xlsx&amp;sheet=U0&amp;row=7607&amp;col=7&amp;number=0.00162&amp;sourceID=14","0.00162")</f>
        <v>0.00162</v>
      </c>
    </row>
    <row r="7608" spans="1:7">
      <c r="A7608" s="3"/>
      <c r="B7608" s="3"/>
      <c r="C7608" s="3"/>
      <c r="D7608" s="3"/>
      <c r="E7608" s="3">
        <v>5</v>
      </c>
      <c r="F7608" s="4" t="str">
        <f>HYPERLINK("http://141.218.60.56/~jnz1568/getInfo.php?workbook=12_05.xlsx&amp;sheet=U0&amp;row=7608&amp;col=6&amp;number=3.4&amp;sourceID=14","3.4")</f>
        <v>3.4</v>
      </c>
      <c r="G7608" s="4" t="str">
        <f>HYPERLINK("http://141.218.60.56/~jnz1568/getInfo.php?workbook=12_05.xlsx&amp;sheet=U0&amp;row=7608&amp;col=7&amp;number=0.00162&amp;sourceID=14","0.00162")</f>
        <v>0.00162</v>
      </c>
    </row>
    <row r="7609" spans="1:7">
      <c r="A7609" s="3"/>
      <c r="B7609" s="3"/>
      <c r="C7609" s="3"/>
      <c r="D7609" s="3"/>
      <c r="E7609" s="3">
        <v>6</v>
      </c>
      <c r="F7609" s="4" t="str">
        <f>HYPERLINK("http://141.218.60.56/~jnz1568/getInfo.php?workbook=12_05.xlsx&amp;sheet=U0&amp;row=7609&amp;col=6&amp;number=3.5&amp;sourceID=14","3.5")</f>
        <v>3.5</v>
      </c>
      <c r="G7609" s="4" t="str">
        <f>HYPERLINK("http://141.218.60.56/~jnz1568/getInfo.php?workbook=12_05.xlsx&amp;sheet=U0&amp;row=7609&amp;col=7&amp;number=0.00162&amp;sourceID=14","0.00162")</f>
        <v>0.00162</v>
      </c>
    </row>
    <row r="7610" spans="1:7">
      <c r="A7610" s="3"/>
      <c r="B7610" s="3"/>
      <c r="C7610" s="3"/>
      <c r="D7610" s="3"/>
      <c r="E7610" s="3">
        <v>7</v>
      </c>
      <c r="F7610" s="4" t="str">
        <f>HYPERLINK("http://141.218.60.56/~jnz1568/getInfo.php?workbook=12_05.xlsx&amp;sheet=U0&amp;row=7610&amp;col=6&amp;number=3.6&amp;sourceID=14","3.6")</f>
        <v>3.6</v>
      </c>
      <c r="G7610" s="4" t="str">
        <f>HYPERLINK("http://141.218.60.56/~jnz1568/getInfo.php?workbook=12_05.xlsx&amp;sheet=U0&amp;row=7610&amp;col=7&amp;number=0.00162&amp;sourceID=14","0.00162")</f>
        <v>0.00162</v>
      </c>
    </row>
    <row r="7611" spans="1:7">
      <c r="A7611" s="3"/>
      <c r="B7611" s="3"/>
      <c r="C7611" s="3"/>
      <c r="D7611" s="3"/>
      <c r="E7611" s="3">
        <v>8</v>
      </c>
      <c r="F7611" s="4" t="str">
        <f>HYPERLINK("http://141.218.60.56/~jnz1568/getInfo.php?workbook=12_05.xlsx&amp;sheet=U0&amp;row=7611&amp;col=6&amp;number=3.7&amp;sourceID=14","3.7")</f>
        <v>3.7</v>
      </c>
      <c r="G7611" s="4" t="str">
        <f>HYPERLINK("http://141.218.60.56/~jnz1568/getInfo.php?workbook=12_05.xlsx&amp;sheet=U0&amp;row=7611&amp;col=7&amp;number=0.00161&amp;sourceID=14","0.00161")</f>
        <v>0.00161</v>
      </c>
    </row>
    <row r="7612" spans="1:7">
      <c r="A7612" s="3"/>
      <c r="B7612" s="3"/>
      <c r="C7612" s="3"/>
      <c r="D7612" s="3"/>
      <c r="E7612" s="3">
        <v>9</v>
      </c>
      <c r="F7612" s="4" t="str">
        <f>HYPERLINK("http://141.218.60.56/~jnz1568/getInfo.php?workbook=12_05.xlsx&amp;sheet=U0&amp;row=7612&amp;col=6&amp;number=3.8&amp;sourceID=14","3.8")</f>
        <v>3.8</v>
      </c>
      <c r="G7612" s="4" t="str">
        <f>HYPERLINK("http://141.218.60.56/~jnz1568/getInfo.php?workbook=12_05.xlsx&amp;sheet=U0&amp;row=7612&amp;col=7&amp;number=0.00161&amp;sourceID=14","0.00161")</f>
        <v>0.00161</v>
      </c>
    </row>
    <row r="7613" spans="1:7">
      <c r="A7613" s="3"/>
      <c r="B7613" s="3"/>
      <c r="C7613" s="3"/>
      <c r="D7613" s="3"/>
      <c r="E7613" s="3">
        <v>10</v>
      </c>
      <c r="F7613" s="4" t="str">
        <f>HYPERLINK("http://141.218.60.56/~jnz1568/getInfo.php?workbook=12_05.xlsx&amp;sheet=U0&amp;row=7613&amp;col=6&amp;number=3.9&amp;sourceID=14","3.9")</f>
        <v>3.9</v>
      </c>
      <c r="G7613" s="4" t="str">
        <f>HYPERLINK("http://141.218.60.56/~jnz1568/getInfo.php?workbook=12_05.xlsx&amp;sheet=U0&amp;row=7613&amp;col=7&amp;number=0.00161&amp;sourceID=14","0.00161")</f>
        <v>0.00161</v>
      </c>
    </row>
    <row r="7614" spans="1:7">
      <c r="A7614" s="3"/>
      <c r="B7614" s="3"/>
      <c r="C7614" s="3"/>
      <c r="D7614" s="3"/>
      <c r="E7614" s="3">
        <v>11</v>
      </c>
      <c r="F7614" s="4" t="str">
        <f>HYPERLINK("http://141.218.60.56/~jnz1568/getInfo.php?workbook=12_05.xlsx&amp;sheet=U0&amp;row=7614&amp;col=6&amp;number=4&amp;sourceID=14","4")</f>
        <v>4</v>
      </c>
      <c r="G7614" s="4" t="str">
        <f>HYPERLINK("http://141.218.60.56/~jnz1568/getInfo.php?workbook=12_05.xlsx&amp;sheet=U0&amp;row=7614&amp;col=7&amp;number=0.00161&amp;sourceID=14","0.00161")</f>
        <v>0.00161</v>
      </c>
    </row>
    <row r="7615" spans="1:7">
      <c r="A7615" s="3"/>
      <c r="B7615" s="3"/>
      <c r="C7615" s="3"/>
      <c r="D7615" s="3"/>
      <c r="E7615" s="3">
        <v>12</v>
      </c>
      <c r="F7615" s="4" t="str">
        <f>HYPERLINK("http://141.218.60.56/~jnz1568/getInfo.php?workbook=12_05.xlsx&amp;sheet=U0&amp;row=7615&amp;col=6&amp;number=4.1&amp;sourceID=14","4.1")</f>
        <v>4.1</v>
      </c>
      <c r="G7615" s="4" t="str">
        <f>HYPERLINK("http://141.218.60.56/~jnz1568/getInfo.php?workbook=12_05.xlsx&amp;sheet=U0&amp;row=7615&amp;col=7&amp;number=0.0016&amp;sourceID=14","0.0016")</f>
        <v>0.0016</v>
      </c>
    </row>
    <row r="7616" spans="1:7">
      <c r="A7616" s="3"/>
      <c r="B7616" s="3"/>
      <c r="C7616" s="3"/>
      <c r="D7616" s="3"/>
      <c r="E7616" s="3">
        <v>13</v>
      </c>
      <c r="F7616" s="4" t="str">
        <f>HYPERLINK("http://141.218.60.56/~jnz1568/getInfo.php?workbook=12_05.xlsx&amp;sheet=U0&amp;row=7616&amp;col=6&amp;number=4.2&amp;sourceID=14","4.2")</f>
        <v>4.2</v>
      </c>
      <c r="G7616" s="4" t="str">
        <f>HYPERLINK("http://141.218.60.56/~jnz1568/getInfo.php?workbook=12_05.xlsx&amp;sheet=U0&amp;row=7616&amp;col=7&amp;number=0.0016&amp;sourceID=14","0.0016")</f>
        <v>0.0016</v>
      </c>
    </row>
    <row r="7617" spans="1:7">
      <c r="A7617" s="3"/>
      <c r="B7617" s="3"/>
      <c r="C7617" s="3"/>
      <c r="D7617" s="3"/>
      <c r="E7617" s="3">
        <v>14</v>
      </c>
      <c r="F7617" s="4" t="str">
        <f>HYPERLINK("http://141.218.60.56/~jnz1568/getInfo.php?workbook=12_05.xlsx&amp;sheet=U0&amp;row=7617&amp;col=6&amp;number=4.3&amp;sourceID=14","4.3")</f>
        <v>4.3</v>
      </c>
      <c r="G7617" s="4" t="str">
        <f>HYPERLINK("http://141.218.60.56/~jnz1568/getInfo.php?workbook=12_05.xlsx&amp;sheet=U0&amp;row=7617&amp;col=7&amp;number=0.00159&amp;sourceID=14","0.00159")</f>
        <v>0.00159</v>
      </c>
    </row>
    <row r="7618" spans="1:7">
      <c r="A7618" s="3"/>
      <c r="B7618" s="3"/>
      <c r="C7618" s="3"/>
      <c r="D7618" s="3"/>
      <c r="E7618" s="3">
        <v>15</v>
      </c>
      <c r="F7618" s="4" t="str">
        <f>HYPERLINK("http://141.218.60.56/~jnz1568/getInfo.php?workbook=12_05.xlsx&amp;sheet=U0&amp;row=7618&amp;col=6&amp;number=4.4&amp;sourceID=14","4.4")</f>
        <v>4.4</v>
      </c>
      <c r="G7618" s="4" t="str">
        <f>HYPERLINK("http://141.218.60.56/~jnz1568/getInfo.php?workbook=12_05.xlsx&amp;sheet=U0&amp;row=7618&amp;col=7&amp;number=0.00159&amp;sourceID=14","0.00159")</f>
        <v>0.00159</v>
      </c>
    </row>
    <row r="7619" spans="1:7">
      <c r="A7619" s="3"/>
      <c r="B7619" s="3"/>
      <c r="C7619" s="3"/>
      <c r="D7619" s="3"/>
      <c r="E7619" s="3">
        <v>16</v>
      </c>
      <c r="F7619" s="4" t="str">
        <f>HYPERLINK("http://141.218.60.56/~jnz1568/getInfo.php?workbook=12_05.xlsx&amp;sheet=U0&amp;row=7619&amp;col=6&amp;number=4.5&amp;sourceID=14","4.5")</f>
        <v>4.5</v>
      </c>
      <c r="G7619" s="4" t="str">
        <f>HYPERLINK("http://141.218.60.56/~jnz1568/getInfo.php?workbook=12_05.xlsx&amp;sheet=U0&amp;row=7619&amp;col=7&amp;number=0.00158&amp;sourceID=14","0.00158")</f>
        <v>0.00158</v>
      </c>
    </row>
    <row r="7620" spans="1:7">
      <c r="A7620" s="3"/>
      <c r="B7620" s="3"/>
      <c r="C7620" s="3"/>
      <c r="D7620" s="3"/>
      <c r="E7620" s="3">
        <v>17</v>
      </c>
      <c r="F7620" s="4" t="str">
        <f>HYPERLINK("http://141.218.60.56/~jnz1568/getInfo.php?workbook=12_05.xlsx&amp;sheet=U0&amp;row=7620&amp;col=6&amp;number=4.6&amp;sourceID=14","4.6")</f>
        <v>4.6</v>
      </c>
      <c r="G7620" s="4" t="str">
        <f>HYPERLINK("http://141.218.60.56/~jnz1568/getInfo.php?workbook=12_05.xlsx&amp;sheet=U0&amp;row=7620&amp;col=7&amp;number=0.00156&amp;sourceID=14","0.00156")</f>
        <v>0.00156</v>
      </c>
    </row>
    <row r="7621" spans="1:7">
      <c r="A7621" s="3"/>
      <c r="B7621" s="3"/>
      <c r="C7621" s="3"/>
      <c r="D7621" s="3"/>
      <c r="E7621" s="3">
        <v>18</v>
      </c>
      <c r="F7621" s="4" t="str">
        <f>HYPERLINK("http://141.218.60.56/~jnz1568/getInfo.php?workbook=12_05.xlsx&amp;sheet=U0&amp;row=7621&amp;col=6&amp;number=4.7&amp;sourceID=14","4.7")</f>
        <v>4.7</v>
      </c>
      <c r="G7621" s="4" t="str">
        <f>HYPERLINK("http://141.218.60.56/~jnz1568/getInfo.php?workbook=12_05.xlsx&amp;sheet=U0&amp;row=7621&amp;col=7&amp;number=0.00155&amp;sourceID=14","0.00155")</f>
        <v>0.00155</v>
      </c>
    </row>
    <row r="7622" spans="1:7">
      <c r="A7622" s="3"/>
      <c r="B7622" s="3"/>
      <c r="C7622" s="3"/>
      <c r="D7622" s="3"/>
      <c r="E7622" s="3">
        <v>19</v>
      </c>
      <c r="F7622" s="4" t="str">
        <f>HYPERLINK("http://141.218.60.56/~jnz1568/getInfo.php?workbook=12_05.xlsx&amp;sheet=U0&amp;row=7622&amp;col=6&amp;number=4.8&amp;sourceID=14","4.8")</f>
        <v>4.8</v>
      </c>
      <c r="G7622" s="4" t="str">
        <f>HYPERLINK("http://141.218.60.56/~jnz1568/getInfo.php?workbook=12_05.xlsx&amp;sheet=U0&amp;row=7622&amp;col=7&amp;number=0.00153&amp;sourceID=14","0.00153")</f>
        <v>0.00153</v>
      </c>
    </row>
    <row r="7623" spans="1:7">
      <c r="A7623" s="3"/>
      <c r="B7623" s="3"/>
      <c r="C7623" s="3"/>
      <c r="D7623" s="3"/>
      <c r="E7623" s="3">
        <v>20</v>
      </c>
      <c r="F7623" s="4" t="str">
        <f>HYPERLINK("http://141.218.60.56/~jnz1568/getInfo.php?workbook=12_05.xlsx&amp;sheet=U0&amp;row=7623&amp;col=6&amp;number=4.9&amp;sourceID=14","4.9")</f>
        <v>4.9</v>
      </c>
      <c r="G7623" s="4" t="str">
        <f>HYPERLINK("http://141.218.60.56/~jnz1568/getInfo.php?workbook=12_05.xlsx&amp;sheet=U0&amp;row=7623&amp;col=7&amp;number=0.00151&amp;sourceID=14","0.00151")</f>
        <v>0.00151</v>
      </c>
    </row>
    <row r="7624" spans="1:7">
      <c r="A7624" s="3">
        <v>12</v>
      </c>
      <c r="B7624" s="3">
        <v>5</v>
      </c>
      <c r="C7624" s="3">
        <v>3</v>
      </c>
      <c r="D7624" s="3">
        <v>40</v>
      </c>
      <c r="E7624" s="3">
        <v>1</v>
      </c>
      <c r="F7624" s="4" t="str">
        <f>HYPERLINK("http://141.218.60.56/~jnz1568/getInfo.php?workbook=12_05.xlsx&amp;sheet=U0&amp;row=7624&amp;col=6&amp;number=3&amp;sourceID=14","3")</f>
        <v>3</v>
      </c>
      <c r="G7624" s="4" t="str">
        <f>HYPERLINK("http://141.218.60.56/~jnz1568/getInfo.php?workbook=12_05.xlsx&amp;sheet=U0&amp;row=7624&amp;col=7&amp;number=0.000367&amp;sourceID=14","0.000367")</f>
        <v>0.000367</v>
      </c>
    </row>
    <row r="7625" spans="1:7">
      <c r="A7625" s="3"/>
      <c r="B7625" s="3"/>
      <c r="C7625" s="3"/>
      <c r="D7625" s="3"/>
      <c r="E7625" s="3">
        <v>2</v>
      </c>
      <c r="F7625" s="4" t="str">
        <f>HYPERLINK("http://141.218.60.56/~jnz1568/getInfo.php?workbook=12_05.xlsx&amp;sheet=U0&amp;row=7625&amp;col=6&amp;number=3.1&amp;sourceID=14","3.1")</f>
        <v>3.1</v>
      </c>
      <c r="G7625" s="4" t="str">
        <f>HYPERLINK("http://141.218.60.56/~jnz1568/getInfo.php?workbook=12_05.xlsx&amp;sheet=U0&amp;row=7625&amp;col=7&amp;number=0.000367&amp;sourceID=14","0.000367")</f>
        <v>0.000367</v>
      </c>
    </row>
    <row r="7626" spans="1:7">
      <c r="A7626" s="3"/>
      <c r="B7626" s="3"/>
      <c r="C7626" s="3"/>
      <c r="D7626" s="3"/>
      <c r="E7626" s="3">
        <v>3</v>
      </c>
      <c r="F7626" s="4" t="str">
        <f>HYPERLINK("http://141.218.60.56/~jnz1568/getInfo.php?workbook=12_05.xlsx&amp;sheet=U0&amp;row=7626&amp;col=6&amp;number=3.2&amp;sourceID=14","3.2")</f>
        <v>3.2</v>
      </c>
      <c r="G7626" s="4" t="str">
        <f>HYPERLINK("http://141.218.60.56/~jnz1568/getInfo.php?workbook=12_05.xlsx&amp;sheet=U0&amp;row=7626&amp;col=7&amp;number=0.000367&amp;sourceID=14","0.000367")</f>
        <v>0.000367</v>
      </c>
    </row>
    <row r="7627" spans="1:7">
      <c r="A7627" s="3"/>
      <c r="B7627" s="3"/>
      <c r="C7627" s="3"/>
      <c r="D7627" s="3"/>
      <c r="E7627" s="3">
        <v>4</v>
      </c>
      <c r="F7627" s="4" t="str">
        <f>HYPERLINK("http://141.218.60.56/~jnz1568/getInfo.php?workbook=12_05.xlsx&amp;sheet=U0&amp;row=7627&amp;col=6&amp;number=3.3&amp;sourceID=14","3.3")</f>
        <v>3.3</v>
      </c>
      <c r="G7627" s="4" t="str">
        <f>HYPERLINK("http://141.218.60.56/~jnz1568/getInfo.php?workbook=12_05.xlsx&amp;sheet=U0&amp;row=7627&amp;col=7&amp;number=0.000366&amp;sourceID=14","0.000366")</f>
        <v>0.000366</v>
      </c>
    </row>
    <row r="7628" spans="1:7">
      <c r="A7628" s="3"/>
      <c r="B7628" s="3"/>
      <c r="C7628" s="3"/>
      <c r="D7628" s="3"/>
      <c r="E7628" s="3">
        <v>5</v>
      </c>
      <c r="F7628" s="4" t="str">
        <f>HYPERLINK("http://141.218.60.56/~jnz1568/getInfo.php?workbook=12_05.xlsx&amp;sheet=U0&amp;row=7628&amp;col=6&amp;number=3.4&amp;sourceID=14","3.4")</f>
        <v>3.4</v>
      </c>
      <c r="G7628" s="4" t="str">
        <f>HYPERLINK("http://141.218.60.56/~jnz1568/getInfo.php?workbook=12_05.xlsx&amp;sheet=U0&amp;row=7628&amp;col=7&amp;number=0.000366&amp;sourceID=14","0.000366")</f>
        <v>0.000366</v>
      </c>
    </row>
    <row r="7629" spans="1:7">
      <c r="A7629" s="3"/>
      <c r="B7629" s="3"/>
      <c r="C7629" s="3"/>
      <c r="D7629" s="3"/>
      <c r="E7629" s="3">
        <v>6</v>
      </c>
      <c r="F7629" s="4" t="str">
        <f>HYPERLINK("http://141.218.60.56/~jnz1568/getInfo.php?workbook=12_05.xlsx&amp;sheet=U0&amp;row=7629&amp;col=6&amp;number=3.5&amp;sourceID=14","3.5")</f>
        <v>3.5</v>
      </c>
      <c r="G7629" s="4" t="str">
        <f>HYPERLINK("http://141.218.60.56/~jnz1568/getInfo.php?workbook=12_05.xlsx&amp;sheet=U0&amp;row=7629&amp;col=7&amp;number=0.000366&amp;sourceID=14","0.000366")</f>
        <v>0.000366</v>
      </c>
    </row>
    <row r="7630" spans="1:7">
      <c r="A7630" s="3"/>
      <c r="B7630" s="3"/>
      <c r="C7630" s="3"/>
      <c r="D7630" s="3"/>
      <c r="E7630" s="3">
        <v>7</v>
      </c>
      <c r="F7630" s="4" t="str">
        <f>HYPERLINK("http://141.218.60.56/~jnz1568/getInfo.php?workbook=12_05.xlsx&amp;sheet=U0&amp;row=7630&amp;col=6&amp;number=3.6&amp;sourceID=14","3.6")</f>
        <v>3.6</v>
      </c>
      <c r="G7630" s="4" t="str">
        <f>HYPERLINK("http://141.218.60.56/~jnz1568/getInfo.php?workbook=12_05.xlsx&amp;sheet=U0&amp;row=7630&amp;col=7&amp;number=0.000366&amp;sourceID=14","0.000366")</f>
        <v>0.000366</v>
      </c>
    </row>
    <row r="7631" spans="1:7">
      <c r="A7631" s="3"/>
      <c r="B7631" s="3"/>
      <c r="C7631" s="3"/>
      <c r="D7631" s="3"/>
      <c r="E7631" s="3">
        <v>8</v>
      </c>
      <c r="F7631" s="4" t="str">
        <f>HYPERLINK("http://141.218.60.56/~jnz1568/getInfo.php?workbook=12_05.xlsx&amp;sheet=U0&amp;row=7631&amp;col=6&amp;number=3.7&amp;sourceID=14","3.7")</f>
        <v>3.7</v>
      </c>
      <c r="G7631" s="4" t="str">
        <f>HYPERLINK("http://141.218.60.56/~jnz1568/getInfo.php?workbook=12_05.xlsx&amp;sheet=U0&amp;row=7631&amp;col=7&amp;number=0.000365&amp;sourceID=14","0.000365")</f>
        <v>0.000365</v>
      </c>
    </row>
    <row r="7632" spans="1:7">
      <c r="A7632" s="3"/>
      <c r="B7632" s="3"/>
      <c r="C7632" s="3"/>
      <c r="D7632" s="3"/>
      <c r="E7632" s="3">
        <v>9</v>
      </c>
      <c r="F7632" s="4" t="str">
        <f>HYPERLINK("http://141.218.60.56/~jnz1568/getInfo.php?workbook=12_05.xlsx&amp;sheet=U0&amp;row=7632&amp;col=6&amp;number=3.8&amp;sourceID=14","3.8")</f>
        <v>3.8</v>
      </c>
      <c r="G7632" s="4" t="str">
        <f>HYPERLINK("http://141.218.60.56/~jnz1568/getInfo.php?workbook=12_05.xlsx&amp;sheet=U0&amp;row=7632&amp;col=7&amp;number=0.000365&amp;sourceID=14","0.000365")</f>
        <v>0.000365</v>
      </c>
    </row>
    <row r="7633" spans="1:7">
      <c r="A7633" s="3"/>
      <c r="B7633" s="3"/>
      <c r="C7633" s="3"/>
      <c r="D7633" s="3"/>
      <c r="E7633" s="3">
        <v>10</v>
      </c>
      <c r="F7633" s="4" t="str">
        <f>HYPERLINK("http://141.218.60.56/~jnz1568/getInfo.php?workbook=12_05.xlsx&amp;sheet=U0&amp;row=7633&amp;col=6&amp;number=3.9&amp;sourceID=14","3.9")</f>
        <v>3.9</v>
      </c>
      <c r="G7633" s="4" t="str">
        <f>HYPERLINK("http://141.218.60.56/~jnz1568/getInfo.php?workbook=12_05.xlsx&amp;sheet=U0&amp;row=7633&amp;col=7&amp;number=0.000364&amp;sourceID=14","0.000364")</f>
        <v>0.000364</v>
      </c>
    </row>
    <row r="7634" spans="1:7">
      <c r="A7634" s="3"/>
      <c r="B7634" s="3"/>
      <c r="C7634" s="3"/>
      <c r="D7634" s="3"/>
      <c r="E7634" s="3">
        <v>11</v>
      </c>
      <c r="F7634" s="4" t="str">
        <f>HYPERLINK("http://141.218.60.56/~jnz1568/getInfo.php?workbook=12_05.xlsx&amp;sheet=U0&amp;row=7634&amp;col=6&amp;number=4&amp;sourceID=14","4")</f>
        <v>4</v>
      </c>
      <c r="G7634" s="4" t="str">
        <f>HYPERLINK("http://141.218.60.56/~jnz1568/getInfo.php?workbook=12_05.xlsx&amp;sheet=U0&amp;row=7634&amp;col=7&amp;number=0.000364&amp;sourceID=14","0.000364")</f>
        <v>0.000364</v>
      </c>
    </row>
    <row r="7635" spans="1:7">
      <c r="A7635" s="3"/>
      <c r="B7635" s="3"/>
      <c r="C7635" s="3"/>
      <c r="D7635" s="3"/>
      <c r="E7635" s="3">
        <v>12</v>
      </c>
      <c r="F7635" s="4" t="str">
        <f>HYPERLINK("http://141.218.60.56/~jnz1568/getInfo.php?workbook=12_05.xlsx&amp;sheet=U0&amp;row=7635&amp;col=6&amp;number=4.1&amp;sourceID=14","4.1")</f>
        <v>4.1</v>
      </c>
      <c r="G7635" s="4" t="str">
        <f>HYPERLINK("http://141.218.60.56/~jnz1568/getInfo.php?workbook=12_05.xlsx&amp;sheet=U0&amp;row=7635&amp;col=7&amp;number=0.000363&amp;sourceID=14","0.000363")</f>
        <v>0.000363</v>
      </c>
    </row>
    <row r="7636" spans="1:7">
      <c r="A7636" s="3"/>
      <c r="B7636" s="3"/>
      <c r="C7636" s="3"/>
      <c r="D7636" s="3"/>
      <c r="E7636" s="3">
        <v>13</v>
      </c>
      <c r="F7636" s="4" t="str">
        <f>HYPERLINK("http://141.218.60.56/~jnz1568/getInfo.php?workbook=12_05.xlsx&amp;sheet=U0&amp;row=7636&amp;col=6&amp;number=4.2&amp;sourceID=14","4.2")</f>
        <v>4.2</v>
      </c>
      <c r="G7636" s="4" t="str">
        <f>HYPERLINK("http://141.218.60.56/~jnz1568/getInfo.php?workbook=12_05.xlsx&amp;sheet=U0&amp;row=7636&amp;col=7&amp;number=0.000362&amp;sourceID=14","0.000362")</f>
        <v>0.000362</v>
      </c>
    </row>
    <row r="7637" spans="1:7">
      <c r="A7637" s="3"/>
      <c r="B7637" s="3"/>
      <c r="C7637" s="3"/>
      <c r="D7637" s="3"/>
      <c r="E7637" s="3">
        <v>14</v>
      </c>
      <c r="F7637" s="4" t="str">
        <f>HYPERLINK("http://141.218.60.56/~jnz1568/getInfo.php?workbook=12_05.xlsx&amp;sheet=U0&amp;row=7637&amp;col=6&amp;number=4.3&amp;sourceID=14","4.3")</f>
        <v>4.3</v>
      </c>
      <c r="G7637" s="4" t="str">
        <f>HYPERLINK("http://141.218.60.56/~jnz1568/getInfo.php?workbook=12_05.xlsx&amp;sheet=U0&amp;row=7637&amp;col=7&amp;number=0.00036&amp;sourceID=14","0.00036")</f>
        <v>0.00036</v>
      </c>
    </row>
    <row r="7638" spans="1:7">
      <c r="A7638" s="3"/>
      <c r="B7638" s="3"/>
      <c r="C7638" s="3"/>
      <c r="D7638" s="3"/>
      <c r="E7638" s="3">
        <v>15</v>
      </c>
      <c r="F7638" s="4" t="str">
        <f>HYPERLINK("http://141.218.60.56/~jnz1568/getInfo.php?workbook=12_05.xlsx&amp;sheet=U0&amp;row=7638&amp;col=6&amp;number=4.4&amp;sourceID=14","4.4")</f>
        <v>4.4</v>
      </c>
      <c r="G7638" s="4" t="str">
        <f>HYPERLINK("http://141.218.60.56/~jnz1568/getInfo.php?workbook=12_05.xlsx&amp;sheet=U0&amp;row=7638&amp;col=7&amp;number=0.000358&amp;sourceID=14","0.000358")</f>
        <v>0.000358</v>
      </c>
    </row>
    <row r="7639" spans="1:7">
      <c r="A7639" s="3"/>
      <c r="B7639" s="3"/>
      <c r="C7639" s="3"/>
      <c r="D7639" s="3"/>
      <c r="E7639" s="3">
        <v>16</v>
      </c>
      <c r="F7639" s="4" t="str">
        <f>HYPERLINK("http://141.218.60.56/~jnz1568/getInfo.php?workbook=12_05.xlsx&amp;sheet=U0&amp;row=7639&amp;col=6&amp;number=4.5&amp;sourceID=14","4.5")</f>
        <v>4.5</v>
      </c>
      <c r="G7639" s="4" t="str">
        <f>HYPERLINK("http://141.218.60.56/~jnz1568/getInfo.php?workbook=12_05.xlsx&amp;sheet=U0&amp;row=7639&amp;col=7&amp;number=0.000356&amp;sourceID=14","0.000356")</f>
        <v>0.000356</v>
      </c>
    </row>
    <row r="7640" spans="1:7">
      <c r="A7640" s="3"/>
      <c r="B7640" s="3"/>
      <c r="C7640" s="3"/>
      <c r="D7640" s="3"/>
      <c r="E7640" s="3">
        <v>17</v>
      </c>
      <c r="F7640" s="4" t="str">
        <f>HYPERLINK("http://141.218.60.56/~jnz1568/getInfo.php?workbook=12_05.xlsx&amp;sheet=U0&amp;row=7640&amp;col=6&amp;number=4.6&amp;sourceID=14","4.6")</f>
        <v>4.6</v>
      </c>
      <c r="G7640" s="4" t="str">
        <f>HYPERLINK("http://141.218.60.56/~jnz1568/getInfo.php?workbook=12_05.xlsx&amp;sheet=U0&amp;row=7640&amp;col=7&amp;number=0.000353&amp;sourceID=14","0.000353")</f>
        <v>0.000353</v>
      </c>
    </row>
    <row r="7641" spans="1:7">
      <c r="A7641" s="3"/>
      <c r="B7641" s="3"/>
      <c r="C7641" s="3"/>
      <c r="D7641" s="3"/>
      <c r="E7641" s="3">
        <v>18</v>
      </c>
      <c r="F7641" s="4" t="str">
        <f>HYPERLINK("http://141.218.60.56/~jnz1568/getInfo.php?workbook=12_05.xlsx&amp;sheet=U0&amp;row=7641&amp;col=6&amp;number=4.7&amp;sourceID=14","4.7")</f>
        <v>4.7</v>
      </c>
      <c r="G7641" s="4" t="str">
        <f>HYPERLINK("http://141.218.60.56/~jnz1568/getInfo.php?workbook=12_05.xlsx&amp;sheet=U0&amp;row=7641&amp;col=7&amp;number=0.00035&amp;sourceID=14","0.00035")</f>
        <v>0.00035</v>
      </c>
    </row>
    <row r="7642" spans="1:7">
      <c r="A7642" s="3"/>
      <c r="B7642" s="3"/>
      <c r="C7642" s="3"/>
      <c r="D7642" s="3"/>
      <c r="E7642" s="3">
        <v>19</v>
      </c>
      <c r="F7642" s="4" t="str">
        <f>HYPERLINK("http://141.218.60.56/~jnz1568/getInfo.php?workbook=12_05.xlsx&amp;sheet=U0&amp;row=7642&amp;col=6&amp;number=4.8&amp;sourceID=14","4.8")</f>
        <v>4.8</v>
      </c>
      <c r="G7642" s="4" t="str">
        <f>HYPERLINK("http://141.218.60.56/~jnz1568/getInfo.php?workbook=12_05.xlsx&amp;sheet=U0&amp;row=7642&amp;col=7&amp;number=0.000346&amp;sourceID=14","0.000346")</f>
        <v>0.000346</v>
      </c>
    </row>
    <row r="7643" spans="1:7">
      <c r="A7643" s="3"/>
      <c r="B7643" s="3"/>
      <c r="C7643" s="3"/>
      <c r="D7643" s="3"/>
      <c r="E7643" s="3">
        <v>20</v>
      </c>
      <c r="F7643" s="4" t="str">
        <f>HYPERLINK("http://141.218.60.56/~jnz1568/getInfo.php?workbook=12_05.xlsx&amp;sheet=U0&amp;row=7643&amp;col=6&amp;number=4.9&amp;sourceID=14","4.9")</f>
        <v>4.9</v>
      </c>
      <c r="G7643" s="4" t="str">
        <f>HYPERLINK("http://141.218.60.56/~jnz1568/getInfo.php?workbook=12_05.xlsx&amp;sheet=U0&amp;row=7643&amp;col=7&amp;number=0.00034&amp;sourceID=14","0.00034")</f>
        <v>0.00034</v>
      </c>
    </row>
    <row r="7644" spans="1:7">
      <c r="A7644" s="3">
        <v>12</v>
      </c>
      <c r="B7644" s="3">
        <v>5</v>
      </c>
      <c r="C7644" s="3">
        <v>3</v>
      </c>
      <c r="D7644" s="3">
        <v>42</v>
      </c>
      <c r="E7644" s="3">
        <v>1</v>
      </c>
      <c r="F7644" s="4" t="str">
        <f>HYPERLINK("http://141.218.60.56/~jnz1568/getInfo.php?workbook=12_05.xlsx&amp;sheet=U0&amp;row=7644&amp;col=6&amp;number=3&amp;sourceID=14","3")</f>
        <v>3</v>
      </c>
      <c r="G7644" s="4" t="str">
        <f>HYPERLINK("http://141.218.60.56/~jnz1568/getInfo.php?workbook=12_05.xlsx&amp;sheet=U0&amp;row=7644&amp;col=7&amp;number=0.0248&amp;sourceID=14","0.0248")</f>
        <v>0.0248</v>
      </c>
    </row>
    <row r="7645" spans="1:7">
      <c r="A7645" s="3"/>
      <c r="B7645" s="3"/>
      <c r="C7645" s="3"/>
      <c r="D7645" s="3"/>
      <c r="E7645" s="3">
        <v>2</v>
      </c>
      <c r="F7645" s="4" t="str">
        <f>HYPERLINK("http://141.218.60.56/~jnz1568/getInfo.php?workbook=12_05.xlsx&amp;sheet=U0&amp;row=7645&amp;col=6&amp;number=3.1&amp;sourceID=14","3.1")</f>
        <v>3.1</v>
      </c>
      <c r="G7645" s="4" t="str">
        <f>HYPERLINK("http://141.218.60.56/~jnz1568/getInfo.php?workbook=12_05.xlsx&amp;sheet=U0&amp;row=7645&amp;col=7&amp;number=0.0248&amp;sourceID=14","0.0248")</f>
        <v>0.0248</v>
      </c>
    </row>
    <row r="7646" spans="1:7">
      <c r="A7646" s="3"/>
      <c r="B7646" s="3"/>
      <c r="C7646" s="3"/>
      <c r="D7646" s="3"/>
      <c r="E7646" s="3">
        <v>3</v>
      </c>
      <c r="F7646" s="4" t="str">
        <f>HYPERLINK("http://141.218.60.56/~jnz1568/getInfo.php?workbook=12_05.xlsx&amp;sheet=U0&amp;row=7646&amp;col=6&amp;number=3.2&amp;sourceID=14","3.2")</f>
        <v>3.2</v>
      </c>
      <c r="G7646" s="4" t="str">
        <f>HYPERLINK("http://141.218.60.56/~jnz1568/getInfo.php?workbook=12_05.xlsx&amp;sheet=U0&amp;row=7646&amp;col=7&amp;number=0.0248&amp;sourceID=14","0.0248")</f>
        <v>0.0248</v>
      </c>
    </row>
    <row r="7647" spans="1:7">
      <c r="A7647" s="3"/>
      <c r="B7647" s="3"/>
      <c r="C7647" s="3"/>
      <c r="D7647" s="3"/>
      <c r="E7647" s="3">
        <v>4</v>
      </c>
      <c r="F7647" s="4" t="str">
        <f>HYPERLINK("http://141.218.60.56/~jnz1568/getInfo.php?workbook=12_05.xlsx&amp;sheet=U0&amp;row=7647&amp;col=6&amp;number=3.3&amp;sourceID=14","3.3")</f>
        <v>3.3</v>
      </c>
      <c r="G7647" s="4" t="str">
        <f>HYPERLINK("http://141.218.60.56/~jnz1568/getInfo.php?workbook=12_05.xlsx&amp;sheet=U0&amp;row=7647&amp;col=7&amp;number=0.0248&amp;sourceID=14","0.0248")</f>
        <v>0.0248</v>
      </c>
    </row>
    <row r="7648" spans="1:7">
      <c r="A7648" s="3"/>
      <c r="B7648" s="3"/>
      <c r="C7648" s="3"/>
      <c r="D7648" s="3"/>
      <c r="E7648" s="3">
        <v>5</v>
      </c>
      <c r="F7648" s="4" t="str">
        <f>HYPERLINK("http://141.218.60.56/~jnz1568/getInfo.php?workbook=12_05.xlsx&amp;sheet=U0&amp;row=7648&amp;col=6&amp;number=3.4&amp;sourceID=14","3.4")</f>
        <v>3.4</v>
      </c>
      <c r="G7648" s="4" t="str">
        <f>HYPERLINK("http://141.218.60.56/~jnz1568/getInfo.php?workbook=12_05.xlsx&amp;sheet=U0&amp;row=7648&amp;col=7&amp;number=0.0248&amp;sourceID=14","0.0248")</f>
        <v>0.0248</v>
      </c>
    </row>
    <row r="7649" spans="1:7">
      <c r="A7649" s="3"/>
      <c r="B7649" s="3"/>
      <c r="C7649" s="3"/>
      <c r="D7649" s="3"/>
      <c r="E7649" s="3">
        <v>6</v>
      </c>
      <c r="F7649" s="4" t="str">
        <f>HYPERLINK("http://141.218.60.56/~jnz1568/getInfo.php?workbook=12_05.xlsx&amp;sheet=U0&amp;row=7649&amp;col=6&amp;number=3.5&amp;sourceID=14","3.5")</f>
        <v>3.5</v>
      </c>
      <c r="G7649" s="4" t="str">
        <f>HYPERLINK("http://141.218.60.56/~jnz1568/getInfo.php?workbook=12_05.xlsx&amp;sheet=U0&amp;row=7649&amp;col=7&amp;number=0.0248&amp;sourceID=14","0.0248")</f>
        <v>0.0248</v>
      </c>
    </row>
    <row r="7650" spans="1:7">
      <c r="A7650" s="3"/>
      <c r="B7650" s="3"/>
      <c r="C7650" s="3"/>
      <c r="D7650" s="3"/>
      <c r="E7650" s="3">
        <v>7</v>
      </c>
      <c r="F7650" s="4" t="str">
        <f>HYPERLINK("http://141.218.60.56/~jnz1568/getInfo.php?workbook=12_05.xlsx&amp;sheet=U0&amp;row=7650&amp;col=6&amp;number=3.6&amp;sourceID=14","3.6")</f>
        <v>3.6</v>
      </c>
      <c r="G7650" s="4" t="str">
        <f>HYPERLINK("http://141.218.60.56/~jnz1568/getInfo.php?workbook=12_05.xlsx&amp;sheet=U0&amp;row=7650&amp;col=7&amp;number=0.0248&amp;sourceID=14","0.0248")</f>
        <v>0.0248</v>
      </c>
    </row>
    <row r="7651" spans="1:7">
      <c r="A7651" s="3"/>
      <c r="B7651" s="3"/>
      <c r="C7651" s="3"/>
      <c r="D7651" s="3"/>
      <c r="E7651" s="3">
        <v>8</v>
      </c>
      <c r="F7651" s="4" t="str">
        <f>HYPERLINK("http://141.218.60.56/~jnz1568/getInfo.php?workbook=12_05.xlsx&amp;sheet=U0&amp;row=7651&amp;col=6&amp;number=3.7&amp;sourceID=14","3.7")</f>
        <v>3.7</v>
      </c>
      <c r="G7651" s="4" t="str">
        <f>HYPERLINK("http://141.218.60.56/~jnz1568/getInfo.php?workbook=12_05.xlsx&amp;sheet=U0&amp;row=7651&amp;col=7&amp;number=0.0248&amp;sourceID=14","0.0248")</f>
        <v>0.0248</v>
      </c>
    </row>
    <row r="7652" spans="1:7">
      <c r="A7652" s="3"/>
      <c r="B7652" s="3"/>
      <c r="C7652" s="3"/>
      <c r="D7652" s="3"/>
      <c r="E7652" s="3">
        <v>9</v>
      </c>
      <c r="F7652" s="4" t="str">
        <f>HYPERLINK("http://141.218.60.56/~jnz1568/getInfo.php?workbook=12_05.xlsx&amp;sheet=U0&amp;row=7652&amp;col=6&amp;number=3.8&amp;sourceID=14","3.8")</f>
        <v>3.8</v>
      </c>
      <c r="G7652" s="4" t="str">
        <f>HYPERLINK("http://141.218.60.56/~jnz1568/getInfo.php?workbook=12_05.xlsx&amp;sheet=U0&amp;row=7652&amp;col=7&amp;number=0.0248&amp;sourceID=14","0.0248")</f>
        <v>0.0248</v>
      </c>
    </row>
    <row r="7653" spans="1:7">
      <c r="A7653" s="3"/>
      <c r="B7653" s="3"/>
      <c r="C7653" s="3"/>
      <c r="D7653" s="3"/>
      <c r="E7653" s="3">
        <v>10</v>
      </c>
      <c r="F7653" s="4" t="str">
        <f>HYPERLINK("http://141.218.60.56/~jnz1568/getInfo.php?workbook=12_05.xlsx&amp;sheet=U0&amp;row=7653&amp;col=6&amp;number=3.9&amp;sourceID=14","3.9")</f>
        <v>3.9</v>
      </c>
      <c r="G7653" s="4" t="str">
        <f>HYPERLINK("http://141.218.60.56/~jnz1568/getInfo.php?workbook=12_05.xlsx&amp;sheet=U0&amp;row=7653&amp;col=7&amp;number=0.0249&amp;sourceID=14","0.0249")</f>
        <v>0.0249</v>
      </c>
    </row>
    <row r="7654" spans="1:7">
      <c r="A7654" s="3"/>
      <c r="B7654" s="3"/>
      <c r="C7654" s="3"/>
      <c r="D7654" s="3"/>
      <c r="E7654" s="3">
        <v>11</v>
      </c>
      <c r="F7654" s="4" t="str">
        <f>HYPERLINK("http://141.218.60.56/~jnz1568/getInfo.php?workbook=12_05.xlsx&amp;sheet=U0&amp;row=7654&amp;col=6&amp;number=4&amp;sourceID=14","4")</f>
        <v>4</v>
      </c>
      <c r="G7654" s="4" t="str">
        <f>HYPERLINK("http://141.218.60.56/~jnz1568/getInfo.php?workbook=12_05.xlsx&amp;sheet=U0&amp;row=7654&amp;col=7&amp;number=0.0249&amp;sourceID=14","0.0249")</f>
        <v>0.0249</v>
      </c>
    </row>
    <row r="7655" spans="1:7">
      <c r="A7655" s="3"/>
      <c r="B7655" s="3"/>
      <c r="C7655" s="3"/>
      <c r="D7655" s="3"/>
      <c r="E7655" s="3">
        <v>12</v>
      </c>
      <c r="F7655" s="4" t="str">
        <f>HYPERLINK("http://141.218.60.56/~jnz1568/getInfo.php?workbook=12_05.xlsx&amp;sheet=U0&amp;row=7655&amp;col=6&amp;number=4.1&amp;sourceID=14","4.1")</f>
        <v>4.1</v>
      </c>
      <c r="G7655" s="4" t="str">
        <f>HYPERLINK("http://141.218.60.56/~jnz1568/getInfo.php?workbook=12_05.xlsx&amp;sheet=U0&amp;row=7655&amp;col=7&amp;number=0.0249&amp;sourceID=14","0.0249")</f>
        <v>0.0249</v>
      </c>
    </row>
    <row r="7656" spans="1:7">
      <c r="A7656" s="3"/>
      <c r="B7656" s="3"/>
      <c r="C7656" s="3"/>
      <c r="D7656" s="3"/>
      <c r="E7656" s="3">
        <v>13</v>
      </c>
      <c r="F7656" s="4" t="str">
        <f>HYPERLINK("http://141.218.60.56/~jnz1568/getInfo.php?workbook=12_05.xlsx&amp;sheet=U0&amp;row=7656&amp;col=6&amp;number=4.2&amp;sourceID=14","4.2")</f>
        <v>4.2</v>
      </c>
      <c r="G7656" s="4" t="str">
        <f>HYPERLINK("http://141.218.60.56/~jnz1568/getInfo.php?workbook=12_05.xlsx&amp;sheet=U0&amp;row=7656&amp;col=7&amp;number=0.025&amp;sourceID=14","0.025")</f>
        <v>0.025</v>
      </c>
    </row>
    <row r="7657" spans="1:7">
      <c r="A7657" s="3"/>
      <c r="B7657" s="3"/>
      <c r="C7657" s="3"/>
      <c r="D7657" s="3"/>
      <c r="E7657" s="3">
        <v>14</v>
      </c>
      <c r="F7657" s="4" t="str">
        <f>HYPERLINK("http://141.218.60.56/~jnz1568/getInfo.php?workbook=12_05.xlsx&amp;sheet=U0&amp;row=7657&amp;col=6&amp;number=4.3&amp;sourceID=14","4.3")</f>
        <v>4.3</v>
      </c>
      <c r="G7657" s="4" t="str">
        <f>HYPERLINK("http://141.218.60.56/~jnz1568/getInfo.php?workbook=12_05.xlsx&amp;sheet=U0&amp;row=7657&amp;col=7&amp;number=0.025&amp;sourceID=14","0.025")</f>
        <v>0.025</v>
      </c>
    </row>
    <row r="7658" spans="1:7">
      <c r="A7658" s="3"/>
      <c r="B7658" s="3"/>
      <c r="C7658" s="3"/>
      <c r="D7658" s="3"/>
      <c r="E7658" s="3">
        <v>15</v>
      </c>
      <c r="F7658" s="4" t="str">
        <f>HYPERLINK("http://141.218.60.56/~jnz1568/getInfo.php?workbook=12_05.xlsx&amp;sheet=U0&amp;row=7658&amp;col=6&amp;number=4.4&amp;sourceID=14","4.4")</f>
        <v>4.4</v>
      </c>
      <c r="G7658" s="4" t="str">
        <f>HYPERLINK("http://141.218.60.56/~jnz1568/getInfo.php?workbook=12_05.xlsx&amp;sheet=U0&amp;row=7658&amp;col=7&amp;number=0.0251&amp;sourceID=14","0.0251")</f>
        <v>0.0251</v>
      </c>
    </row>
    <row r="7659" spans="1:7">
      <c r="A7659" s="3"/>
      <c r="B7659" s="3"/>
      <c r="C7659" s="3"/>
      <c r="D7659" s="3"/>
      <c r="E7659" s="3">
        <v>16</v>
      </c>
      <c r="F7659" s="4" t="str">
        <f>HYPERLINK("http://141.218.60.56/~jnz1568/getInfo.php?workbook=12_05.xlsx&amp;sheet=U0&amp;row=7659&amp;col=6&amp;number=4.5&amp;sourceID=14","4.5")</f>
        <v>4.5</v>
      </c>
      <c r="G7659" s="4" t="str">
        <f>HYPERLINK("http://141.218.60.56/~jnz1568/getInfo.php?workbook=12_05.xlsx&amp;sheet=U0&amp;row=7659&amp;col=7&amp;number=0.0252&amp;sourceID=14","0.0252")</f>
        <v>0.0252</v>
      </c>
    </row>
    <row r="7660" spans="1:7">
      <c r="A7660" s="3"/>
      <c r="B7660" s="3"/>
      <c r="C7660" s="3"/>
      <c r="D7660" s="3"/>
      <c r="E7660" s="3">
        <v>17</v>
      </c>
      <c r="F7660" s="4" t="str">
        <f>HYPERLINK("http://141.218.60.56/~jnz1568/getInfo.php?workbook=12_05.xlsx&amp;sheet=U0&amp;row=7660&amp;col=6&amp;number=4.6&amp;sourceID=14","4.6")</f>
        <v>4.6</v>
      </c>
      <c r="G7660" s="4" t="str">
        <f>HYPERLINK("http://141.218.60.56/~jnz1568/getInfo.php?workbook=12_05.xlsx&amp;sheet=U0&amp;row=7660&amp;col=7&amp;number=0.0253&amp;sourceID=14","0.0253")</f>
        <v>0.0253</v>
      </c>
    </row>
    <row r="7661" spans="1:7">
      <c r="A7661" s="3"/>
      <c r="B7661" s="3"/>
      <c r="C7661" s="3"/>
      <c r="D7661" s="3"/>
      <c r="E7661" s="3">
        <v>18</v>
      </c>
      <c r="F7661" s="4" t="str">
        <f>HYPERLINK("http://141.218.60.56/~jnz1568/getInfo.php?workbook=12_05.xlsx&amp;sheet=U0&amp;row=7661&amp;col=6&amp;number=4.7&amp;sourceID=14","4.7")</f>
        <v>4.7</v>
      </c>
      <c r="G7661" s="4" t="str">
        <f>HYPERLINK("http://141.218.60.56/~jnz1568/getInfo.php?workbook=12_05.xlsx&amp;sheet=U0&amp;row=7661&amp;col=7&amp;number=0.0254&amp;sourceID=14","0.0254")</f>
        <v>0.0254</v>
      </c>
    </row>
    <row r="7662" spans="1:7">
      <c r="A7662" s="3"/>
      <c r="B7662" s="3"/>
      <c r="C7662" s="3"/>
      <c r="D7662" s="3"/>
      <c r="E7662" s="3">
        <v>19</v>
      </c>
      <c r="F7662" s="4" t="str">
        <f>HYPERLINK("http://141.218.60.56/~jnz1568/getInfo.php?workbook=12_05.xlsx&amp;sheet=U0&amp;row=7662&amp;col=6&amp;number=4.8&amp;sourceID=14","4.8")</f>
        <v>4.8</v>
      </c>
      <c r="G7662" s="4" t="str">
        <f>HYPERLINK("http://141.218.60.56/~jnz1568/getInfo.php?workbook=12_05.xlsx&amp;sheet=U0&amp;row=7662&amp;col=7&amp;number=0.0256&amp;sourceID=14","0.0256")</f>
        <v>0.0256</v>
      </c>
    </row>
    <row r="7663" spans="1:7">
      <c r="A7663" s="3"/>
      <c r="B7663" s="3"/>
      <c r="C7663" s="3"/>
      <c r="D7663" s="3"/>
      <c r="E7663" s="3">
        <v>20</v>
      </c>
      <c r="F7663" s="4" t="str">
        <f>HYPERLINK("http://141.218.60.56/~jnz1568/getInfo.php?workbook=12_05.xlsx&amp;sheet=U0&amp;row=7663&amp;col=6&amp;number=4.9&amp;sourceID=14","4.9")</f>
        <v>4.9</v>
      </c>
      <c r="G7663" s="4" t="str">
        <f>HYPERLINK("http://141.218.60.56/~jnz1568/getInfo.php?workbook=12_05.xlsx&amp;sheet=U0&amp;row=7663&amp;col=7&amp;number=0.0258&amp;sourceID=14","0.0258")</f>
        <v>0.0258</v>
      </c>
    </row>
    <row r="7664" spans="1:7">
      <c r="A7664" s="3">
        <v>12</v>
      </c>
      <c r="B7664" s="3">
        <v>5</v>
      </c>
      <c r="C7664" s="3">
        <v>3</v>
      </c>
      <c r="D7664" s="3">
        <v>43</v>
      </c>
      <c r="E7664" s="3">
        <v>1</v>
      </c>
      <c r="F7664" s="4" t="str">
        <f>HYPERLINK("http://141.218.60.56/~jnz1568/getInfo.php?workbook=12_05.xlsx&amp;sheet=U0&amp;row=7664&amp;col=6&amp;number=3&amp;sourceID=14","3")</f>
        <v>3</v>
      </c>
      <c r="G7664" s="4" t="str">
        <f>HYPERLINK("http://141.218.60.56/~jnz1568/getInfo.php?workbook=12_05.xlsx&amp;sheet=U0&amp;row=7664&amp;col=7&amp;number=0.00725&amp;sourceID=14","0.00725")</f>
        <v>0.00725</v>
      </c>
    </row>
    <row r="7665" spans="1:7">
      <c r="A7665" s="3"/>
      <c r="B7665" s="3"/>
      <c r="C7665" s="3"/>
      <c r="D7665" s="3"/>
      <c r="E7665" s="3">
        <v>2</v>
      </c>
      <c r="F7665" s="4" t="str">
        <f>HYPERLINK("http://141.218.60.56/~jnz1568/getInfo.php?workbook=12_05.xlsx&amp;sheet=U0&amp;row=7665&amp;col=6&amp;number=3.1&amp;sourceID=14","3.1")</f>
        <v>3.1</v>
      </c>
      <c r="G7665" s="4" t="str">
        <f>HYPERLINK("http://141.218.60.56/~jnz1568/getInfo.php?workbook=12_05.xlsx&amp;sheet=U0&amp;row=7665&amp;col=7&amp;number=0.00725&amp;sourceID=14","0.00725")</f>
        <v>0.00725</v>
      </c>
    </row>
    <row r="7666" spans="1:7">
      <c r="A7666" s="3"/>
      <c r="B7666" s="3"/>
      <c r="C7666" s="3"/>
      <c r="D7666" s="3"/>
      <c r="E7666" s="3">
        <v>3</v>
      </c>
      <c r="F7666" s="4" t="str">
        <f>HYPERLINK("http://141.218.60.56/~jnz1568/getInfo.php?workbook=12_05.xlsx&amp;sheet=U0&amp;row=7666&amp;col=6&amp;number=3.2&amp;sourceID=14","3.2")</f>
        <v>3.2</v>
      </c>
      <c r="G7666" s="4" t="str">
        <f>HYPERLINK("http://141.218.60.56/~jnz1568/getInfo.php?workbook=12_05.xlsx&amp;sheet=U0&amp;row=7666&amp;col=7&amp;number=0.00725&amp;sourceID=14","0.00725")</f>
        <v>0.00725</v>
      </c>
    </row>
    <row r="7667" spans="1:7">
      <c r="A7667" s="3"/>
      <c r="B7667" s="3"/>
      <c r="C7667" s="3"/>
      <c r="D7667" s="3"/>
      <c r="E7667" s="3">
        <v>4</v>
      </c>
      <c r="F7667" s="4" t="str">
        <f>HYPERLINK("http://141.218.60.56/~jnz1568/getInfo.php?workbook=12_05.xlsx&amp;sheet=U0&amp;row=7667&amp;col=6&amp;number=3.3&amp;sourceID=14","3.3")</f>
        <v>3.3</v>
      </c>
      <c r="G7667" s="4" t="str">
        <f>HYPERLINK("http://141.218.60.56/~jnz1568/getInfo.php?workbook=12_05.xlsx&amp;sheet=U0&amp;row=7667&amp;col=7&amp;number=0.00724&amp;sourceID=14","0.00724")</f>
        <v>0.00724</v>
      </c>
    </row>
    <row r="7668" spans="1:7">
      <c r="A7668" s="3"/>
      <c r="B7668" s="3"/>
      <c r="C7668" s="3"/>
      <c r="D7668" s="3"/>
      <c r="E7668" s="3">
        <v>5</v>
      </c>
      <c r="F7668" s="4" t="str">
        <f>HYPERLINK("http://141.218.60.56/~jnz1568/getInfo.php?workbook=12_05.xlsx&amp;sheet=U0&amp;row=7668&amp;col=6&amp;number=3.4&amp;sourceID=14","3.4")</f>
        <v>3.4</v>
      </c>
      <c r="G7668" s="4" t="str">
        <f>HYPERLINK("http://141.218.60.56/~jnz1568/getInfo.php?workbook=12_05.xlsx&amp;sheet=U0&amp;row=7668&amp;col=7&amp;number=0.00724&amp;sourceID=14","0.00724")</f>
        <v>0.00724</v>
      </c>
    </row>
    <row r="7669" spans="1:7">
      <c r="A7669" s="3"/>
      <c r="B7669" s="3"/>
      <c r="C7669" s="3"/>
      <c r="D7669" s="3"/>
      <c r="E7669" s="3">
        <v>6</v>
      </c>
      <c r="F7669" s="4" t="str">
        <f>HYPERLINK("http://141.218.60.56/~jnz1568/getInfo.php?workbook=12_05.xlsx&amp;sheet=U0&amp;row=7669&amp;col=6&amp;number=3.5&amp;sourceID=14","3.5")</f>
        <v>3.5</v>
      </c>
      <c r="G7669" s="4" t="str">
        <f>HYPERLINK("http://141.218.60.56/~jnz1568/getInfo.php?workbook=12_05.xlsx&amp;sheet=U0&amp;row=7669&amp;col=7&amp;number=0.00724&amp;sourceID=14","0.00724")</f>
        <v>0.00724</v>
      </c>
    </row>
    <row r="7670" spans="1:7">
      <c r="A7670" s="3"/>
      <c r="B7670" s="3"/>
      <c r="C7670" s="3"/>
      <c r="D7670" s="3"/>
      <c r="E7670" s="3">
        <v>7</v>
      </c>
      <c r="F7670" s="4" t="str">
        <f>HYPERLINK("http://141.218.60.56/~jnz1568/getInfo.php?workbook=12_05.xlsx&amp;sheet=U0&amp;row=7670&amp;col=6&amp;number=3.6&amp;sourceID=14","3.6")</f>
        <v>3.6</v>
      </c>
      <c r="G7670" s="4" t="str">
        <f>HYPERLINK("http://141.218.60.56/~jnz1568/getInfo.php?workbook=12_05.xlsx&amp;sheet=U0&amp;row=7670&amp;col=7&amp;number=0.00724&amp;sourceID=14","0.00724")</f>
        <v>0.00724</v>
      </c>
    </row>
    <row r="7671" spans="1:7">
      <c r="A7671" s="3"/>
      <c r="B7671" s="3"/>
      <c r="C7671" s="3"/>
      <c r="D7671" s="3"/>
      <c r="E7671" s="3">
        <v>8</v>
      </c>
      <c r="F7671" s="4" t="str">
        <f>HYPERLINK("http://141.218.60.56/~jnz1568/getInfo.php?workbook=12_05.xlsx&amp;sheet=U0&amp;row=7671&amp;col=6&amp;number=3.7&amp;sourceID=14","3.7")</f>
        <v>3.7</v>
      </c>
      <c r="G7671" s="4" t="str">
        <f>HYPERLINK("http://141.218.60.56/~jnz1568/getInfo.php?workbook=12_05.xlsx&amp;sheet=U0&amp;row=7671&amp;col=7&amp;number=0.00723&amp;sourceID=14","0.00723")</f>
        <v>0.00723</v>
      </c>
    </row>
    <row r="7672" spans="1:7">
      <c r="A7672" s="3"/>
      <c r="B7672" s="3"/>
      <c r="C7672" s="3"/>
      <c r="D7672" s="3"/>
      <c r="E7672" s="3">
        <v>9</v>
      </c>
      <c r="F7672" s="4" t="str">
        <f>HYPERLINK("http://141.218.60.56/~jnz1568/getInfo.php?workbook=12_05.xlsx&amp;sheet=U0&amp;row=7672&amp;col=6&amp;number=3.8&amp;sourceID=14","3.8")</f>
        <v>3.8</v>
      </c>
      <c r="G7672" s="4" t="str">
        <f>HYPERLINK("http://141.218.60.56/~jnz1568/getInfo.php?workbook=12_05.xlsx&amp;sheet=U0&amp;row=7672&amp;col=7&amp;number=0.00723&amp;sourceID=14","0.00723")</f>
        <v>0.00723</v>
      </c>
    </row>
    <row r="7673" spans="1:7">
      <c r="A7673" s="3"/>
      <c r="B7673" s="3"/>
      <c r="C7673" s="3"/>
      <c r="D7673" s="3"/>
      <c r="E7673" s="3">
        <v>10</v>
      </c>
      <c r="F7673" s="4" t="str">
        <f>HYPERLINK("http://141.218.60.56/~jnz1568/getInfo.php?workbook=12_05.xlsx&amp;sheet=U0&amp;row=7673&amp;col=6&amp;number=3.9&amp;sourceID=14","3.9")</f>
        <v>3.9</v>
      </c>
      <c r="G7673" s="4" t="str">
        <f>HYPERLINK("http://141.218.60.56/~jnz1568/getInfo.php?workbook=12_05.xlsx&amp;sheet=U0&amp;row=7673&amp;col=7&amp;number=0.00722&amp;sourceID=14","0.00722")</f>
        <v>0.00722</v>
      </c>
    </row>
    <row r="7674" spans="1:7">
      <c r="A7674" s="3"/>
      <c r="B7674" s="3"/>
      <c r="C7674" s="3"/>
      <c r="D7674" s="3"/>
      <c r="E7674" s="3">
        <v>11</v>
      </c>
      <c r="F7674" s="4" t="str">
        <f>HYPERLINK("http://141.218.60.56/~jnz1568/getInfo.php?workbook=12_05.xlsx&amp;sheet=U0&amp;row=7674&amp;col=6&amp;number=4&amp;sourceID=14","4")</f>
        <v>4</v>
      </c>
      <c r="G7674" s="4" t="str">
        <f>HYPERLINK("http://141.218.60.56/~jnz1568/getInfo.php?workbook=12_05.xlsx&amp;sheet=U0&amp;row=7674&amp;col=7&amp;number=0.00721&amp;sourceID=14","0.00721")</f>
        <v>0.00721</v>
      </c>
    </row>
    <row r="7675" spans="1:7">
      <c r="A7675" s="3"/>
      <c r="B7675" s="3"/>
      <c r="C7675" s="3"/>
      <c r="D7675" s="3"/>
      <c r="E7675" s="3">
        <v>12</v>
      </c>
      <c r="F7675" s="4" t="str">
        <f>HYPERLINK("http://141.218.60.56/~jnz1568/getInfo.php?workbook=12_05.xlsx&amp;sheet=U0&amp;row=7675&amp;col=6&amp;number=4.1&amp;sourceID=14","4.1")</f>
        <v>4.1</v>
      </c>
      <c r="G7675" s="4" t="str">
        <f>HYPERLINK("http://141.218.60.56/~jnz1568/getInfo.php?workbook=12_05.xlsx&amp;sheet=U0&amp;row=7675&amp;col=7&amp;number=0.0072&amp;sourceID=14","0.0072")</f>
        <v>0.0072</v>
      </c>
    </row>
    <row r="7676" spans="1:7">
      <c r="A7676" s="3"/>
      <c r="B7676" s="3"/>
      <c r="C7676" s="3"/>
      <c r="D7676" s="3"/>
      <c r="E7676" s="3">
        <v>13</v>
      </c>
      <c r="F7676" s="4" t="str">
        <f>HYPERLINK("http://141.218.60.56/~jnz1568/getInfo.php?workbook=12_05.xlsx&amp;sheet=U0&amp;row=7676&amp;col=6&amp;number=4.2&amp;sourceID=14","4.2")</f>
        <v>4.2</v>
      </c>
      <c r="G7676" s="4" t="str">
        <f>HYPERLINK("http://141.218.60.56/~jnz1568/getInfo.php?workbook=12_05.xlsx&amp;sheet=U0&amp;row=7676&amp;col=7&amp;number=0.00718&amp;sourceID=14","0.00718")</f>
        <v>0.00718</v>
      </c>
    </row>
    <row r="7677" spans="1:7">
      <c r="A7677" s="3"/>
      <c r="B7677" s="3"/>
      <c r="C7677" s="3"/>
      <c r="D7677" s="3"/>
      <c r="E7677" s="3">
        <v>14</v>
      </c>
      <c r="F7677" s="4" t="str">
        <f>HYPERLINK("http://141.218.60.56/~jnz1568/getInfo.php?workbook=12_05.xlsx&amp;sheet=U0&amp;row=7677&amp;col=6&amp;number=4.3&amp;sourceID=14","4.3")</f>
        <v>4.3</v>
      </c>
      <c r="G7677" s="4" t="str">
        <f>HYPERLINK("http://141.218.60.56/~jnz1568/getInfo.php?workbook=12_05.xlsx&amp;sheet=U0&amp;row=7677&amp;col=7&amp;number=0.00716&amp;sourceID=14","0.00716")</f>
        <v>0.00716</v>
      </c>
    </row>
    <row r="7678" spans="1:7">
      <c r="A7678" s="3"/>
      <c r="B7678" s="3"/>
      <c r="C7678" s="3"/>
      <c r="D7678" s="3"/>
      <c r="E7678" s="3">
        <v>15</v>
      </c>
      <c r="F7678" s="4" t="str">
        <f>HYPERLINK("http://141.218.60.56/~jnz1568/getInfo.php?workbook=12_05.xlsx&amp;sheet=U0&amp;row=7678&amp;col=6&amp;number=4.4&amp;sourceID=14","4.4")</f>
        <v>4.4</v>
      </c>
      <c r="G7678" s="4" t="str">
        <f>HYPERLINK("http://141.218.60.56/~jnz1568/getInfo.php?workbook=12_05.xlsx&amp;sheet=U0&amp;row=7678&amp;col=7&amp;number=0.00714&amp;sourceID=14","0.00714")</f>
        <v>0.00714</v>
      </c>
    </row>
    <row r="7679" spans="1:7">
      <c r="A7679" s="3"/>
      <c r="B7679" s="3"/>
      <c r="C7679" s="3"/>
      <c r="D7679" s="3"/>
      <c r="E7679" s="3">
        <v>16</v>
      </c>
      <c r="F7679" s="4" t="str">
        <f>HYPERLINK("http://141.218.60.56/~jnz1568/getInfo.php?workbook=12_05.xlsx&amp;sheet=U0&amp;row=7679&amp;col=6&amp;number=4.5&amp;sourceID=14","4.5")</f>
        <v>4.5</v>
      </c>
      <c r="G7679" s="4" t="str">
        <f>HYPERLINK("http://141.218.60.56/~jnz1568/getInfo.php?workbook=12_05.xlsx&amp;sheet=U0&amp;row=7679&amp;col=7&amp;number=0.00711&amp;sourceID=14","0.00711")</f>
        <v>0.00711</v>
      </c>
    </row>
    <row r="7680" spans="1:7">
      <c r="A7680" s="3"/>
      <c r="B7680" s="3"/>
      <c r="C7680" s="3"/>
      <c r="D7680" s="3"/>
      <c r="E7680" s="3">
        <v>17</v>
      </c>
      <c r="F7680" s="4" t="str">
        <f>HYPERLINK("http://141.218.60.56/~jnz1568/getInfo.php?workbook=12_05.xlsx&amp;sheet=U0&amp;row=7680&amp;col=6&amp;number=4.6&amp;sourceID=14","4.6")</f>
        <v>4.6</v>
      </c>
      <c r="G7680" s="4" t="str">
        <f>HYPERLINK("http://141.218.60.56/~jnz1568/getInfo.php?workbook=12_05.xlsx&amp;sheet=U0&amp;row=7680&amp;col=7&amp;number=0.00708&amp;sourceID=14","0.00708")</f>
        <v>0.00708</v>
      </c>
    </row>
    <row r="7681" spans="1:7">
      <c r="A7681" s="3"/>
      <c r="B7681" s="3"/>
      <c r="C7681" s="3"/>
      <c r="D7681" s="3"/>
      <c r="E7681" s="3">
        <v>18</v>
      </c>
      <c r="F7681" s="4" t="str">
        <f>HYPERLINK("http://141.218.60.56/~jnz1568/getInfo.php?workbook=12_05.xlsx&amp;sheet=U0&amp;row=7681&amp;col=6&amp;number=4.7&amp;sourceID=14","4.7")</f>
        <v>4.7</v>
      </c>
      <c r="G7681" s="4" t="str">
        <f>HYPERLINK("http://141.218.60.56/~jnz1568/getInfo.php?workbook=12_05.xlsx&amp;sheet=U0&amp;row=7681&amp;col=7&amp;number=0.00703&amp;sourceID=14","0.00703")</f>
        <v>0.00703</v>
      </c>
    </row>
    <row r="7682" spans="1:7">
      <c r="A7682" s="3"/>
      <c r="B7682" s="3"/>
      <c r="C7682" s="3"/>
      <c r="D7682" s="3"/>
      <c r="E7682" s="3">
        <v>19</v>
      </c>
      <c r="F7682" s="4" t="str">
        <f>HYPERLINK("http://141.218.60.56/~jnz1568/getInfo.php?workbook=12_05.xlsx&amp;sheet=U0&amp;row=7682&amp;col=6&amp;number=4.8&amp;sourceID=14","4.8")</f>
        <v>4.8</v>
      </c>
      <c r="G7682" s="4" t="str">
        <f>HYPERLINK("http://141.218.60.56/~jnz1568/getInfo.php?workbook=12_05.xlsx&amp;sheet=U0&amp;row=7682&amp;col=7&amp;number=0.00698&amp;sourceID=14","0.00698")</f>
        <v>0.00698</v>
      </c>
    </row>
    <row r="7683" spans="1:7">
      <c r="A7683" s="3"/>
      <c r="B7683" s="3"/>
      <c r="C7683" s="3"/>
      <c r="D7683" s="3"/>
      <c r="E7683" s="3">
        <v>20</v>
      </c>
      <c r="F7683" s="4" t="str">
        <f>HYPERLINK("http://141.218.60.56/~jnz1568/getInfo.php?workbook=12_05.xlsx&amp;sheet=U0&amp;row=7683&amp;col=6&amp;number=4.9&amp;sourceID=14","4.9")</f>
        <v>4.9</v>
      </c>
      <c r="G7683" s="4" t="str">
        <f>HYPERLINK("http://141.218.60.56/~jnz1568/getInfo.php?workbook=12_05.xlsx&amp;sheet=U0&amp;row=7683&amp;col=7&amp;number=0.00691&amp;sourceID=14","0.00691")</f>
        <v>0.00691</v>
      </c>
    </row>
    <row r="7684" spans="1:7">
      <c r="A7684" s="3">
        <v>12</v>
      </c>
      <c r="B7684" s="3">
        <v>5</v>
      </c>
      <c r="C7684" s="3">
        <v>3</v>
      </c>
      <c r="D7684" s="3">
        <v>44</v>
      </c>
      <c r="E7684" s="3">
        <v>1</v>
      </c>
      <c r="F7684" s="4" t="str">
        <f>HYPERLINK("http://141.218.60.56/~jnz1568/getInfo.php?workbook=12_05.xlsx&amp;sheet=U0&amp;row=7684&amp;col=6&amp;number=3&amp;sourceID=14","3")</f>
        <v>3</v>
      </c>
      <c r="G7684" s="4" t="str">
        <f>HYPERLINK("http://141.218.60.56/~jnz1568/getInfo.php?workbook=12_05.xlsx&amp;sheet=U0&amp;row=7684&amp;col=7&amp;number=0.00485&amp;sourceID=14","0.00485")</f>
        <v>0.00485</v>
      </c>
    </row>
    <row r="7685" spans="1:7">
      <c r="A7685" s="3"/>
      <c r="B7685" s="3"/>
      <c r="C7685" s="3"/>
      <c r="D7685" s="3"/>
      <c r="E7685" s="3">
        <v>2</v>
      </c>
      <c r="F7685" s="4" t="str">
        <f>HYPERLINK("http://141.218.60.56/~jnz1568/getInfo.php?workbook=12_05.xlsx&amp;sheet=U0&amp;row=7685&amp;col=6&amp;number=3.1&amp;sourceID=14","3.1")</f>
        <v>3.1</v>
      </c>
      <c r="G7685" s="4" t="str">
        <f>HYPERLINK("http://141.218.60.56/~jnz1568/getInfo.php?workbook=12_05.xlsx&amp;sheet=U0&amp;row=7685&amp;col=7&amp;number=0.00485&amp;sourceID=14","0.00485")</f>
        <v>0.00485</v>
      </c>
    </row>
    <row r="7686" spans="1:7">
      <c r="A7686" s="3"/>
      <c r="B7686" s="3"/>
      <c r="C7686" s="3"/>
      <c r="D7686" s="3"/>
      <c r="E7686" s="3">
        <v>3</v>
      </c>
      <c r="F7686" s="4" t="str">
        <f>HYPERLINK("http://141.218.60.56/~jnz1568/getInfo.php?workbook=12_05.xlsx&amp;sheet=U0&amp;row=7686&amp;col=6&amp;number=3.2&amp;sourceID=14","3.2")</f>
        <v>3.2</v>
      </c>
      <c r="G7686" s="4" t="str">
        <f>HYPERLINK("http://141.218.60.56/~jnz1568/getInfo.php?workbook=12_05.xlsx&amp;sheet=U0&amp;row=7686&amp;col=7&amp;number=0.00485&amp;sourceID=14","0.00485")</f>
        <v>0.00485</v>
      </c>
    </row>
    <row r="7687" spans="1:7">
      <c r="A7687" s="3"/>
      <c r="B7687" s="3"/>
      <c r="C7687" s="3"/>
      <c r="D7687" s="3"/>
      <c r="E7687" s="3">
        <v>4</v>
      </c>
      <c r="F7687" s="4" t="str">
        <f>HYPERLINK("http://141.218.60.56/~jnz1568/getInfo.php?workbook=12_05.xlsx&amp;sheet=U0&amp;row=7687&amp;col=6&amp;number=3.3&amp;sourceID=14","3.3")</f>
        <v>3.3</v>
      </c>
      <c r="G7687" s="4" t="str">
        <f>HYPERLINK("http://141.218.60.56/~jnz1568/getInfo.php?workbook=12_05.xlsx&amp;sheet=U0&amp;row=7687&amp;col=7&amp;number=0.00485&amp;sourceID=14","0.00485")</f>
        <v>0.00485</v>
      </c>
    </row>
    <row r="7688" spans="1:7">
      <c r="A7688" s="3"/>
      <c r="B7688" s="3"/>
      <c r="C7688" s="3"/>
      <c r="D7688" s="3"/>
      <c r="E7688" s="3">
        <v>5</v>
      </c>
      <c r="F7688" s="4" t="str">
        <f>HYPERLINK("http://141.218.60.56/~jnz1568/getInfo.php?workbook=12_05.xlsx&amp;sheet=U0&amp;row=7688&amp;col=6&amp;number=3.4&amp;sourceID=14","3.4")</f>
        <v>3.4</v>
      </c>
      <c r="G7688" s="4" t="str">
        <f>HYPERLINK("http://141.218.60.56/~jnz1568/getInfo.php?workbook=12_05.xlsx&amp;sheet=U0&amp;row=7688&amp;col=7&amp;number=0.00485&amp;sourceID=14","0.00485")</f>
        <v>0.00485</v>
      </c>
    </row>
    <row r="7689" spans="1:7">
      <c r="A7689" s="3"/>
      <c r="B7689" s="3"/>
      <c r="C7689" s="3"/>
      <c r="D7689" s="3"/>
      <c r="E7689" s="3">
        <v>6</v>
      </c>
      <c r="F7689" s="4" t="str">
        <f>HYPERLINK("http://141.218.60.56/~jnz1568/getInfo.php?workbook=12_05.xlsx&amp;sheet=U0&amp;row=7689&amp;col=6&amp;number=3.5&amp;sourceID=14","3.5")</f>
        <v>3.5</v>
      </c>
      <c r="G7689" s="4" t="str">
        <f>HYPERLINK("http://141.218.60.56/~jnz1568/getInfo.php?workbook=12_05.xlsx&amp;sheet=U0&amp;row=7689&amp;col=7&amp;number=0.00486&amp;sourceID=14","0.00486")</f>
        <v>0.00486</v>
      </c>
    </row>
    <row r="7690" spans="1:7">
      <c r="A7690" s="3"/>
      <c r="B7690" s="3"/>
      <c r="C7690" s="3"/>
      <c r="D7690" s="3"/>
      <c r="E7690" s="3">
        <v>7</v>
      </c>
      <c r="F7690" s="4" t="str">
        <f>HYPERLINK("http://141.218.60.56/~jnz1568/getInfo.php?workbook=12_05.xlsx&amp;sheet=U0&amp;row=7690&amp;col=6&amp;number=3.6&amp;sourceID=14","3.6")</f>
        <v>3.6</v>
      </c>
      <c r="G7690" s="4" t="str">
        <f>HYPERLINK("http://141.218.60.56/~jnz1568/getInfo.php?workbook=12_05.xlsx&amp;sheet=U0&amp;row=7690&amp;col=7&amp;number=0.00486&amp;sourceID=14","0.00486")</f>
        <v>0.00486</v>
      </c>
    </row>
    <row r="7691" spans="1:7">
      <c r="A7691" s="3"/>
      <c r="B7691" s="3"/>
      <c r="C7691" s="3"/>
      <c r="D7691" s="3"/>
      <c r="E7691" s="3">
        <v>8</v>
      </c>
      <c r="F7691" s="4" t="str">
        <f>HYPERLINK("http://141.218.60.56/~jnz1568/getInfo.php?workbook=12_05.xlsx&amp;sheet=U0&amp;row=7691&amp;col=6&amp;number=3.7&amp;sourceID=14","3.7")</f>
        <v>3.7</v>
      </c>
      <c r="G7691" s="4" t="str">
        <f>HYPERLINK("http://141.218.60.56/~jnz1568/getInfo.php?workbook=12_05.xlsx&amp;sheet=U0&amp;row=7691&amp;col=7&amp;number=0.00486&amp;sourceID=14","0.00486")</f>
        <v>0.00486</v>
      </c>
    </row>
    <row r="7692" spans="1:7">
      <c r="A7692" s="3"/>
      <c r="B7692" s="3"/>
      <c r="C7692" s="3"/>
      <c r="D7692" s="3"/>
      <c r="E7692" s="3">
        <v>9</v>
      </c>
      <c r="F7692" s="4" t="str">
        <f>HYPERLINK("http://141.218.60.56/~jnz1568/getInfo.php?workbook=12_05.xlsx&amp;sheet=U0&amp;row=7692&amp;col=6&amp;number=3.8&amp;sourceID=14","3.8")</f>
        <v>3.8</v>
      </c>
      <c r="G7692" s="4" t="str">
        <f>HYPERLINK("http://141.218.60.56/~jnz1568/getInfo.php?workbook=12_05.xlsx&amp;sheet=U0&amp;row=7692&amp;col=7&amp;number=0.00487&amp;sourceID=14","0.00487")</f>
        <v>0.00487</v>
      </c>
    </row>
    <row r="7693" spans="1:7">
      <c r="A7693" s="3"/>
      <c r="B7693" s="3"/>
      <c r="C7693" s="3"/>
      <c r="D7693" s="3"/>
      <c r="E7693" s="3">
        <v>10</v>
      </c>
      <c r="F7693" s="4" t="str">
        <f>HYPERLINK("http://141.218.60.56/~jnz1568/getInfo.php?workbook=12_05.xlsx&amp;sheet=U0&amp;row=7693&amp;col=6&amp;number=3.9&amp;sourceID=14","3.9")</f>
        <v>3.9</v>
      </c>
      <c r="G7693" s="4" t="str">
        <f>HYPERLINK("http://141.218.60.56/~jnz1568/getInfo.php?workbook=12_05.xlsx&amp;sheet=U0&amp;row=7693&amp;col=7&amp;number=0.00487&amp;sourceID=14","0.00487")</f>
        <v>0.00487</v>
      </c>
    </row>
    <row r="7694" spans="1:7">
      <c r="A7694" s="3"/>
      <c r="B7694" s="3"/>
      <c r="C7694" s="3"/>
      <c r="D7694" s="3"/>
      <c r="E7694" s="3">
        <v>11</v>
      </c>
      <c r="F7694" s="4" t="str">
        <f>HYPERLINK("http://141.218.60.56/~jnz1568/getInfo.php?workbook=12_05.xlsx&amp;sheet=U0&amp;row=7694&amp;col=6&amp;number=4&amp;sourceID=14","4")</f>
        <v>4</v>
      </c>
      <c r="G7694" s="4" t="str">
        <f>HYPERLINK("http://141.218.60.56/~jnz1568/getInfo.php?workbook=12_05.xlsx&amp;sheet=U0&amp;row=7694&amp;col=7&amp;number=0.00488&amp;sourceID=14","0.00488")</f>
        <v>0.00488</v>
      </c>
    </row>
    <row r="7695" spans="1:7">
      <c r="A7695" s="3"/>
      <c r="B7695" s="3"/>
      <c r="C7695" s="3"/>
      <c r="D7695" s="3"/>
      <c r="E7695" s="3">
        <v>12</v>
      </c>
      <c r="F7695" s="4" t="str">
        <f>HYPERLINK("http://141.218.60.56/~jnz1568/getInfo.php?workbook=12_05.xlsx&amp;sheet=U0&amp;row=7695&amp;col=6&amp;number=4.1&amp;sourceID=14","4.1")</f>
        <v>4.1</v>
      </c>
      <c r="G7695" s="4" t="str">
        <f>HYPERLINK("http://141.218.60.56/~jnz1568/getInfo.php?workbook=12_05.xlsx&amp;sheet=U0&amp;row=7695&amp;col=7&amp;number=0.00489&amp;sourceID=14","0.00489")</f>
        <v>0.00489</v>
      </c>
    </row>
    <row r="7696" spans="1:7">
      <c r="A7696" s="3"/>
      <c r="B7696" s="3"/>
      <c r="C7696" s="3"/>
      <c r="D7696" s="3"/>
      <c r="E7696" s="3">
        <v>13</v>
      </c>
      <c r="F7696" s="4" t="str">
        <f>HYPERLINK("http://141.218.60.56/~jnz1568/getInfo.php?workbook=12_05.xlsx&amp;sheet=U0&amp;row=7696&amp;col=6&amp;number=4.2&amp;sourceID=14","4.2")</f>
        <v>4.2</v>
      </c>
      <c r="G7696" s="4" t="str">
        <f>HYPERLINK("http://141.218.60.56/~jnz1568/getInfo.php?workbook=12_05.xlsx&amp;sheet=U0&amp;row=7696&amp;col=7&amp;number=0.0049&amp;sourceID=14","0.0049")</f>
        <v>0.0049</v>
      </c>
    </row>
    <row r="7697" spans="1:7">
      <c r="A7697" s="3"/>
      <c r="B7697" s="3"/>
      <c r="C7697" s="3"/>
      <c r="D7697" s="3"/>
      <c r="E7697" s="3">
        <v>14</v>
      </c>
      <c r="F7697" s="4" t="str">
        <f>HYPERLINK("http://141.218.60.56/~jnz1568/getInfo.php?workbook=12_05.xlsx&amp;sheet=U0&amp;row=7697&amp;col=6&amp;number=4.3&amp;sourceID=14","4.3")</f>
        <v>4.3</v>
      </c>
      <c r="G7697" s="4" t="str">
        <f>HYPERLINK("http://141.218.60.56/~jnz1568/getInfo.php?workbook=12_05.xlsx&amp;sheet=U0&amp;row=7697&amp;col=7&amp;number=0.00492&amp;sourceID=14","0.00492")</f>
        <v>0.00492</v>
      </c>
    </row>
    <row r="7698" spans="1:7">
      <c r="A7698" s="3"/>
      <c r="B7698" s="3"/>
      <c r="C7698" s="3"/>
      <c r="D7698" s="3"/>
      <c r="E7698" s="3">
        <v>15</v>
      </c>
      <c r="F7698" s="4" t="str">
        <f>HYPERLINK("http://141.218.60.56/~jnz1568/getInfo.php?workbook=12_05.xlsx&amp;sheet=U0&amp;row=7698&amp;col=6&amp;number=4.4&amp;sourceID=14","4.4")</f>
        <v>4.4</v>
      </c>
      <c r="G7698" s="4" t="str">
        <f>HYPERLINK("http://141.218.60.56/~jnz1568/getInfo.php?workbook=12_05.xlsx&amp;sheet=U0&amp;row=7698&amp;col=7&amp;number=0.00493&amp;sourceID=14","0.00493")</f>
        <v>0.00493</v>
      </c>
    </row>
    <row r="7699" spans="1:7">
      <c r="A7699" s="3"/>
      <c r="B7699" s="3"/>
      <c r="C7699" s="3"/>
      <c r="D7699" s="3"/>
      <c r="E7699" s="3">
        <v>16</v>
      </c>
      <c r="F7699" s="4" t="str">
        <f>HYPERLINK("http://141.218.60.56/~jnz1568/getInfo.php?workbook=12_05.xlsx&amp;sheet=U0&amp;row=7699&amp;col=6&amp;number=4.5&amp;sourceID=14","4.5")</f>
        <v>4.5</v>
      </c>
      <c r="G7699" s="4" t="str">
        <f>HYPERLINK("http://141.218.60.56/~jnz1568/getInfo.php?workbook=12_05.xlsx&amp;sheet=U0&amp;row=7699&amp;col=7&amp;number=0.00496&amp;sourceID=14","0.00496")</f>
        <v>0.00496</v>
      </c>
    </row>
    <row r="7700" spans="1:7">
      <c r="A7700" s="3"/>
      <c r="B7700" s="3"/>
      <c r="C7700" s="3"/>
      <c r="D7700" s="3"/>
      <c r="E7700" s="3">
        <v>17</v>
      </c>
      <c r="F7700" s="4" t="str">
        <f>HYPERLINK("http://141.218.60.56/~jnz1568/getInfo.php?workbook=12_05.xlsx&amp;sheet=U0&amp;row=7700&amp;col=6&amp;number=4.6&amp;sourceID=14","4.6")</f>
        <v>4.6</v>
      </c>
      <c r="G7700" s="4" t="str">
        <f>HYPERLINK("http://141.218.60.56/~jnz1568/getInfo.php?workbook=12_05.xlsx&amp;sheet=U0&amp;row=7700&amp;col=7&amp;number=0.00499&amp;sourceID=14","0.00499")</f>
        <v>0.00499</v>
      </c>
    </row>
    <row r="7701" spans="1:7">
      <c r="A7701" s="3"/>
      <c r="B7701" s="3"/>
      <c r="C7701" s="3"/>
      <c r="D7701" s="3"/>
      <c r="E7701" s="3">
        <v>18</v>
      </c>
      <c r="F7701" s="4" t="str">
        <f>HYPERLINK("http://141.218.60.56/~jnz1568/getInfo.php?workbook=12_05.xlsx&amp;sheet=U0&amp;row=7701&amp;col=6&amp;number=4.7&amp;sourceID=14","4.7")</f>
        <v>4.7</v>
      </c>
      <c r="G7701" s="4" t="str">
        <f>HYPERLINK("http://141.218.60.56/~jnz1568/getInfo.php?workbook=12_05.xlsx&amp;sheet=U0&amp;row=7701&amp;col=7&amp;number=0.00502&amp;sourceID=14","0.00502")</f>
        <v>0.00502</v>
      </c>
    </row>
    <row r="7702" spans="1:7">
      <c r="A7702" s="3"/>
      <c r="B7702" s="3"/>
      <c r="C7702" s="3"/>
      <c r="D7702" s="3"/>
      <c r="E7702" s="3">
        <v>19</v>
      </c>
      <c r="F7702" s="4" t="str">
        <f>HYPERLINK("http://141.218.60.56/~jnz1568/getInfo.php?workbook=12_05.xlsx&amp;sheet=U0&amp;row=7702&amp;col=6&amp;number=4.8&amp;sourceID=14","4.8")</f>
        <v>4.8</v>
      </c>
      <c r="G7702" s="4" t="str">
        <f>HYPERLINK("http://141.218.60.56/~jnz1568/getInfo.php?workbook=12_05.xlsx&amp;sheet=U0&amp;row=7702&amp;col=7&amp;number=0.00507&amp;sourceID=14","0.00507")</f>
        <v>0.00507</v>
      </c>
    </row>
    <row r="7703" spans="1:7">
      <c r="A7703" s="3"/>
      <c r="B7703" s="3"/>
      <c r="C7703" s="3"/>
      <c r="D7703" s="3"/>
      <c r="E7703" s="3">
        <v>20</v>
      </c>
      <c r="F7703" s="4" t="str">
        <f>HYPERLINK("http://141.218.60.56/~jnz1568/getInfo.php?workbook=12_05.xlsx&amp;sheet=U0&amp;row=7703&amp;col=6&amp;number=4.9&amp;sourceID=14","4.9")</f>
        <v>4.9</v>
      </c>
      <c r="G7703" s="4" t="str">
        <f>HYPERLINK("http://141.218.60.56/~jnz1568/getInfo.php?workbook=12_05.xlsx&amp;sheet=U0&amp;row=7703&amp;col=7&amp;number=0.00512&amp;sourceID=14","0.00512")</f>
        <v>0.00512</v>
      </c>
    </row>
    <row r="7704" spans="1:7">
      <c r="A7704" s="3">
        <v>12</v>
      </c>
      <c r="B7704" s="3">
        <v>5</v>
      </c>
      <c r="C7704" s="3">
        <v>3</v>
      </c>
      <c r="D7704" s="3">
        <v>45</v>
      </c>
      <c r="E7704" s="3">
        <v>1</v>
      </c>
      <c r="F7704" s="4" t="str">
        <f>HYPERLINK("http://141.218.60.56/~jnz1568/getInfo.php?workbook=12_05.xlsx&amp;sheet=U0&amp;row=7704&amp;col=6&amp;number=3&amp;sourceID=14","3")</f>
        <v>3</v>
      </c>
      <c r="G7704" s="4" t="str">
        <f>HYPERLINK("http://141.218.60.56/~jnz1568/getInfo.php?workbook=12_05.xlsx&amp;sheet=U0&amp;row=7704&amp;col=7&amp;number=0.0017&amp;sourceID=14","0.0017")</f>
        <v>0.0017</v>
      </c>
    </row>
    <row r="7705" spans="1:7">
      <c r="A7705" s="3"/>
      <c r="B7705" s="3"/>
      <c r="C7705" s="3"/>
      <c r="D7705" s="3"/>
      <c r="E7705" s="3">
        <v>2</v>
      </c>
      <c r="F7705" s="4" t="str">
        <f>HYPERLINK("http://141.218.60.56/~jnz1568/getInfo.php?workbook=12_05.xlsx&amp;sheet=U0&amp;row=7705&amp;col=6&amp;number=3.1&amp;sourceID=14","3.1")</f>
        <v>3.1</v>
      </c>
      <c r="G7705" s="4" t="str">
        <f>HYPERLINK("http://141.218.60.56/~jnz1568/getInfo.php?workbook=12_05.xlsx&amp;sheet=U0&amp;row=7705&amp;col=7&amp;number=0.0017&amp;sourceID=14","0.0017")</f>
        <v>0.0017</v>
      </c>
    </row>
    <row r="7706" spans="1:7">
      <c r="A7706" s="3"/>
      <c r="B7706" s="3"/>
      <c r="C7706" s="3"/>
      <c r="D7706" s="3"/>
      <c r="E7706" s="3">
        <v>3</v>
      </c>
      <c r="F7706" s="4" t="str">
        <f>HYPERLINK("http://141.218.60.56/~jnz1568/getInfo.php?workbook=12_05.xlsx&amp;sheet=U0&amp;row=7706&amp;col=6&amp;number=3.2&amp;sourceID=14","3.2")</f>
        <v>3.2</v>
      </c>
      <c r="G7706" s="4" t="str">
        <f>HYPERLINK("http://141.218.60.56/~jnz1568/getInfo.php?workbook=12_05.xlsx&amp;sheet=U0&amp;row=7706&amp;col=7&amp;number=0.0017&amp;sourceID=14","0.0017")</f>
        <v>0.0017</v>
      </c>
    </row>
    <row r="7707" spans="1:7">
      <c r="A7707" s="3"/>
      <c r="B7707" s="3"/>
      <c r="C7707" s="3"/>
      <c r="D7707" s="3"/>
      <c r="E7707" s="3">
        <v>4</v>
      </c>
      <c r="F7707" s="4" t="str">
        <f>HYPERLINK("http://141.218.60.56/~jnz1568/getInfo.php?workbook=12_05.xlsx&amp;sheet=U0&amp;row=7707&amp;col=6&amp;number=3.3&amp;sourceID=14","3.3")</f>
        <v>3.3</v>
      </c>
      <c r="G7707" s="4" t="str">
        <f>HYPERLINK("http://141.218.60.56/~jnz1568/getInfo.php?workbook=12_05.xlsx&amp;sheet=U0&amp;row=7707&amp;col=7&amp;number=0.0017&amp;sourceID=14","0.0017")</f>
        <v>0.0017</v>
      </c>
    </row>
    <row r="7708" spans="1:7">
      <c r="A7708" s="3"/>
      <c r="B7708" s="3"/>
      <c r="C7708" s="3"/>
      <c r="D7708" s="3"/>
      <c r="E7708" s="3">
        <v>5</v>
      </c>
      <c r="F7708" s="4" t="str">
        <f>HYPERLINK("http://141.218.60.56/~jnz1568/getInfo.php?workbook=12_05.xlsx&amp;sheet=U0&amp;row=7708&amp;col=6&amp;number=3.4&amp;sourceID=14","3.4")</f>
        <v>3.4</v>
      </c>
      <c r="G7708" s="4" t="str">
        <f>HYPERLINK("http://141.218.60.56/~jnz1568/getInfo.php?workbook=12_05.xlsx&amp;sheet=U0&amp;row=7708&amp;col=7&amp;number=0.0017&amp;sourceID=14","0.0017")</f>
        <v>0.0017</v>
      </c>
    </row>
    <row r="7709" spans="1:7">
      <c r="A7709" s="3"/>
      <c r="B7709" s="3"/>
      <c r="C7709" s="3"/>
      <c r="D7709" s="3"/>
      <c r="E7709" s="3">
        <v>6</v>
      </c>
      <c r="F7709" s="4" t="str">
        <f>HYPERLINK("http://141.218.60.56/~jnz1568/getInfo.php?workbook=12_05.xlsx&amp;sheet=U0&amp;row=7709&amp;col=6&amp;number=3.5&amp;sourceID=14","3.5")</f>
        <v>3.5</v>
      </c>
      <c r="G7709" s="4" t="str">
        <f>HYPERLINK("http://141.218.60.56/~jnz1568/getInfo.php?workbook=12_05.xlsx&amp;sheet=U0&amp;row=7709&amp;col=7&amp;number=0.0017&amp;sourceID=14","0.0017")</f>
        <v>0.0017</v>
      </c>
    </row>
    <row r="7710" spans="1:7">
      <c r="A7710" s="3"/>
      <c r="B7710" s="3"/>
      <c r="C7710" s="3"/>
      <c r="D7710" s="3"/>
      <c r="E7710" s="3">
        <v>7</v>
      </c>
      <c r="F7710" s="4" t="str">
        <f>HYPERLINK("http://141.218.60.56/~jnz1568/getInfo.php?workbook=12_05.xlsx&amp;sheet=U0&amp;row=7710&amp;col=6&amp;number=3.6&amp;sourceID=14","3.6")</f>
        <v>3.6</v>
      </c>
      <c r="G7710" s="4" t="str">
        <f>HYPERLINK("http://141.218.60.56/~jnz1568/getInfo.php?workbook=12_05.xlsx&amp;sheet=U0&amp;row=7710&amp;col=7&amp;number=0.0017&amp;sourceID=14","0.0017")</f>
        <v>0.0017</v>
      </c>
    </row>
    <row r="7711" spans="1:7">
      <c r="A7711" s="3"/>
      <c r="B7711" s="3"/>
      <c r="C7711" s="3"/>
      <c r="D7711" s="3"/>
      <c r="E7711" s="3">
        <v>8</v>
      </c>
      <c r="F7711" s="4" t="str">
        <f>HYPERLINK("http://141.218.60.56/~jnz1568/getInfo.php?workbook=12_05.xlsx&amp;sheet=U0&amp;row=7711&amp;col=6&amp;number=3.7&amp;sourceID=14","3.7")</f>
        <v>3.7</v>
      </c>
      <c r="G7711" s="4" t="str">
        <f>HYPERLINK("http://141.218.60.56/~jnz1568/getInfo.php?workbook=12_05.xlsx&amp;sheet=U0&amp;row=7711&amp;col=7&amp;number=0.0017&amp;sourceID=14","0.0017")</f>
        <v>0.0017</v>
      </c>
    </row>
    <row r="7712" spans="1:7">
      <c r="A7712" s="3"/>
      <c r="B7712" s="3"/>
      <c r="C7712" s="3"/>
      <c r="D7712" s="3"/>
      <c r="E7712" s="3">
        <v>9</v>
      </c>
      <c r="F7712" s="4" t="str">
        <f>HYPERLINK("http://141.218.60.56/~jnz1568/getInfo.php?workbook=12_05.xlsx&amp;sheet=U0&amp;row=7712&amp;col=6&amp;number=3.8&amp;sourceID=14","3.8")</f>
        <v>3.8</v>
      </c>
      <c r="G7712" s="4" t="str">
        <f>HYPERLINK("http://141.218.60.56/~jnz1568/getInfo.php?workbook=12_05.xlsx&amp;sheet=U0&amp;row=7712&amp;col=7&amp;number=0.0017&amp;sourceID=14","0.0017")</f>
        <v>0.0017</v>
      </c>
    </row>
    <row r="7713" spans="1:7">
      <c r="A7713" s="3"/>
      <c r="B7713" s="3"/>
      <c r="C7713" s="3"/>
      <c r="D7713" s="3"/>
      <c r="E7713" s="3">
        <v>10</v>
      </c>
      <c r="F7713" s="4" t="str">
        <f>HYPERLINK("http://141.218.60.56/~jnz1568/getInfo.php?workbook=12_05.xlsx&amp;sheet=U0&amp;row=7713&amp;col=6&amp;number=3.9&amp;sourceID=14","3.9")</f>
        <v>3.9</v>
      </c>
      <c r="G7713" s="4" t="str">
        <f>HYPERLINK("http://141.218.60.56/~jnz1568/getInfo.php?workbook=12_05.xlsx&amp;sheet=U0&amp;row=7713&amp;col=7&amp;number=0.0017&amp;sourceID=14","0.0017")</f>
        <v>0.0017</v>
      </c>
    </row>
    <row r="7714" spans="1:7">
      <c r="A7714" s="3"/>
      <c r="B7714" s="3"/>
      <c r="C7714" s="3"/>
      <c r="D7714" s="3"/>
      <c r="E7714" s="3">
        <v>11</v>
      </c>
      <c r="F7714" s="4" t="str">
        <f>HYPERLINK("http://141.218.60.56/~jnz1568/getInfo.php?workbook=12_05.xlsx&amp;sheet=U0&amp;row=7714&amp;col=6&amp;number=4&amp;sourceID=14","4")</f>
        <v>4</v>
      </c>
      <c r="G7714" s="4" t="str">
        <f>HYPERLINK("http://141.218.60.56/~jnz1568/getInfo.php?workbook=12_05.xlsx&amp;sheet=U0&amp;row=7714&amp;col=7&amp;number=0.0017&amp;sourceID=14","0.0017")</f>
        <v>0.0017</v>
      </c>
    </row>
    <row r="7715" spans="1:7">
      <c r="A7715" s="3"/>
      <c r="B7715" s="3"/>
      <c r="C7715" s="3"/>
      <c r="D7715" s="3"/>
      <c r="E7715" s="3">
        <v>12</v>
      </c>
      <c r="F7715" s="4" t="str">
        <f>HYPERLINK("http://141.218.60.56/~jnz1568/getInfo.php?workbook=12_05.xlsx&amp;sheet=U0&amp;row=7715&amp;col=6&amp;number=4.1&amp;sourceID=14","4.1")</f>
        <v>4.1</v>
      </c>
      <c r="G7715" s="4" t="str">
        <f>HYPERLINK("http://141.218.60.56/~jnz1568/getInfo.php?workbook=12_05.xlsx&amp;sheet=U0&amp;row=7715&amp;col=7&amp;number=0.0017&amp;sourceID=14","0.0017")</f>
        <v>0.0017</v>
      </c>
    </row>
    <row r="7716" spans="1:7">
      <c r="A7716" s="3"/>
      <c r="B7716" s="3"/>
      <c r="C7716" s="3"/>
      <c r="D7716" s="3"/>
      <c r="E7716" s="3">
        <v>13</v>
      </c>
      <c r="F7716" s="4" t="str">
        <f>HYPERLINK("http://141.218.60.56/~jnz1568/getInfo.php?workbook=12_05.xlsx&amp;sheet=U0&amp;row=7716&amp;col=6&amp;number=4.2&amp;sourceID=14","4.2")</f>
        <v>4.2</v>
      </c>
      <c r="G7716" s="4" t="str">
        <f>HYPERLINK("http://141.218.60.56/~jnz1568/getInfo.php?workbook=12_05.xlsx&amp;sheet=U0&amp;row=7716&amp;col=7&amp;number=0.0017&amp;sourceID=14","0.0017")</f>
        <v>0.0017</v>
      </c>
    </row>
    <row r="7717" spans="1:7">
      <c r="A7717" s="3"/>
      <c r="B7717" s="3"/>
      <c r="C7717" s="3"/>
      <c r="D7717" s="3"/>
      <c r="E7717" s="3">
        <v>14</v>
      </c>
      <c r="F7717" s="4" t="str">
        <f>HYPERLINK("http://141.218.60.56/~jnz1568/getInfo.php?workbook=12_05.xlsx&amp;sheet=U0&amp;row=7717&amp;col=6&amp;number=4.3&amp;sourceID=14","4.3")</f>
        <v>4.3</v>
      </c>
      <c r="G7717" s="4" t="str">
        <f>HYPERLINK("http://141.218.60.56/~jnz1568/getInfo.php?workbook=12_05.xlsx&amp;sheet=U0&amp;row=7717&amp;col=7&amp;number=0.0017&amp;sourceID=14","0.0017")</f>
        <v>0.0017</v>
      </c>
    </row>
    <row r="7718" spans="1:7">
      <c r="A7718" s="3"/>
      <c r="B7718" s="3"/>
      <c r="C7718" s="3"/>
      <c r="D7718" s="3"/>
      <c r="E7718" s="3">
        <v>15</v>
      </c>
      <c r="F7718" s="4" t="str">
        <f>HYPERLINK("http://141.218.60.56/~jnz1568/getInfo.php?workbook=12_05.xlsx&amp;sheet=U0&amp;row=7718&amp;col=6&amp;number=4.4&amp;sourceID=14","4.4")</f>
        <v>4.4</v>
      </c>
      <c r="G7718" s="4" t="str">
        <f>HYPERLINK("http://141.218.60.56/~jnz1568/getInfo.php?workbook=12_05.xlsx&amp;sheet=U0&amp;row=7718&amp;col=7&amp;number=0.0017&amp;sourceID=14","0.0017")</f>
        <v>0.0017</v>
      </c>
    </row>
    <row r="7719" spans="1:7">
      <c r="A7719" s="3"/>
      <c r="B7719" s="3"/>
      <c r="C7719" s="3"/>
      <c r="D7719" s="3"/>
      <c r="E7719" s="3">
        <v>16</v>
      </c>
      <c r="F7719" s="4" t="str">
        <f>HYPERLINK("http://141.218.60.56/~jnz1568/getInfo.php?workbook=12_05.xlsx&amp;sheet=U0&amp;row=7719&amp;col=6&amp;number=4.5&amp;sourceID=14","4.5")</f>
        <v>4.5</v>
      </c>
      <c r="G7719" s="4" t="str">
        <f>HYPERLINK("http://141.218.60.56/~jnz1568/getInfo.php?workbook=12_05.xlsx&amp;sheet=U0&amp;row=7719&amp;col=7&amp;number=0.0017&amp;sourceID=14","0.0017")</f>
        <v>0.0017</v>
      </c>
    </row>
    <row r="7720" spans="1:7">
      <c r="A7720" s="3"/>
      <c r="B7720" s="3"/>
      <c r="C7720" s="3"/>
      <c r="D7720" s="3"/>
      <c r="E7720" s="3">
        <v>17</v>
      </c>
      <c r="F7720" s="4" t="str">
        <f>HYPERLINK("http://141.218.60.56/~jnz1568/getInfo.php?workbook=12_05.xlsx&amp;sheet=U0&amp;row=7720&amp;col=6&amp;number=4.6&amp;sourceID=14","4.6")</f>
        <v>4.6</v>
      </c>
      <c r="G7720" s="4" t="str">
        <f>HYPERLINK("http://141.218.60.56/~jnz1568/getInfo.php?workbook=12_05.xlsx&amp;sheet=U0&amp;row=7720&amp;col=7&amp;number=0.0017&amp;sourceID=14","0.0017")</f>
        <v>0.0017</v>
      </c>
    </row>
    <row r="7721" spans="1:7">
      <c r="A7721" s="3"/>
      <c r="B7721" s="3"/>
      <c r="C7721" s="3"/>
      <c r="D7721" s="3"/>
      <c r="E7721" s="3">
        <v>18</v>
      </c>
      <c r="F7721" s="4" t="str">
        <f>HYPERLINK("http://141.218.60.56/~jnz1568/getInfo.php?workbook=12_05.xlsx&amp;sheet=U0&amp;row=7721&amp;col=6&amp;number=4.7&amp;sourceID=14","4.7")</f>
        <v>4.7</v>
      </c>
      <c r="G7721" s="4" t="str">
        <f>HYPERLINK("http://141.218.60.56/~jnz1568/getInfo.php?workbook=12_05.xlsx&amp;sheet=U0&amp;row=7721&amp;col=7&amp;number=0.0017&amp;sourceID=14","0.0017")</f>
        <v>0.0017</v>
      </c>
    </row>
    <row r="7722" spans="1:7">
      <c r="A7722" s="3"/>
      <c r="B7722" s="3"/>
      <c r="C7722" s="3"/>
      <c r="D7722" s="3"/>
      <c r="E7722" s="3">
        <v>19</v>
      </c>
      <c r="F7722" s="4" t="str">
        <f>HYPERLINK("http://141.218.60.56/~jnz1568/getInfo.php?workbook=12_05.xlsx&amp;sheet=U0&amp;row=7722&amp;col=6&amp;number=4.8&amp;sourceID=14","4.8")</f>
        <v>4.8</v>
      </c>
      <c r="G7722" s="4" t="str">
        <f>HYPERLINK("http://141.218.60.56/~jnz1568/getInfo.php?workbook=12_05.xlsx&amp;sheet=U0&amp;row=7722&amp;col=7&amp;number=0.00171&amp;sourceID=14","0.00171")</f>
        <v>0.00171</v>
      </c>
    </row>
    <row r="7723" spans="1:7">
      <c r="A7723" s="3"/>
      <c r="B7723" s="3"/>
      <c r="C7723" s="3"/>
      <c r="D7723" s="3"/>
      <c r="E7723" s="3">
        <v>20</v>
      </c>
      <c r="F7723" s="4" t="str">
        <f>HYPERLINK("http://141.218.60.56/~jnz1568/getInfo.php?workbook=12_05.xlsx&amp;sheet=U0&amp;row=7723&amp;col=6&amp;number=4.9&amp;sourceID=14","4.9")</f>
        <v>4.9</v>
      </c>
      <c r="G7723" s="4" t="str">
        <f>HYPERLINK("http://141.218.60.56/~jnz1568/getInfo.php?workbook=12_05.xlsx&amp;sheet=U0&amp;row=7723&amp;col=7&amp;number=0.00171&amp;sourceID=14","0.00171")</f>
        <v>0.00171</v>
      </c>
    </row>
    <row r="7724" spans="1:7">
      <c r="A7724" s="3">
        <v>12</v>
      </c>
      <c r="B7724" s="3">
        <v>5</v>
      </c>
      <c r="C7724" s="3">
        <v>3</v>
      </c>
      <c r="D7724" s="3">
        <v>46</v>
      </c>
      <c r="E7724" s="3">
        <v>1</v>
      </c>
      <c r="F7724" s="4" t="str">
        <f>HYPERLINK("http://141.218.60.56/~jnz1568/getInfo.php?workbook=12_05.xlsx&amp;sheet=U0&amp;row=7724&amp;col=6&amp;number=3&amp;sourceID=14","3")</f>
        <v>3</v>
      </c>
      <c r="G7724" s="4" t="str">
        <f>HYPERLINK("http://141.218.60.56/~jnz1568/getInfo.php?workbook=12_05.xlsx&amp;sheet=U0&amp;row=7724&amp;col=7&amp;number=0.00358&amp;sourceID=14","0.00358")</f>
        <v>0.00358</v>
      </c>
    </row>
    <row r="7725" spans="1:7">
      <c r="A7725" s="3"/>
      <c r="B7725" s="3"/>
      <c r="C7725" s="3"/>
      <c r="D7725" s="3"/>
      <c r="E7725" s="3">
        <v>2</v>
      </c>
      <c r="F7725" s="4" t="str">
        <f>HYPERLINK("http://141.218.60.56/~jnz1568/getInfo.php?workbook=12_05.xlsx&amp;sheet=U0&amp;row=7725&amp;col=6&amp;number=3.1&amp;sourceID=14","3.1")</f>
        <v>3.1</v>
      </c>
      <c r="G7725" s="4" t="str">
        <f>HYPERLINK("http://141.218.60.56/~jnz1568/getInfo.php?workbook=12_05.xlsx&amp;sheet=U0&amp;row=7725&amp;col=7&amp;number=0.00358&amp;sourceID=14","0.00358")</f>
        <v>0.00358</v>
      </c>
    </row>
    <row r="7726" spans="1:7">
      <c r="A7726" s="3"/>
      <c r="B7726" s="3"/>
      <c r="C7726" s="3"/>
      <c r="D7726" s="3"/>
      <c r="E7726" s="3">
        <v>3</v>
      </c>
      <c r="F7726" s="4" t="str">
        <f>HYPERLINK("http://141.218.60.56/~jnz1568/getInfo.php?workbook=12_05.xlsx&amp;sheet=U0&amp;row=7726&amp;col=6&amp;number=3.2&amp;sourceID=14","3.2")</f>
        <v>3.2</v>
      </c>
      <c r="G7726" s="4" t="str">
        <f>HYPERLINK("http://141.218.60.56/~jnz1568/getInfo.php?workbook=12_05.xlsx&amp;sheet=U0&amp;row=7726&amp;col=7&amp;number=0.00358&amp;sourceID=14","0.00358")</f>
        <v>0.00358</v>
      </c>
    </row>
    <row r="7727" spans="1:7">
      <c r="A7727" s="3"/>
      <c r="B7727" s="3"/>
      <c r="C7727" s="3"/>
      <c r="D7727" s="3"/>
      <c r="E7727" s="3">
        <v>4</v>
      </c>
      <c r="F7727" s="4" t="str">
        <f>HYPERLINK("http://141.218.60.56/~jnz1568/getInfo.php?workbook=12_05.xlsx&amp;sheet=U0&amp;row=7727&amp;col=6&amp;number=3.3&amp;sourceID=14","3.3")</f>
        <v>3.3</v>
      </c>
      <c r="G7727" s="4" t="str">
        <f>HYPERLINK("http://141.218.60.56/~jnz1568/getInfo.php?workbook=12_05.xlsx&amp;sheet=U0&amp;row=7727&amp;col=7&amp;number=0.00357&amp;sourceID=14","0.00357")</f>
        <v>0.00357</v>
      </c>
    </row>
    <row r="7728" spans="1:7">
      <c r="A7728" s="3"/>
      <c r="B7728" s="3"/>
      <c r="C7728" s="3"/>
      <c r="D7728" s="3"/>
      <c r="E7728" s="3">
        <v>5</v>
      </c>
      <c r="F7728" s="4" t="str">
        <f>HYPERLINK("http://141.218.60.56/~jnz1568/getInfo.php?workbook=12_05.xlsx&amp;sheet=U0&amp;row=7728&amp;col=6&amp;number=3.4&amp;sourceID=14","3.4")</f>
        <v>3.4</v>
      </c>
      <c r="G7728" s="4" t="str">
        <f>HYPERLINK("http://141.218.60.56/~jnz1568/getInfo.php?workbook=12_05.xlsx&amp;sheet=U0&amp;row=7728&amp;col=7&amp;number=0.00357&amp;sourceID=14","0.00357")</f>
        <v>0.00357</v>
      </c>
    </row>
    <row r="7729" spans="1:7">
      <c r="A7729" s="3"/>
      <c r="B7729" s="3"/>
      <c r="C7729" s="3"/>
      <c r="D7729" s="3"/>
      <c r="E7729" s="3">
        <v>6</v>
      </c>
      <c r="F7729" s="4" t="str">
        <f>HYPERLINK("http://141.218.60.56/~jnz1568/getInfo.php?workbook=12_05.xlsx&amp;sheet=U0&amp;row=7729&amp;col=6&amp;number=3.5&amp;sourceID=14","3.5")</f>
        <v>3.5</v>
      </c>
      <c r="G7729" s="4" t="str">
        <f>HYPERLINK("http://141.218.60.56/~jnz1568/getInfo.php?workbook=12_05.xlsx&amp;sheet=U0&amp;row=7729&amp;col=7&amp;number=0.00357&amp;sourceID=14","0.00357")</f>
        <v>0.00357</v>
      </c>
    </row>
    <row r="7730" spans="1:7">
      <c r="A7730" s="3"/>
      <c r="B7730" s="3"/>
      <c r="C7730" s="3"/>
      <c r="D7730" s="3"/>
      <c r="E7730" s="3">
        <v>7</v>
      </c>
      <c r="F7730" s="4" t="str">
        <f>HYPERLINK("http://141.218.60.56/~jnz1568/getInfo.php?workbook=12_05.xlsx&amp;sheet=U0&amp;row=7730&amp;col=6&amp;number=3.6&amp;sourceID=14","3.6")</f>
        <v>3.6</v>
      </c>
      <c r="G7730" s="4" t="str">
        <f>HYPERLINK("http://141.218.60.56/~jnz1568/getInfo.php?workbook=12_05.xlsx&amp;sheet=U0&amp;row=7730&amp;col=7&amp;number=0.00357&amp;sourceID=14","0.00357")</f>
        <v>0.00357</v>
      </c>
    </row>
    <row r="7731" spans="1:7">
      <c r="A7731" s="3"/>
      <c r="B7731" s="3"/>
      <c r="C7731" s="3"/>
      <c r="D7731" s="3"/>
      <c r="E7731" s="3">
        <v>8</v>
      </c>
      <c r="F7731" s="4" t="str">
        <f>HYPERLINK("http://141.218.60.56/~jnz1568/getInfo.php?workbook=12_05.xlsx&amp;sheet=U0&amp;row=7731&amp;col=6&amp;number=3.7&amp;sourceID=14","3.7")</f>
        <v>3.7</v>
      </c>
      <c r="G7731" s="4" t="str">
        <f>HYPERLINK("http://141.218.60.56/~jnz1568/getInfo.php?workbook=12_05.xlsx&amp;sheet=U0&amp;row=7731&amp;col=7&amp;number=0.00356&amp;sourceID=14","0.00356")</f>
        <v>0.00356</v>
      </c>
    </row>
    <row r="7732" spans="1:7">
      <c r="A7732" s="3"/>
      <c r="B7732" s="3"/>
      <c r="C7732" s="3"/>
      <c r="D7732" s="3"/>
      <c r="E7732" s="3">
        <v>9</v>
      </c>
      <c r="F7732" s="4" t="str">
        <f>HYPERLINK("http://141.218.60.56/~jnz1568/getInfo.php?workbook=12_05.xlsx&amp;sheet=U0&amp;row=7732&amp;col=6&amp;number=3.8&amp;sourceID=14","3.8")</f>
        <v>3.8</v>
      </c>
      <c r="G7732" s="4" t="str">
        <f>HYPERLINK("http://141.218.60.56/~jnz1568/getInfo.php?workbook=12_05.xlsx&amp;sheet=U0&amp;row=7732&amp;col=7&amp;number=0.00356&amp;sourceID=14","0.00356")</f>
        <v>0.00356</v>
      </c>
    </row>
    <row r="7733" spans="1:7">
      <c r="A7733" s="3"/>
      <c r="B7733" s="3"/>
      <c r="C7733" s="3"/>
      <c r="D7733" s="3"/>
      <c r="E7733" s="3">
        <v>10</v>
      </c>
      <c r="F7733" s="4" t="str">
        <f>HYPERLINK("http://141.218.60.56/~jnz1568/getInfo.php?workbook=12_05.xlsx&amp;sheet=U0&amp;row=7733&amp;col=6&amp;number=3.9&amp;sourceID=14","3.9")</f>
        <v>3.9</v>
      </c>
      <c r="G7733" s="4" t="str">
        <f>HYPERLINK("http://141.218.60.56/~jnz1568/getInfo.php?workbook=12_05.xlsx&amp;sheet=U0&amp;row=7733&amp;col=7&amp;number=0.00356&amp;sourceID=14","0.00356")</f>
        <v>0.00356</v>
      </c>
    </row>
    <row r="7734" spans="1:7">
      <c r="A7734" s="3"/>
      <c r="B7734" s="3"/>
      <c r="C7734" s="3"/>
      <c r="D7734" s="3"/>
      <c r="E7734" s="3">
        <v>11</v>
      </c>
      <c r="F7734" s="4" t="str">
        <f>HYPERLINK("http://141.218.60.56/~jnz1568/getInfo.php?workbook=12_05.xlsx&amp;sheet=U0&amp;row=7734&amp;col=6&amp;number=4&amp;sourceID=14","4")</f>
        <v>4</v>
      </c>
      <c r="G7734" s="4" t="str">
        <f>HYPERLINK("http://141.218.60.56/~jnz1568/getInfo.php?workbook=12_05.xlsx&amp;sheet=U0&amp;row=7734&amp;col=7&amp;number=0.00355&amp;sourceID=14","0.00355")</f>
        <v>0.00355</v>
      </c>
    </row>
    <row r="7735" spans="1:7">
      <c r="A7735" s="3"/>
      <c r="B7735" s="3"/>
      <c r="C7735" s="3"/>
      <c r="D7735" s="3"/>
      <c r="E7735" s="3">
        <v>12</v>
      </c>
      <c r="F7735" s="4" t="str">
        <f>HYPERLINK("http://141.218.60.56/~jnz1568/getInfo.php?workbook=12_05.xlsx&amp;sheet=U0&amp;row=7735&amp;col=6&amp;number=4.1&amp;sourceID=14","4.1")</f>
        <v>4.1</v>
      </c>
      <c r="G7735" s="4" t="str">
        <f>HYPERLINK("http://141.218.60.56/~jnz1568/getInfo.php?workbook=12_05.xlsx&amp;sheet=U0&amp;row=7735&amp;col=7&amp;number=0.00354&amp;sourceID=14","0.00354")</f>
        <v>0.00354</v>
      </c>
    </row>
    <row r="7736" spans="1:7">
      <c r="A7736" s="3"/>
      <c r="B7736" s="3"/>
      <c r="C7736" s="3"/>
      <c r="D7736" s="3"/>
      <c r="E7736" s="3">
        <v>13</v>
      </c>
      <c r="F7736" s="4" t="str">
        <f>HYPERLINK("http://141.218.60.56/~jnz1568/getInfo.php?workbook=12_05.xlsx&amp;sheet=U0&amp;row=7736&amp;col=6&amp;number=4.2&amp;sourceID=14","4.2")</f>
        <v>4.2</v>
      </c>
      <c r="G7736" s="4" t="str">
        <f>HYPERLINK("http://141.218.60.56/~jnz1568/getInfo.php?workbook=12_05.xlsx&amp;sheet=U0&amp;row=7736&amp;col=7&amp;number=0.00353&amp;sourceID=14","0.00353")</f>
        <v>0.00353</v>
      </c>
    </row>
    <row r="7737" spans="1:7">
      <c r="A7737" s="3"/>
      <c r="B7737" s="3"/>
      <c r="C7737" s="3"/>
      <c r="D7737" s="3"/>
      <c r="E7737" s="3">
        <v>14</v>
      </c>
      <c r="F7737" s="4" t="str">
        <f>HYPERLINK("http://141.218.60.56/~jnz1568/getInfo.php?workbook=12_05.xlsx&amp;sheet=U0&amp;row=7737&amp;col=6&amp;number=4.3&amp;sourceID=14","4.3")</f>
        <v>4.3</v>
      </c>
      <c r="G7737" s="4" t="str">
        <f>HYPERLINK("http://141.218.60.56/~jnz1568/getInfo.php?workbook=12_05.xlsx&amp;sheet=U0&amp;row=7737&amp;col=7&amp;number=0.00352&amp;sourceID=14","0.00352")</f>
        <v>0.00352</v>
      </c>
    </row>
    <row r="7738" spans="1:7">
      <c r="A7738" s="3"/>
      <c r="B7738" s="3"/>
      <c r="C7738" s="3"/>
      <c r="D7738" s="3"/>
      <c r="E7738" s="3">
        <v>15</v>
      </c>
      <c r="F7738" s="4" t="str">
        <f>HYPERLINK("http://141.218.60.56/~jnz1568/getInfo.php?workbook=12_05.xlsx&amp;sheet=U0&amp;row=7738&amp;col=6&amp;number=4.4&amp;sourceID=14","4.4")</f>
        <v>4.4</v>
      </c>
      <c r="G7738" s="4" t="str">
        <f>HYPERLINK("http://141.218.60.56/~jnz1568/getInfo.php?workbook=12_05.xlsx&amp;sheet=U0&amp;row=7738&amp;col=7&amp;number=0.0035&amp;sourceID=14","0.0035")</f>
        <v>0.0035</v>
      </c>
    </row>
    <row r="7739" spans="1:7">
      <c r="A7739" s="3"/>
      <c r="B7739" s="3"/>
      <c r="C7739" s="3"/>
      <c r="D7739" s="3"/>
      <c r="E7739" s="3">
        <v>16</v>
      </c>
      <c r="F7739" s="4" t="str">
        <f>HYPERLINK("http://141.218.60.56/~jnz1568/getInfo.php?workbook=12_05.xlsx&amp;sheet=U0&amp;row=7739&amp;col=6&amp;number=4.5&amp;sourceID=14","4.5")</f>
        <v>4.5</v>
      </c>
      <c r="G7739" s="4" t="str">
        <f>HYPERLINK("http://141.218.60.56/~jnz1568/getInfo.php?workbook=12_05.xlsx&amp;sheet=U0&amp;row=7739&amp;col=7&amp;number=0.00348&amp;sourceID=14","0.00348")</f>
        <v>0.00348</v>
      </c>
    </row>
    <row r="7740" spans="1:7">
      <c r="A7740" s="3"/>
      <c r="B7740" s="3"/>
      <c r="C7740" s="3"/>
      <c r="D7740" s="3"/>
      <c r="E7740" s="3">
        <v>17</v>
      </c>
      <c r="F7740" s="4" t="str">
        <f>HYPERLINK("http://141.218.60.56/~jnz1568/getInfo.php?workbook=12_05.xlsx&amp;sheet=U0&amp;row=7740&amp;col=6&amp;number=4.6&amp;sourceID=14","4.6")</f>
        <v>4.6</v>
      </c>
      <c r="G7740" s="4" t="str">
        <f>HYPERLINK("http://141.218.60.56/~jnz1568/getInfo.php?workbook=12_05.xlsx&amp;sheet=U0&amp;row=7740&amp;col=7&amp;number=0.00346&amp;sourceID=14","0.00346")</f>
        <v>0.00346</v>
      </c>
    </row>
    <row r="7741" spans="1:7">
      <c r="A7741" s="3"/>
      <c r="B7741" s="3"/>
      <c r="C7741" s="3"/>
      <c r="D7741" s="3"/>
      <c r="E7741" s="3">
        <v>18</v>
      </c>
      <c r="F7741" s="4" t="str">
        <f>HYPERLINK("http://141.218.60.56/~jnz1568/getInfo.php?workbook=12_05.xlsx&amp;sheet=U0&amp;row=7741&amp;col=6&amp;number=4.7&amp;sourceID=14","4.7")</f>
        <v>4.7</v>
      </c>
      <c r="G7741" s="4" t="str">
        <f>HYPERLINK("http://141.218.60.56/~jnz1568/getInfo.php?workbook=12_05.xlsx&amp;sheet=U0&amp;row=7741&amp;col=7&amp;number=0.00342&amp;sourceID=14","0.00342")</f>
        <v>0.00342</v>
      </c>
    </row>
    <row r="7742" spans="1:7">
      <c r="A7742" s="3"/>
      <c r="B7742" s="3"/>
      <c r="C7742" s="3"/>
      <c r="D7742" s="3"/>
      <c r="E7742" s="3">
        <v>19</v>
      </c>
      <c r="F7742" s="4" t="str">
        <f>HYPERLINK("http://141.218.60.56/~jnz1568/getInfo.php?workbook=12_05.xlsx&amp;sheet=U0&amp;row=7742&amp;col=6&amp;number=4.8&amp;sourceID=14","4.8")</f>
        <v>4.8</v>
      </c>
      <c r="G7742" s="4" t="str">
        <f>HYPERLINK("http://141.218.60.56/~jnz1568/getInfo.php?workbook=12_05.xlsx&amp;sheet=U0&amp;row=7742&amp;col=7&amp;number=0.00339&amp;sourceID=14","0.00339")</f>
        <v>0.00339</v>
      </c>
    </row>
    <row r="7743" spans="1:7">
      <c r="A7743" s="3"/>
      <c r="B7743" s="3"/>
      <c r="C7743" s="3"/>
      <c r="D7743" s="3"/>
      <c r="E7743" s="3">
        <v>20</v>
      </c>
      <c r="F7743" s="4" t="str">
        <f>HYPERLINK("http://141.218.60.56/~jnz1568/getInfo.php?workbook=12_05.xlsx&amp;sheet=U0&amp;row=7743&amp;col=6&amp;number=4.9&amp;sourceID=14","4.9")</f>
        <v>4.9</v>
      </c>
      <c r="G7743" s="4" t="str">
        <f>HYPERLINK("http://141.218.60.56/~jnz1568/getInfo.php?workbook=12_05.xlsx&amp;sheet=U0&amp;row=7743&amp;col=7&amp;number=0.00334&amp;sourceID=14","0.00334")</f>
        <v>0.00334</v>
      </c>
    </row>
    <row r="7744" spans="1:7">
      <c r="A7744" s="3">
        <v>12</v>
      </c>
      <c r="B7744" s="3">
        <v>5</v>
      </c>
      <c r="C7744" s="3">
        <v>3</v>
      </c>
      <c r="D7744" s="3">
        <v>47</v>
      </c>
      <c r="E7744" s="3">
        <v>1</v>
      </c>
      <c r="F7744" s="4" t="str">
        <f>HYPERLINK("http://141.218.60.56/~jnz1568/getInfo.php?workbook=12_05.xlsx&amp;sheet=U0&amp;row=7744&amp;col=6&amp;number=3&amp;sourceID=14","3")</f>
        <v>3</v>
      </c>
      <c r="G7744" s="4" t="str">
        <f>HYPERLINK("http://141.218.60.56/~jnz1568/getInfo.php?workbook=12_05.xlsx&amp;sheet=U0&amp;row=7744&amp;col=7&amp;number=0.000302&amp;sourceID=14","0.000302")</f>
        <v>0.000302</v>
      </c>
    </row>
    <row r="7745" spans="1:7">
      <c r="A7745" s="3"/>
      <c r="B7745" s="3"/>
      <c r="C7745" s="3"/>
      <c r="D7745" s="3"/>
      <c r="E7745" s="3">
        <v>2</v>
      </c>
      <c r="F7745" s="4" t="str">
        <f>HYPERLINK("http://141.218.60.56/~jnz1568/getInfo.php?workbook=12_05.xlsx&amp;sheet=U0&amp;row=7745&amp;col=6&amp;number=3.1&amp;sourceID=14","3.1")</f>
        <v>3.1</v>
      </c>
      <c r="G7745" s="4" t="str">
        <f>HYPERLINK("http://141.218.60.56/~jnz1568/getInfo.php?workbook=12_05.xlsx&amp;sheet=U0&amp;row=7745&amp;col=7&amp;number=0.000302&amp;sourceID=14","0.000302")</f>
        <v>0.000302</v>
      </c>
    </row>
    <row r="7746" spans="1:7">
      <c r="A7746" s="3"/>
      <c r="B7746" s="3"/>
      <c r="C7746" s="3"/>
      <c r="D7746" s="3"/>
      <c r="E7746" s="3">
        <v>3</v>
      </c>
      <c r="F7746" s="4" t="str">
        <f>HYPERLINK("http://141.218.60.56/~jnz1568/getInfo.php?workbook=12_05.xlsx&amp;sheet=U0&amp;row=7746&amp;col=6&amp;number=3.2&amp;sourceID=14","3.2")</f>
        <v>3.2</v>
      </c>
      <c r="G7746" s="4" t="str">
        <f>HYPERLINK("http://141.218.60.56/~jnz1568/getInfo.php?workbook=12_05.xlsx&amp;sheet=U0&amp;row=7746&amp;col=7&amp;number=0.000302&amp;sourceID=14","0.000302")</f>
        <v>0.000302</v>
      </c>
    </row>
    <row r="7747" spans="1:7">
      <c r="A7747" s="3"/>
      <c r="B7747" s="3"/>
      <c r="C7747" s="3"/>
      <c r="D7747" s="3"/>
      <c r="E7747" s="3">
        <v>4</v>
      </c>
      <c r="F7747" s="4" t="str">
        <f>HYPERLINK("http://141.218.60.56/~jnz1568/getInfo.php?workbook=12_05.xlsx&amp;sheet=U0&amp;row=7747&amp;col=6&amp;number=3.3&amp;sourceID=14","3.3")</f>
        <v>3.3</v>
      </c>
      <c r="G7747" s="4" t="str">
        <f>HYPERLINK("http://141.218.60.56/~jnz1568/getInfo.php?workbook=12_05.xlsx&amp;sheet=U0&amp;row=7747&amp;col=7&amp;number=0.000302&amp;sourceID=14","0.000302")</f>
        <v>0.000302</v>
      </c>
    </row>
    <row r="7748" spans="1:7">
      <c r="A7748" s="3"/>
      <c r="B7748" s="3"/>
      <c r="C7748" s="3"/>
      <c r="D7748" s="3"/>
      <c r="E7748" s="3">
        <v>5</v>
      </c>
      <c r="F7748" s="4" t="str">
        <f>HYPERLINK("http://141.218.60.56/~jnz1568/getInfo.php?workbook=12_05.xlsx&amp;sheet=U0&amp;row=7748&amp;col=6&amp;number=3.4&amp;sourceID=14","3.4")</f>
        <v>3.4</v>
      </c>
      <c r="G7748" s="4" t="str">
        <f>HYPERLINK("http://141.218.60.56/~jnz1568/getInfo.php?workbook=12_05.xlsx&amp;sheet=U0&amp;row=7748&amp;col=7&amp;number=0.000302&amp;sourceID=14","0.000302")</f>
        <v>0.000302</v>
      </c>
    </row>
    <row r="7749" spans="1:7">
      <c r="A7749" s="3"/>
      <c r="B7749" s="3"/>
      <c r="C7749" s="3"/>
      <c r="D7749" s="3"/>
      <c r="E7749" s="3">
        <v>6</v>
      </c>
      <c r="F7749" s="4" t="str">
        <f>HYPERLINK("http://141.218.60.56/~jnz1568/getInfo.php?workbook=12_05.xlsx&amp;sheet=U0&amp;row=7749&amp;col=6&amp;number=3.5&amp;sourceID=14","3.5")</f>
        <v>3.5</v>
      </c>
      <c r="G7749" s="4" t="str">
        <f>HYPERLINK("http://141.218.60.56/~jnz1568/getInfo.php?workbook=12_05.xlsx&amp;sheet=U0&amp;row=7749&amp;col=7&amp;number=0.000301&amp;sourceID=14","0.000301")</f>
        <v>0.000301</v>
      </c>
    </row>
    <row r="7750" spans="1:7">
      <c r="A7750" s="3"/>
      <c r="B7750" s="3"/>
      <c r="C7750" s="3"/>
      <c r="D7750" s="3"/>
      <c r="E7750" s="3">
        <v>7</v>
      </c>
      <c r="F7750" s="4" t="str">
        <f>HYPERLINK("http://141.218.60.56/~jnz1568/getInfo.php?workbook=12_05.xlsx&amp;sheet=U0&amp;row=7750&amp;col=6&amp;number=3.6&amp;sourceID=14","3.6")</f>
        <v>3.6</v>
      </c>
      <c r="G7750" s="4" t="str">
        <f>HYPERLINK("http://141.218.60.56/~jnz1568/getInfo.php?workbook=12_05.xlsx&amp;sheet=U0&amp;row=7750&amp;col=7&amp;number=0.000301&amp;sourceID=14","0.000301")</f>
        <v>0.000301</v>
      </c>
    </row>
    <row r="7751" spans="1:7">
      <c r="A7751" s="3"/>
      <c r="B7751" s="3"/>
      <c r="C7751" s="3"/>
      <c r="D7751" s="3"/>
      <c r="E7751" s="3">
        <v>8</v>
      </c>
      <c r="F7751" s="4" t="str">
        <f>HYPERLINK("http://141.218.60.56/~jnz1568/getInfo.php?workbook=12_05.xlsx&amp;sheet=U0&amp;row=7751&amp;col=6&amp;number=3.7&amp;sourceID=14","3.7")</f>
        <v>3.7</v>
      </c>
      <c r="G7751" s="4" t="str">
        <f>HYPERLINK("http://141.218.60.56/~jnz1568/getInfo.php?workbook=12_05.xlsx&amp;sheet=U0&amp;row=7751&amp;col=7&amp;number=0.000301&amp;sourceID=14","0.000301")</f>
        <v>0.000301</v>
      </c>
    </row>
    <row r="7752" spans="1:7">
      <c r="A7752" s="3"/>
      <c r="B7752" s="3"/>
      <c r="C7752" s="3"/>
      <c r="D7752" s="3"/>
      <c r="E7752" s="3">
        <v>9</v>
      </c>
      <c r="F7752" s="4" t="str">
        <f>HYPERLINK("http://141.218.60.56/~jnz1568/getInfo.php?workbook=12_05.xlsx&amp;sheet=U0&amp;row=7752&amp;col=6&amp;number=3.8&amp;sourceID=14","3.8")</f>
        <v>3.8</v>
      </c>
      <c r="G7752" s="4" t="str">
        <f>HYPERLINK("http://141.218.60.56/~jnz1568/getInfo.php?workbook=12_05.xlsx&amp;sheet=U0&amp;row=7752&amp;col=7&amp;number=0.000301&amp;sourceID=14","0.000301")</f>
        <v>0.000301</v>
      </c>
    </row>
    <row r="7753" spans="1:7">
      <c r="A7753" s="3"/>
      <c r="B7753" s="3"/>
      <c r="C7753" s="3"/>
      <c r="D7753" s="3"/>
      <c r="E7753" s="3">
        <v>10</v>
      </c>
      <c r="F7753" s="4" t="str">
        <f>HYPERLINK("http://141.218.60.56/~jnz1568/getInfo.php?workbook=12_05.xlsx&amp;sheet=U0&amp;row=7753&amp;col=6&amp;number=3.9&amp;sourceID=14","3.9")</f>
        <v>3.9</v>
      </c>
      <c r="G7753" s="4" t="str">
        <f>HYPERLINK("http://141.218.60.56/~jnz1568/getInfo.php?workbook=12_05.xlsx&amp;sheet=U0&amp;row=7753&amp;col=7&amp;number=0.0003&amp;sourceID=14","0.0003")</f>
        <v>0.0003</v>
      </c>
    </row>
    <row r="7754" spans="1:7">
      <c r="A7754" s="3"/>
      <c r="B7754" s="3"/>
      <c r="C7754" s="3"/>
      <c r="D7754" s="3"/>
      <c r="E7754" s="3">
        <v>11</v>
      </c>
      <c r="F7754" s="4" t="str">
        <f>HYPERLINK("http://141.218.60.56/~jnz1568/getInfo.php?workbook=12_05.xlsx&amp;sheet=U0&amp;row=7754&amp;col=6&amp;number=4&amp;sourceID=14","4")</f>
        <v>4</v>
      </c>
      <c r="G7754" s="4" t="str">
        <f>HYPERLINK("http://141.218.60.56/~jnz1568/getInfo.php?workbook=12_05.xlsx&amp;sheet=U0&amp;row=7754&amp;col=7&amp;number=0.0003&amp;sourceID=14","0.0003")</f>
        <v>0.0003</v>
      </c>
    </row>
    <row r="7755" spans="1:7">
      <c r="A7755" s="3"/>
      <c r="B7755" s="3"/>
      <c r="C7755" s="3"/>
      <c r="D7755" s="3"/>
      <c r="E7755" s="3">
        <v>12</v>
      </c>
      <c r="F7755" s="4" t="str">
        <f>HYPERLINK("http://141.218.60.56/~jnz1568/getInfo.php?workbook=12_05.xlsx&amp;sheet=U0&amp;row=7755&amp;col=6&amp;number=4.1&amp;sourceID=14","4.1")</f>
        <v>4.1</v>
      </c>
      <c r="G7755" s="4" t="str">
        <f>HYPERLINK("http://141.218.60.56/~jnz1568/getInfo.php?workbook=12_05.xlsx&amp;sheet=U0&amp;row=7755&amp;col=7&amp;number=0.000299&amp;sourceID=14","0.000299")</f>
        <v>0.000299</v>
      </c>
    </row>
    <row r="7756" spans="1:7">
      <c r="A7756" s="3"/>
      <c r="B7756" s="3"/>
      <c r="C7756" s="3"/>
      <c r="D7756" s="3"/>
      <c r="E7756" s="3">
        <v>13</v>
      </c>
      <c r="F7756" s="4" t="str">
        <f>HYPERLINK("http://141.218.60.56/~jnz1568/getInfo.php?workbook=12_05.xlsx&amp;sheet=U0&amp;row=7756&amp;col=6&amp;number=4.2&amp;sourceID=14","4.2")</f>
        <v>4.2</v>
      </c>
      <c r="G7756" s="4" t="str">
        <f>HYPERLINK("http://141.218.60.56/~jnz1568/getInfo.php?workbook=12_05.xlsx&amp;sheet=U0&amp;row=7756&amp;col=7&amp;number=0.000298&amp;sourceID=14","0.000298")</f>
        <v>0.000298</v>
      </c>
    </row>
    <row r="7757" spans="1:7">
      <c r="A7757" s="3"/>
      <c r="B7757" s="3"/>
      <c r="C7757" s="3"/>
      <c r="D7757" s="3"/>
      <c r="E7757" s="3">
        <v>14</v>
      </c>
      <c r="F7757" s="4" t="str">
        <f>HYPERLINK("http://141.218.60.56/~jnz1568/getInfo.php?workbook=12_05.xlsx&amp;sheet=U0&amp;row=7757&amp;col=6&amp;number=4.3&amp;sourceID=14","4.3")</f>
        <v>4.3</v>
      </c>
      <c r="G7757" s="4" t="str">
        <f>HYPERLINK("http://141.218.60.56/~jnz1568/getInfo.php?workbook=12_05.xlsx&amp;sheet=U0&amp;row=7757&amp;col=7&amp;number=0.000297&amp;sourceID=14","0.000297")</f>
        <v>0.000297</v>
      </c>
    </row>
    <row r="7758" spans="1:7">
      <c r="A7758" s="3"/>
      <c r="B7758" s="3"/>
      <c r="C7758" s="3"/>
      <c r="D7758" s="3"/>
      <c r="E7758" s="3">
        <v>15</v>
      </c>
      <c r="F7758" s="4" t="str">
        <f>HYPERLINK("http://141.218.60.56/~jnz1568/getInfo.php?workbook=12_05.xlsx&amp;sheet=U0&amp;row=7758&amp;col=6&amp;number=4.4&amp;sourceID=14","4.4")</f>
        <v>4.4</v>
      </c>
      <c r="G7758" s="4" t="str">
        <f>HYPERLINK("http://141.218.60.56/~jnz1568/getInfo.php?workbook=12_05.xlsx&amp;sheet=U0&amp;row=7758&amp;col=7&amp;number=0.000296&amp;sourceID=14","0.000296")</f>
        <v>0.000296</v>
      </c>
    </row>
    <row r="7759" spans="1:7">
      <c r="A7759" s="3"/>
      <c r="B7759" s="3"/>
      <c r="C7759" s="3"/>
      <c r="D7759" s="3"/>
      <c r="E7759" s="3">
        <v>16</v>
      </c>
      <c r="F7759" s="4" t="str">
        <f>HYPERLINK("http://141.218.60.56/~jnz1568/getInfo.php?workbook=12_05.xlsx&amp;sheet=U0&amp;row=7759&amp;col=6&amp;number=4.5&amp;sourceID=14","4.5")</f>
        <v>4.5</v>
      </c>
      <c r="G7759" s="4" t="str">
        <f>HYPERLINK("http://141.218.60.56/~jnz1568/getInfo.php?workbook=12_05.xlsx&amp;sheet=U0&amp;row=7759&amp;col=7&amp;number=0.000294&amp;sourceID=14","0.000294")</f>
        <v>0.000294</v>
      </c>
    </row>
    <row r="7760" spans="1:7">
      <c r="A7760" s="3"/>
      <c r="B7760" s="3"/>
      <c r="C7760" s="3"/>
      <c r="D7760" s="3"/>
      <c r="E7760" s="3">
        <v>17</v>
      </c>
      <c r="F7760" s="4" t="str">
        <f>HYPERLINK("http://141.218.60.56/~jnz1568/getInfo.php?workbook=12_05.xlsx&amp;sheet=U0&amp;row=7760&amp;col=6&amp;number=4.6&amp;sourceID=14","4.6")</f>
        <v>4.6</v>
      </c>
      <c r="G7760" s="4" t="str">
        <f>HYPERLINK("http://141.218.60.56/~jnz1568/getInfo.php?workbook=12_05.xlsx&amp;sheet=U0&amp;row=7760&amp;col=7&amp;number=0.000292&amp;sourceID=14","0.000292")</f>
        <v>0.000292</v>
      </c>
    </row>
    <row r="7761" spans="1:7">
      <c r="A7761" s="3"/>
      <c r="B7761" s="3"/>
      <c r="C7761" s="3"/>
      <c r="D7761" s="3"/>
      <c r="E7761" s="3">
        <v>18</v>
      </c>
      <c r="F7761" s="4" t="str">
        <f>HYPERLINK("http://141.218.60.56/~jnz1568/getInfo.php?workbook=12_05.xlsx&amp;sheet=U0&amp;row=7761&amp;col=6&amp;number=4.7&amp;sourceID=14","4.7")</f>
        <v>4.7</v>
      </c>
      <c r="G7761" s="4" t="str">
        <f>HYPERLINK("http://141.218.60.56/~jnz1568/getInfo.php?workbook=12_05.xlsx&amp;sheet=U0&amp;row=7761&amp;col=7&amp;number=0.000289&amp;sourceID=14","0.000289")</f>
        <v>0.000289</v>
      </c>
    </row>
    <row r="7762" spans="1:7">
      <c r="A7762" s="3"/>
      <c r="B7762" s="3"/>
      <c r="C7762" s="3"/>
      <c r="D7762" s="3"/>
      <c r="E7762" s="3">
        <v>19</v>
      </c>
      <c r="F7762" s="4" t="str">
        <f>HYPERLINK("http://141.218.60.56/~jnz1568/getInfo.php?workbook=12_05.xlsx&amp;sheet=U0&amp;row=7762&amp;col=6&amp;number=4.8&amp;sourceID=14","4.8")</f>
        <v>4.8</v>
      </c>
      <c r="G7762" s="4" t="str">
        <f>HYPERLINK("http://141.218.60.56/~jnz1568/getInfo.php?workbook=12_05.xlsx&amp;sheet=U0&amp;row=7762&amp;col=7&amp;number=0.000286&amp;sourceID=14","0.000286")</f>
        <v>0.000286</v>
      </c>
    </row>
    <row r="7763" spans="1:7">
      <c r="A7763" s="3"/>
      <c r="B7763" s="3"/>
      <c r="C7763" s="3"/>
      <c r="D7763" s="3"/>
      <c r="E7763" s="3">
        <v>20</v>
      </c>
      <c r="F7763" s="4" t="str">
        <f>HYPERLINK("http://141.218.60.56/~jnz1568/getInfo.php?workbook=12_05.xlsx&amp;sheet=U0&amp;row=7763&amp;col=6&amp;number=4.9&amp;sourceID=14","4.9")</f>
        <v>4.9</v>
      </c>
      <c r="G7763" s="4" t="str">
        <f>HYPERLINK("http://141.218.60.56/~jnz1568/getInfo.php?workbook=12_05.xlsx&amp;sheet=U0&amp;row=7763&amp;col=7&amp;number=0.000282&amp;sourceID=14","0.000282")</f>
        <v>0.000282</v>
      </c>
    </row>
    <row r="7764" spans="1:7">
      <c r="A7764" s="3">
        <v>12</v>
      </c>
      <c r="B7764" s="3">
        <v>5</v>
      </c>
      <c r="C7764" s="3">
        <v>3</v>
      </c>
      <c r="D7764" s="3">
        <v>48</v>
      </c>
      <c r="E7764" s="3">
        <v>1</v>
      </c>
      <c r="F7764" s="4" t="str">
        <f>HYPERLINK("http://141.218.60.56/~jnz1568/getInfo.php?workbook=12_05.xlsx&amp;sheet=U0&amp;row=7764&amp;col=6&amp;number=3&amp;sourceID=14","3")</f>
        <v>3</v>
      </c>
      <c r="G7764" s="4" t="str">
        <f>HYPERLINK("http://141.218.60.56/~jnz1568/getInfo.php?workbook=12_05.xlsx&amp;sheet=U0&amp;row=7764&amp;col=7&amp;number=0.000136&amp;sourceID=14","0.000136")</f>
        <v>0.000136</v>
      </c>
    </row>
    <row r="7765" spans="1:7">
      <c r="A7765" s="3"/>
      <c r="B7765" s="3"/>
      <c r="C7765" s="3"/>
      <c r="D7765" s="3"/>
      <c r="E7765" s="3">
        <v>2</v>
      </c>
      <c r="F7765" s="4" t="str">
        <f>HYPERLINK("http://141.218.60.56/~jnz1568/getInfo.php?workbook=12_05.xlsx&amp;sheet=U0&amp;row=7765&amp;col=6&amp;number=3.1&amp;sourceID=14","3.1")</f>
        <v>3.1</v>
      </c>
      <c r="G7765" s="4" t="str">
        <f>HYPERLINK("http://141.218.60.56/~jnz1568/getInfo.php?workbook=12_05.xlsx&amp;sheet=U0&amp;row=7765&amp;col=7&amp;number=0.000136&amp;sourceID=14","0.000136")</f>
        <v>0.000136</v>
      </c>
    </row>
    <row r="7766" spans="1:7">
      <c r="A7766" s="3"/>
      <c r="B7766" s="3"/>
      <c r="C7766" s="3"/>
      <c r="D7766" s="3"/>
      <c r="E7766" s="3">
        <v>3</v>
      </c>
      <c r="F7766" s="4" t="str">
        <f>HYPERLINK("http://141.218.60.56/~jnz1568/getInfo.php?workbook=12_05.xlsx&amp;sheet=U0&amp;row=7766&amp;col=6&amp;number=3.2&amp;sourceID=14","3.2")</f>
        <v>3.2</v>
      </c>
      <c r="G7766" s="4" t="str">
        <f>HYPERLINK("http://141.218.60.56/~jnz1568/getInfo.php?workbook=12_05.xlsx&amp;sheet=U0&amp;row=7766&amp;col=7&amp;number=0.000136&amp;sourceID=14","0.000136")</f>
        <v>0.000136</v>
      </c>
    </row>
    <row r="7767" spans="1:7">
      <c r="A7767" s="3"/>
      <c r="B7767" s="3"/>
      <c r="C7767" s="3"/>
      <c r="D7767" s="3"/>
      <c r="E7767" s="3">
        <v>4</v>
      </c>
      <c r="F7767" s="4" t="str">
        <f>HYPERLINK("http://141.218.60.56/~jnz1568/getInfo.php?workbook=12_05.xlsx&amp;sheet=U0&amp;row=7767&amp;col=6&amp;number=3.3&amp;sourceID=14","3.3")</f>
        <v>3.3</v>
      </c>
      <c r="G7767" s="4" t="str">
        <f>HYPERLINK("http://141.218.60.56/~jnz1568/getInfo.php?workbook=12_05.xlsx&amp;sheet=U0&amp;row=7767&amp;col=7&amp;number=0.000136&amp;sourceID=14","0.000136")</f>
        <v>0.000136</v>
      </c>
    </row>
    <row r="7768" spans="1:7">
      <c r="A7768" s="3"/>
      <c r="B7768" s="3"/>
      <c r="C7768" s="3"/>
      <c r="D7768" s="3"/>
      <c r="E7768" s="3">
        <v>5</v>
      </c>
      <c r="F7768" s="4" t="str">
        <f>HYPERLINK("http://141.218.60.56/~jnz1568/getInfo.php?workbook=12_05.xlsx&amp;sheet=U0&amp;row=7768&amp;col=6&amp;number=3.4&amp;sourceID=14","3.4")</f>
        <v>3.4</v>
      </c>
      <c r="G7768" s="4" t="str">
        <f>HYPERLINK("http://141.218.60.56/~jnz1568/getInfo.php?workbook=12_05.xlsx&amp;sheet=U0&amp;row=7768&amp;col=7&amp;number=0.000136&amp;sourceID=14","0.000136")</f>
        <v>0.000136</v>
      </c>
    </row>
    <row r="7769" spans="1:7">
      <c r="A7769" s="3"/>
      <c r="B7769" s="3"/>
      <c r="C7769" s="3"/>
      <c r="D7769" s="3"/>
      <c r="E7769" s="3">
        <v>6</v>
      </c>
      <c r="F7769" s="4" t="str">
        <f>HYPERLINK("http://141.218.60.56/~jnz1568/getInfo.php?workbook=12_05.xlsx&amp;sheet=U0&amp;row=7769&amp;col=6&amp;number=3.5&amp;sourceID=14","3.5")</f>
        <v>3.5</v>
      </c>
      <c r="G7769" s="4" t="str">
        <f>HYPERLINK("http://141.218.60.56/~jnz1568/getInfo.php?workbook=12_05.xlsx&amp;sheet=U0&amp;row=7769&amp;col=7&amp;number=0.000136&amp;sourceID=14","0.000136")</f>
        <v>0.000136</v>
      </c>
    </row>
    <row r="7770" spans="1:7">
      <c r="A7770" s="3"/>
      <c r="B7770" s="3"/>
      <c r="C7770" s="3"/>
      <c r="D7770" s="3"/>
      <c r="E7770" s="3">
        <v>7</v>
      </c>
      <c r="F7770" s="4" t="str">
        <f>HYPERLINK("http://141.218.60.56/~jnz1568/getInfo.php?workbook=12_05.xlsx&amp;sheet=U0&amp;row=7770&amp;col=6&amp;number=3.6&amp;sourceID=14","3.6")</f>
        <v>3.6</v>
      </c>
      <c r="G7770" s="4" t="str">
        <f>HYPERLINK("http://141.218.60.56/~jnz1568/getInfo.php?workbook=12_05.xlsx&amp;sheet=U0&amp;row=7770&amp;col=7&amp;number=0.000135&amp;sourceID=14","0.000135")</f>
        <v>0.000135</v>
      </c>
    </row>
    <row r="7771" spans="1:7">
      <c r="A7771" s="3"/>
      <c r="B7771" s="3"/>
      <c r="C7771" s="3"/>
      <c r="D7771" s="3"/>
      <c r="E7771" s="3">
        <v>8</v>
      </c>
      <c r="F7771" s="4" t="str">
        <f>HYPERLINK("http://141.218.60.56/~jnz1568/getInfo.php?workbook=12_05.xlsx&amp;sheet=U0&amp;row=7771&amp;col=6&amp;number=3.7&amp;sourceID=14","3.7")</f>
        <v>3.7</v>
      </c>
      <c r="G7771" s="4" t="str">
        <f>HYPERLINK("http://141.218.60.56/~jnz1568/getInfo.php?workbook=12_05.xlsx&amp;sheet=U0&amp;row=7771&amp;col=7&amp;number=0.000135&amp;sourceID=14","0.000135")</f>
        <v>0.000135</v>
      </c>
    </row>
    <row r="7772" spans="1:7">
      <c r="A7772" s="3"/>
      <c r="B7772" s="3"/>
      <c r="C7772" s="3"/>
      <c r="D7772" s="3"/>
      <c r="E7772" s="3">
        <v>9</v>
      </c>
      <c r="F7772" s="4" t="str">
        <f>HYPERLINK("http://141.218.60.56/~jnz1568/getInfo.php?workbook=12_05.xlsx&amp;sheet=U0&amp;row=7772&amp;col=6&amp;number=3.8&amp;sourceID=14","3.8")</f>
        <v>3.8</v>
      </c>
      <c r="G7772" s="4" t="str">
        <f>HYPERLINK("http://141.218.60.56/~jnz1568/getInfo.php?workbook=12_05.xlsx&amp;sheet=U0&amp;row=7772&amp;col=7&amp;number=0.000135&amp;sourceID=14","0.000135")</f>
        <v>0.000135</v>
      </c>
    </row>
    <row r="7773" spans="1:7">
      <c r="A7773" s="3"/>
      <c r="B7773" s="3"/>
      <c r="C7773" s="3"/>
      <c r="D7773" s="3"/>
      <c r="E7773" s="3">
        <v>10</v>
      </c>
      <c r="F7773" s="4" t="str">
        <f>HYPERLINK("http://141.218.60.56/~jnz1568/getInfo.php?workbook=12_05.xlsx&amp;sheet=U0&amp;row=7773&amp;col=6&amp;number=3.9&amp;sourceID=14","3.9")</f>
        <v>3.9</v>
      </c>
      <c r="G7773" s="4" t="str">
        <f>HYPERLINK("http://141.218.60.56/~jnz1568/getInfo.php?workbook=12_05.xlsx&amp;sheet=U0&amp;row=7773&amp;col=7&amp;number=0.000135&amp;sourceID=14","0.000135")</f>
        <v>0.000135</v>
      </c>
    </row>
    <row r="7774" spans="1:7">
      <c r="A7774" s="3"/>
      <c r="B7774" s="3"/>
      <c r="C7774" s="3"/>
      <c r="D7774" s="3"/>
      <c r="E7774" s="3">
        <v>11</v>
      </c>
      <c r="F7774" s="4" t="str">
        <f>HYPERLINK("http://141.218.60.56/~jnz1568/getInfo.php?workbook=12_05.xlsx&amp;sheet=U0&amp;row=7774&amp;col=6&amp;number=4&amp;sourceID=14","4")</f>
        <v>4</v>
      </c>
      <c r="G7774" s="4" t="str">
        <f>HYPERLINK("http://141.218.60.56/~jnz1568/getInfo.php?workbook=12_05.xlsx&amp;sheet=U0&amp;row=7774&amp;col=7&amp;number=0.000135&amp;sourceID=14","0.000135")</f>
        <v>0.000135</v>
      </c>
    </row>
    <row r="7775" spans="1:7">
      <c r="A7775" s="3"/>
      <c r="B7775" s="3"/>
      <c r="C7775" s="3"/>
      <c r="D7775" s="3"/>
      <c r="E7775" s="3">
        <v>12</v>
      </c>
      <c r="F7775" s="4" t="str">
        <f>HYPERLINK("http://141.218.60.56/~jnz1568/getInfo.php?workbook=12_05.xlsx&amp;sheet=U0&amp;row=7775&amp;col=6&amp;number=4.1&amp;sourceID=14","4.1")</f>
        <v>4.1</v>
      </c>
      <c r="G7775" s="4" t="str">
        <f>HYPERLINK("http://141.218.60.56/~jnz1568/getInfo.php?workbook=12_05.xlsx&amp;sheet=U0&amp;row=7775&amp;col=7&amp;number=0.000134&amp;sourceID=14","0.000134")</f>
        <v>0.000134</v>
      </c>
    </row>
    <row r="7776" spans="1:7">
      <c r="A7776" s="3"/>
      <c r="B7776" s="3"/>
      <c r="C7776" s="3"/>
      <c r="D7776" s="3"/>
      <c r="E7776" s="3">
        <v>13</v>
      </c>
      <c r="F7776" s="4" t="str">
        <f>HYPERLINK("http://141.218.60.56/~jnz1568/getInfo.php?workbook=12_05.xlsx&amp;sheet=U0&amp;row=7776&amp;col=6&amp;number=4.2&amp;sourceID=14","4.2")</f>
        <v>4.2</v>
      </c>
      <c r="G7776" s="4" t="str">
        <f>HYPERLINK("http://141.218.60.56/~jnz1568/getInfo.php?workbook=12_05.xlsx&amp;sheet=U0&amp;row=7776&amp;col=7&amp;number=0.000134&amp;sourceID=14","0.000134")</f>
        <v>0.000134</v>
      </c>
    </row>
    <row r="7777" spans="1:7">
      <c r="A7777" s="3"/>
      <c r="B7777" s="3"/>
      <c r="C7777" s="3"/>
      <c r="D7777" s="3"/>
      <c r="E7777" s="3">
        <v>14</v>
      </c>
      <c r="F7777" s="4" t="str">
        <f>HYPERLINK("http://141.218.60.56/~jnz1568/getInfo.php?workbook=12_05.xlsx&amp;sheet=U0&amp;row=7777&amp;col=6&amp;number=4.3&amp;sourceID=14","4.3")</f>
        <v>4.3</v>
      </c>
      <c r="G7777" s="4" t="str">
        <f>HYPERLINK("http://141.218.60.56/~jnz1568/getInfo.php?workbook=12_05.xlsx&amp;sheet=U0&amp;row=7777&amp;col=7&amp;number=0.000133&amp;sourceID=14","0.000133")</f>
        <v>0.000133</v>
      </c>
    </row>
    <row r="7778" spans="1:7">
      <c r="A7778" s="3"/>
      <c r="B7778" s="3"/>
      <c r="C7778" s="3"/>
      <c r="D7778" s="3"/>
      <c r="E7778" s="3">
        <v>15</v>
      </c>
      <c r="F7778" s="4" t="str">
        <f>HYPERLINK("http://141.218.60.56/~jnz1568/getInfo.php?workbook=12_05.xlsx&amp;sheet=U0&amp;row=7778&amp;col=6&amp;number=4.4&amp;sourceID=14","4.4")</f>
        <v>4.4</v>
      </c>
      <c r="G7778" s="4" t="str">
        <f>HYPERLINK("http://141.218.60.56/~jnz1568/getInfo.php?workbook=12_05.xlsx&amp;sheet=U0&amp;row=7778&amp;col=7&amp;number=0.000133&amp;sourceID=14","0.000133")</f>
        <v>0.000133</v>
      </c>
    </row>
    <row r="7779" spans="1:7">
      <c r="A7779" s="3"/>
      <c r="B7779" s="3"/>
      <c r="C7779" s="3"/>
      <c r="D7779" s="3"/>
      <c r="E7779" s="3">
        <v>16</v>
      </c>
      <c r="F7779" s="4" t="str">
        <f>HYPERLINK("http://141.218.60.56/~jnz1568/getInfo.php?workbook=12_05.xlsx&amp;sheet=U0&amp;row=7779&amp;col=6&amp;number=4.5&amp;sourceID=14","4.5")</f>
        <v>4.5</v>
      </c>
      <c r="G7779" s="4" t="str">
        <f>HYPERLINK("http://141.218.60.56/~jnz1568/getInfo.php?workbook=12_05.xlsx&amp;sheet=U0&amp;row=7779&amp;col=7&amp;number=0.000132&amp;sourceID=14","0.000132")</f>
        <v>0.000132</v>
      </c>
    </row>
    <row r="7780" spans="1:7">
      <c r="A7780" s="3"/>
      <c r="B7780" s="3"/>
      <c r="C7780" s="3"/>
      <c r="D7780" s="3"/>
      <c r="E7780" s="3">
        <v>17</v>
      </c>
      <c r="F7780" s="4" t="str">
        <f>HYPERLINK("http://141.218.60.56/~jnz1568/getInfo.php?workbook=12_05.xlsx&amp;sheet=U0&amp;row=7780&amp;col=6&amp;number=4.6&amp;sourceID=14","4.6")</f>
        <v>4.6</v>
      </c>
      <c r="G7780" s="4" t="str">
        <f>HYPERLINK("http://141.218.60.56/~jnz1568/getInfo.php?workbook=12_05.xlsx&amp;sheet=U0&amp;row=7780&amp;col=7&amp;number=0.000131&amp;sourceID=14","0.000131")</f>
        <v>0.000131</v>
      </c>
    </row>
    <row r="7781" spans="1:7">
      <c r="A7781" s="3"/>
      <c r="B7781" s="3"/>
      <c r="C7781" s="3"/>
      <c r="D7781" s="3"/>
      <c r="E7781" s="3">
        <v>18</v>
      </c>
      <c r="F7781" s="4" t="str">
        <f>HYPERLINK("http://141.218.60.56/~jnz1568/getInfo.php?workbook=12_05.xlsx&amp;sheet=U0&amp;row=7781&amp;col=6&amp;number=4.7&amp;sourceID=14","4.7")</f>
        <v>4.7</v>
      </c>
      <c r="G7781" s="4" t="str">
        <f>HYPERLINK("http://141.218.60.56/~jnz1568/getInfo.php?workbook=12_05.xlsx&amp;sheet=U0&amp;row=7781&amp;col=7&amp;number=0.00013&amp;sourceID=14","0.00013")</f>
        <v>0.00013</v>
      </c>
    </row>
    <row r="7782" spans="1:7">
      <c r="A7782" s="3"/>
      <c r="B7782" s="3"/>
      <c r="C7782" s="3"/>
      <c r="D7782" s="3"/>
      <c r="E7782" s="3">
        <v>19</v>
      </c>
      <c r="F7782" s="4" t="str">
        <f>HYPERLINK("http://141.218.60.56/~jnz1568/getInfo.php?workbook=12_05.xlsx&amp;sheet=U0&amp;row=7782&amp;col=6&amp;number=4.8&amp;sourceID=14","4.8")</f>
        <v>4.8</v>
      </c>
      <c r="G7782" s="4" t="str">
        <f>HYPERLINK("http://141.218.60.56/~jnz1568/getInfo.php?workbook=12_05.xlsx&amp;sheet=U0&amp;row=7782&amp;col=7&amp;number=0.000128&amp;sourceID=14","0.000128")</f>
        <v>0.000128</v>
      </c>
    </row>
    <row r="7783" spans="1:7">
      <c r="A7783" s="3"/>
      <c r="B7783" s="3"/>
      <c r="C7783" s="3"/>
      <c r="D7783" s="3"/>
      <c r="E7783" s="3">
        <v>20</v>
      </c>
      <c r="F7783" s="4" t="str">
        <f>HYPERLINK("http://141.218.60.56/~jnz1568/getInfo.php?workbook=12_05.xlsx&amp;sheet=U0&amp;row=7783&amp;col=6&amp;number=4.9&amp;sourceID=14","4.9")</f>
        <v>4.9</v>
      </c>
      <c r="G7783" s="4" t="str">
        <f>HYPERLINK("http://141.218.60.56/~jnz1568/getInfo.php?workbook=12_05.xlsx&amp;sheet=U0&amp;row=7783&amp;col=7&amp;number=0.000127&amp;sourceID=14","0.000127")</f>
        <v>0.000127</v>
      </c>
    </row>
    <row r="7784" spans="1:7">
      <c r="A7784" s="3">
        <v>12</v>
      </c>
      <c r="B7784" s="3">
        <v>5</v>
      </c>
      <c r="C7784" s="3">
        <v>3</v>
      </c>
      <c r="D7784" s="3">
        <v>51</v>
      </c>
      <c r="E7784" s="3">
        <v>1</v>
      </c>
      <c r="F7784" s="4" t="str">
        <f>HYPERLINK("http://141.218.60.56/~jnz1568/getInfo.php?workbook=12_05.xlsx&amp;sheet=U0&amp;row=7784&amp;col=6&amp;number=3&amp;sourceID=14","3")</f>
        <v>3</v>
      </c>
      <c r="G7784" s="4" t="str">
        <f>HYPERLINK("http://141.218.60.56/~jnz1568/getInfo.php?workbook=12_05.xlsx&amp;sheet=U0&amp;row=7784&amp;col=7&amp;number=0.0158&amp;sourceID=14","0.0158")</f>
        <v>0.0158</v>
      </c>
    </row>
    <row r="7785" spans="1:7">
      <c r="A7785" s="3"/>
      <c r="B7785" s="3"/>
      <c r="C7785" s="3"/>
      <c r="D7785" s="3"/>
      <c r="E7785" s="3">
        <v>2</v>
      </c>
      <c r="F7785" s="4" t="str">
        <f>HYPERLINK("http://141.218.60.56/~jnz1568/getInfo.php?workbook=12_05.xlsx&amp;sheet=U0&amp;row=7785&amp;col=6&amp;number=3.1&amp;sourceID=14","3.1")</f>
        <v>3.1</v>
      </c>
      <c r="G7785" s="4" t="str">
        <f>HYPERLINK("http://141.218.60.56/~jnz1568/getInfo.php?workbook=12_05.xlsx&amp;sheet=U0&amp;row=7785&amp;col=7&amp;number=0.0158&amp;sourceID=14","0.0158")</f>
        <v>0.0158</v>
      </c>
    </row>
    <row r="7786" spans="1:7">
      <c r="A7786" s="3"/>
      <c r="B7786" s="3"/>
      <c r="C7786" s="3"/>
      <c r="D7786" s="3"/>
      <c r="E7786" s="3">
        <v>3</v>
      </c>
      <c r="F7786" s="4" t="str">
        <f>HYPERLINK("http://141.218.60.56/~jnz1568/getInfo.php?workbook=12_05.xlsx&amp;sheet=U0&amp;row=7786&amp;col=6&amp;number=3.2&amp;sourceID=14","3.2")</f>
        <v>3.2</v>
      </c>
      <c r="G7786" s="4" t="str">
        <f>HYPERLINK("http://141.218.60.56/~jnz1568/getInfo.php?workbook=12_05.xlsx&amp;sheet=U0&amp;row=7786&amp;col=7&amp;number=0.0158&amp;sourceID=14","0.0158")</f>
        <v>0.0158</v>
      </c>
    </row>
    <row r="7787" spans="1:7">
      <c r="A7787" s="3"/>
      <c r="B7787" s="3"/>
      <c r="C7787" s="3"/>
      <c r="D7787" s="3"/>
      <c r="E7787" s="3">
        <v>4</v>
      </c>
      <c r="F7787" s="4" t="str">
        <f>HYPERLINK("http://141.218.60.56/~jnz1568/getInfo.php?workbook=12_05.xlsx&amp;sheet=U0&amp;row=7787&amp;col=6&amp;number=3.3&amp;sourceID=14","3.3")</f>
        <v>3.3</v>
      </c>
      <c r="G7787" s="4" t="str">
        <f>HYPERLINK("http://141.218.60.56/~jnz1568/getInfo.php?workbook=12_05.xlsx&amp;sheet=U0&amp;row=7787&amp;col=7&amp;number=0.0158&amp;sourceID=14","0.0158")</f>
        <v>0.0158</v>
      </c>
    </row>
    <row r="7788" spans="1:7">
      <c r="A7788" s="3"/>
      <c r="B7788" s="3"/>
      <c r="C7788" s="3"/>
      <c r="D7788" s="3"/>
      <c r="E7788" s="3">
        <v>5</v>
      </c>
      <c r="F7788" s="4" t="str">
        <f>HYPERLINK("http://141.218.60.56/~jnz1568/getInfo.php?workbook=12_05.xlsx&amp;sheet=U0&amp;row=7788&amp;col=6&amp;number=3.4&amp;sourceID=14","3.4")</f>
        <v>3.4</v>
      </c>
      <c r="G7788" s="4" t="str">
        <f>HYPERLINK("http://141.218.60.56/~jnz1568/getInfo.php?workbook=12_05.xlsx&amp;sheet=U0&amp;row=7788&amp;col=7&amp;number=0.0158&amp;sourceID=14","0.0158")</f>
        <v>0.0158</v>
      </c>
    </row>
    <row r="7789" spans="1:7">
      <c r="A7789" s="3"/>
      <c r="B7789" s="3"/>
      <c r="C7789" s="3"/>
      <c r="D7789" s="3"/>
      <c r="E7789" s="3">
        <v>6</v>
      </c>
      <c r="F7789" s="4" t="str">
        <f>HYPERLINK("http://141.218.60.56/~jnz1568/getInfo.php?workbook=12_05.xlsx&amp;sheet=U0&amp;row=7789&amp;col=6&amp;number=3.5&amp;sourceID=14","3.5")</f>
        <v>3.5</v>
      </c>
      <c r="G7789" s="4" t="str">
        <f>HYPERLINK("http://141.218.60.56/~jnz1568/getInfo.php?workbook=12_05.xlsx&amp;sheet=U0&amp;row=7789&amp;col=7&amp;number=0.0158&amp;sourceID=14","0.0158")</f>
        <v>0.0158</v>
      </c>
    </row>
    <row r="7790" spans="1:7">
      <c r="A7790" s="3"/>
      <c r="B7790" s="3"/>
      <c r="C7790" s="3"/>
      <c r="D7790" s="3"/>
      <c r="E7790" s="3">
        <v>7</v>
      </c>
      <c r="F7790" s="4" t="str">
        <f>HYPERLINK("http://141.218.60.56/~jnz1568/getInfo.php?workbook=12_05.xlsx&amp;sheet=U0&amp;row=7790&amp;col=6&amp;number=3.6&amp;sourceID=14","3.6")</f>
        <v>3.6</v>
      </c>
      <c r="G7790" s="4" t="str">
        <f>HYPERLINK("http://141.218.60.56/~jnz1568/getInfo.php?workbook=12_05.xlsx&amp;sheet=U0&amp;row=7790&amp;col=7&amp;number=0.0158&amp;sourceID=14","0.0158")</f>
        <v>0.0158</v>
      </c>
    </row>
    <row r="7791" spans="1:7">
      <c r="A7791" s="3"/>
      <c r="B7791" s="3"/>
      <c r="C7791" s="3"/>
      <c r="D7791" s="3"/>
      <c r="E7791" s="3">
        <v>8</v>
      </c>
      <c r="F7791" s="4" t="str">
        <f>HYPERLINK("http://141.218.60.56/~jnz1568/getInfo.php?workbook=12_05.xlsx&amp;sheet=U0&amp;row=7791&amp;col=6&amp;number=3.7&amp;sourceID=14","3.7")</f>
        <v>3.7</v>
      </c>
      <c r="G7791" s="4" t="str">
        <f>HYPERLINK("http://141.218.60.56/~jnz1568/getInfo.php?workbook=12_05.xlsx&amp;sheet=U0&amp;row=7791&amp;col=7&amp;number=0.0158&amp;sourceID=14","0.0158")</f>
        <v>0.0158</v>
      </c>
    </row>
    <row r="7792" spans="1:7">
      <c r="A7792" s="3"/>
      <c r="B7792" s="3"/>
      <c r="C7792" s="3"/>
      <c r="D7792" s="3"/>
      <c r="E7792" s="3">
        <v>9</v>
      </c>
      <c r="F7792" s="4" t="str">
        <f>HYPERLINK("http://141.218.60.56/~jnz1568/getInfo.php?workbook=12_05.xlsx&amp;sheet=U0&amp;row=7792&amp;col=6&amp;number=3.8&amp;sourceID=14","3.8")</f>
        <v>3.8</v>
      </c>
      <c r="G7792" s="4" t="str">
        <f>HYPERLINK("http://141.218.60.56/~jnz1568/getInfo.php?workbook=12_05.xlsx&amp;sheet=U0&amp;row=7792&amp;col=7&amp;number=0.0158&amp;sourceID=14","0.0158")</f>
        <v>0.0158</v>
      </c>
    </row>
    <row r="7793" spans="1:7">
      <c r="A7793" s="3"/>
      <c r="B7793" s="3"/>
      <c r="C7793" s="3"/>
      <c r="D7793" s="3"/>
      <c r="E7793" s="3">
        <v>10</v>
      </c>
      <c r="F7793" s="4" t="str">
        <f>HYPERLINK("http://141.218.60.56/~jnz1568/getInfo.php?workbook=12_05.xlsx&amp;sheet=U0&amp;row=7793&amp;col=6&amp;number=3.9&amp;sourceID=14","3.9")</f>
        <v>3.9</v>
      </c>
      <c r="G7793" s="4" t="str">
        <f>HYPERLINK("http://141.218.60.56/~jnz1568/getInfo.php?workbook=12_05.xlsx&amp;sheet=U0&amp;row=7793&amp;col=7&amp;number=0.0158&amp;sourceID=14","0.0158")</f>
        <v>0.0158</v>
      </c>
    </row>
    <row r="7794" spans="1:7">
      <c r="A7794" s="3"/>
      <c r="B7794" s="3"/>
      <c r="C7794" s="3"/>
      <c r="D7794" s="3"/>
      <c r="E7794" s="3">
        <v>11</v>
      </c>
      <c r="F7794" s="4" t="str">
        <f>HYPERLINK("http://141.218.60.56/~jnz1568/getInfo.php?workbook=12_05.xlsx&amp;sheet=U0&amp;row=7794&amp;col=6&amp;number=4&amp;sourceID=14","4")</f>
        <v>4</v>
      </c>
      <c r="G7794" s="4" t="str">
        <f>HYPERLINK("http://141.218.60.56/~jnz1568/getInfo.php?workbook=12_05.xlsx&amp;sheet=U0&amp;row=7794&amp;col=7&amp;number=0.0158&amp;sourceID=14","0.0158")</f>
        <v>0.0158</v>
      </c>
    </row>
    <row r="7795" spans="1:7">
      <c r="A7795" s="3"/>
      <c r="B7795" s="3"/>
      <c r="C7795" s="3"/>
      <c r="D7795" s="3"/>
      <c r="E7795" s="3">
        <v>12</v>
      </c>
      <c r="F7795" s="4" t="str">
        <f>HYPERLINK("http://141.218.60.56/~jnz1568/getInfo.php?workbook=12_05.xlsx&amp;sheet=U0&amp;row=7795&amp;col=6&amp;number=4.1&amp;sourceID=14","4.1")</f>
        <v>4.1</v>
      </c>
      <c r="G7795" s="4" t="str">
        <f>HYPERLINK("http://141.218.60.56/~jnz1568/getInfo.php?workbook=12_05.xlsx&amp;sheet=U0&amp;row=7795&amp;col=7&amp;number=0.0158&amp;sourceID=14","0.0158")</f>
        <v>0.0158</v>
      </c>
    </row>
    <row r="7796" spans="1:7">
      <c r="A7796" s="3"/>
      <c r="B7796" s="3"/>
      <c r="C7796" s="3"/>
      <c r="D7796" s="3"/>
      <c r="E7796" s="3">
        <v>13</v>
      </c>
      <c r="F7796" s="4" t="str">
        <f>HYPERLINK("http://141.218.60.56/~jnz1568/getInfo.php?workbook=12_05.xlsx&amp;sheet=U0&amp;row=7796&amp;col=6&amp;number=4.2&amp;sourceID=14","4.2")</f>
        <v>4.2</v>
      </c>
      <c r="G7796" s="4" t="str">
        <f>HYPERLINK("http://141.218.60.56/~jnz1568/getInfo.php?workbook=12_05.xlsx&amp;sheet=U0&amp;row=7796&amp;col=7&amp;number=0.0158&amp;sourceID=14","0.0158")</f>
        <v>0.0158</v>
      </c>
    </row>
    <row r="7797" spans="1:7">
      <c r="A7797" s="3"/>
      <c r="B7797" s="3"/>
      <c r="C7797" s="3"/>
      <c r="D7797" s="3"/>
      <c r="E7797" s="3">
        <v>14</v>
      </c>
      <c r="F7797" s="4" t="str">
        <f>HYPERLINK("http://141.218.60.56/~jnz1568/getInfo.php?workbook=12_05.xlsx&amp;sheet=U0&amp;row=7797&amp;col=6&amp;number=4.3&amp;sourceID=14","4.3")</f>
        <v>4.3</v>
      </c>
      <c r="G7797" s="4" t="str">
        <f>HYPERLINK("http://141.218.60.56/~jnz1568/getInfo.php?workbook=12_05.xlsx&amp;sheet=U0&amp;row=7797&amp;col=7&amp;number=0.0158&amp;sourceID=14","0.0158")</f>
        <v>0.0158</v>
      </c>
    </row>
    <row r="7798" spans="1:7">
      <c r="A7798" s="3"/>
      <c r="B7798" s="3"/>
      <c r="C7798" s="3"/>
      <c r="D7798" s="3"/>
      <c r="E7798" s="3">
        <v>15</v>
      </c>
      <c r="F7798" s="4" t="str">
        <f>HYPERLINK("http://141.218.60.56/~jnz1568/getInfo.php?workbook=12_05.xlsx&amp;sheet=U0&amp;row=7798&amp;col=6&amp;number=4.4&amp;sourceID=14","4.4")</f>
        <v>4.4</v>
      </c>
      <c r="G7798" s="4" t="str">
        <f>HYPERLINK("http://141.218.60.56/~jnz1568/getInfo.php?workbook=12_05.xlsx&amp;sheet=U0&amp;row=7798&amp;col=7&amp;number=0.0158&amp;sourceID=14","0.0158")</f>
        <v>0.0158</v>
      </c>
    </row>
    <row r="7799" spans="1:7">
      <c r="A7799" s="3"/>
      <c r="B7799" s="3"/>
      <c r="C7799" s="3"/>
      <c r="D7799" s="3"/>
      <c r="E7799" s="3">
        <v>16</v>
      </c>
      <c r="F7799" s="4" t="str">
        <f>HYPERLINK("http://141.218.60.56/~jnz1568/getInfo.php?workbook=12_05.xlsx&amp;sheet=U0&amp;row=7799&amp;col=6&amp;number=4.5&amp;sourceID=14","4.5")</f>
        <v>4.5</v>
      </c>
      <c r="G7799" s="4" t="str">
        <f>HYPERLINK("http://141.218.60.56/~jnz1568/getInfo.php?workbook=12_05.xlsx&amp;sheet=U0&amp;row=7799&amp;col=7&amp;number=0.0158&amp;sourceID=14","0.0158")</f>
        <v>0.0158</v>
      </c>
    </row>
    <row r="7800" spans="1:7">
      <c r="A7800" s="3"/>
      <c r="B7800" s="3"/>
      <c r="C7800" s="3"/>
      <c r="D7800" s="3"/>
      <c r="E7800" s="3">
        <v>17</v>
      </c>
      <c r="F7800" s="4" t="str">
        <f>HYPERLINK("http://141.218.60.56/~jnz1568/getInfo.php?workbook=12_05.xlsx&amp;sheet=U0&amp;row=7800&amp;col=6&amp;number=4.6&amp;sourceID=14","4.6")</f>
        <v>4.6</v>
      </c>
      <c r="G7800" s="4" t="str">
        <f>HYPERLINK("http://141.218.60.56/~jnz1568/getInfo.php?workbook=12_05.xlsx&amp;sheet=U0&amp;row=7800&amp;col=7&amp;number=0.0157&amp;sourceID=14","0.0157")</f>
        <v>0.0157</v>
      </c>
    </row>
    <row r="7801" spans="1:7">
      <c r="A7801" s="3"/>
      <c r="B7801" s="3"/>
      <c r="C7801" s="3"/>
      <c r="D7801" s="3"/>
      <c r="E7801" s="3">
        <v>18</v>
      </c>
      <c r="F7801" s="4" t="str">
        <f>HYPERLINK("http://141.218.60.56/~jnz1568/getInfo.php?workbook=12_05.xlsx&amp;sheet=U0&amp;row=7801&amp;col=6&amp;number=4.7&amp;sourceID=14","4.7")</f>
        <v>4.7</v>
      </c>
      <c r="G7801" s="4" t="str">
        <f>HYPERLINK("http://141.218.60.56/~jnz1568/getInfo.php?workbook=12_05.xlsx&amp;sheet=U0&amp;row=7801&amp;col=7&amp;number=0.0157&amp;sourceID=14","0.0157")</f>
        <v>0.0157</v>
      </c>
    </row>
    <row r="7802" spans="1:7">
      <c r="A7802" s="3"/>
      <c r="B7802" s="3"/>
      <c r="C7802" s="3"/>
      <c r="D7802" s="3"/>
      <c r="E7802" s="3">
        <v>19</v>
      </c>
      <c r="F7802" s="4" t="str">
        <f>HYPERLINK("http://141.218.60.56/~jnz1568/getInfo.php?workbook=12_05.xlsx&amp;sheet=U0&amp;row=7802&amp;col=6&amp;number=4.8&amp;sourceID=14","4.8")</f>
        <v>4.8</v>
      </c>
      <c r="G7802" s="4" t="str">
        <f>HYPERLINK("http://141.218.60.56/~jnz1568/getInfo.php?workbook=12_05.xlsx&amp;sheet=U0&amp;row=7802&amp;col=7&amp;number=0.0157&amp;sourceID=14","0.0157")</f>
        <v>0.0157</v>
      </c>
    </row>
    <row r="7803" spans="1:7">
      <c r="A7803" s="3"/>
      <c r="B7803" s="3"/>
      <c r="C7803" s="3"/>
      <c r="D7803" s="3"/>
      <c r="E7803" s="3">
        <v>20</v>
      </c>
      <c r="F7803" s="4" t="str">
        <f>HYPERLINK("http://141.218.60.56/~jnz1568/getInfo.php?workbook=12_05.xlsx&amp;sheet=U0&amp;row=7803&amp;col=6&amp;number=4.9&amp;sourceID=14","4.9")</f>
        <v>4.9</v>
      </c>
      <c r="G7803" s="4" t="str">
        <f>HYPERLINK("http://141.218.60.56/~jnz1568/getInfo.php?workbook=12_05.xlsx&amp;sheet=U0&amp;row=7803&amp;col=7&amp;number=0.0157&amp;sourceID=14","0.0157")</f>
        <v>0.0157</v>
      </c>
    </row>
    <row r="7804" spans="1:7">
      <c r="A7804" s="3">
        <v>12</v>
      </c>
      <c r="B7804" s="3">
        <v>5</v>
      </c>
      <c r="C7804" s="3">
        <v>3</v>
      </c>
      <c r="D7804" s="3">
        <v>52</v>
      </c>
      <c r="E7804" s="3">
        <v>1</v>
      </c>
      <c r="F7804" s="4" t="str">
        <f>HYPERLINK("http://141.218.60.56/~jnz1568/getInfo.php?workbook=12_05.xlsx&amp;sheet=U0&amp;row=7804&amp;col=6&amp;number=3&amp;sourceID=14","3")</f>
        <v>3</v>
      </c>
      <c r="G7804" s="4" t="str">
        <f>HYPERLINK("http://141.218.60.56/~jnz1568/getInfo.php?workbook=12_05.xlsx&amp;sheet=U0&amp;row=7804&amp;col=7&amp;number=0.00747&amp;sourceID=14","0.00747")</f>
        <v>0.00747</v>
      </c>
    </row>
    <row r="7805" spans="1:7">
      <c r="A7805" s="3"/>
      <c r="B7805" s="3"/>
      <c r="C7805" s="3"/>
      <c r="D7805" s="3"/>
      <c r="E7805" s="3">
        <v>2</v>
      </c>
      <c r="F7805" s="4" t="str">
        <f>HYPERLINK("http://141.218.60.56/~jnz1568/getInfo.php?workbook=12_05.xlsx&amp;sheet=U0&amp;row=7805&amp;col=6&amp;number=3.1&amp;sourceID=14","3.1")</f>
        <v>3.1</v>
      </c>
      <c r="G7805" s="4" t="str">
        <f>HYPERLINK("http://141.218.60.56/~jnz1568/getInfo.php?workbook=12_05.xlsx&amp;sheet=U0&amp;row=7805&amp;col=7&amp;number=0.00747&amp;sourceID=14","0.00747")</f>
        <v>0.00747</v>
      </c>
    </row>
    <row r="7806" spans="1:7">
      <c r="A7806" s="3"/>
      <c r="B7806" s="3"/>
      <c r="C7806" s="3"/>
      <c r="D7806" s="3"/>
      <c r="E7806" s="3">
        <v>3</v>
      </c>
      <c r="F7806" s="4" t="str">
        <f>HYPERLINK("http://141.218.60.56/~jnz1568/getInfo.php?workbook=12_05.xlsx&amp;sheet=U0&amp;row=7806&amp;col=6&amp;number=3.2&amp;sourceID=14","3.2")</f>
        <v>3.2</v>
      </c>
      <c r="G7806" s="4" t="str">
        <f>HYPERLINK("http://141.218.60.56/~jnz1568/getInfo.php?workbook=12_05.xlsx&amp;sheet=U0&amp;row=7806&amp;col=7&amp;number=0.00747&amp;sourceID=14","0.00747")</f>
        <v>0.00747</v>
      </c>
    </row>
    <row r="7807" spans="1:7">
      <c r="A7807" s="3"/>
      <c r="B7807" s="3"/>
      <c r="C7807" s="3"/>
      <c r="D7807" s="3"/>
      <c r="E7807" s="3">
        <v>4</v>
      </c>
      <c r="F7807" s="4" t="str">
        <f>HYPERLINK("http://141.218.60.56/~jnz1568/getInfo.php?workbook=12_05.xlsx&amp;sheet=U0&amp;row=7807&amp;col=6&amp;number=3.3&amp;sourceID=14","3.3")</f>
        <v>3.3</v>
      </c>
      <c r="G7807" s="4" t="str">
        <f>HYPERLINK("http://141.218.60.56/~jnz1568/getInfo.php?workbook=12_05.xlsx&amp;sheet=U0&amp;row=7807&amp;col=7&amp;number=0.00747&amp;sourceID=14","0.00747")</f>
        <v>0.00747</v>
      </c>
    </row>
    <row r="7808" spans="1:7">
      <c r="A7808" s="3"/>
      <c r="B7808" s="3"/>
      <c r="C7808" s="3"/>
      <c r="D7808" s="3"/>
      <c r="E7808" s="3">
        <v>5</v>
      </c>
      <c r="F7808" s="4" t="str">
        <f>HYPERLINK("http://141.218.60.56/~jnz1568/getInfo.php?workbook=12_05.xlsx&amp;sheet=U0&amp;row=7808&amp;col=6&amp;number=3.4&amp;sourceID=14","3.4")</f>
        <v>3.4</v>
      </c>
      <c r="G7808" s="4" t="str">
        <f>HYPERLINK("http://141.218.60.56/~jnz1568/getInfo.php?workbook=12_05.xlsx&amp;sheet=U0&amp;row=7808&amp;col=7&amp;number=0.00747&amp;sourceID=14","0.00747")</f>
        <v>0.00747</v>
      </c>
    </row>
    <row r="7809" spans="1:7">
      <c r="A7809" s="3"/>
      <c r="B7809" s="3"/>
      <c r="C7809" s="3"/>
      <c r="D7809" s="3"/>
      <c r="E7809" s="3">
        <v>6</v>
      </c>
      <c r="F7809" s="4" t="str">
        <f>HYPERLINK("http://141.218.60.56/~jnz1568/getInfo.php?workbook=12_05.xlsx&amp;sheet=U0&amp;row=7809&amp;col=6&amp;number=3.5&amp;sourceID=14","3.5")</f>
        <v>3.5</v>
      </c>
      <c r="G7809" s="4" t="str">
        <f>HYPERLINK("http://141.218.60.56/~jnz1568/getInfo.php?workbook=12_05.xlsx&amp;sheet=U0&amp;row=7809&amp;col=7&amp;number=0.00747&amp;sourceID=14","0.00747")</f>
        <v>0.00747</v>
      </c>
    </row>
    <row r="7810" spans="1:7">
      <c r="A7810" s="3"/>
      <c r="B7810" s="3"/>
      <c r="C7810" s="3"/>
      <c r="D7810" s="3"/>
      <c r="E7810" s="3">
        <v>7</v>
      </c>
      <c r="F7810" s="4" t="str">
        <f>HYPERLINK("http://141.218.60.56/~jnz1568/getInfo.php?workbook=12_05.xlsx&amp;sheet=U0&amp;row=7810&amp;col=6&amp;number=3.6&amp;sourceID=14","3.6")</f>
        <v>3.6</v>
      </c>
      <c r="G7810" s="4" t="str">
        <f>HYPERLINK("http://141.218.60.56/~jnz1568/getInfo.php?workbook=12_05.xlsx&amp;sheet=U0&amp;row=7810&amp;col=7&amp;number=0.00747&amp;sourceID=14","0.00747")</f>
        <v>0.00747</v>
      </c>
    </row>
    <row r="7811" spans="1:7">
      <c r="A7811" s="3"/>
      <c r="B7811" s="3"/>
      <c r="C7811" s="3"/>
      <c r="D7811" s="3"/>
      <c r="E7811" s="3">
        <v>8</v>
      </c>
      <c r="F7811" s="4" t="str">
        <f>HYPERLINK("http://141.218.60.56/~jnz1568/getInfo.php?workbook=12_05.xlsx&amp;sheet=U0&amp;row=7811&amp;col=6&amp;number=3.7&amp;sourceID=14","3.7")</f>
        <v>3.7</v>
      </c>
      <c r="G7811" s="4" t="str">
        <f>HYPERLINK("http://141.218.60.56/~jnz1568/getInfo.php?workbook=12_05.xlsx&amp;sheet=U0&amp;row=7811&amp;col=7&amp;number=0.00747&amp;sourceID=14","0.00747")</f>
        <v>0.00747</v>
      </c>
    </row>
    <row r="7812" spans="1:7">
      <c r="A7812" s="3"/>
      <c r="B7812" s="3"/>
      <c r="C7812" s="3"/>
      <c r="D7812" s="3"/>
      <c r="E7812" s="3">
        <v>9</v>
      </c>
      <c r="F7812" s="4" t="str">
        <f>HYPERLINK("http://141.218.60.56/~jnz1568/getInfo.php?workbook=12_05.xlsx&amp;sheet=U0&amp;row=7812&amp;col=6&amp;number=3.8&amp;sourceID=14","3.8")</f>
        <v>3.8</v>
      </c>
      <c r="G7812" s="4" t="str">
        <f>HYPERLINK("http://141.218.60.56/~jnz1568/getInfo.php?workbook=12_05.xlsx&amp;sheet=U0&amp;row=7812&amp;col=7&amp;number=0.00746&amp;sourceID=14","0.00746")</f>
        <v>0.00746</v>
      </c>
    </row>
    <row r="7813" spans="1:7">
      <c r="A7813" s="3"/>
      <c r="B7813" s="3"/>
      <c r="C7813" s="3"/>
      <c r="D7813" s="3"/>
      <c r="E7813" s="3">
        <v>10</v>
      </c>
      <c r="F7813" s="4" t="str">
        <f>HYPERLINK("http://141.218.60.56/~jnz1568/getInfo.php?workbook=12_05.xlsx&amp;sheet=U0&amp;row=7813&amp;col=6&amp;number=3.9&amp;sourceID=14","3.9")</f>
        <v>3.9</v>
      </c>
      <c r="G7813" s="4" t="str">
        <f>HYPERLINK("http://141.218.60.56/~jnz1568/getInfo.php?workbook=12_05.xlsx&amp;sheet=U0&amp;row=7813&amp;col=7&amp;number=0.00746&amp;sourceID=14","0.00746")</f>
        <v>0.00746</v>
      </c>
    </row>
    <row r="7814" spans="1:7">
      <c r="A7814" s="3"/>
      <c r="B7814" s="3"/>
      <c r="C7814" s="3"/>
      <c r="D7814" s="3"/>
      <c r="E7814" s="3">
        <v>11</v>
      </c>
      <c r="F7814" s="4" t="str">
        <f>HYPERLINK("http://141.218.60.56/~jnz1568/getInfo.php?workbook=12_05.xlsx&amp;sheet=U0&amp;row=7814&amp;col=6&amp;number=4&amp;sourceID=14","4")</f>
        <v>4</v>
      </c>
      <c r="G7814" s="4" t="str">
        <f>HYPERLINK("http://141.218.60.56/~jnz1568/getInfo.php?workbook=12_05.xlsx&amp;sheet=U0&amp;row=7814&amp;col=7&amp;number=0.00746&amp;sourceID=14","0.00746")</f>
        <v>0.00746</v>
      </c>
    </row>
    <row r="7815" spans="1:7">
      <c r="A7815" s="3"/>
      <c r="B7815" s="3"/>
      <c r="C7815" s="3"/>
      <c r="D7815" s="3"/>
      <c r="E7815" s="3">
        <v>12</v>
      </c>
      <c r="F7815" s="4" t="str">
        <f>HYPERLINK("http://141.218.60.56/~jnz1568/getInfo.php?workbook=12_05.xlsx&amp;sheet=U0&amp;row=7815&amp;col=6&amp;number=4.1&amp;sourceID=14","4.1")</f>
        <v>4.1</v>
      </c>
      <c r="G7815" s="4" t="str">
        <f>HYPERLINK("http://141.218.60.56/~jnz1568/getInfo.php?workbook=12_05.xlsx&amp;sheet=U0&amp;row=7815&amp;col=7&amp;number=0.00745&amp;sourceID=14","0.00745")</f>
        <v>0.00745</v>
      </c>
    </row>
    <row r="7816" spans="1:7">
      <c r="A7816" s="3"/>
      <c r="B7816" s="3"/>
      <c r="C7816" s="3"/>
      <c r="D7816" s="3"/>
      <c r="E7816" s="3">
        <v>13</v>
      </c>
      <c r="F7816" s="4" t="str">
        <f>HYPERLINK("http://141.218.60.56/~jnz1568/getInfo.php?workbook=12_05.xlsx&amp;sheet=U0&amp;row=7816&amp;col=6&amp;number=4.2&amp;sourceID=14","4.2")</f>
        <v>4.2</v>
      </c>
      <c r="G7816" s="4" t="str">
        <f>HYPERLINK("http://141.218.60.56/~jnz1568/getInfo.php?workbook=12_05.xlsx&amp;sheet=U0&amp;row=7816&amp;col=7&amp;number=0.00744&amp;sourceID=14","0.00744")</f>
        <v>0.00744</v>
      </c>
    </row>
    <row r="7817" spans="1:7">
      <c r="A7817" s="3"/>
      <c r="B7817" s="3"/>
      <c r="C7817" s="3"/>
      <c r="D7817" s="3"/>
      <c r="E7817" s="3">
        <v>14</v>
      </c>
      <c r="F7817" s="4" t="str">
        <f>HYPERLINK("http://141.218.60.56/~jnz1568/getInfo.php?workbook=12_05.xlsx&amp;sheet=U0&amp;row=7817&amp;col=6&amp;number=4.3&amp;sourceID=14","4.3")</f>
        <v>4.3</v>
      </c>
      <c r="G7817" s="4" t="str">
        <f>HYPERLINK("http://141.218.60.56/~jnz1568/getInfo.php?workbook=12_05.xlsx&amp;sheet=U0&amp;row=7817&amp;col=7&amp;number=0.00744&amp;sourceID=14","0.00744")</f>
        <v>0.00744</v>
      </c>
    </row>
    <row r="7818" spans="1:7">
      <c r="A7818" s="3"/>
      <c r="B7818" s="3"/>
      <c r="C7818" s="3"/>
      <c r="D7818" s="3"/>
      <c r="E7818" s="3">
        <v>15</v>
      </c>
      <c r="F7818" s="4" t="str">
        <f>HYPERLINK("http://141.218.60.56/~jnz1568/getInfo.php?workbook=12_05.xlsx&amp;sheet=U0&amp;row=7818&amp;col=6&amp;number=4.4&amp;sourceID=14","4.4")</f>
        <v>4.4</v>
      </c>
      <c r="G7818" s="4" t="str">
        <f>HYPERLINK("http://141.218.60.56/~jnz1568/getInfo.php?workbook=12_05.xlsx&amp;sheet=U0&amp;row=7818&amp;col=7&amp;number=0.00742&amp;sourceID=14","0.00742")</f>
        <v>0.00742</v>
      </c>
    </row>
    <row r="7819" spans="1:7">
      <c r="A7819" s="3"/>
      <c r="B7819" s="3"/>
      <c r="C7819" s="3"/>
      <c r="D7819" s="3"/>
      <c r="E7819" s="3">
        <v>16</v>
      </c>
      <c r="F7819" s="4" t="str">
        <f>HYPERLINK("http://141.218.60.56/~jnz1568/getInfo.php?workbook=12_05.xlsx&amp;sheet=U0&amp;row=7819&amp;col=6&amp;number=4.5&amp;sourceID=14","4.5")</f>
        <v>4.5</v>
      </c>
      <c r="G7819" s="4" t="str">
        <f>HYPERLINK("http://141.218.60.56/~jnz1568/getInfo.php?workbook=12_05.xlsx&amp;sheet=U0&amp;row=7819&amp;col=7&amp;number=0.00741&amp;sourceID=14","0.00741")</f>
        <v>0.00741</v>
      </c>
    </row>
    <row r="7820" spans="1:7">
      <c r="A7820" s="3"/>
      <c r="B7820" s="3"/>
      <c r="C7820" s="3"/>
      <c r="D7820" s="3"/>
      <c r="E7820" s="3">
        <v>17</v>
      </c>
      <c r="F7820" s="4" t="str">
        <f>HYPERLINK("http://141.218.60.56/~jnz1568/getInfo.php?workbook=12_05.xlsx&amp;sheet=U0&amp;row=7820&amp;col=6&amp;number=4.6&amp;sourceID=14","4.6")</f>
        <v>4.6</v>
      </c>
      <c r="G7820" s="4" t="str">
        <f>HYPERLINK("http://141.218.60.56/~jnz1568/getInfo.php?workbook=12_05.xlsx&amp;sheet=U0&amp;row=7820&amp;col=7&amp;number=0.00739&amp;sourceID=14","0.00739")</f>
        <v>0.00739</v>
      </c>
    </row>
    <row r="7821" spans="1:7">
      <c r="A7821" s="3"/>
      <c r="B7821" s="3"/>
      <c r="C7821" s="3"/>
      <c r="D7821" s="3"/>
      <c r="E7821" s="3">
        <v>18</v>
      </c>
      <c r="F7821" s="4" t="str">
        <f>HYPERLINK("http://141.218.60.56/~jnz1568/getInfo.php?workbook=12_05.xlsx&amp;sheet=U0&amp;row=7821&amp;col=6&amp;number=4.7&amp;sourceID=14","4.7")</f>
        <v>4.7</v>
      </c>
      <c r="G7821" s="4" t="str">
        <f>HYPERLINK("http://141.218.60.56/~jnz1568/getInfo.php?workbook=12_05.xlsx&amp;sheet=U0&amp;row=7821&amp;col=7&amp;number=0.00737&amp;sourceID=14","0.00737")</f>
        <v>0.00737</v>
      </c>
    </row>
    <row r="7822" spans="1:7">
      <c r="A7822" s="3"/>
      <c r="B7822" s="3"/>
      <c r="C7822" s="3"/>
      <c r="D7822" s="3"/>
      <c r="E7822" s="3">
        <v>19</v>
      </c>
      <c r="F7822" s="4" t="str">
        <f>HYPERLINK("http://141.218.60.56/~jnz1568/getInfo.php?workbook=12_05.xlsx&amp;sheet=U0&amp;row=7822&amp;col=6&amp;number=4.8&amp;sourceID=14","4.8")</f>
        <v>4.8</v>
      </c>
      <c r="G7822" s="4" t="str">
        <f>HYPERLINK("http://141.218.60.56/~jnz1568/getInfo.php?workbook=12_05.xlsx&amp;sheet=U0&amp;row=7822&amp;col=7&amp;number=0.00735&amp;sourceID=14","0.00735")</f>
        <v>0.00735</v>
      </c>
    </row>
    <row r="7823" spans="1:7">
      <c r="A7823" s="3"/>
      <c r="B7823" s="3"/>
      <c r="C7823" s="3"/>
      <c r="D7823" s="3"/>
      <c r="E7823" s="3">
        <v>20</v>
      </c>
      <c r="F7823" s="4" t="str">
        <f>HYPERLINK("http://141.218.60.56/~jnz1568/getInfo.php?workbook=12_05.xlsx&amp;sheet=U0&amp;row=7823&amp;col=6&amp;number=4.9&amp;sourceID=14","4.9")</f>
        <v>4.9</v>
      </c>
      <c r="G7823" s="4" t="str">
        <f>HYPERLINK("http://141.218.60.56/~jnz1568/getInfo.php?workbook=12_05.xlsx&amp;sheet=U0&amp;row=7823&amp;col=7&amp;number=0.00731&amp;sourceID=14","0.00731")</f>
        <v>0.00731</v>
      </c>
    </row>
    <row r="7824" spans="1:7">
      <c r="A7824" s="3">
        <v>12</v>
      </c>
      <c r="B7824" s="3">
        <v>5</v>
      </c>
      <c r="C7824" s="3">
        <v>3</v>
      </c>
      <c r="D7824" s="3">
        <v>53</v>
      </c>
      <c r="E7824" s="3">
        <v>1</v>
      </c>
      <c r="F7824" s="4" t="str">
        <f>HYPERLINK("http://141.218.60.56/~jnz1568/getInfo.php?workbook=12_05.xlsx&amp;sheet=U0&amp;row=7824&amp;col=6&amp;number=3&amp;sourceID=14","3")</f>
        <v>3</v>
      </c>
      <c r="G7824" s="4" t="str">
        <f>HYPERLINK("http://141.218.60.56/~jnz1568/getInfo.php?workbook=12_05.xlsx&amp;sheet=U0&amp;row=7824&amp;col=7&amp;number=0.00471&amp;sourceID=14","0.00471")</f>
        <v>0.00471</v>
      </c>
    </row>
    <row r="7825" spans="1:7">
      <c r="A7825" s="3"/>
      <c r="B7825" s="3"/>
      <c r="C7825" s="3"/>
      <c r="D7825" s="3"/>
      <c r="E7825" s="3">
        <v>2</v>
      </c>
      <c r="F7825" s="4" t="str">
        <f>HYPERLINK("http://141.218.60.56/~jnz1568/getInfo.php?workbook=12_05.xlsx&amp;sheet=U0&amp;row=7825&amp;col=6&amp;number=3.1&amp;sourceID=14","3.1")</f>
        <v>3.1</v>
      </c>
      <c r="G7825" s="4" t="str">
        <f>HYPERLINK("http://141.218.60.56/~jnz1568/getInfo.php?workbook=12_05.xlsx&amp;sheet=U0&amp;row=7825&amp;col=7&amp;number=0.00471&amp;sourceID=14","0.00471")</f>
        <v>0.00471</v>
      </c>
    </row>
    <row r="7826" spans="1:7">
      <c r="A7826" s="3"/>
      <c r="B7826" s="3"/>
      <c r="C7826" s="3"/>
      <c r="D7826" s="3"/>
      <c r="E7826" s="3">
        <v>3</v>
      </c>
      <c r="F7826" s="4" t="str">
        <f>HYPERLINK("http://141.218.60.56/~jnz1568/getInfo.php?workbook=12_05.xlsx&amp;sheet=U0&amp;row=7826&amp;col=6&amp;number=3.2&amp;sourceID=14","3.2")</f>
        <v>3.2</v>
      </c>
      <c r="G7826" s="4" t="str">
        <f>HYPERLINK("http://141.218.60.56/~jnz1568/getInfo.php?workbook=12_05.xlsx&amp;sheet=U0&amp;row=7826&amp;col=7&amp;number=0.00471&amp;sourceID=14","0.00471")</f>
        <v>0.00471</v>
      </c>
    </row>
    <row r="7827" spans="1:7">
      <c r="A7827" s="3"/>
      <c r="B7827" s="3"/>
      <c r="C7827" s="3"/>
      <c r="D7827" s="3"/>
      <c r="E7827" s="3">
        <v>4</v>
      </c>
      <c r="F7827" s="4" t="str">
        <f>HYPERLINK("http://141.218.60.56/~jnz1568/getInfo.php?workbook=12_05.xlsx&amp;sheet=U0&amp;row=7827&amp;col=6&amp;number=3.3&amp;sourceID=14","3.3")</f>
        <v>3.3</v>
      </c>
      <c r="G7827" s="4" t="str">
        <f>HYPERLINK("http://141.218.60.56/~jnz1568/getInfo.php?workbook=12_05.xlsx&amp;sheet=U0&amp;row=7827&amp;col=7&amp;number=0.00471&amp;sourceID=14","0.00471")</f>
        <v>0.00471</v>
      </c>
    </row>
    <row r="7828" spans="1:7">
      <c r="A7828" s="3"/>
      <c r="B7828" s="3"/>
      <c r="C7828" s="3"/>
      <c r="D7828" s="3"/>
      <c r="E7828" s="3">
        <v>5</v>
      </c>
      <c r="F7828" s="4" t="str">
        <f>HYPERLINK("http://141.218.60.56/~jnz1568/getInfo.php?workbook=12_05.xlsx&amp;sheet=U0&amp;row=7828&amp;col=6&amp;number=3.4&amp;sourceID=14","3.4")</f>
        <v>3.4</v>
      </c>
      <c r="G7828" s="4" t="str">
        <f>HYPERLINK("http://141.218.60.56/~jnz1568/getInfo.php?workbook=12_05.xlsx&amp;sheet=U0&amp;row=7828&amp;col=7&amp;number=0.0047&amp;sourceID=14","0.0047")</f>
        <v>0.0047</v>
      </c>
    </row>
    <row r="7829" spans="1:7">
      <c r="A7829" s="3"/>
      <c r="B7829" s="3"/>
      <c r="C7829" s="3"/>
      <c r="D7829" s="3"/>
      <c r="E7829" s="3">
        <v>6</v>
      </c>
      <c r="F7829" s="4" t="str">
        <f>HYPERLINK("http://141.218.60.56/~jnz1568/getInfo.php?workbook=12_05.xlsx&amp;sheet=U0&amp;row=7829&amp;col=6&amp;number=3.5&amp;sourceID=14","3.5")</f>
        <v>3.5</v>
      </c>
      <c r="G7829" s="4" t="str">
        <f>HYPERLINK("http://141.218.60.56/~jnz1568/getInfo.php?workbook=12_05.xlsx&amp;sheet=U0&amp;row=7829&amp;col=7&amp;number=0.0047&amp;sourceID=14","0.0047")</f>
        <v>0.0047</v>
      </c>
    </row>
    <row r="7830" spans="1:7">
      <c r="A7830" s="3"/>
      <c r="B7830" s="3"/>
      <c r="C7830" s="3"/>
      <c r="D7830" s="3"/>
      <c r="E7830" s="3">
        <v>7</v>
      </c>
      <c r="F7830" s="4" t="str">
        <f>HYPERLINK("http://141.218.60.56/~jnz1568/getInfo.php?workbook=12_05.xlsx&amp;sheet=U0&amp;row=7830&amp;col=6&amp;number=3.6&amp;sourceID=14","3.6")</f>
        <v>3.6</v>
      </c>
      <c r="G7830" s="4" t="str">
        <f>HYPERLINK("http://141.218.60.56/~jnz1568/getInfo.php?workbook=12_05.xlsx&amp;sheet=U0&amp;row=7830&amp;col=7&amp;number=0.0047&amp;sourceID=14","0.0047")</f>
        <v>0.0047</v>
      </c>
    </row>
    <row r="7831" spans="1:7">
      <c r="A7831" s="3"/>
      <c r="B7831" s="3"/>
      <c r="C7831" s="3"/>
      <c r="D7831" s="3"/>
      <c r="E7831" s="3">
        <v>8</v>
      </c>
      <c r="F7831" s="4" t="str">
        <f>HYPERLINK("http://141.218.60.56/~jnz1568/getInfo.php?workbook=12_05.xlsx&amp;sheet=U0&amp;row=7831&amp;col=6&amp;number=3.7&amp;sourceID=14","3.7")</f>
        <v>3.7</v>
      </c>
      <c r="G7831" s="4" t="str">
        <f>HYPERLINK("http://141.218.60.56/~jnz1568/getInfo.php?workbook=12_05.xlsx&amp;sheet=U0&amp;row=7831&amp;col=7&amp;number=0.00469&amp;sourceID=14","0.00469")</f>
        <v>0.00469</v>
      </c>
    </row>
    <row r="7832" spans="1:7">
      <c r="A7832" s="3"/>
      <c r="B7832" s="3"/>
      <c r="C7832" s="3"/>
      <c r="D7832" s="3"/>
      <c r="E7832" s="3">
        <v>9</v>
      </c>
      <c r="F7832" s="4" t="str">
        <f>HYPERLINK("http://141.218.60.56/~jnz1568/getInfo.php?workbook=12_05.xlsx&amp;sheet=U0&amp;row=7832&amp;col=6&amp;number=3.8&amp;sourceID=14","3.8")</f>
        <v>3.8</v>
      </c>
      <c r="G7832" s="4" t="str">
        <f>HYPERLINK("http://141.218.60.56/~jnz1568/getInfo.php?workbook=12_05.xlsx&amp;sheet=U0&amp;row=7832&amp;col=7&amp;number=0.00469&amp;sourceID=14","0.00469")</f>
        <v>0.00469</v>
      </c>
    </row>
    <row r="7833" spans="1:7">
      <c r="A7833" s="3"/>
      <c r="B7833" s="3"/>
      <c r="C7833" s="3"/>
      <c r="D7833" s="3"/>
      <c r="E7833" s="3">
        <v>10</v>
      </c>
      <c r="F7833" s="4" t="str">
        <f>HYPERLINK("http://141.218.60.56/~jnz1568/getInfo.php?workbook=12_05.xlsx&amp;sheet=U0&amp;row=7833&amp;col=6&amp;number=3.9&amp;sourceID=14","3.9")</f>
        <v>3.9</v>
      </c>
      <c r="G7833" s="4" t="str">
        <f>HYPERLINK("http://141.218.60.56/~jnz1568/getInfo.php?workbook=12_05.xlsx&amp;sheet=U0&amp;row=7833&amp;col=7&amp;number=0.00468&amp;sourceID=14","0.00468")</f>
        <v>0.00468</v>
      </c>
    </row>
    <row r="7834" spans="1:7">
      <c r="A7834" s="3"/>
      <c r="B7834" s="3"/>
      <c r="C7834" s="3"/>
      <c r="D7834" s="3"/>
      <c r="E7834" s="3">
        <v>11</v>
      </c>
      <c r="F7834" s="4" t="str">
        <f>HYPERLINK("http://141.218.60.56/~jnz1568/getInfo.php?workbook=12_05.xlsx&amp;sheet=U0&amp;row=7834&amp;col=6&amp;number=4&amp;sourceID=14","4")</f>
        <v>4</v>
      </c>
      <c r="G7834" s="4" t="str">
        <f>HYPERLINK("http://141.218.60.56/~jnz1568/getInfo.php?workbook=12_05.xlsx&amp;sheet=U0&amp;row=7834&amp;col=7&amp;number=0.00467&amp;sourceID=14","0.00467")</f>
        <v>0.00467</v>
      </c>
    </row>
    <row r="7835" spans="1:7">
      <c r="A7835" s="3"/>
      <c r="B7835" s="3"/>
      <c r="C7835" s="3"/>
      <c r="D7835" s="3"/>
      <c r="E7835" s="3">
        <v>12</v>
      </c>
      <c r="F7835" s="4" t="str">
        <f>HYPERLINK("http://141.218.60.56/~jnz1568/getInfo.php?workbook=12_05.xlsx&amp;sheet=U0&amp;row=7835&amp;col=6&amp;number=4.1&amp;sourceID=14","4.1")</f>
        <v>4.1</v>
      </c>
      <c r="G7835" s="4" t="str">
        <f>HYPERLINK("http://141.218.60.56/~jnz1568/getInfo.php?workbook=12_05.xlsx&amp;sheet=U0&amp;row=7835&amp;col=7&amp;number=0.00466&amp;sourceID=14","0.00466")</f>
        <v>0.00466</v>
      </c>
    </row>
    <row r="7836" spans="1:7">
      <c r="A7836" s="3"/>
      <c r="B7836" s="3"/>
      <c r="C7836" s="3"/>
      <c r="D7836" s="3"/>
      <c r="E7836" s="3">
        <v>13</v>
      </c>
      <c r="F7836" s="4" t="str">
        <f>HYPERLINK("http://141.218.60.56/~jnz1568/getInfo.php?workbook=12_05.xlsx&amp;sheet=U0&amp;row=7836&amp;col=6&amp;number=4.2&amp;sourceID=14","4.2")</f>
        <v>4.2</v>
      </c>
      <c r="G7836" s="4" t="str">
        <f>HYPERLINK("http://141.218.60.56/~jnz1568/getInfo.php?workbook=12_05.xlsx&amp;sheet=U0&amp;row=7836&amp;col=7&amp;number=0.00465&amp;sourceID=14","0.00465")</f>
        <v>0.00465</v>
      </c>
    </row>
    <row r="7837" spans="1:7">
      <c r="A7837" s="3"/>
      <c r="B7837" s="3"/>
      <c r="C7837" s="3"/>
      <c r="D7837" s="3"/>
      <c r="E7837" s="3">
        <v>14</v>
      </c>
      <c r="F7837" s="4" t="str">
        <f>HYPERLINK("http://141.218.60.56/~jnz1568/getInfo.php?workbook=12_05.xlsx&amp;sheet=U0&amp;row=7837&amp;col=6&amp;number=4.3&amp;sourceID=14","4.3")</f>
        <v>4.3</v>
      </c>
      <c r="G7837" s="4" t="str">
        <f>HYPERLINK("http://141.218.60.56/~jnz1568/getInfo.php?workbook=12_05.xlsx&amp;sheet=U0&amp;row=7837&amp;col=7&amp;number=0.00463&amp;sourceID=14","0.00463")</f>
        <v>0.00463</v>
      </c>
    </row>
    <row r="7838" spans="1:7">
      <c r="A7838" s="3"/>
      <c r="B7838" s="3"/>
      <c r="C7838" s="3"/>
      <c r="D7838" s="3"/>
      <c r="E7838" s="3">
        <v>15</v>
      </c>
      <c r="F7838" s="4" t="str">
        <f>HYPERLINK("http://141.218.60.56/~jnz1568/getInfo.php?workbook=12_05.xlsx&amp;sheet=U0&amp;row=7838&amp;col=6&amp;number=4.4&amp;sourceID=14","4.4")</f>
        <v>4.4</v>
      </c>
      <c r="G7838" s="4" t="str">
        <f>HYPERLINK("http://141.218.60.56/~jnz1568/getInfo.php?workbook=12_05.xlsx&amp;sheet=U0&amp;row=7838&amp;col=7&amp;number=0.00461&amp;sourceID=14","0.00461")</f>
        <v>0.00461</v>
      </c>
    </row>
    <row r="7839" spans="1:7">
      <c r="A7839" s="3"/>
      <c r="B7839" s="3"/>
      <c r="C7839" s="3"/>
      <c r="D7839" s="3"/>
      <c r="E7839" s="3">
        <v>16</v>
      </c>
      <c r="F7839" s="4" t="str">
        <f>HYPERLINK("http://141.218.60.56/~jnz1568/getInfo.php?workbook=12_05.xlsx&amp;sheet=U0&amp;row=7839&amp;col=6&amp;number=4.5&amp;sourceID=14","4.5")</f>
        <v>4.5</v>
      </c>
      <c r="G7839" s="4" t="str">
        <f>HYPERLINK("http://141.218.60.56/~jnz1568/getInfo.php?workbook=12_05.xlsx&amp;sheet=U0&amp;row=7839&amp;col=7&amp;number=0.00458&amp;sourceID=14","0.00458")</f>
        <v>0.00458</v>
      </c>
    </row>
    <row r="7840" spans="1:7">
      <c r="A7840" s="3"/>
      <c r="B7840" s="3"/>
      <c r="C7840" s="3"/>
      <c r="D7840" s="3"/>
      <c r="E7840" s="3">
        <v>17</v>
      </c>
      <c r="F7840" s="4" t="str">
        <f>HYPERLINK("http://141.218.60.56/~jnz1568/getInfo.php?workbook=12_05.xlsx&amp;sheet=U0&amp;row=7840&amp;col=6&amp;number=4.6&amp;sourceID=14","4.6")</f>
        <v>4.6</v>
      </c>
      <c r="G7840" s="4" t="str">
        <f>HYPERLINK("http://141.218.60.56/~jnz1568/getInfo.php?workbook=12_05.xlsx&amp;sheet=U0&amp;row=7840&amp;col=7&amp;number=0.00454&amp;sourceID=14","0.00454")</f>
        <v>0.00454</v>
      </c>
    </row>
    <row r="7841" spans="1:7">
      <c r="A7841" s="3"/>
      <c r="B7841" s="3"/>
      <c r="C7841" s="3"/>
      <c r="D7841" s="3"/>
      <c r="E7841" s="3">
        <v>18</v>
      </c>
      <c r="F7841" s="4" t="str">
        <f>HYPERLINK("http://141.218.60.56/~jnz1568/getInfo.php?workbook=12_05.xlsx&amp;sheet=U0&amp;row=7841&amp;col=6&amp;number=4.7&amp;sourceID=14","4.7")</f>
        <v>4.7</v>
      </c>
      <c r="G7841" s="4" t="str">
        <f>HYPERLINK("http://141.218.60.56/~jnz1568/getInfo.php?workbook=12_05.xlsx&amp;sheet=U0&amp;row=7841&amp;col=7&amp;number=0.0045&amp;sourceID=14","0.0045")</f>
        <v>0.0045</v>
      </c>
    </row>
    <row r="7842" spans="1:7">
      <c r="A7842" s="3"/>
      <c r="B7842" s="3"/>
      <c r="C7842" s="3"/>
      <c r="D7842" s="3"/>
      <c r="E7842" s="3">
        <v>19</v>
      </c>
      <c r="F7842" s="4" t="str">
        <f>HYPERLINK("http://141.218.60.56/~jnz1568/getInfo.php?workbook=12_05.xlsx&amp;sheet=U0&amp;row=7842&amp;col=6&amp;number=4.8&amp;sourceID=14","4.8")</f>
        <v>4.8</v>
      </c>
      <c r="G7842" s="4" t="str">
        <f>HYPERLINK("http://141.218.60.56/~jnz1568/getInfo.php?workbook=12_05.xlsx&amp;sheet=U0&amp;row=7842&amp;col=7&amp;number=0.00445&amp;sourceID=14","0.00445")</f>
        <v>0.00445</v>
      </c>
    </row>
    <row r="7843" spans="1:7">
      <c r="A7843" s="3"/>
      <c r="B7843" s="3"/>
      <c r="C7843" s="3"/>
      <c r="D7843" s="3"/>
      <c r="E7843" s="3">
        <v>20</v>
      </c>
      <c r="F7843" s="4" t="str">
        <f>HYPERLINK("http://141.218.60.56/~jnz1568/getInfo.php?workbook=12_05.xlsx&amp;sheet=U0&amp;row=7843&amp;col=6&amp;number=4.9&amp;sourceID=14","4.9")</f>
        <v>4.9</v>
      </c>
      <c r="G7843" s="4" t="str">
        <f>HYPERLINK("http://141.218.60.56/~jnz1568/getInfo.php?workbook=12_05.xlsx&amp;sheet=U0&amp;row=7843&amp;col=7&amp;number=0.00438&amp;sourceID=14","0.00438")</f>
        <v>0.00438</v>
      </c>
    </row>
    <row r="7844" spans="1:7">
      <c r="A7844" s="3">
        <v>12</v>
      </c>
      <c r="B7844" s="3">
        <v>5</v>
      </c>
      <c r="C7844" s="3">
        <v>3</v>
      </c>
      <c r="D7844" s="3">
        <v>55</v>
      </c>
      <c r="E7844" s="3">
        <v>1</v>
      </c>
      <c r="F7844" s="4" t="str">
        <f>HYPERLINK("http://141.218.60.56/~jnz1568/getInfo.php?workbook=12_05.xlsx&amp;sheet=U0&amp;row=7844&amp;col=6&amp;number=3&amp;sourceID=14","3")</f>
        <v>3</v>
      </c>
      <c r="G7844" s="4" t="str">
        <f>HYPERLINK("http://141.218.60.56/~jnz1568/getInfo.php?workbook=12_05.xlsx&amp;sheet=U0&amp;row=7844&amp;col=7&amp;number=0.000227&amp;sourceID=14","0.000227")</f>
        <v>0.000227</v>
      </c>
    </row>
    <row r="7845" spans="1:7">
      <c r="A7845" s="3"/>
      <c r="B7845" s="3"/>
      <c r="C7845" s="3"/>
      <c r="D7845" s="3"/>
      <c r="E7845" s="3">
        <v>2</v>
      </c>
      <c r="F7845" s="4" t="str">
        <f>HYPERLINK("http://141.218.60.56/~jnz1568/getInfo.php?workbook=12_05.xlsx&amp;sheet=U0&amp;row=7845&amp;col=6&amp;number=3.1&amp;sourceID=14","3.1")</f>
        <v>3.1</v>
      </c>
      <c r="G7845" s="4" t="str">
        <f>HYPERLINK("http://141.218.60.56/~jnz1568/getInfo.php?workbook=12_05.xlsx&amp;sheet=U0&amp;row=7845&amp;col=7&amp;number=0.000227&amp;sourceID=14","0.000227")</f>
        <v>0.000227</v>
      </c>
    </row>
    <row r="7846" spans="1:7">
      <c r="A7846" s="3"/>
      <c r="B7846" s="3"/>
      <c r="C7846" s="3"/>
      <c r="D7846" s="3"/>
      <c r="E7846" s="3">
        <v>3</v>
      </c>
      <c r="F7846" s="4" t="str">
        <f>HYPERLINK("http://141.218.60.56/~jnz1568/getInfo.php?workbook=12_05.xlsx&amp;sheet=U0&amp;row=7846&amp;col=6&amp;number=3.2&amp;sourceID=14","3.2")</f>
        <v>3.2</v>
      </c>
      <c r="G7846" s="4" t="str">
        <f>HYPERLINK("http://141.218.60.56/~jnz1568/getInfo.php?workbook=12_05.xlsx&amp;sheet=U0&amp;row=7846&amp;col=7&amp;number=0.000227&amp;sourceID=14","0.000227")</f>
        <v>0.000227</v>
      </c>
    </row>
    <row r="7847" spans="1:7">
      <c r="A7847" s="3"/>
      <c r="B7847" s="3"/>
      <c r="C7847" s="3"/>
      <c r="D7847" s="3"/>
      <c r="E7847" s="3">
        <v>4</v>
      </c>
      <c r="F7847" s="4" t="str">
        <f>HYPERLINK("http://141.218.60.56/~jnz1568/getInfo.php?workbook=12_05.xlsx&amp;sheet=U0&amp;row=7847&amp;col=6&amp;number=3.3&amp;sourceID=14","3.3")</f>
        <v>3.3</v>
      </c>
      <c r="G7847" s="4" t="str">
        <f>HYPERLINK("http://141.218.60.56/~jnz1568/getInfo.php?workbook=12_05.xlsx&amp;sheet=U0&amp;row=7847&amp;col=7&amp;number=0.000227&amp;sourceID=14","0.000227")</f>
        <v>0.000227</v>
      </c>
    </row>
    <row r="7848" spans="1:7">
      <c r="A7848" s="3"/>
      <c r="B7848" s="3"/>
      <c r="C7848" s="3"/>
      <c r="D7848" s="3"/>
      <c r="E7848" s="3">
        <v>5</v>
      </c>
      <c r="F7848" s="4" t="str">
        <f>HYPERLINK("http://141.218.60.56/~jnz1568/getInfo.php?workbook=12_05.xlsx&amp;sheet=U0&amp;row=7848&amp;col=6&amp;number=3.4&amp;sourceID=14","3.4")</f>
        <v>3.4</v>
      </c>
      <c r="G7848" s="4" t="str">
        <f>HYPERLINK("http://141.218.60.56/~jnz1568/getInfo.php?workbook=12_05.xlsx&amp;sheet=U0&amp;row=7848&amp;col=7&amp;number=0.000227&amp;sourceID=14","0.000227")</f>
        <v>0.000227</v>
      </c>
    </row>
    <row r="7849" spans="1:7">
      <c r="A7849" s="3"/>
      <c r="B7849" s="3"/>
      <c r="C7849" s="3"/>
      <c r="D7849" s="3"/>
      <c r="E7849" s="3">
        <v>6</v>
      </c>
      <c r="F7849" s="4" t="str">
        <f>HYPERLINK("http://141.218.60.56/~jnz1568/getInfo.php?workbook=12_05.xlsx&amp;sheet=U0&amp;row=7849&amp;col=6&amp;number=3.5&amp;sourceID=14","3.5")</f>
        <v>3.5</v>
      </c>
      <c r="G7849" s="4" t="str">
        <f>HYPERLINK("http://141.218.60.56/~jnz1568/getInfo.php?workbook=12_05.xlsx&amp;sheet=U0&amp;row=7849&amp;col=7&amp;number=0.000227&amp;sourceID=14","0.000227")</f>
        <v>0.000227</v>
      </c>
    </row>
    <row r="7850" spans="1:7">
      <c r="A7850" s="3"/>
      <c r="B7850" s="3"/>
      <c r="C7850" s="3"/>
      <c r="D7850" s="3"/>
      <c r="E7850" s="3">
        <v>7</v>
      </c>
      <c r="F7850" s="4" t="str">
        <f>HYPERLINK("http://141.218.60.56/~jnz1568/getInfo.php?workbook=12_05.xlsx&amp;sheet=U0&amp;row=7850&amp;col=6&amp;number=3.6&amp;sourceID=14","3.6")</f>
        <v>3.6</v>
      </c>
      <c r="G7850" s="4" t="str">
        <f>HYPERLINK("http://141.218.60.56/~jnz1568/getInfo.php?workbook=12_05.xlsx&amp;sheet=U0&amp;row=7850&amp;col=7&amp;number=0.000227&amp;sourceID=14","0.000227")</f>
        <v>0.000227</v>
      </c>
    </row>
    <row r="7851" spans="1:7">
      <c r="A7851" s="3"/>
      <c r="B7851" s="3"/>
      <c r="C7851" s="3"/>
      <c r="D7851" s="3"/>
      <c r="E7851" s="3">
        <v>8</v>
      </c>
      <c r="F7851" s="4" t="str">
        <f>HYPERLINK("http://141.218.60.56/~jnz1568/getInfo.php?workbook=12_05.xlsx&amp;sheet=U0&amp;row=7851&amp;col=6&amp;number=3.7&amp;sourceID=14","3.7")</f>
        <v>3.7</v>
      </c>
      <c r="G7851" s="4" t="str">
        <f>HYPERLINK("http://141.218.60.56/~jnz1568/getInfo.php?workbook=12_05.xlsx&amp;sheet=U0&amp;row=7851&amp;col=7&amp;number=0.000227&amp;sourceID=14","0.000227")</f>
        <v>0.000227</v>
      </c>
    </row>
    <row r="7852" spans="1:7">
      <c r="A7852" s="3"/>
      <c r="B7852" s="3"/>
      <c r="C7852" s="3"/>
      <c r="D7852" s="3"/>
      <c r="E7852" s="3">
        <v>9</v>
      </c>
      <c r="F7852" s="4" t="str">
        <f>HYPERLINK("http://141.218.60.56/~jnz1568/getInfo.php?workbook=12_05.xlsx&amp;sheet=U0&amp;row=7852&amp;col=6&amp;number=3.8&amp;sourceID=14","3.8")</f>
        <v>3.8</v>
      </c>
      <c r="G7852" s="4" t="str">
        <f>HYPERLINK("http://141.218.60.56/~jnz1568/getInfo.php?workbook=12_05.xlsx&amp;sheet=U0&amp;row=7852&amp;col=7&amp;number=0.000227&amp;sourceID=14","0.000227")</f>
        <v>0.000227</v>
      </c>
    </row>
    <row r="7853" spans="1:7">
      <c r="A7853" s="3"/>
      <c r="B7853" s="3"/>
      <c r="C7853" s="3"/>
      <c r="D7853" s="3"/>
      <c r="E7853" s="3">
        <v>10</v>
      </c>
      <c r="F7853" s="4" t="str">
        <f>HYPERLINK("http://141.218.60.56/~jnz1568/getInfo.php?workbook=12_05.xlsx&amp;sheet=U0&amp;row=7853&amp;col=6&amp;number=3.9&amp;sourceID=14","3.9")</f>
        <v>3.9</v>
      </c>
      <c r="G7853" s="4" t="str">
        <f>HYPERLINK("http://141.218.60.56/~jnz1568/getInfo.php?workbook=12_05.xlsx&amp;sheet=U0&amp;row=7853&amp;col=7&amp;number=0.000227&amp;sourceID=14","0.000227")</f>
        <v>0.000227</v>
      </c>
    </row>
    <row r="7854" spans="1:7">
      <c r="A7854" s="3"/>
      <c r="B7854" s="3"/>
      <c r="C7854" s="3"/>
      <c r="D7854" s="3"/>
      <c r="E7854" s="3">
        <v>11</v>
      </c>
      <c r="F7854" s="4" t="str">
        <f>HYPERLINK("http://141.218.60.56/~jnz1568/getInfo.php?workbook=12_05.xlsx&amp;sheet=U0&amp;row=7854&amp;col=6&amp;number=4&amp;sourceID=14","4")</f>
        <v>4</v>
      </c>
      <c r="G7854" s="4" t="str">
        <f>HYPERLINK("http://141.218.60.56/~jnz1568/getInfo.php?workbook=12_05.xlsx&amp;sheet=U0&amp;row=7854&amp;col=7&amp;number=0.000228&amp;sourceID=14","0.000228")</f>
        <v>0.000228</v>
      </c>
    </row>
    <row r="7855" spans="1:7">
      <c r="A7855" s="3"/>
      <c r="B7855" s="3"/>
      <c r="C7855" s="3"/>
      <c r="D7855" s="3"/>
      <c r="E7855" s="3">
        <v>12</v>
      </c>
      <c r="F7855" s="4" t="str">
        <f>HYPERLINK("http://141.218.60.56/~jnz1568/getInfo.php?workbook=12_05.xlsx&amp;sheet=U0&amp;row=7855&amp;col=6&amp;number=4.1&amp;sourceID=14","4.1")</f>
        <v>4.1</v>
      </c>
      <c r="G7855" s="4" t="str">
        <f>HYPERLINK("http://141.218.60.56/~jnz1568/getInfo.php?workbook=12_05.xlsx&amp;sheet=U0&amp;row=7855&amp;col=7&amp;number=0.000228&amp;sourceID=14","0.000228")</f>
        <v>0.000228</v>
      </c>
    </row>
    <row r="7856" spans="1:7">
      <c r="A7856" s="3"/>
      <c r="B7856" s="3"/>
      <c r="C7856" s="3"/>
      <c r="D7856" s="3"/>
      <c r="E7856" s="3">
        <v>13</v>
      </c>
      <c r="F7856" s="4" t="str">
        <f>HYPERLINK("http://141.218.60.56/~jnz1568/getInfo.php?workbook=12_05.xlsx&amp;sheet=U0&amp;row=7856&amp;col=6&amp;number=4.2&amp;sourceID=14","4.2")</f>
        <v>4.2</v>
      </c>
      <c r="G7856" s="4" t="str">
        <f>HYPERLINK("http://141.218.60.56/~jnz1568/getInfo.php?workbook=12_05.xlsx&amp;sheet=U0&amp;row=7856&amp;col=7&amp;number=0.000228&amp;sourceID=14","0.000228")</f>
        <v>0.000228</v>
      </c>
    </row>
    <row r="7857" spans="1:7">
      <c r="A7857" s="3"/>
      <c r="B7857" s="3"/>
      <c r="C7857" s="3"/>
      <c r="D7857" s="3"/>
      <c r="E7857" s="3">
        <v>14</v>
      </c>
      <c r="F7857" s="4" t="str">
        <f>HYPERLINK("http://141.218.60.56/~jnz1568/getInfo.php?workbook=12_05.xlsx&amp;sheet=U0&amp;row=7857&amp;col=6&amp;number=4.3&amp;sourceID=14","4.3")</f>
        <v>4.3</v>
      </c>
      <c r="G7857" s="4" t="str">
        <f>HYPERLINK("http://141.218.60.56/~jnz1568/getInfo.php?workbook=12_05.xlsx&amp;sheet=U0&amp;row=7857&amp;col=7&amp;number=0.000228&amp;sourceID=14","0.000228")</f>
        <v>0.000228</v>
      </c>
    </row>
    <row r="7858" spans="1:7">
      <c r="A7858" s="3"/>
      <c r="B7858" s="3"/>
      <c r="C7858" s="3"/>
      <c r="D7858" s="3"/>
      <c r="E7858" s="3">
        <v>15</v>
      </c>
      <c r="F7858" s="4" t="str">
        <f>HYPERLINK("http://141.218.60.56/~jnz1568/getInfo.php?workbook=12_05.xlsx&amp;sheet=U0&amp;row=7858&amp;col=6&amp;number=4.4&amp;sourceID=14","4.4")</f>
        <v>4.4</v>
      </c>
      <c r="G7858" s="4" t="str">
        <f>HYPERLINK("http://141.218.60.56/~jnz1568/getInfo.php?workbook=12_05.xlsx&amp;sheet=U0&amp;row=7858&amp;col=7&amp;number=0.000229&amp;sourceID=14","0.000229")</f>
        <v>0.000229</v>
      </c>
    </row>
    <row r="7859" spans="1:7">
      <c r="A7859" s="3"/>
      <c r="B7859" s="3"/>
      <c r="C7859" s="3"/>
      <c r="D7859" s="3"/>
      <c r="E7859" s="3">
        <v>16</v>
      </c>
      <c r="F7859" s="4" t="str">
        <f>HYPERLINK("http://141.218.60.56/~jnz1568/getInfo.php?workbook=12_05.xlsx&amp;sheet=U0&amp;row=7859&amp;col=6&amp;number=4.5&amp;sourceID=14","4.5")</f>
        <v>4.5</v>
      </c>
      <c r="G7859" s="4" t="str">
        <f>HYPERLINK("http://141.218.60.56/~jnz1568/getInfo.php?workbook=12_05.xlsx&amp;sheet=U0&amp;row=7859&amp;col=7&amp;number=0.00023&amp;sourceID=14","0.00023")</f>
        <v>0.00023</v>
      </c>
    </row>
    <row r="7860" spans="1:7">
      <c r="A7860" s="3"/>
      <c r="B7860" s="3"/>
      <c r="C7860" s="3"/>
      <c r="D7860" s="3"/>
      <c r="E7860" s="3">
        <v>17</v>
      </c>
      <c r="F7860" s="4" t="str">
        <f>HYPERLINK("http://141.218.60.56/~jnz1568/getInfo.php?workbook=12_05.xlsx&amp;sheet=U0&amp;row=7860&amp;col=6&amp;number=4.6&amp;sourceID=14","4.6")</f>
        <v>4.6</v>
      </c>
      <c r="G7860" s="4" t="str">
        <f>HYPERLINK("http://141.218.60.56/~jnz1568/getInfo.php?workbook=12_05.xlsx&amp;sheet=U0&amp;row=7860&amp;col=7&amp;number=0.00023&amp;sourceID=14","0.00023")</f>
        <v>0.00023</v>
      </c>
    </row>
    <row r="7861" spans="1:7">
      <c r="A7861" s="3"/>
      <c r="B7861" s="3"/>
      <c r="C7861" s="3"/>
      <c r="D7861" s="3"/>
      <c r="E7861" s="3">
        <v>18</v>
      </c>
      <c r="F7861" s="4" t="str">
        <f>HYPERLINK("http://141.218.60.56/~jnz1568/getInfo.php?workbook=12_05.xlsx&amp;sheet=U0&amp;row=7861&amp;col=6&amp;number=4.7&amp;sourceID=14","4.7")</f>
        <v>4.7</v>
      </c>
      <c r="G7861" s="4" t="str">
        <f>HYPERLINK("http://141.218.60.56/~jnz1568/getInfo.php?workbook=12_05.xlsx&amp;sheet=U0&amp;row=7861&amp;col=7&amp;number=0.000231&amp;sourceID=14","0.000231")</f>
        <v>0.000231</v>
      </c>
    </row>
    <row r="7862" spans="1:7">
      <c r="A7862" s="3"/>
      <c r="B7862" s="3"/>
      <c r="C7862" s="3"/>
      <c r="D7862" s="3"/>
      <c r="E7862" s="3">
        <v>19</v>
      </c>
      <c r="F7862" s="4" t="str">
        <f>HYPERLINK("http://141.218.60.56/~jnz1568/getInfo.php?workbook=12_05.xlsx&amp;sheet=U0&amp;row=7862&amp;col=6&amp;number=4.8&amp;sourceID=14","4.8")</f>
        <v>4.8</v>
      </c>
      <c r="G7862" s="4" t="str">
        <f>HYPERLINK("http://141.218.60.56/~jnz1568/getInfo.php?workbook=12_05.xlsx&amp;sheet=U0&amp;row=7862&amp;col=7&amp;number=0.000232&amp;sourceID=14","0.000232")</f>
        <v>0.000232</v>
      </c>
    </row>
    <row r="7863" spans="1:7">
      <c r="A7863" s="3"/>
      <c r="B7863" s="3"/>
      <c r="C7863" s="3"/>
      <c r="D7863" s="3"/>
      <c r="E7863" s="3">
        <v>20</v>
      </c>
      <c r="F7863" s="4" t="str">
        <f>HYPERLINK("http://141.218.60.56/~jnz1568/getInfo.php?workbook=12_05.xlsx&amp;sheet=U0&amp;row=7863&amp;col=6&amp;number=4.9&amp;sourceID=14","4.9")</f>
        <v>4.9</v>
      </c>
      <c r="G7863" s="4" t="str">
        <f>HYPERLINK("http://141.218.60.56/~jnz1568/getInfo.php?workbook=12_05.xlsx&amp;sheet=U0&amp;row=7863&amp;col=7&amp;number=0.000234&amp;sourceID=14","0.000234")</f>
        <v>0.000234</v>
      </c>
    </row>
    <row r="7864" spans="1:7">
      <c r="A7864" s="3">
        <v>12</v>
      </c>
      <c r="B7864" s="3">
        <v>5</v>
      </c>
      <c r="C7864" s="3">
        <v>3</v>
      </c>
      <c r="D7864" s="3">
        <v>57</v>
      </c>
      <c r="E7864" s="3">
        <v>1</v>
      </c>
      <c r="F7864" s="4" t="str">
        <f>HYPERLINK("http://141.218.60.56/~jnz1568/getInfo.php?workbook=12_05.xlsx&amp;sheet=U0&amp;row=7864&amp;col=6&amp;number=3&amp;sourceID=14","3")</f>
        <v>3</v>
      </c>
      <c r="G7864" s="4" t="str">
        <f>HYPERLINK("http://141.218.60.56/~jnz1568/getInfo.php?workbook=12_05.xlsx&amp;sheet=U0&amp;row=7864&amp;col=7&amp;number=0.0196&amp;sourceID=14","0.0196")</f>
        <v>0.0196</v>
      </c>
    </row>
    <row r="7865" spans="1:7">
      <c r="A7865" s="3"/>
      <c r="B7865" s="3"/>
      <c r="C7865" s="3"/>
      <c r="D7865" s="3"/>
      <c r="E7865" s="3">
        <v>2</v>
      </c>
      <c r="F7865" s="4" t="str">
        <f>HYPERLINK("http://141.218.60.56/~jnz1568/getInfo.php?workbook=12_05.xlsx&amp;sheet=U0&amp;row=7865&amp;col=6&amp;number=3.1&amp;sourceID=14","3.1")</f>
        <v>3.1</v>
      </c>
      <c r="G7865" s="4" t="str">
        <f>HYPERLINK("http://141.218.60.56/~jnz1568/getInfo.php?workbook=12_05.xlsx&amp;sheet=U0&amp;row=7865&amp;col=7&amp;number=0.0196&amp;sourceID=14","0.0196")</f>
        <v>0.0196</v>
      </c>
    </row>
    <row r="7866" spans="1:7">
      <c r="A7866" s="3"/>
      <c r="B7866" s="3"/>
      <c r="C7866" s="3"/>
      <c r="D7866" s="3"/>
      <c r="E7866" s="3">
        <v>3</v>
      </c>
      <c r="F7866" s="4" t="str">
        <f>HYPERLINK("http://141.218.60.56/~jnz1568/getInfo.php?workbook=12_05.xlsx&amp;sheet=U0&amp;row=7866&amp;col=6&amp;number=3.2&amp;sourceID=14","3.2")</f>
        <v>3.2</v>
      </c>
      <c r="G7866" s="4" t="str">
        <f>HYPERLINK("http://141.218.60.56/~jnz1568/getInfo.php?workbook=12_05.xlsx&amp;sheet=U0&amp;row=7866&amp;col=7&amp;number=0.0196&amp;sourceID=14","0.0196")</f>
        <v>0.0196</v>
      </c>
    </row>
    <row r="7867" spans="1:7">
      <c r="A7867" s="3"/>
      <c r="B7867" s="3"/>
      <c r="C7867" s="3"/>
      <c r="D7867" s="3"/>
      <c r="E7867" s="3">
        <v>4</v>
      </c>
      <c r="F7867" s="4" t="str">
        <f>HYPERLINK("http://141.218.60.56/~jnz1568/getInfo.php?workbook=12_05.xlsx&amp;sheet=U0&amp;row=7867&amp;col=6&amp;number=3.3&amp;sourceID=14","3.3")</f>
        <v>3.3</v>
      </c>
      <c r="G7867" s="4" t="str">
        <f>HYPERLINK("http://141.218.60.56/~jnz1568/getInfo.php?workbook=12_05.xlsx&amp;sheet=U0&amp;row=7867&amp;col=7&amp;number=0.0196&amp;sourceID=14","0.0196")</f>
        <v>0.0196</v>
      </c>
    </row>
    <row r="7868" spans="1:7">
      <c r="A7868" s="3"/>
      <c r="B7868" s="3"/>
      <c r="C7868" s="3"/>
      <c r="D7868" s="3"/>
      <c r="E7868" s="3">
        <v>5</v>
      </c>
      <c r="F7868" s="4" t="str">
        <f>HYPERLINK("http://141.218.60.56/~jnz1568/getInfo.php?workbook=12_05.xlsx&amp;sheet=U0&amp;row=7868&amp;col=6&amp;number=3.4&amp;sourceID=14","3.4")</f>
        <v>3.4</v>
      </c>
      <c r="G7868" s="4" t="str">
        <f>HYPERLINK("http://141.218.60.56/~jnz1568/getInfo.php?workbook=12_05.xlsx&amp;sheet=U0&amp;row=7868&amp;col=7&amp;number=0.0196&amp;sourceID=14","0.0196")</f>
        <v>0.0196</v>
      </c>
    </row>
    <row r="7869" spans="1:7">
      <c r="A7869" s="3"/>
      <c r="B7869" s="3"/>
      <c r="C7869" s="3"/>
      <c r="D7869" s="3"/>
      <c r="E7869" s="3">
        <v>6</v>
      </c>
      <c r="F7869" s="4" t="str">
        <f>HYPERLINK("http://141.218.60.56/~jnz1568/getInfo.php?workbook=12_05.xlsx&amp;sheet=U0&amp;row=7869&amp;col=6&amp;number=3.5&amp;sourceID=14","3.5")</f>
        <v>3.5</v>
      </c>
      <c r="G7869" s="4" t="str">
        <f>HYPERLINK("http://141.218.60.56/~jnz1568/getInfo.php?workbook=12_05.xlsx&amp;sheet=U0&amp;row=7869&amp;col=7&amp;number=0.0196&amp;sourceID=14","0.0196")</f>
        <v>0.0196</v>
      </c>
    </row>
    <row r="7870" spans="1:7">
      <c r="A7870" s="3"/>
      <c r="B7870" s="3"/>
      <c r="C7870" s="3"/>
      <c r="D7870" s="3"/>
      <c r="E7870" s="3">
        <v>7</v>
      </c>
      <c r="F7870" s="4" t="str">
        <f>HYPERLINK("http://141.218.60.56/~jnz1568/getInfo.php?workbook=12_05.xlsx&amp;sheet=U0&amp;row=7870&amp;col=6&amp;number=3.6&amp;sourceID=14","3.6")</f>
        <v>3.6</v>
      </c>
      <c r="G7870" s="4" t="str">
        <f>HYPERLINK("http://141.218.60.56/~jnz1568/getInfo.php?workbook=12_05.xlsx&amp;sheet=U0&amp;row=7870&amp;col=7&amp;number=0.0196&amp;sourceID=14","0.0196")</f>
        <v>0.0196</v>
      </c>
    </row>
    <row r="7871" spans="1:7">
      <c r="A7871" s="3"/>
      <c r="B7871" s="3"/>
      <c r="C7871" s="3"/>
      <c r="D7871" s="3"/>
      <c r="E7871" s="3">
        <v>8</v>
      </c>
      <c r="F7871" s="4" t="str">
        <f>HYPERLINK("http://141.218.60.56/~jnz1568/getInfo.php?workbook=12_05.xlsx&amp;sheet=U0&amp;row=7871&amp;col=6&amp;number=3.7&amp;sourceID=14","3.7")</f>
        <v>3.7</v>
      </c>
      <c r="G7871" s="4" t="str">
        <f>HYPERLINK("http://141.218.60.56/~jnz1568/getInfo.php?workbook=12_05.xlsx&amp;sheet=U0&amp;row=7871&amp;col=7&amp;number=0.0196&amp;sourceID=14","0.0196")</f>
        <v>0.0196</v>
      </c>
    </row>
    <row r="7872" spans="1:7">
      <c r="A7872" s="3"/>
      <c r="B7872" s="3"/>
      <c r="C7872" s="3"/>
      <c r="D7872" s="3"/>
      <c r="E7872" s="3">
        <v>9</v>
      </c>
      <c r="F7872" s="4" t="str">
        <f>HYPERLINK("http://141.218.60.56/~jnz1568/getInfo.php?workbook=12_05.xlsx&amp;sheet=U0&amp;row=7872&amp;col=6&amp;number=3.8&amp;sourceID=14","3.8")</f>
        <v>3.8</v>
      </c>
      <c r="G7872" s="4" t="str">
        <f>HYPERLINK("http://141.218.60.56/~jnz1568/getInfo.php?workbook=12_05.xlsx&amp;sheet=U0&amp;row=7872&amp;col=7&amp;number=0.0196&amp;sourceID=14","0.0196")</f>
        <v>0.0196</v>
      </c>
    </row>
    <row r="7873" spans="1:7">
      <c r="A7873" s="3"/>
      <c r="B7873" s="3"/>
      <c r="C7873" s="3"/>
      <c r="D7873" s="3"/>
      <c r="E7873" s="3">
        <v>10</v>
      </c>
      <c r="F7873" s="4" t="str">
        <f>HYPERLINK("http://141.218.60.56/~jnz1568/getInfo.php?workbook=12_05.xlsx&amp;sheet=U0&amp;row=7873&amp;col=6&amp;number=3.9&amp;sourceID=14","3.9")</f>
        <v>3.9</v>
      </c>
      <c r="G7873" s="4" t="str">
        <f>HYPERLINK("http://141.218.60.56/~jnz1568/getInfo.php?workbook=12_05.xlsx&amp;sheet=U0&amp;row=7873&amp;col=7&amp;number=0.0196&amp;sourceID=14","0.0196")</f>
        <v>0.0196</v>
      </c>
    </row>
    <row r="7874" spans="1:7">
      <c r="A7874" s="3"/>
      <c r="B7874" s="3"/>
      <c r="C7874" s="3"/>
      <c r="D7874" s="3"/>
      <c r="E7874" s="3">
        <v>11</v>
      </c>
      <c r="F7874" s="4" t="str">
        <f>HYPERLINK("http://141.218.60.56/~jnz1568/getInfo.php?workbook=12_05.xlsx&amp;sheet=U0&amp;row=7874&amp;col=6&amp;number=4&amp;sourceID=14","4")</f>
        <v>4</v>
      </c>
      <c r="G7874" s="4" t="str">
        <f>HYPERLINK("http://141.218.60.56/~jnz1568/getInfo.php?workbook=12_05.xlsx&amp;sheet=U0&amp;row=7874&amp;col=7&amp;number=0.0196&amp;sourceID=14","0.0196")</f>
        <v>0.0196</v>
      </c>
    </row>
    <row r="7875" spans="1:7">
      <c r="A7875" s="3"/>
      <c r="B7875" s="3"/>
      <c r="C7875" s="3"/>
      <c r="D7875" s="3"/>
      <c r="E7875" s="3">
        <v>12</v>
      </c>
      <c r="F7875" s="4" t="str">
        <f>HYPERLINK("http://141.218.60.56/~jnz1568/getInfo.php?workbook=12_05.xlsx&amp;sheet=U0&amp;row=7875&amp;col=6&amp;number=4.1&amp;sourceID=14","4.1")</f>
        <v>4.1</v>
      </c>
      <c r="G7875" s="4" t="str">
        <f>HYPERLINK("http://141.218.60.56/~jnz1568/getInfo.php?workbook=12_05.xlsx&amp;sheet=U0&amp;row=7875&amp;col=7&amp;number=0.0197&amp;sourceID=14","0.0197")</f>
        <v>0.0197</v>
      </c>
    </row>
    <row r="7876" spans="1:7">
      <c r="A7876" s="3"/>
      <c r="B7876" s="3"/>
      <c r="C7876" s="3"/>
      <c r="D7876" s="3"/>
      <c r="E7876" s="3">
        <v>13</v>
      </c>
      <c r="F7876" s="4" t="str">
        <f>HYPERLINK("http://141.218.60.56/~jnz1568/getInfo.php?workbook=12_05.xlsx&amp;sheet=U0&amp;row=7876&amp;col=6&amp;number=4.2&amp;sourceID=14","4.2")</f>
        <v>4.2</v>
      </c>
      <c r="G7876" s="4" t="str">
        <f>HYPERLINK("http://141.218.60.56/~jnz1568/getInfo.php?workbook=12_05.xlsx&amp;sheet=U0&amp;row=7876&amp;col=7&amp;number=0.0197&amp;sourceID=14","0.0197")</f>
        <v>0.0197</v>
      </c>
    </row>
    <row r="7877" spans="1:7">
      <c r="A7877" s="3"/>
      <c r="B7877" s="3"/>
      <c r="C7877" s="3"/>
      <c r="D7877" s="3"/>
      <c r="E7877" s="3">
        <v>14</v>
      </c>
      <c r="F7877" s="4" t="str">
        <f>HYPERLINK("http://141.218.60.56/~jnz1568/getInfo.php?workbook=12_05.xlsx&amp;sheet=U0&amp;row=7877&amp;col=6&amp;number=4.3&amp;sourceID=14","4.3")</f>
        <v>4.3</v>
      </c>
      <c r="G7877" s="4" t="str">
        <f>HYPERLINK("http://141.218.60.56/~jnz1568/getInfo.php?workbook=12_05.xlsx&amp;sheet=U0&amp;row=7877&amp;col=7&amp;number=0.0197&amp;sourceID=14","0.0197")</f>
        <v>0.0197</v>
      </c>
    </row>
    <row r="7878" spans="1:7">
      <c r="A7878" s="3"/>
      <c r="B7878" s="3"/>
      <c r="C7878" s="3"/>
      <c r="D7878" s="3"/>
      <c r="E7878" s="3">
        <v>15</v>
      </c>
      <c r="F7878" s="4" t="str">
        <f>HYPERLINK("http://141.218.60.56/~jnz1568/getInfo.php?workbook=12_05.xlsx&amp;sheet=U0&amp;row=7878&amp;col=6&amp;number=4.4&amp;sourceID=14","4.4")</f>
        <v>4.4</v>
      </c>
      <c r="G7878" s="4" t="str">
        <f>HYPERLINK("http://141.218.60.56/~jnz1568/getInfo.php?workbook=12_05.xlsx&amp;sheet=U0&amp;row=7878&amp;col=7&amp;number=0.0198&amp;sourceID=14","0.0198")</f>
        <v>0.0198</v>
      </c>
    </row>
    <row r="7879" spans="1:7">
      <c r="A7879" s="3"/>
      <c r="B7879" s="3"/>
      <c r="C7879" s="3"/>
      <c r="D7879" s="3"/>
      <c r="E7879" s="3">
        <v>16</v>
      </c>
      <c r="F7879" s="4" t="str">
        <f>HYPERLINK("http://141.218.60.56/~jnz1568/getInfo.php?workbook=12_05.xlsx&amp;sheet=U0&amp;row=7879&amp;col=6&amp;number=4.5&amp;sourceID=14","4.5")</f>
        <v>4.5</v>
      </c>
      <c r="G7879" s="4" t="str">
        <f>HYPERLINK("http://141.218.60.56/~jnz1568/getInfo.php?workbook=12_05.xlsx&amp;sheet=U0&amp;row=7879&amp;col=7&amp;number=0.0198&amp;sourceID=14","0.0198")</f>
        <v>0.0198</v>
      </c>
    </row>
    <row r="7880" spans="1:7">
      <c r="A7880" s="3"/>
      <c r="B7880" s="3"/>
      <c r="C7880" s="3"/>
      <c r="D7880" s="3"/>
      <c r="E7880" s="3">
        <v>17</v>
      </c>
      <c r="F7880" s="4" t="str">
        <f>HYPERLINK("http://141.218.60.56/~jnz1568/getInfo.php?workbook=12_05.xlsx&amp;sheet=U0&amp;row=7880&amp;col=6&amp;number=4.6&amp;sourceID=14","4.6")</f>
        <v>4.6</v>
      </c>
      <c r="G7880" s="4" t="str">
        <f>HYPERLINK("http://141.218.60.56/~jnz1568/getInfo.php?workbook=12_05.xlsx&amp;sheet=U0&amp;row=7880&amp;col=7&amp;number=0.0199&amp;sourceID=14","0.0199")</f>
        <v>0.0199</v>
      </c>
    </row>
    <row r="7881" spans="1:7">
      <c r="A7881" s="3"/>
      <c r="B7881" s="3"/>
      <c r="C7881" s="3"/>
      <c r="D7881" s="3"/>
      <c r="E7881" s="3">
        <v>18</v>
      </c>
      <c r="F7881" s="4" t="str">
        <f>HYPERLINK("http://141.218.60.56/~jnz1568/getInfo.php?workbook=12_05.xlsx&amp;sheet=U0&amp;row=7881&amp;col=6&amp;number=4.7&amp;sourceID=14","4.7")</f>
        <v>4.7</v>
      </c>
      <c r="G7881" s="4" t="str">
        <f>HYPERLINK("http://141.218.60.56/~jnz1568/getInfo.php?workbook=12_05.xlsx&amp;sheet=U0&amp;row=7881&amp;col=7&amp;number=0.02&amp;sourceID=14","0.02")</f>
        <v>0.02</v>
      </c>
    </row>
    <row r="7882" spans="1:7">
      <c r="A7882" s="3"/>
      <c r="B7882" s="3"/>
      <c r="C7882" s="3"/>
      <c r="D7882" s="3"/>
      <c r="E7882" s="3">
        <v>19</v>
      </c>
      <c r="F7882" s="4" t="str">
        <f>HYPERLINK("http://141.218.60.56/~jnz1568/getInfo.php?workbook=12_05.xlsx&amp;sheet=U0&amp;row=7882&amp;col=6&amp;number=4.8&amp;sourceID=14","4.8")</f>
        <v>4.8</v>
      </c>
      <c r="G7882" s="4" t="str">
        <f>HYPERLINK("http://141.218.60.56/~jnz1568/getInfo.php?workbook=12_05.xlsx&amp;sheet=U0&amp;row=7882&amp;col=7&amp;number=0.0201&amp;sourceID=14","0.0201")</f>
        <v>0.0201</v>
      </c>
    </row>
    <row r="7883" spans="1:7">
      <c r="A7883" s="3"/>
      <c r="B7883" s="3"/>
      <c r="C7883" s="3"/>
      <c r="D7883" s="3"/>
      <c r="E7883" s="3">
        <v>20</v>
      </c>
      <c r="F7883" s="4" t="str">
        <f>HYPERLINK("http://141.218.60.56/~jnz1568/getInfo.php?workbook=12_05.xlsx&amp;sheet=U0&amp;row=7883&amp;col=6&amp;number=4.9&amp;sourceID=14","4.9")</f>
        <v>4.9</v>
      </c>
      <c r="G7883" s="4" t="str">
        <f>HYPERLINK("http://141.218.60.56/~jnz1568/getInfo.php?workbook=12_05.xlsx&amp;sheet=U0&amp;row=7883&amp;col=7&amp;number=0.0202&amp;sourceID=14","0.0202")</f>
        <v>0.0202</v>
      </c>
    </row>
    <row r="7884" spans="1:7">
      <c r="A7884" s="3">
        <v>12</v>
      </c>
      <c r="B7884" s="3">
        <v>5</v>
      </c>
      <c r="C7884" s="3">
        <v>3</v>
      </c>
      <c r="D7884" s="3">
        <v>58</v>
      </c>
      <c r="E7884" s="3">
        <v>1</v>
      </c>
      <c r="F7884" s="4" t="str">
        <f>HYPERLINK("http://141.218.60.56/~jnz1568/getInfo.php?workbook=12_05.xlsx&amp;sheet=U0&amp;row=7884&amp;col=6&amp;number=3&amp;sourceID=14","3")</f>
        <v>3</v>
      </c>
      <c r="G7884" s="4" t="str">
        <f>HYPERLINK("http://141.218.60.56/~jnz1568/getInfo.php?workbook=12_05.xlsx&amp;sheet=U0&amp;row=7884&amp;col=7&amp;number=0.0186&amp;sourceID=14","0.0186")</f>
        <v>0.0186</v>
      </c>
    </row>
    <row r="7885" spans="1:7">
      <c r="A7885" s="3"/>
      <c r="B7885" s="3"/>
      <c r="C7885" s="3"/>
      <c r="D7885" s="3"/>
      <c r="E7885" s="3">
        <v>2</v>
      </c>
      <c r="F7885" s="4" t="str">
        <f>HYPERLINK("http://141.218.60.56/~jnz1568/getInfo.php?workbook=12_05.xlsx&amp;sheet=U0&amp;row=7885&amp;col=6&amp;number=3.1&amp;sourceID=14","3.1")</f>
        <v>3.1</v>
      </c>
      <c r="G7885" s="4" t="str">
        <f>HYPERLINK("http://141.218.60.56/~jnz1568/getInfo.php?workbook=12_05.xlsx&amp;sheet=U0&amp;row=7885&amp;col=7&amp;number=0.0186&amp;sourceID=14","0.0186")</f>
        <v>0.0186</v>
      </c>
    </row>
    <row r="7886" spans="1:7">
      <c r="A7886" s="3"/>
      <c r="B7886" s="3"/>
      <c r="C7886" s="3"/>
      <c r="D7886" s="3"/>
      <c r="E7886" s="3">
        <v>3</v>
      </c>
      <c r="F7886" s="4" t="str">
        <f>HYPERLINK("http://141.218.60.56/~jnz1568/getInfo.php?workbook=12_05.xlsx&amp;sheet=U0&amp;row=7886&amp;col=6&amp;number=3.2&amp;sourceID=14","3.2")</f>
        <v>3.2</v>
      </c>
      <c r="G7886" s="4" t="str">
        <f>HYPERLINK("http://141.218.60.56/~jnz1568/getInfo.php?workbook=12_05.xlsx&amp;sheet=U0&amp;row=7886&amp;col=7&amp;number=0.0186&amp;sourceID=14","0.0186")</f>
        <v>0.0186</v>
      </c>
    </row>
    <row r="7887" spans="1:7">
      <c r="A7887" s="3"/>
      <c r="B7887" s="3"/>
      <c r="C7887" s="3"/>
      <c r="D7887" s="3"/>
      <c r="E7887" s="3">
        <v>4</v>
      </c>
      <c r="F7887" s="4" t="str">
        <f>HYPERLINK("http://141.218.60.56/~jnz1568/getInfo.php?workbook=12_05.xlsx&amp;sheet=U0&amp;row=7887&amp;col=6&amp;number=3.3&amp;sourceID=14","3.3")</f>
        <v>3.3</v>
      </c>
      <c r="G7887" s="4" t="str">
        <f>HYPERLINK("http://141.218.60.56/~jnz1568/getInfo.php?workbook=12_05.xlsx&amp;sheet=U0&amp;row=7887&amp;col=7&amp;number=0.0186&amp;sourceID=14","0.0186")</f>
        <v>0.0186</v>
      </c>
    </row>
    <row r="7888" spans="1:7">
      <c r="A7888" s="3"/>
      <c r="B7888" s="3"/>
      <c r="C7888" s="3"/>
      <c r="D7888" s="3"/>
      <c r="E7888" s="3">
        <v>5</v>
      </c>
      <c r="F7888" s="4" t="str">
        <f>HYPERLINK("http://141.218.60.56/~jnz1568/getInfo.php?workbook=12_05.xlsx&amp;sheet=U0&amp;row=7888&amp;col=6&amp;number=3.4&amp;sourceID=14","3.4")</f>
        <v>3.4</v>
      </c>
      <c r="G7888" s="4" t="str">
        <f>HYPERLINK("http://141.218.60.56/~jnz1568/getInfo.php?workbook=12_05.xlsx&amp;sheet=U0&amp;row=7888&amp;col=7&amp;number=0.0186&amp;sourceID=14","0.0186")</f>
        <v>0.0186</v>
      </c>
    </row>
    <row r="7889" spans="1:7">
      <c r="A7889" s="3"/>
      <c r="B7889" s="3"/>
      <c r="C7889" s="3"/>
      <c r="D7889" s="3"/>
      <c r="E7889" s="3">
        <v>6</v>
      </c>
      <c r="F7889" s="4" t="str">
        <f>HYPERLINK("http://141.218.60.56/~jnz1568/getInfo.php?workbook=12_05.xlsx&amp;sheet=U0&amp;row=7889&amp;col=6&amp;number=3.5&amp;sourceID=14","3.5")</f>
        <v>3.5</v>
      </c>
      <c r="G7889" s="4" t="str">
        <f>HYPERLINK("http://141.218.60.56/~jnz1568/getInfo.php?workbook=12_05.xlsx&amp;sheet=U0&amp;row=7889&amp;col=7&amp;number=0.0186&amp;sourceID=14","0.0186")</f>
        <v>0.0186</v>
      </c>
    </row>
    <row r="7890" spans="1:7">
      <c r="A7890" s="3"/>
      <c r="B7890" s="3"/>
      <c r="C7890" s="3"/>
      <c r="D7890" s="3"/>
      <c r="E7890" s="3">
        <v>7</v>
      </c>
      <c r="F7890" s="4" t="str">
        <f>HYPERLINK("http://141.218.60.56/~jnz1568/getInfo.php?workbook=12_05.xlsx&amp;sheet=U0&amp;row=7890&amp;col=6&amp;number=3.6&amp;sourceID=14","3.6")</f>
        <v>3.6</v>
      </c>
      <c r="G7890" s="4" t="str">
        <f>HYPERLINK("http://141.218.60.56/~jnz1568/getInfo.php?workbook=12_05.xlsx&amp;sheet=U0&amp;row=7890&amp;col=7&amp;number=0.0186&amp;sourceID=14","0.0186")</f>
        <v>0.0186</v>
      </c>
    </row>
    <row r="7891" spans="1:7">
      <c r="A7891" s="3"/>
      <c r="B7891" s="3"/>
      <c r="C7891" s="3"/>
      <c r="D7891" s="3"/>
      <c r="E7891" s="3">
        <v>8</v>
      </c>
      <c r="F7891" s="4" t="str">
        <f>HYPERLINK("http://141.218.60.56/~jnz1568/getInfo.php?workbook=12_05.xlsx&amp;sheet=U0&amp;row=7891&amp;col=6&amp;number=3.7&amp;sourceID=14","3.7")</f>
        <v>3.7</v>
      </c>
      <c r="G7891" s="4" t="str">
        <f>HYPERLINK("http://141.218.60.56/~jnz1568/getInfo.php?workbook=12_05.xlsx&amp;sheet=U0&amp;row=7891&amp;col=7&amp;number=0.0186&amp;sourceID=14","0.0186")</f>
        <v>0.0186</v>
      </c>
    </row>
    <row r="7892" spans="1:7">
      <c r="A7892" s="3"/>
      <c r="B7892" s="3"/>
      <c r="C7892" s="3"/>
      <c r="D7892" s="3"/>
      <c r="E7892" s="3">
        <v>9</v>
      </c>
      <c r="F7892" s="4" t="str">
        <f>HYPERLINK("http://141.218.60.56/~jnz1568/getInfo.php?workbook=12_05.xlsx&amp;sheet=U0&amp;row=7892&amp;col=6&amp;number=3.8&amp;sourceID=14","3.8")</f>
        <v>3.8</v>
      </c>
      <c r="G7892" s="4" t="str">
        <f>HYPERLINK("http://141.218.60.56/~jnz1568/getInfo.php?workbook=12_05.xlsx&amp;sheet=U0&amp;row=7892&amp;col=7&amp;number=0.0186&amp;sourceID=14","0.0186")</f>
        <v>0.0186</v>
      </c>
    </row>
    <row r="7893" spans="1:7">
      <c r="A7893" s="3"/>
      <c r="B7893" s="3"/>
      <c r="C7893" s="3"/>
      <c r="D7893" s="3"/>
      <c r="E7893" s="3">
        <v>10</v>
      </c>
      <c r="F7893" s="4" t="str">
        <f>HYPERLINK("http://141.218.60.56/~jnz1568/getInfo.php?workbook=12_05.xlsx&amp;sheet=U0&amp;row=7893&amp;col=6&amp;number=3.9&amp;sourceID=14","3.9")</f>
        <v>3.9</v>
      </c>
      <c r="G7893" s="4" t="str">
        <f>HYPERLINK("http://141.218.60.56/~jnz1568/getInfo.php?workbook=12_05.xlsx&amp;sheet=U0&amp;row=7893&amp;col=7&amp;number=0.0186&amp;sourceID=14","0.0186")</f>
        <v>0.0186</v>
      </c>
    </row>
    <row r="7894" spans="1:7">
      <c r="A7894" s="3"/>
      <c r="B7894" s="3"/>
      <c r="C7894" s="3"/>
      <c r="D7894" s="3"/>
      <c r="E7894" s="3">
        <v>11</v>
      </c>
      <c r="F7894" s="4" t="str">
        <f>HYPERLINK("http://141.218.60.56/~jnz1568/getInfo.php?workbook=12_05.xlsx&amp;sheet=U0&amp;row=7894&amp;col=6&amp;number=4&amp;sourceID=14","4")</f>
        <v>4</v>
      </c>
      <c r="G7894" s="4" t="str">
        <f>HYPERLINK("http://141.218.60.56/~jnz1568/getInfo.php?workbook=12_05.xlsx&amp;sheet=U0&amp;row=7894&amp;col=7&amp;number=0.0187&amp;sourceID=14","0.0187")</f>
        <v>0.0187</v>
      </c>
    </row>
    <row r="7895" spans="1:7">
      <c r="A7895" s="3"/>
      <c r="B7895" s="3"/>
      <c r="C7895" s="3"/>
      <c r="D7895" s="3"/>
      <c r="E7895" s="3">
        <v>12</v>
      </c>
      <c r="F7895" s="4" t="str">
        <f>HYPERLINK("http://141.218.60.56/~jnz1568/getInfo.php?workbook=12_05.xlsx&amp;sheet=U0&amp;row=7895&amp;col=6&amp;number=4.1&amp;sourceID=14","4.1")</f>
        <v>4.1</v>
      </c>
      <c r="G7895" s="4" t="str">
        <f>HYPERLINK("http://141.218.60.56/~jnz1568/getInfo.php?workbook=12_05.xlsx&amp;sheet=U0&amp;row=7895&amp;col=7&amp;number=0.0187&amp;sourceID=14","0.0187")</f>
        <v>0.0187</v>
      </c>
    </row>
    <row r="7896" spans="1:7">
      <c r="A7896" s="3"/>
      <c r="B7896" s="3"/>
      <c r="C7896" s="3"/>
      <c r="D7896" s="3"/>
      <c r="E7896" s="3">
        <v>13</v>
      </c>
      <c r="F7896" s="4" t="str">
        <f>HYPERLINK("http://141.218.60.56/~jnz1568/getInfo.php?workbook=12_05.xlsx&amp;sheet=U0&amp;row=7896&amp;col=6&amp;number=4.2&amp;sourceID=14","4.2")</f>
        <v>4.2</v>
      </c>
      <c r="G7896" s="4" t="str">
        <f>HYPERLINK("http://141.218.60.56/~jnz1568/getInfo.php?workbook=12_05.xlsx&amp;sheet=U0&amp;row=7896&amp;col=7&amp;number=0.0187&amp;sourceID=14","0.0187")</f>
        <v>0.0187</v>
      </c>
    </row>
    <row r="7897" spans="1:7">
      <c r="A7897" s="3"/>
      <c r="B7897" s="3"/>
      <c r="C7897" s="3"/>
      <c r="D7897" s="3"/>
      <c r="E7897" s="3">
        <v>14</v>
      </c>
      <c r="F7897" s="4" t="str">
        <f>HYPERLINK("http://141.218.60.56/~jnz1568/getInfo.php?workbook=12_05.xlsx&amp;sheet=U0&amp;row=7897&amp;col=6&amp;number=4.3&amp;sourceID=14","4.3")</f>
        <v>4.3</v>
      </c>
      <c r="G7897" s="4" t="str">
        <f>HYPERLINK("http://141.218.60.56/~jnz1568/getInfo.php?workbook=12_05.xlsx&amp;sheet=U0&amp;row=7897&amp;col=7&amp;number=0.0188&amp;sourceID=14","0.0188")</f>
        <v>0.0188</v>
      </c>
    </row>
    <row r="7898" spans="1:7">
      <c r="A7898" s="3"/>
      <c r="B7898" s="3"/>
      <c r="C7898" s="3"/>
      <c r="D7898" s="3"/>
      <c r="E7898" s="3">
        <v>15</v>
      </c>
      <c r="F7898" s="4" t="str">
        <f>HYPERLINK("http://141.218.60.56/~jnz1568/getInfo.php?workbook=12_05.xlsx&amp;sheet=U0&amp;row=7898&amp;col=6&amp;number=4.4&amp;sourceID=14","4.4")</f>
        <v>4.4</v>
      </c>
      <c r="G7898" s="4" t="str">
        <f>HYPERLINK("http://141.218.60.56/~jnz1568/getInfo.php?workbook=12_05.xlsx&amp;sheet=U0&amp;row=7898&amp;col=7&amp;number=0.0188&amp;sourceID=14","0.0188")</f>
        <v>0.0188</v>
      </c>
    </row>
    <row r="7899" spans="1:7">
      <c r="A7899" s="3"/>
      <c r="B7899" s="3"/>
      <c r="C7899" s="3"/>
      <c r="D7899" s="3"/>
      <c r="E7899" s="3">
        <v>16</v>
      </c>
      <c r="F7899" s="4" t="str">
        <f>HYPERLINK("http://141.218.60.56/~jnz1568/getInfo.php?workbook=12_05.xlsx&amp;sheet=U0&amp;row=7899&amp;col=6&amp;number=4.5&amp;sourceID=14","4.5")</f>
        <v>4.5</v>
      </c>
      <c r="G7899" s="4" t="str">
        <f>HYPERLINK("http://141.218.60.56/~jnz1568/getInfo.php?workbook=12_05.xlsx&amp;sheet=U0&amp;row=7899&amp;col=7&amp;number=0.0189&amp;sourceID=14","0.0189")</f>
        <v>0.0189</v>
      </c>
    </row>
    <row r="7900" spans="1:7">
      <c r="A7900" s="3"/>
      <c r="B7900" s="3"/>
      <c r="C7900" s="3"/>
      <c r="D7900" s="3"/>
      <c r="E7900" s="3">
        <v>17</v>
      </c>
      <c r="F7900" s="4" t="str">
        <f>HYPERLINK("http://141.218.60.56/~jnz1568/getInfo.php?workbook=12_05.xlsx&amp;sheet=U0&amp;row=7900&amp;col=6&amp;number=4.6&amp;sourceID=14","4.6")</f>
        <v>4.6</v>
      </c>
      <c r="G7900" s="4" t="str">
        <f>HYPERLINK("http://141.218.60.56/~jnz1568/getInfo.php?workbook=12_05.xlsx&amp;sheet=U0&amp;row=7900&amp;col=7&amp;number=0.019&amp;sourceID=14","0.019")</f>
        <v>0.019</v>
      </c>
    </row>
    <row r="7901" spans="1:7">
      <c r="A7901" s="3"/>
      <c r="B7901" s="3"/>
      <c r="C7901" s="3"/>
      <c r="D7901" s="3"/>
      <c r="E7901" s="3">
        <v>18</v>
      </c>
      <c r="F7901" s="4" t="str">
        <f>HYPERLINK("http://141.218.60.56/~jnz1568/getInfo.php?workbook=12_05.xlsx&amp;sheet=U0&amp;row=7901&amp;col=6&amp;number=4.7&amp;sourceID=14","4.7")</f>
        <v>4.7</v>
      </c>
      <c r="G7901" s="4" t="str">
        <f>HYPERLINK("http://141.218.60.56/~jnz1568/getInfo.php?workbook=12_05.xlsx&amp;sheet=U0&amp;row=7901&amp;col=7&amp;number=0.019&amp;sourceID=14","0.019")</f>
        <v>0.019</v>
      </c>
    </row>
    <row r="7902" spans="1:7">
      <c r="A7902" s="3"/>
      <c r="B7902" s="3"/>
      <c r="C7902" s="3"/>
      <c r="D7902" s="3"/>
      <c r="E7902" s="3">
        <v>19</v>
      </c>
      <c r="F7902" s="4" t="str">
        <f>HYPERLINK("http://141.218.60.56/~jnz1568/getInfo.php?workbook=12_05.xlsx&amp;sheet=U0&amp;row=7902&amp;col=6&amp;number=4.8&amp;sourceID=14","4.8")</f>
        <v>4.8</v>
      </c>
      <c r="G7902" s="4" t="str">
        <f>HYPERLINK("http://141.218.60.56/~jnz1568/getInfo.php?workbook=12_05.xlsx&amp;sheet=U0&amp;row=7902&amp;col=7&amp;number=0.0192&amp;sourceID=14","0.0192")</f>
        <v>0.0192</v>
      </c>
    </row>
    <row r="7903" spans="1:7">
      <c r="A7903" s="3"/>
      <c r="B7903" s="3"/>
      <c r="C7903" s="3"/>
      <c r="D7903" s="3"/>
      <c r="E7903" s="3">
        <v>20</v>
      </c>
      <c r="F7903" s="4" t="str">
        <f>HYPERLINK("http://141.218.60.56/~jnz1568/getInfo.php?workbook=12_05.xlsx&amp;sheet=U0&amp;row=7903&amp;col=6&amp;number=4.9&amp;sourceID=14","4.9")</f>
        <v>4.9</v>
      </c>
      <c r="G7903" s="4" t="str">
        <f>HYPERLINK("http://141.218.60.56/~jnz1568/getInfo.php?workbook=12_05.xlsx&amp;sheet=U0&amp;row=7903&amp;col=7&amp;number=0.0193&amp;sourceID=14","0.0193")</f>
        <v>0.0193</v>
      </c>
    </row>
    <row r="7904" spans="1:7">
      <c r="A7904" s="3">
        <v>12</v>
      </c>
      <c r="B7904" s="3">
        <v>5</v>
      </c>
      <c r="C7904" s="3">
        <v>3</v>
      </c>
      <c r="D7904" s="3">
        <v>59</v>
      </c>
      <c r="E7904" s="3">
        <v>1</v>
      </c>
      <c r="F7904" s="4" t="str">
        <f>HYPERLINK("http://141.218.60.56/~jnz1568/getInfo.php?workbook=12_05.xlsx&amp;sheet=U0&amp;row=7904&amp;col=6&amp;number=3&amp;sourceID=14","3")</f>
        <v>3</v>
      </c>
      <c r="G7904" s="4" t="str">
        <f>HYPERLINK("http://141.218.60.56/~jnz1568/getInfo.php?workbook=12_05.xlsx&amp;sheet=U0&amp;row=7904&amp;col=7&amp;number=0.006&amp;sourceID=14","0.006")</f>
        <v>0.006</v>
      </c>
    </row>
    <row r="7905" spans="1:7">
      <c r="A7905" s="3"/>
      <c r="B7905" s="3"/>
      <c r="C7905" s="3"/>
      <c r="D7905" s="3"/>
      <c r="E7905" s="3">
        <v>2</v>
      </c>
      <c r="F7905" s="4" t="str">
        <f>HYPERLINK("http://141.218.60.56/~jnz1568/getInfo.php?workbook=12_05.xlsx&amp;sheet=U0&amp;row=7905&amp;col=6&amp;number=3.1&amp;sourceID=14","3.1")</f>
        <v>3.1</v>
      </c>
      <c r="G7905" s="4" t="str">
        <f>HYPERLINK("http://141.218.60.56/~jnz1568/getInfo.php?workbook=12_05.xlsx&amp;sheet=U0&amp;row=7905&amp;col=7&amp;number=0.006&amp;sourceID=14","0.006")</f>
        <v>0.006</v>
      </c>
    </row>
    <row r="7906" spans="1:7">
      <c r="A7906" s="3"/>
      <c r="B7906" s="3"/>
      <c r="C7906" s="3"/>
      <c r="D7906" s="3"/>
      <c r="E7906" s="3">
        <v>3</v>
      </c>
      <c r="F7906" s="4" t="str">
        <f>HYPERLINK("http://141.218.60.56/~jnz1568/getInfo.php?workbook=12_05.xlsx&amp;sheet=U0&amp;row=7906&amp;col=6&amp;number=3.2&amp;sourceID=14","3.2")</f>
        <v>3.2</v>
      </c>
      <c r="G7906" s="4" t="str">
        <f>HYPERLINK("http://141.218.60.56/~jnz1568/getInfo.php?workbook=12_05.xlsx&amp;sheet=U0&amp;row=7906&amp;col=7&amp;number=0.006&amp;sourceID=14","0.006")</f>
        <v>0.006</v>
      </c>
    </row>
    <row r="7907" spans="1:7">
      <c r="A7907" s="3"/>
      <c r="B7907" s="3"/>
      <c r="C7907" s="3"/>
      <c r="D7907" s="3"/>
      <c r="E7907" s="3">
        <v>4</v>
      </c>
      <c r="F7907" s="4" t="str">
        <f>HYPERLINK("http://141.218.60.56/~jnz1568/getInfo.php?workbook=12_05.xlsx&amp;sheet=U0&amp;row=7907&amp;col=6&amp;number=3.3&amp;sourceID=14","3.3")</f>
        <v>3.3</v>
      </c>
      <c r="G7907" s="4" t="str">
        <f>HYPERLINK("http://141.218.60.56/~jnz1568/getInfo.php?workbook=12_05.xlsx&amp;sheet=U0&amp;row=7907&amp;col=7&amp;number=0.00599&amp;sourceID=14","0.00599")</f>
        <v>0.00599</v>
      </c>
    </row>
    <row r="7908" spans="1:7">
      <c r="A7908" s="3"/>
      <c r="B7908" s="3"/>
      <c r="C7908" s="3"/>
      <c r="D7908" s="3"/>
      <c r="E7908" s="3">
        <v>5</v>
      </c>
      <c r="F7908" s="4" t="str">
        <f>HYPERLINK("http://141.218.60.56/~jnz1568/getInfo.php?workbook=12_05.xlsx&amp;sheet=U0&amp;row=7908&amp;col=6&amp;number=3.4&amp;sourceID=14","3.4")</f>
        <v>3.4</v>
      </c>
      <c r="G7908" s="4" t="str">
        <f>HYPERLINK("http://141.218.60.56/~jnz1568/getInfo.php?workbook=12_05.xlsx&amp;sheet=U0&amp;row=7908&amp;col=7&amp;number=0.00599&amp;sourceID=14","0.00599")</f>
        <v>0.00599</v>
      </c>
    </row>
    <row r="7909" spans="1:7">
      <c r="A7909" s="3"/>
      <c r="B7909" s="3"/>
      <c r="C7909" s="3"/>
      <c r="D7909" s="3"/>
      <c r="E7909" s="3">
        <v>6</v>
      </c>
      <c r="F7909" s="4" t="str">
        <f>HYPERLINK("http://141.218.60.56/~jnz1568/getInfo.php?workbook=12_05.xlsx&amp;sheet=U0&amp;row=7909&amp;col=6&amp;number=3.5&amp;sourceID=14","3.5")</f>
        <v>3.5</v>
      </c>
      <c r="G7909" s="4" t="str">
        <f>HYPERLINK("http://141.218.60.56/~jnz1568/getInfo.php?workbook=12_05.xlsx&amp;sheet=U0&amp;row=7909&amp;col=7&amp;number=0.00599&amp;sourceID=14","0.00599")</f>
        <v>0.00599</v>
      </c>
    </row>
    <row r="7910" spans="1:7">
      <c r="A7910" s="3"/>
      <c r="B7910" s="3"/>
      <c r="C7910" s="3"/>
      <c r="D7910" s="3"/>
      <c r="E7910" s="3">
        <v>7</v>
      </c>
      <c r="F7910" s="4" t="str">
        <f>HYPERLINK("http://141.218.60.56/~jnz1568/getInfo.php?workbook=12_05.xlsx&amp;sheet=U0&amp;row=7910&amp;col=6&amp;number=3.6&amp;sourceID=14","3.6")</f>
        <v>3.6</v>
      </c>
      <c r="G7910" s="4" t="str">
        <f>HYPERLINK("http://141.218.60.56/~jnz1568/getInfo.php?workbook=12_05.xlsx&amp;sheet=U0&amp;row=7910&amp;col=7&amp;number=0.00598&amp;sourceID=14","0.00598")</f>
        <v>0.00598</v>
      </c>
    </row>
    <row r="7911" spans="1:7">
      <c r="A7911" s="3"/>
      <c r="B7911" s="3"/>
      <c r="C7911" s="3"/>
      <c r="D7911" s="3"/>
      <c r="E7911" s="3">
        <v>8</v>
      </c>
      <c r="F7911" s="4" t="str">
        <f>HYPERLINK("http://141.218.60.56/~jnz1568/getInfo.php?workbook=12_05.xlsx&amp;sheet=U0&amp;row=7911&amp;col=6&amp;number=3.7&amp;sourceID=14","3.7")</f>
        <v>3.7</v>
      </c>
      <c r="G7911" s="4" t="str">
        <f>HYPERLINK("http://141.218.60.56/~jnz1568/getInfo.php?workbook=12_05.xlsx&amp;sheet=U0&amp;row=7911&amp;col=7&amp;number=0.00598&amp;sourceID=14","0.00598")</f>
        <v>0.00598</v>
      </c>
    </row>
    <row r="7912" spans="1:7">
      <c r="A7912" s="3"/>
      <c r="B7912" s="3"/>
      <c r="C7912" s="3"/>
      <c r="D7912" s="3"/>
      <c r="E7912" s="3">
        <v>9</v>
      </c>
      <c r="F7912" s="4" t="str">
        <f>HYPERLINK("http://141.218.60.56/~jnz1568/getInfo.php?workbook=12_05.xlsx&amp;sheet=U0&amp;row=7912&amp;col=6&amp;number=3.8&amp;sourceID=14","3.8")</f>
        <v>3.8</v>
      </c>
      <c r="G7912" s="4" t="str">
        <f>HYPERLINK("http://141.218.60.56/~jnz1568/getInfo.php?workbook=12_05.xlsx&amp;sheet=U0&amp;row=7912&amp;col=7&amp;number=0.00597&amp;sourceID=14","0.00597")</f>
        <v>0.00597</v>
      </c>
    </row>
    <row r="7913" spans="1:7">
      <c r="A7913" s="3"/>
      <c r="B7913" s="3"/>
      <c r="C7913" s="3"/>
      <c r="D7913" s="3"/>
      <c r="E7913" s="3">
        <v>10</v>
      </c>
      <c r="F7913" s="4" t="str">
        <f>HYPERLINK("http://141.218.60.56/~jnz1568/getInfo.php?workbook=12_05.xlsx&amp;sheet=U0&amp;row=7913&amp;col=6&amp;number=3.9&amp;sourceID=14","3.9")</f>
        <v>3.9</v>
      </c>
      <c r="G7913" s="4" t="str">
        <f>HYPERLINK("http://141.218.60.56/~jnz1568/getInfo.php?workbook=12_05.xlsx&amp;sheet=U0&amp;row=7913&amp;col=7&amp;number=0.00596&amp;sourceID=14","0.00596")</f>
        <v>0.00596</v>
      </c>
    </row>
    <row r="7914" spans="1:7">
      <c r="A7914" s="3"/>
      <c r="B7914" s="3"/>
      <c r="C7914" s="3"/>
      <c r="D7914" s="3"/>
      <c r="E7914" s="3">
        <v>11</v>
      </c>
      <c r="F7914" s="4" t="str">
        <f>HYPERLINK("http://141.218.60.56/~jnz1568/getInfo.php?workbook=12_05.xlsx&amp;sheet=U0&amp;row=7914&amp;col=6&amp;number=4&amp;sourceID=14","4")</f>
        <v>4</v>
      </c>
      <c r="G7914" s="4" t="str">
        <f>HYPERLINK("http://141.218.60.56/~jnz1568/getInfo.php?workbook=12_05.xlsx&amp;sheet=U0&amp;row=7914&amp;col=7&amp;number=0.00595&amp;sourceID=14","0.00595")</f>
        <v>0.00595</v>
      </c>
    </row>
    <row r="7915" spans="1:7">
      <c r="A7915" s="3"/>
      <c r="B7915" s="3"/>
      <c r="C7915" s="3"/>
      <c r="D7915" s="3"/>
      <c r="E7915" s="3">
        <v>12</v>
      </c>
      <c r="F7915" s="4" t="str">
        <f>HYPERLINK("http://141.218.60.56/~jnz1568/getInfo.php?workbook=12_05.xlsx&amp;sheet=U0&amp;row=7915&amp;col=6&amp;number=4.1&amp;sourceID=14","4.1")</f>
        <v>4.1</v>
      </c>
      <c r="G7915" s="4" t="str">
        <f>HYPERLINK("http://141.218.60.56/~jnz1568/getInfo.php?workbook=12_05.xlsx&amp;sheet=U0&amp;row=7915&amp;col=7&amp;number=0.00594&amp;sourceID=14","0.00594")</f>
        <v>0.00594</v>
      </c>
    </row>
    <row r="7916" spans="1:7">
      <c r="A7916" s="3"/>
      <c r="B7916" s="3"/>
      <c r="C7916" s="3"/>
      <c r="D7916" s="3"/>
      <c r="E7916" s="3">
        <v>13</v>
      </c>
      <c r="F7916" s="4" t="str">
        <f>HYPERLINK("http://141.218.60.56/~jnz1568/getInfo.php?workbook=12_05.xlsx&amp;sheet=U0&amp;row=7916&amp;col=6&amp;number=4.2&amp;sourceID=14","4.2")</f>
        <v>4.2</v>
      </c>
      <c r="G7916" s="4" t="str">
        <f>HYPERLINK("http://141.218.60.56/~jnz1568/getInfo.php?workbook=12_05.xlsx&amp;sheet=U0&amp;row=7916&amp;col=7&amp;number=0.00592&amp;sourceID=14","0.00592")</f>
        <v>0.00592</v>
      </c>
    </row>
    <row r="7917" spans="1:7">
      <c r="A7917" s="3"/>
      <c r="B7917" s="3"/>
      <c r="C7917" s="3"/>
      <c r="D7917" s="3"/>
      <c r="E7917" s="3">
        <v>14</v>
      </c>
      <c r="F7917" s="4" t="str">
        <f>HYPERLINK("http://141.218.60.56/~jnz1568/getInfo.php?workbook=12_05.xlsx&amp;sheet=U0&amp;row=7917&amp;col=6&amp;number=4.3&amp;sourceID=14","4.3")</f>
        <v>4.3</v>
      </c>
      <c r="G7917" s="4" t="str">
        <f>HYPERLINK("http://141.218.60.56/~jnz1568/getInfo.php?workbook=12_05.xlsx&amp;sheet=U0&amp;row=7917&amp;col=7&amp;number=0.0059&amp;sourceID=14","0.0059")</f>
        <v>0.0059</v>
      </c>
    </row>
    <row r="7918" spans="1:7">
      <c r="A7918" s="3"/>
      <c r="B7918" s="3"/>
      <c r="C7918" s="3"/>
      <c r="D7918" s="3"/>
      <c r="E7918" s="3">
        <v>15</v>
      </c>
      <c r="F7918" s="4" t="str">
        <f>HYPERLINK("http://141.218.60.56/~jnz1568/getInfo.php?workbook=12_05.xlsx&amp;sheet=U0&amp;row=7918&amp;col=6&amp;number=4.4&amp;sourceID=14","4.4")</f>
        <v>4.4</v>
      </c>
      <c r="G7918" s="4" t="str">
        <f>HYPERLINK("http://141.218.60.56/~jnz1568/getInfo.php?workbook=12_05.xlsx&amp;sheet=U0&amp;row=7918&amp;col=7&amp;number=0.00587&amp;sourceID=14","0.00587")</f>
        <v>0.00587</v>
      </c>
    </row>
    <row r="7919" spans="1:7">
      <c r="A7919" s="3"/>
      <c r="B7919" s="3"/>
      <c r="C7919" s="3"/>
      <c r="D7919" s="3"/>
      <c r="E7919" s="3">
        <v>16</v>
      </c>
      <c r="F7919" s="4" t="str">
        <f>HYPERLINK("http://141.218.60.56/~jnz1568/getInfo.php?workbook=12_05.xlsx&amp;sheet=U0&amp;row=7919&amp;col=6&amp;number=4.5&amp;sourceID=14","4.5")</f>
        <v>4.5</v>
      </c>
      <c r="G7919" s="4" t="str">
        <f>HYPERLINK("http://141.218.60.56/~jnz1568/getInfo.php?workbook=12_05.xlsx&amp;sheet=U0&amp;row=7919&amp;col=7&amp;number=0.00583&amp;sourceID=14","0.00583")</f>
        <v>0.00583</v>
      </c>
    </row>
    <row r="7920" spans="1:7">
      <c r="A7920" s="3"/>
      <c r="B7920" s="3"/>
      <c r="C7920" s="3"/>
      <c r="D7920" s="3"/>
      <c r="E7920" s="3">
        <v>17</v>
      </c>
      <c r="F7920" s="4" t="str">
        <f>HYPERLINK("http://141.218.60.56/~jnz1568/getInfo.php?workbook=12_05.xlsx&amp;sheet=U0&amp;row=7920&amp;col=6&amp;number=4.6&amp;sourceID=14","4.6")</f>
        <v>4.6</v>
      </c>
      <c r="G7920" s="4" t="str">
        <f>HYPERLINK("http://141.218.60.56/~jnz1568/getInfo.php?workbook=12_05.xlsx&amp;sheet=U0&amp;row=7920&amp;col=7&amp;number=0.00579&amp;sourceID=14","0.00579")</f>
        <v>0.00579</v>
      </c>
    </row>
    <row r="7921" spans="1:7">
      <c r="A7921" s="3"/>
      <c r="B7921" s="3"/>
      <c r="C7921" s="3"/>
      <c r="D7921" s="3"/>
      <c r="E7921" s="3">
        <v>18</v>
      </c>
      <c r="F7921" s="4" t="str">
        <f>HYPERLINK("http://141.218.60.56/~jnz1568/getInfo.php?workbook=12_05.xlsx&amp;sheet=U0&amp;row=7921&amp;col=6&amp;number=4.7&amp;sourceID=14","4.7")</f>
        <v>4.7</v>
      </c>
      <c r="G7921" s="4" t="str">
        <f>HYPERLINK("http://141.218.60.56/~jnz1568/getInfo.php?workbook=12_05.xlsx&amp;sheet=U0&amp;row=7921&amp;col=7&amp;number=0.00574&amp;sourceID=14","0.00574")</f>
        <v>0.00574</v>
      </c>
    </row>
    <row r="7922" spans="1:7">
      <c r="A7922" s="3"/>
      <c r="B7922" s="3"/>
      <c r="C7922" s="3"/>
      <c r="D7922" s="3"/>
      <c r="E7922" s="3">
        <v>19</v>
      </c>
      <c r="F7922" s="4" t="str">
        <f>HYPERLINK("http://141.218.60.56/~jnz1568/getInfo.php?workbook=12_05.xlsx&amp;sheet=U0&amp;row=7922&amp;col=6&amp;number=4.8&amp;sourceID=14","4.8")</f>
        <v>4.8</v>
      </c>
      <c r="G7922" s="4" t="str">
        <f>HYPERLINK("http://141.218.60.56/~jnz1568/getInfo.php?workbook=12_05.xlsx&amp;sheet=U0&amp;row=7922&amp;col=7&amp;number=0.00567&amp;sourceID=14","0.00567")</f>
        <v>0.00567</v>
      </c>
    </row>
    <row r="7923" spans="1:7">
      <c r="A7923" s="3"/>
      <c r="B7923" s="3"/>
      <c r="C7923" s="3"/>
      <c r="D7923" s="3"/>
      <c r="E7923" s="3">
        <v>20</v>
      </c>
      <c r="F7923" s="4" t="str">
        <f>HYPERLINK("http://141.218.60.56/~jnz1568/getInfo.php?workbook=12_05.xlsx&amp;sheet=U0&amp;row=7923&amp;col=6&amp;number=4.9&amp;sourceID=14","4.9")</f>
        <v>4.9</v>
      </c>
      <c r="G7923" s="4" t="str">
        <f>HYPERLINK("http://141.218.60.56/~jnz1568/getInfo.php?workbook=12_05.xlsx&amp;sheet=U0&amp;row=7923&amp;col=7&amp;number=0.00559&amp;sourceID=14","0.00559")</f>
        <v>0.00559</v>
      </c>
    </row>
    <row r="7924" spans="1:7">
      <c r="A7924" s="3">
        <v>12</v>
      </c>
      <c r="B7924" s="3">
        <v>5</v>
      </c>
      <c r="C7924" s="3">
        <v>3</v>
      </c>
      <c r="D7924" s="3">
        <v>60</v>
      </c>
      <c r="E7924" s="3">
        <v>1</v>
      </c>
      <c r="F7924" s="4" t="str">
        <f>HYPERLINK("http://141.218.60.56/~jnz1568/getInfo.php?workbook=12_05.xlsx&amp;sheet=U0&amp;row=7924&amp;col=6&amp;number=3&amp;sourceID=14","3")</f>
        <v>3</v>
      </c>
      <c r="G7924" s="4" t="str">
        <f>HYPERLINK("http://141.218.60.56/~jnz1568/getInfo.php?workbook=12_05.xlsx&amp;sheet=U0&amp;row=7924&amp;col=7&amp;number=0.0123&amp;sourceID=14","0.0123")</f>
        <v>0.0123</v>
      </c>
    </row>
    <row r="7925" spans="1:7">
      <c r="A7925" s="3"/>
      <c r="B7925" s="3"/>
      <c r="C7925" s="3"/>
      <c r="D7925" s="3"/>
      <c r="E7925" s="3">
        <v>2</v>
      </c>
      <c r="F7925" s="4" t="str">
        <f>HYPERLINK("http://141.218.60.56/~jnz1568/getInfo.php?workbook=12_05.xlsx&amp;sheet=U0&amp;row=7925&amp;col=6&amp;number=3.1&amp;sourceID=14","3.1")</f>
        <v>3.1</v>
      </c>
      <c r="G7925" s="4" t="str">
        <f>HYPERLINK("http://141.218.60.56/~jnz1568/getInfo.php?workbook=12_05.xlsx&amp;sheet=U0&amp;row=7925&amp;col=7&amp;number=0.0123&amp;sourceID=14","0.0123")</f>
        <v>0.0123</v>
      </c>
    </row>
    <row r="7926" spans="1:7">
      <c r="A7926" s="3"/>
      <c r="B7926" s="3"/>
      <c r="C7926" s="3"/>
      <c r="D7926" s="3"/>
      <c r="E7926" s="3">
        <v>3</v>
      </c>
      <c r="F7926" s="4" t="str">
        <f>HYPERLINK("http://141.218.60.56/~jnz1568/getInfo.php?workbook=12_05.xlsx&amp;sheet=U0&amp;row=7926&amp;col=6&amp;number=3.2&amp;sourceID=14","3.2")</f>
        <v>3.2</v>
      </c>
      <c r="G7926" s="4" t="str">
        <f>HYPERLINK("http://141.218.60.56/~jnz1568/getInfo.php?workbook=12_05.xlsx&amp;sheet=U0&amp;row=7926&amp;col=7&amp;number=0.0123&amp;sourceID=14","0.0123")</f>
        <v>0.0123</v>
      </c>
    </row>
    <row r="7927" spans="1:7">
      <c r="A7927" s="3"/>
      <c r="B7927" s="3"/>
      <c r="C7927" s="3"/>
      <c r="D7927" s="3"/>
      <c r="E7927" s="3">
        <v>4</v>
      </c>
      <c r="F7927" s="4" t="str">
        <f>HYPERLINK("http://141.218.60.56/~jnz1568/getInfo.php?workbook=12_05.xlsx&amp;sheet=U0&amp;row=7927&amp;col=6&amp;number=3.3&amp;sourceID=14","3.3")</f>
        <v>3.3</v>
      </c>
      <c r="G7927" s="4" t="str">
        <f>HYPERLINK("http://141.218.60.56/~jnz1568/getInfo.php?workbook=12_05.xlsx&amp;sheet=U0&amp;row=7927&amp;col=7&amp;number=0.0123&amp;sourceID=14","0.0123")</f>
        <v>0.0123</v>
      </c>
    </row>
    <row r="7928" spans="1:7">
      <c r="A7928" s="3"/>
      <c r="B7928" s="3"/>
      <c r="C7928" s="3"/>
      <c r="D7928" s="3"/>
      <c r="E7928" s="3">
        <v>5</v>
      </c>
      <c r="F7928" s="4" t="str">
        <f>HYPERLINK("http://141.218.60.56/~jnz1568/getInfo.php?workbook=12_05.xlsx&amp;sheet=U0&amp;row=7928&amp;col=6&amp;number=3.4&amp;sourceID=14","3.4")</f>
        <v>3.4</v>
      </c>
      <c r="G7928" s="4" t="str">
        <f>HYPERLINK("http://141.218.60.56/~jnz1568/getInfo.php?workbook=12_05.xlsx&amp;sheet=U0&amp;row=7928&amp;col=7&amp;number=0.0123&amp;sourceID=14","0.0123")</f>
        <v>0.0123</v>
      </c>
    </row>
    <row r="7929" spans="1:7">
      <c r="A7929" s="3"/>
      <c r="B7929" s="3"/>
      <c r="C7929" s="3"/>
      <c r="D7929" s="3"/>
      <c r="E7929" s="3">
        <v>6</v>
      </c>
      <c r="F7929" s="4" t="str">
        <f>HYPERLINK("http://141.218.60.56/~jnz1568/getInfo.php?workbook=12_05.xlsx&amp;sheet=U0&amp;row=7929&amp;col=6&amp;number=3.5&amp;sourceID=14","3.5")</f>
        <v>3.5</v>
      </c>
      <c r="G7929" s="4" t="str">
        <f>HYPERLINK("http://141.218.60.56/~jnz1568/getInfo.php?workbook=12_05.xlsx&amp;sheet=U0&amp;row=7929&amp;col=7&amp;number=0.0123&amp;sourceID=14","0.0123")</f>
        <v>0.0123</v>
      </c>
    </row>
    <row r="7930" spans="1:7">
      <c r="A7930" s="3"/>
      <c r="B7930" s="3"/>
      <c r="C7930" s="3"/>
      <c r="D7930" s="3"/>
      <c r="E7930" s="3">
        <v>7</v>
      </c>
      <c r="F7930" s="4" t="str">
        <f>HYPERLINK("http://141.218.60.56/~jnz1568/getInfo.php?workbook=12_05.xlsx&amp;sheet=U0&amp;row=7930&amp;col=6&amp;number=3.6&amp;sourceID=14","3.6")</f>
        <v>3.6</v>
      </c>
      <c r="G7930" s="4" t="str">
        <f>HYPERLINK("http://141.218.60.56/~jnz1568/getInfo.php?workbook=12_05.xlsx&amp;sheet=U0&amp;row=7930&amp;col=7&amp;number=0.0123&amp;sourceID=14","0.0123")</f>
        <v>0.0123</v>
      </c>
    </row>
    <row r="7931" spans="1:7">
      <c r="A7931" s="3"/>
      <c r="B7931" s="3"/>
      <c r="C7931" s="3"/>
      <c r="D7931" s="3"/>
      <c r="E7931" s="3">
        <v>8</v>
      </c>
      <c r="F7931" s="4" t="str">
        <f>HYPERLINK("http://141.218.60.56/~jnz1568/getInfo.php?workbook=12_05.xlsx&amp;sheet=U0&amp;row=7931&amp;col=6&amp;number=3.7&amp;sourceID=14","3.7")</f>
        <v>3.7</v>
      </c>
      <c r="G7931" s="4" t="str">
        <f>HYPERLINK("http://141.218.60.56/~jnz1568/getInfo.php?workbook=12_05.xlsx&amp;sheet=U0&amp;row=7931&amp;col=7&amp;number=0.0123&amp;sourceID=14","0.0123")</f>
        <v>0.0123</v>
      </c>
    </row>
    <row r="7932" spans="1:7">
      <c r="A7932" s="3"/>
      <c r="B7932" s="3"/>
      <c r="C7932" s="3"/>
      <c r="D7932" s="3"/>
      <c r="E7932" s="3">
        <v>9</v>
      </c>
      <c r="F7932" s="4" t="str">
        <f>HYPERLINK("http://141.218.60.56/~jnz1568/getInfo.php?workbook=12_05.xlsx&amp;sheet=U0&amp;row=7932&amp;col=6&amp;number=3.8&amp;sourceID=14","3.8")</f>
        <v>3.8</v>
      </c>
      <c r="G7932" s="4" t="str">
        <f>HYPERLINK("http://141.218.60.56/~jnz1568/getInfo.php?workbook=12_05.xlsx&amp;sheet=U0&amp;row=7932&amp;col=7&amp;number=0.0123&amp;sourceID=14","0.0123")</f>
        <v>0.0123</v>
      </c>
    </row>
    <row r="7933" spans="1:7">
      <c r="A7933" s="3"/>
      <c r="B7933" s="3"/>
      <c r="C7933" s="3"/>
      <c r="D7933" s="3"/>
      <c r="E7933" s="3">
        <v>10</v>
      </c>
      <c r="F7933" s="4" t="str">
        <f>HYPERLINK("http://141.218.60.56/~jnz1568/getInfo.php?workbook=12_05.xlsx&amp;sheet=U0&amp;row=7933&amp;col=6&amp;number=3.9&amp;sourceID=14","3.9")</f>
        <v>3.9</v>
      </c>
      <c r="G7933" s="4" t="str">
        <f>HYPERLINK("http://141.218.60.56/~jnz1568/getInfo.php?workbook=12_05.xlsx&amp;sheet=U0&amp;row=7933&amp;col=7&amp;number=0.0123&amp;sourceID=14","0.0123")</f>
        <v>0.0123</v>
      </c>
    </row>
    <row r="7934" spans="1:7">
      <c r="A7934" s="3"/>
      <c r="B7934" s="3"/>
      <c r="C7934" s="3"/>
      <c r="D7934" s="3"/>
      <c r="E7934" s="3">
        <v>11</v>
      </c>
      <c r="F7934" s="4" t="str">
        <f>HYPERLINK("http://141.218.60.56/~jnz1568/getInfo.php?workbook=12_05.xlsx&amp;sheet=U0&amp;row=7934&amp;col=6&amp;number=4&amp;sourceID=14","4")</f>
        <v>4</v>
      </c>
      <c r="G7934" s="4" t="str">
        <f>HYPERLINK("http://141.218.60.56/~jnz1568/getInfo.php?workbook=12_05.xlsx&amp;sheet=U0&amp;row=7934&amp;col=7&amp;number=0.0123&amp;sourceID=14","0.0123")</f>
        <v>0.0123</v>
      </c>
    </row>
    <row r="7935" spans="1:7">
      <c r="A7935" s="3"/>
      <c r="B7935" s="3"/>
      <c r="C7935" s="3"/>
      <c r="D7935" s="3"/>
      <c r="E7935" s="3">
        <v>12</v>
      </c>
      <c r="F7935" s="4" t="str">
        <f>HYPERLINK("http://141.218.60.56/~jnz1568/getInfo.php?workbook=12_05.xlsx&amp;sheet=U0&amp;row=7935&amp;col=6&amp;number=4.1&amp;sourceID=14","4.1")</f>
        <v>4.1</v>
      </c>
      <c r="G7935" s="4" t="str">
        <f>HYPERLINK("http://141.218.60.56/~jnz1568/getInfo.php?workbook=12_05.xlsx&amp;sheet=U0&amp;row=7935&amp;col=7&amp;number=0.0123&amp;sourceID=14","0.0123")</f>
        <v>0.0123</v>
      </c>
    </row>
    <row r="7936" spans="1:7">
      <c r="A7936" s="3"/>
      <c r="B7936" s="3"/>
      <c r="C7936" s="3"/>
      <c r="D7936" s="3"/>
      <c r="E7936" s="3">
        <v>13</v>
      </c>
      <c r="F7936" s="4" t="str">
        <f>HYPERLINK("http://141.218.60.56/~jnz1568/getInfo.php?workbook=12_05.xlsx&amp;sheet=U0&amp;row=7936&amp;col=6&amp;number=4.2&amp;sourceID=14","4.2")</f>
        <v>4.2</v>
      </c>
      <c r="G7936" s="4" t="str">
        <f>HYPERLINK("http://141.218.60.56/~jnz1568/getInfo.php?workbook=12_05.xlsx&amp;sheet=U0&amp;row=7936&amp;col=7&amp;number=0.0123&amp;sourceID=14","0.0123")</f>
        <v>0.0123</v>
      </c>
    </row>
    <row r="7937" spans="1:7">
      <c r="A7937" s="3"/>
      <c r="B7937" s="3"/>
      <c r="C7937" s="3"/>
      <c r="D7937" s="3"/>
      <c r="E7937" s="3">
        <v>14</v>
      </c>
      <c r="F7937" s="4" t="str">
        <f>HYPERLINK("http://141.218.60.56/~jnz1568/getInfo.php?workbook=12_05.xlsx&amp;sheet=U0&amp;row=7937&amp;col=6&amp;number=4.3&amp;sourceID=14","4.3")</f>
        <v>4.3</v>
      </c>
      <c r="G7937" s="4" t="str">
        <f>HYPERLINK("http://141.218.60.56/~jnz1568/getInfo.php?workbook=12_05.xlsx&amp;sheet=U0&amp;row=7937&amp;col=7&amp;number=0.0124&amp;sourceID=14","0.0124")</f>
        <v>0.0124</v>
      </c>
    </row>
    <row r="7938" spans="1:7">
      <c r="A7938" s="3"/>
      <c r="B7938" s="3"/>
      <c r="C7938" s="3"/>
      <c r="D7938" s="3"/>
      <c r="E7938" s="3">
        <v>15</v>
      </c>
      <c r="F7938" s="4" t="str">
        <f>HYPERLINK("http://141.218.60.56/~jnz1568/getInfo.php?workbook=12_05.xlsx&amp;sheet=U0&amp;row=7938&amp;col=6&amp;number=4.4&amp;sourceID=14","4.4")</f>
        <v>4.4</v>
      </c>
      <c r="G7938" s="4" t="str">
        <f>HYPERLINK("http://141.218.60.56/~jnz1568/getInfo.php?workbook=12_05.xlsx&amp;sheet=U0&amp;row=7938&amp;col=7&amp;number=0.0124&amp;sourceID=14","0.0124")</f>
        <v>0.0124</v>
      </c>
    </row>
    <row r="7939" spans="1:7">
      <c r="A7939" s="3"/>
      <c r="B7939" s="3"/>
      <c r="C7939" s="3"/>
      <c r="D7939" s="3"/>
      <c r="E7939" s="3">
        <v>16</v>
      </c>
      <c r="F7939" s="4" t="str">
        <f>HYPERLINK("http://141.218.60.56/~jnz1568/getInfo.php?workbook=12_05.xlsx&amp;sheet=U0&amp;row=7939&amp;col=6&amp;number=4.5&amp;sourceID=14","4.5")</f>
        <v>4.5</v>
      </c>
      <c r="G7939" s="4" t="str">
        <f>HYPERLINK("http://141.218.60.56/~jnz1568/getInfo.php?workbook=12_05.xlsx&amp;sheet=U0&amp;row=7939&amp;col=7&amp;number=0.0124&amp;sourceID=14","0.0124")</f>
        <v>0.0124</v>
      </c>
    </row>
    <row r="7940" spans="1:7">
      <c r="A7940" s="3"/>
      <c r="B7940" s="3"/>
      <c r="C7940" s="3"/>
      <c r="D7940" s="3"/>
      <c r="E7940" s="3">
        <v>17</v>
      </c>
      <c r="F7940" s="4" t="str">
        <f>HYPERLINK("http://141.218.60.56/~jnz1568/getInfo.php?workbook=12_05.xlsx&amp;sheet=U0&amp;row=7940&amp;col=6&amp;number=4.6&amp;sourceID=14","4.6")</f>
        <v>4.6</v>
      </c>
      <c r="G7940" s="4" t="str">
        <f>HYPERLINK("http://141.218.60.56/~jnz1568/getInfo.php?workbook=12_05.xlsx&amp;sheet=U0&amp;row=7940&amp;col=7&amp;number=0.0125&amp;sourceID=14","0.0125")</f>
        <v>0.0125</v>
      </c>
    </row>
    <row r="7941" spans="1:7">
      <c r="A7941" s="3"/>
      <c r="B7941" s="3"/>
      <c r="C7941" s="3"/>
      <c r="D7941" s="3"/>
      <c r="E7941" s="3">
        <v>18</v>
      </c>
      <c r="F7941" s="4" t="str">
        <f>HYPERLINK("http://141.218.60.56/~jnz1568/getInfo.php?workbook=12_05.xlsx&amp;sheet=U0&amp;row=7941&amp;col=6&amp;number=4.7&amp;sourceID=14","4.7")</f>
        <v>4.7</v>
      </c>
      <c r="G7941" s="4" t="str">
        <f>HYPERLINK("http://141.218.60.56/~jnz1568/getInfo.php?workbook=12_05.xlsx&amp;sheet=U0&amp;row=7941&amp;col=7&amp;number=0.0125&amp;sourceID=14","0.0125")</f>
        <v>0.0125</v>
      </c>
    </row>
    <row r="7942" spans="1:7">
      <c r="A7942" s="3"/>
      <c r="B7942" s="3"/>
      <c r="C7942" s="3"/>
      <c r="D7942" s="3"/>
      <c r="E7942" s="3">
        <v>19</v>
      </c>
      <c r="F7942" s="4" t="str">
        <f>HYPERLINK("http://141.218.60.56/~jnz1568/getInfo.php?workbook=12_05.xlsx&amp;sheet=U0&amp;row=7942&amp;col=6&amp;number=4.8&amp;sourceID=14","4.8")</f>
        <v>4.8</v>
      </c>
      <c r="G7942" s="4" t="str">
        <f>HYPERLINK("http://141.218.60.56/~jnz1568/getInfo.php?workbook=12_05.xlsx&amp;sheet=U0&amp;row=7942&amp;col=7&amp;number=0.0126&amp;sourceID=14","0.0126")</f>
        <v>0.0126</v>
      </c>
    </row>
    <row r="7943" spans="1:7">
      <c r="A7943" s="3"/>
      <c r="B7943" s="3"/>
      <c r="C7943" s="3"/>
      <c r="D7943" s="3"/>
      <c r="E7943" s="3">
        <v>20</v>
      </c>
      <c r="F7943" s="4" t="str">
        <f>HYPERLINK("http://141.218.60.56/~jnz1568/getInfo.php?workbook=12_05.xlsx&amp;sheet=U0&amp;row=7943&amp;col=6&amp;number=4.9&amp;sourceID=14","4.9")</f>
        <v>4.9</v>
      </c>
      <c r="G7943" s="4" t="str">
        <f>HYPERLINK("http://141.218.60.56/~jnz1568/getInfo.php?workbook=12_05.xlsx&amp;sheet=U0&amp;row=7943&amp;col=7&amp;number=0.0127&amp;sourceID=14","0.0127")</f>
        <v>0.0127</v>
      </c>
    </row>
    <row r="7944" spans="1:7">
      <c r="A7944" s="3">
        <v>12</v>
      </c>
      <c r="B7944" s="3">
        <v>5</v>
      </c>
      <c r="C7944" s="3">
        <v>3</v>
      </c>
      <c r="D7944" s="3">
        <v>61</v>
      </c>
      <c r="E7944" s="3">
        <v>1</v>
      </c>
      <c r="F7944" s="4" t="str">
        <f>HYPERLINK("http://141.218.60.56/~jnz1568/getInfo.php?workbook=12_05.xlsx&amp;sheet=U0&amp;row=7944&amp;col=6&amp;number=3&amp;sourceID=14","3")</f>
        <v>3</v>
      </c>
      <c r="G7944" s="4" t="str">
        <f>HYPERLINK("http://141.218.60.56/~jnz1568/getInfo.php?workbook=12_05.xlsx&amp;sheet=U0&amp;row=7944&amp;col=7&amp;number=0.00309&amp;sourceID=14","0.00309")</f>
        <v>0.00309</v>
      </c>
    </row>
    <row r="7945" spans="1:7">
      <c r="A7945" s="3"/>
      <c r="B7945" s="3"/>
      <c r="C7945" s="3"/>
      <c r="D7945" s="3"/>
      <c r="E7945" s="3">
        <v>2</v>
      </c>
      <c r="F7945" s="4" t="str">
        <f>HYPERLINK("http://141.218.60.56/~jnz1568/getInfo.php?workbook=12_05.xlsx&amp;sheet=U0&amp;row=7945&amp;col=6&amp;number=3.1&amp;sourceID=14","3.1")</f>
        <v>3.1</v>
      </c>
      <c r="G7945" s="4" t="str">
        <f>HYPERLINK("http://141.218.60.56/~jnz1568/getInfo.php?workbook=12_05.xlsx&amp;sheet=U0&amp;row=7945&amp;col=7&amp;number=0.00309&amp;sourceID=14","0.00309")</f>
        <v>0.00309</v>
      </c>
    </row>
    <row r="7946" spans="1:7">
      <c r="A7946" s="3"/>
      <c r="B7946" s="3"/>
      <c r="C7946" s="3"/>
      <c r="D7946" s="3"/>
      <c r="E7946" s="3">
        <v>3</v>
      </c>
      <c r="F7946" s="4" t="str">
        <f>HYPERLINK("http://141.218.60.56/~jnz1568/getInfo.php?workbook=12_05.xlsx&amp;sheet=U0&amp;row=7946&amp;col=6&amp;number=3.2&amp;sourceID=14","3.2")</f>
        <v>3.2</v>
      </c>
      <c r="G7946" s="4" t="str">
        <f>HYPERLINK("http://141.218.60.56/~jnz1568/getInfo.php?workbook=12_05.xlsx&amp;sheet=U0&amp;row=7946&amp;col=7&amp;number=0.00309&amp;sourceID=14","0.00309")</f>
        <v>0.00309</v>
      </c>
    </row>
    <row r="7947" spans="1:7">
      <c r="A7947" s="3"/>
      <c r="B7947" s="3"/>
      <c r="C7947" s="3"/>
      <c r="D7947" s="3"/>
      <c r="E7947" s="3">
        <v>4</v>
      </c>
      <c r="F7947" s="4" t="str">
        <f>HYPERLINK("http://141.218.60.56/~jnz1568/getInfo.php?workbook=12_05.xlsx&amp;sheet=U0&amp;row=7947&amp;col=6&amp;number=3.3&amp;sourceID=14","3.3")</f>
        <v>3.3</v>
      </c>
      <c r="G7947" s="4" t="str">
        <f>HYPERLINK("http://141.218.60.56/~jnz1568/getInfo.php?workbook=12_05.xlsx&amp;sheet=U0&amp;row=7947&amp;col=7&amp;number=0.00309&amp;sourceID=14","0.00309")</f>
        <v>0.00309</v>
      </c>
    </row>
    <row r="7948" spans="1:7">
      <c r="A7948" s="3"/>
      <c r="B7948" s="3"/>
      <c r="C7948" s="3"/>
      <c r="D7948" s="3"/>
      <c r="E7948" s="3">
        <v>5</v>
      </c>
      <c r="F7948" s="4" t="str">
        <f>HYPERLINK("http://141.218.60.56/~jnz1568/getInfo.php?workbook=12_05.xlsx&amp;sheet=U0&amp;row=7948&amp;col=6&amp;number=3.4&amp;sourceID=14","3.4")</f>
        <v>3.4</v>
      </c>
      <c r="G7948" s="4" t="str">
        <f>HYPERLINK("http://141.218.60.56/~jnz1568/getInfo.php?workbook=12_05.xlsx&amp;sheet=U0&amp;row=7948&amp;col=7&amp;number=0.00309&amp;sourceID=14","0.00309")</f>
        <v>0.00309</v>
      </c>
    </row>
    <row r="7949" spans="1:7">
      <c r="A7949" s="3"/>
      <c r="B7949" s="3"/>
      <c r="C7949" s="3"/>
      <c r="D7949" s="3"/>
      <c r="E7949" s="3">
        <v>6</v>
      </c>
      <c r="F7949" s="4" t="str">
        <f>HYPERLINK("http://141.218.60.56/~jnz1568/getInfo.php?workbook=12_05.xlsx&amp;sheet=U0&amp;row=7949&amp;col=6&amp;number=3.5&amp;sourceID=14","3.5")</f>
        <v>3.5</v>
      </c>
      <c r="G7949" s="4" t="str">
        <f>HYPERLINK("http://141.218.60.56/~jnz1568/getInfo.php?workbook=12_05.xlsx&amp;sheet=U0&amp;row=7949&amp;col=7&amp;number=0.00308&amp;sourceID=14","0.00308")</f>
        <v>0.00308</v>
      </c>
    </row>
    <row r="7950" spans="1:7">
      <c r="A7950" s="3"/>
      <c r="B7950" s="3"/>
      <c r="C7950" s="3"/>
      <c r="D7950" s="3"/>
      <c r="E7950" s="3">
        <v>7</v>
      </c>
      <c r="F7950" s="4" t="str">
        <f>HYPERLINK("http://141.218.60.56/~jnz1568/getInfo.php?workbook=12_05.xlsx&amp;sheet=U0&amp;row=7950&amp;col=6&amp;number=3.6&amp;sourceID=14","3.6")</f>
        <v>3.6</v>
      </c>
      <c r="G7950" s="4" t="str">
        <f>HYPERLINK("http://141.218.60.56/~jnz1568/getInfo.php?workbook=12_05.xlsx&amp;sheet=U0&amp;row=7950&amp;col=7&amp;number=0.00308&amp;sourceID=14","0.00308")</f>
        <v>0.00308</v>
      </c>
    </row>
    <row r="7951" spans="1:7">
      <c r="A7951" s="3"/>
      <c r="B7951" s="3"/>
      <c r="C7951" s="3"/>
      <c r="D7951" s="3"/>
      <c r="E7951" s="3">
        <v>8</v>
      </c>
      <c r="F7951" s="4" t="str">
        <f>HYPERLINK("http://141.218.60.56/~jnz1568/getInfo.php?workbook=12_05.xlsx&amp;sheet=U0&amp;row=7951&amp;col=6&amp;number=3.7&amp;sourceID=14","3.7")</f>
        <v>3.7</v>
      </c>
      <c r="G7951" s="4" t="str">
        <f>HYPERLINK("http://141.218.60.56/~jnz1568/getInfo.php?workbook=12_05.xlsx&amp;sheet=U0&amp;row=7951&amp;col=7&amp;number=0.00308&amp;sourceID=14","0.00308")</f>
        <v>0.00308</v>
      </c>
    </row>
    <row r="7952" spans="1:7">
      <c r="A7952" s="3"/>
      <c r="B7952" s="3"/>
      <c r="C7952" s="3"/>
      <c r="D7952" s="3"/>
      <c r="E7952" s="3">
        <v>9</v>
      </c>
      <c r="F7952" s="4" t="str">
        <f>HYPERLINK("http://141.218.60.56/~jnz1568/getInfo.php?workbook=12_05.xlsx&amp;sheet=U0&amp;row=7952&amp;col=6&amp;number=3.8&amp;sourceID=14","3.8")</f>
        <v>3.8</v>
      </c>
      <c r="G7952" s="4" t="str">
        <f>HYPERLINK("http://141.218.60.56/~jnz1568/getInfo.php?workbook=12_05.xlsx&amp;sheet=U0&amp;row=7952&amp;col=7&amp;number=0.00308&amp;sourceID=14","0.00308")</f>
        <v>0.00308</v>
      </c>
    </row>
    <row r="7953" spans="1:7">
      <c r="A7953" s="3"/>
      <c r="B7953" s="3"/>
      <c r="C7953" s="3"/>
      <c r="D7953" s="3"/>
      <c r="E7953" s="3">
        <v>10</v>
      </c>
      <c r="F7953" s="4" t="str">
        <f>HYPERLINK("http://141.218.60.56/~jnz1568/getInfo.php?workbook=12_05.xlsx&amp;sheet=U0&amp;row=7953&amp;col=6&amp;number=3.9&amp;sourceID=14","3.9")</f>
        <v>3.9</v>
      </c>
      <c r="G7953" s="4" t="str">
        <f>HYPERLINK("http://141.218.60.56/~jnz1568/getInfo.php?workbook=12_05.xlsx&amp;sheet=U0&amp;row=7953&amp;col=7&amp;number=0.00307&amp;sourceID=14","0.00307")</f>
        <v>0.00307</v>
      </c>
    </row>
    <row r="7954" spans="1:7">
      <c r="A7954" s="3"/>
      <c r="B7954" s="3"/>
      <c r="C7954" s="3"/>
      <c r="D7954" s="3"/>
      <c r="E7954" s="3">
        <v>11</v>
      </c>
      <c r="F7954" s="4" t="str">
        <f>HYPERLINK("http://141.218.60.56/~jnz1568/getInfo.php?workbook=12_05.xlsx&amp;sheet=U0&amp;row=7954&amp;col=6&amp;number=4&amp;sourceID=14","4")</f>
        <v>4</v>
      </c>
      <c r="G7954" s="4" t="str">
        <f>HYPERLINK("http://141.218.60.56/~jnz1568/getInfo.php?workbook=12_05.xlsx&amp;sheet=U0&amp;row=7954&amp;col=7&amp;number=0.00307&amp;sourceID=14","0.00307")</f>
        <v>0.00307</v>
      </c>
    </row>
    <row r="7955" spans="1:7">
      <c r="A7955" s="3"/>
      <c r="B7955" s="3"/>
      <c r="C7955" s="3"/>
      <c r="D7955" s="3"/>
      <c r="E7955" s="3">
        <v>12</v>
      </c>
      <c r="F7955" s="4" t="str">
        <f>HYPERLINK("http://141.218.60.56/~jnz1568/getInfo.php?workbook=12_05.xlsx&amp;sheet=U0&amp;row=7955&amp;col=6&amp;number=4.1&amp;sourceID=14","4.1")</f>
        <v>4.1</v>
      </c>
      <c r="G7955" s="4" t="str">
        <f>HYPERLINK("http://141.218.60.56/~jnz1568/getInfo.php?workbook=12_05.xlsx&amp;sheet=U0&amp;row=7955&amp;col=7&amp;number=0.00306&amp;sourceID=14","0.00306")</f>
        <v>0.00306</v>
      </c>
    </row>
    <row r="7956" spans="1:7">
      <c r="A7956" s="3"/>
      <c r="B7956" s="3"/>
      <c r="C7956" s="3"/>
      <c r="D7956" s="3"/>
      <c r="E7956" s="3">
        <v>13</v>
      </c>
      <c r="F7956" s="4" t="str">
        <f>HYPERLINK("http://141.218.60.56/~jnz1568/getInfo.php?workbook=12_05.xlsx&amp;sheet=U0&amp;row=7956&amp;col=6&amp;number=4.2&amp;sourceID=14","4.2")</f>
        <v>4.2</v>
      </c>
      <c r="G7956" s="4" t="str">
        <f>HYPERLINK("http://141.218.60.56/~jnz1568/getInfo.php?workbook=12_05.xlsx&amp;sheet=U0&amp;row=7956&amp;col=7&amp;number=0.00305&amp;sourceID=14","0.00305")</f>
        <v>0.00305</v>
      </c>
    </row>
    <row r="7957" spans="1:7">
      <c r="A7957" s="3"/>
      <c r="B7957" s="3"/>
      <c r="C7957" s="3"/>
      <c r="D7957" s="3"/>
      <c r="E7957" s="3">
        <v>14</v>
      </c>
      <c r="F7957" s="4" t="str">
        <f>HYPERLINK("http://141.218.60.56/~jnz1568/getInfo.php?workbook=12_05.xlsx&amp;sheet=U0&amp;row=7957&amp;col=6&amp;number=4.3&amp;sourceID=14","4.3")</f>
        <v>4.3</v>
      </c>
      <c r="G7957" s="4" t="str">
        <f>HYPERLINK("http://141.218.60.56/~jnz1568/getInfo.php?workbook=12_05.xlsx&amp;sheet=U0&amp;row=7957&amp;col=7&amp;number=0.00304&amp;sourceID=14","0.00304")</f>
        <v>0.00304</v>
      </c>
    </row>
    <row r="7958" spans="1:7">
      <c r="A7958" s="3"/>
      <c r="B7958" s="3"/>
      <c r="C7958" s="3"/>
      <c r="D7958" s="3"/>
      <c r="E7958" s="3">
        <v>15</v>
      </c>
      <c r="F7958" s="4" t="str">
        <f>HYPERLINK("http://141.218.60.56/~jnz1568/getInfo.php?workbook=12_05.xlsx&amp;sheet=U0&amp;row=7958&amp;col=6&amp;number=4.4&amp;sourceID=14","4.4")</f>
        <v>4.4</v>
      </c>
      <c r="G7958" s="4" t="str">
        <f>HYPERLINK("http://141.218.60.56/~jnz1568/getInfo.php?workbook=12_05.xlsx&amp;sheet=U0&amp;row=7958&amp;col=7&amp;number=0.00302&amp;sourceID=14","0.00302")</f>
        <v>0.00302</v>
      </c>
    </row>
    <row r="7959" spans="1:7">
      <c r="A7959" s="3"/>
      <c r="B7959" s="3"/>
      <c r="C7959" s="3"/>
      <c r="D7959" s="3"/>
      <c r="E7959" s="3">
        <v>16</v>
      </c>
      <c r="F7959" s="4" t="str">
        <f>HYPERLINK("http://141.218.60.56/~jnz1568/getInfo.php?workbook=12_05.xlsx&amp;sheet=U0&amp;row=7959&amp;col=6&amp;number=4.5&amp;sourceID=14","4.5")</f>
        <v>4.5</v>
      </c>
      <c r="G7959" s="4" t="str">
        <f>HYPERLINK("http://141.218.60.56/~jnz1568/getInfo.php?workbook=12_05.xlsx&amp;sheet=U0&amp;row=7959&amp;col=7&amp;number=0.003&amp;sourceID=14","0.003")</f>
        <v>0.003</v>
      </c>
    </row>
    <row r="7960" spans="1:7">
      <c r="A7960" s="3"/>
      <c r="B7960" s="3"/>
      <c r="C7960" s="3"/>
      <c r="D7960" s="3"/>
      <c r="E7960" s="3">
        <v>17</v>
      </c>
      <c r="F7960" s="4" t="str">
        <f>HYPERLINK("http://141.218.60.56/~jnz1568/getInfo.php?workbook=12_05.xlsx&amp;sheet=U0&amp;row=7960&amp;col=6&amp;number=4.6&amp;sourceID=14","4.6")</f>
        <v>4.6</v>
      </c>
      <c r="G7960" s="4" t="str">
        <f>HYPERLINK("http://141.218.60.56/~jnz1568/getInfo.php?workbook=12_05.xlsx&amp;sheet=U0&amp;row=7960&amp;col=7&amp;number=0.00298&amp;sourceID=14","0.00298")</f>
        <v>0.00298</v>
      </c>
    </row>
    <row r="7961" spans="1:7">
      <c r="A7961" s="3"/>
      <c r="B7961" s="3"/>
      <c r="C7961" s="3"/>
      <c r="D7961" s="3"/>
      <c r="E7961" s="3">
        <v>18</v>
      </c>
      <c r="F7961" s="4" t="str">
        <f>HYPERLINK("http://141.218.60.56/~jnz1568/getInfo.php?workbook=12_05.xlsx&amp;sheet=U0&amp;row=7961&amp;col=6&amp;number=4.7&amp;sourceID=14","4.7")</f>
        <v>4.7</v>
      </c>
      <c r="G7961" s="4" t="str">
        <f>HYPERLINK("http://141.218.60.56/~jnz1568/getInfo.php?workbook=12_05.xlsx&amp;sheet=U0&amp;row=7961&amp;col=7&amp;number=0.00295&amp;sourceID=14","0.00295")</f>
        <v>0.00295</v>
      </c>
    </row>
    <row r="7962" spans="1:7">
      <c r="A7962" s="3"/>
      <c r="B7962" s="3"/>
      <c r="C7962" s="3"/>
      <c r="D7962" s="3"/>
      <c r="E7962" s="3">
        <v>19</v>
      </c>
      <c r="F7962" s="4" t="str">
        <f>HYPERLINK("http://141.218.60.56/~jnz1568/getInfo.php?workbook=12_05.xlsx&amp;sheet=U0&amp;row=7962&amp;col=6&amp;number=4.8&amp;sourceID=14","4.8")</f>
        <v>4.8</v>
      </c>
      <c r="G7962" s="4" t="str">
        <f>HYPERLINK("http://141.218.60.56/~jnz1568/getInfo.php?workbook=12_05.xlsx&amp;sheet=U0&amp;row=7962&amp;col=7&amp;number=0.00292&amp;sourceID=14","0.00292")</f>
        <v>0.00292</v>
      </c>
    </row>
    <row r="7963" spans="1:7">
      <c r="A7963" s="3"/>
      <c r="B7963" s="3"/>
      <c r="C7963" s="3"/>
      <c r="D7963" s="3"/>
      <c r="E7963" s="3">
        <v>20</v>
      </c>
      <c r="F7963" s="4" t="str">
        <f>HYPERLINK("http://141.218.60.56/~jnz1568/getInfo.php?workbook=12_05.xlsx&amp;sheet=U0&amp;row=7963&amp;col=6&amp;number=4.9&amp;sourceID=14","4.9")</f>
        <v>4.9</v>
      </c>
      <c r="G7963" s="4" t="str">
        <f>HYPERLINK("http://141.218.60.56/~jnz1568/getInfo.php?workbook=12_05.xlsx&amp;sheet=U0&amp;row=7963&amp;col=7&amp;number=0.00288&amp;sourceID=14","0.00288")</f>
        <v>0.00288</v>
      </c>
    </row>
    <row r="7964" spans="1:7">
      <c r="A7964" s="3">
        <v>12</v>
      </c>
      <c r="B7964" s="3">
        <v>5</v>
      </c>
      <c r="C7964" s="3">
        <v>3</v>
      </c>
      <c r="D7964" s="3">
        <v>62</v>
      </c>
      <c r="E7964" s="3">
        <v>1</v>
      </c>
      <c r="F7964" s="4" t="str">
        <f>HYPERLINK("http://141.218.60.56/~jnz1568/getInfo.php?workbook=12_05.xlsx&amp;sheet=U0&amp;row=7964&amp;col=6&amp;number=3&amp;sourceID=14","3")</f>
        <v>3</v>
      </c>
      <c r="G7964" s="4" t="str">
        <f>HYPERLINK("http://141.218.60.56/~jnz1568/getInfo.php?workbook=12_05.xlsx&amp;sheet=U0&amp;row=7964&amp;col=7&amp;number=0.000784&amp;sourceID=14","0.000784")</f>
        <v>0.000784</v>
      </c>
    </row>
    <row r="7965" spans="1:7">
      <c r="A7965" s="3"/>
      <c r="B7965" s="3"/>
      <c r="C7965" s="3"/>
      <c r="D7965" s="3"/>
      <c r="E7965" s="3">
        <v>2</v>
      </c>
      <c r="F7965" s="4" t="str">
        <f>HYPERLINK("http://141.218.60.56/~jnz1568/getInfo.php?workbook=12_05.xlsx&amp;sheet=U0&amp;row=7965&amp;col=6&amp;number=3.1&amp;sourceID=14","3.1")</f>
        <v>3.1</v>
      </c>
      <c r="G7965" s="4" t="str">
        <f>HYPERLINK("http://141.218.60.56/~jnz1568/getInfo.php?workbook=12_05.xlsx&amp;sheet=U0&amp;row=7965&amp;col=7&amp;number=0.000784&amp;sourceID=14","0.000784")</f>
        <v>0.000784</v>
      </c>
    </row>
    <row r="7966" spans="1:7">
      <c r="A7966" s="3"/>
      <c r="B7966" s="3"/>
      <c r="C7966" s="3"/>
      <c r="D7966" s="3"/>
      <c r="E7966" s="3">
        <v>3</v>
      </c>
      <c r="F7966" s="4" t="str">
        <f>HYPERLINK("http://141.218.60.56/~jnz1568/getInfo.php?workbook=12_05.xlsx&amp;sheet=U0&amp;row=7966&amp;col=6&amp;number=3.2&amp;sourceID=14","3.2")</f>
        <v>3.2</v>
      </c>
      <c r="G7966" s="4" t="str">
        <f>HYPERLINK("http://141.218.60.56/~jnz1568/getInfo.php?workbook=12_05.xlsx&amp;sheet=U0&amp;row=7966&amp;col=7&amp;number=0.000784&amp;sourceID=14","0.000784")</f>
        <v>0.000784</v>
      </c>
    </row>
    <row r="7967" spans="1:7">
      <c r="A7967" s="3"/>
      <c r="B7967" s="3"/>
      <c r="C7967" s="3"/>
      <c r="D7967" s="3"/>
      <c r="E7967" s="3">
        <v>4</v>
      </c>
      <c r="F7967" s="4" t="str">
        <f>HYPERLINK("http://141.218.60.56/~jnz1568/getInfo.php?workbook=12_05.xlsx&amp;sheet=U0&amp;row=7967&amp;col=6&amp;number=3.3&amp;sourceID=14","3.3")</f>
        <v>3.3</v>
      </c>
      <c r="G7967" s="4" t="str">
        <f>HYPERLINK("http://141.218.60.56/~jnz1568/getInfo.php?workbook=12_05.xlsx&amp;sheet=U0&amp;row=7967&amp;col=7&amp;number=0.000783&amp;sourceID=14","0.000783")</f>
        <v>0.000783</v>
      </c>
    </row>
    <row r="7968" spans="1:7">
      <c r="A7968" s="3"/>
      <c r="B7968" s="3"/>
      <c r="C7968" s="3"/>
      <c r="D7968" s="3"/>
      <c r="E7968" s="3">
        <v>5</v>
      </c>
      <c r="F7968" s="4" t="str">
        <f>HYPERLINK("http://141.218.60.56/~jnz1568/getInfo.php?workbook=12_05.xlsx&amp;sheet=U0&amp;row=7968&amp;col=6&amp;number=3.4&amp;sourceID=14","3.4")</f>
        <v>3.4</v>
      </c>
      <c r="G7968" s="4" t="str">
        <f>HYPERLINK("http://141.218.60.56/~jnz1568/getInfo.php?workbook=12_05.xlsx&amp;sheet=U0&amp;row=7968&amp;col=7&amp;number=0.000783&amp;sourceID=14","0.000783")</f>
        <v>0.000783</v>
      </c>
    </row>
    <row r="7969" spans="1:7">
      <c r="A7969" s="3"/>
      <c r="B7969" s="3"/>
      <c r="C7969" s="3"/>
      <c r="D7969" s="3"/>
      <c r="E7969" s="3">
        <v>6</v>
      </c>
      <c r="F7969" s="4" t="str">
        <f>HYPERLINK("http://141.218.60.56/~jnz1568/getInfo.php?workbook=12_05.xlsx&amp;sheet=U0&amp;row=7969&amp;col=6&amp;number=3.5&amp;sourceID=14","3.5")</f>
        <v>3.5</v>
      </c>
      <c r="G7969" s="4" t="str">
        <f>HYPERLINK("http://141.218.60.56/~jnz1568/getInfo.php?workbook=12_05.xlsx&amp;sheet=U0&amp;row=7969&amp;col=7&amp;number=0.000782&amp;sourceID=14","0.000782")</f>
        <v>0.000782</v>
      </c>
    </row>
    <row r="7970" spans="1:7">
      <c r="A7970" s="3"/>
      <c r="B7970" s="3"/>
      <c r="C7970" s="3"/>
      <c r="D7970" s="3"/>
      <c r="E7970" s="3">
        <v>7</v>
      </c>
      <c r="F7970" s="4" t="str">
        <f>HYPERLINK("http://141.218.60.56/~jnz1568/getInfo.php?workbook=12_05.xlsx&amp;sheet=U0&amp;row=7970&amp;col=6&amp;number=3.6&amp;sourceID=14","3.6")</f>
        <v>3.6</v>
      </c>
      <c r="G7970" s="4" t="str">
        <f>HYPERLINK("http://141.218.60.56/~jnz1568/getInfo.php?workbook=12_05.xlsx&amp;sheet=U0&amp;row=7970&amp;col=7&amp;number=0.000782&amp;sourceID=14","0.000782")</f>
        <v>0.000782</v>
      </c>
    </row>
    <row r="7971" spans="1:7">
      <c r="A7971" s="3"/>
      <c r="B7971" s="3"/>
      <c r="C7971" s="3"/>
      <c r="D7971" s="3"/>
      <c r="E7971" s="3">
        <v>8</v>
      </c>
      <c r="F7971" s="4" t="str">
        <f>HYPERLINK("http://141.218.60.56/~jnz1568/getInfo.php?workbook=12_05.xlsx&amp;sheet=U0&amp;row=7971&amp;col=6&amp;number=3.7&amp;sourceID=14","3.7")</f>
        <v>3.7</v>
      </c>
      <c r="G7971" s="4" t="str">
        <f>HYPERLINK("http://141.218.60.56/~jnz1568/getInfo.php?workbook=12_05.xlsx&amp;sheet=U0&amp;row=7971&amp;col=7&amp;number=0.000781&amp;sourceID=14","0.000781")</f>
        <v>0.000781</v>
      </c>
    </row>
    <row r="7972" spans="1:7">
      <c r="A7972" s="3"/>
      <c r="B7972" s="3"/>
      <c r="C7972" s="3"/>
      <c r="D7972" s="3"/>
      <c r="E7972" s="3">
        <v>9</v>
      </c>
      <c r="F7972" s="4" t="str">
        <f>HYPERLINK("http://141.218.60.56/~jnz1568/getInfo.php?workbook=12_05.xlsx&amp;sheet=U0&amp;row=7972&amp;col=6&amp;number=3.8&amp;sourceID=14","3.8")</f>
        <v>3.8</v>
      </c>
      <c r="G7972" s="4" t="str">
        <f>HYPERLINK("http://141.218.60.56/~jnz1568/getInfo.php?workbook=12_05.xlsx&amp;sheet=U0&amp;row=7972&amp;col=7&amp;number=0.00078&amp;sourceID=14","0.00078")</f>
        <v>0.00078</v>
      </c>
    </row>
    <row r="7973" spans="1:7">
      <c r="A7973" s="3"/>
      <c r="B7973" s="3"/>
      <c r="C7973" s="3"/>
      <c r="D7973" s="3"/>
      <c r="E7973" s="3">
        <v>10</v>
      </c>
      <c r="F7973" s="4" t="str">
        <f>HYPERLINK("http://141.218.60.56/~jnz1568/getInfo.php?workbook=12_05.xlsx&amp;sheet=U0&amp;row=7973&amp;col=6&amp;number=3.9&amp;sourceID=14","3.9")</f>
        <v>3.9</v>
      </c>
      <c r="G7973" s="4" t="str">
        <f>HYPERLINK("http://141.218.60.56/~jnz1568/getInfo.php?workbook=12_05.xlsx&amp;sheet=U0&amp;row=7973&amp;col=7&amp;number=0.000779&amp;sourceID=14","0.000779")</f>
        <v>0.000779</v>
      </c>
    </row>
    <row r="7974" spans="1:7">
      <c r="A7974" s="3"/>
      <c r="B7974" s="3"/>
      <c r="C7974" s="3"/>
      <c r="D7974" s="3"/>
      <c r="E7974" s="3">
        <v>11</v>
      </c>
      <c r="F7974" s="4" t="str">
        <f>HYPERLINK("http://141.218.60.56/~jnz1568/getInfo.php?workbook=12_05.xlsx&amp;sheet=U0&amp;row=7974&amp;col=6&amp;number=4&amp;sourceID=14","4")</f>
        <v>4</v>
      </c>
      <c r="G7974" s="4" t="str">
        <f>HYPERLINK("http://141.218.60.56/~jnz1568/getInfo.php?workbook=12_05.xlsx&amp;sheet=U0&amp;row=7974&amp;col=7&amp;number=0.000777&amp;sourceID=14","0.000777")</f>
        <v>0.000777</v>
      </c>
    </row>
    <row r="7975" spans="1:7">
      <c r="A7975" s="3"/>
      <c r="B7975" s="3"/>
      <c r="C7975" s="3"/>
      <c r="D7975" s="3"/>
      <c r="E7975" s="3">
        <v>12</v>
      </c>
      <c r="F7975" s="4" t="str">
        <f>HYPERLINK("http://141.218.60.56/~jnz1568/getInfo.php?workbook=12_05.xlsx&amp;sheet=U0&amp;row=7975&amp;col=6&amp;number=4.1&amp;sourceID=14","4.1")</f>
        <v>4.1</v>
      </c>
      <c r="G7975" s="4" t="str">
        <f>HYPERLINK("http://141.218.60.56/~jnz1568/getInfo.php?workbook=12_05.xlsx&amp;sheet=U0&amp;row=7975&amp;col=7&amp;number=0.000776&amp;sourceID=14","0.000776")</f>
        <v>0.000776</v>
      </c>
    </row>
    <row r="7976" spans="1:7">
      <c r="A7976" s="3"/>
      <c r="B7976" s="3"/>
      <c r="C7976" s="3"/>
      <c r="D7976" s="3"/>
      <c r="E7976" s="3">
        <v>13</v>
      </c>
      <c r="F7976" s="4" t="str">
        <f>HYPERLINK("http://141.218.60.56/~jnz1568/getInfo.php?workbook=12_05.xlsx&amp;sheet=U0&amp;row=7976&amp;col=6&amp;number=4.2&amp;sourceID=14","4.2")</f>
        <v>4.2</v>
      </c>
      <c r="G7976" s="4" t="str">
        <f>HYPERLINK("http://141.218.60.56/~jnz1568/getInfo.php?workbook=12_05.xlsx&amp;sheet=U0&amp;row=7976&amp;col=7&amp;number=0.000773&amp;sourceID=14","0.000773")</f>
        <v>0.000773</v>
      </c>
    </row>
    <row r="7977" spans="1:7">
      <c r="A7977" s="3"/>
      <c r="B7977" s="3"/>
      <c r="C7977" s="3"/>
      <c r="D7977" s="3"/>
      <c r="E7977" s="3">
        <v>14</v>
      </c>
      <c r="F7977" s="4" t="str">
        <f>HYPERLINK("http://141.218.60.56/~jnz1568/getInfo.php?workbook=12_05.xlsx&amp;sheet=U0&amp;row=7977&amp;col=6&amp;number=4.3&amp;sourceID=14","4.3")</f>
        <v>4.3</v>
      </c>
      <c r="G7977" s="4" t="str">
        <f>HYPERLINK("http://141.218.60.56/~jnz1568/getInfo.php?workbook=12_05.xlsx&amp;sheet=U0&amp;row=7977&amp;col=7&amp;number=0.00077&amp;sourceID=14","0.00077")</f>
        <v>0.00077</v>
      </c>
    </row>
    <row r="7978" spans="1:7">
      <c r="A7978" s="3"/>
      <c r="B7978" s="3"/>
      <c r="C7978" s="3"/>
      <c r="D7978" s="3"/>
      <c r="E7978" s="3">
        <v>15</v>
      </c>
      <c r="F7978" s="4" t="str">
        <f>HYPERLINK("http://141.218.60.56/~jnz1568/getInfo.php?workbook=12_05.xlsx&amp;sheet=U0&amp;row=7978&amp;col=6&amp;number=4.4&amp;sourceID=14","4.4")</f>
        <v>4.4</v>
      </c>
      <c r="G7978" s="4" t="str">
        <f>HYPERLINK("http://141.218.60.56/~jnz1568/getInfo.php?workbook=12_05.xlsx&amp;sheet=U0&amp;row=7978&amp;col=7&amp;number=0.000767&amp;sourceID=14","0.000767")</f>
        <v>0.000767</v>
      </c>
    </row>
    <row r="7979" spans="1:7">
      <c r="A7979" s="3"/>
      <c r="B7979" s="3"/>
      <c r="C7979" s="3"/>
      <c r="D7979" s="3"/>
      <c r="E7979" s="3">
        <v>16</v>
      </c>
      <c r="F7979" s="4" t="str">
        <f>HYPERLINK("http://141.218.60.56/~jnz1568/getInfo.php?workbook=12_05.xlsx&amp;sheet=U0&amp;row=7979&amp;col=6&amp;number=4.5&amp;sourceID=14","4.5")</f>
        <v>4.5</v>
      </c>
      <c r="G7979" s="4" t="str">
        <f>HYPERLINK("http://141.218.60.56/~jnz1568/getInfo.php?workbook=12_05.xlsx&amp;sheet=U0&amp;row=7979&amp;col=7&amp;number=0.000762&amp;sourceID=14","0.000762")</f>
        <v>0.000762</v>
      </c>
    </row>
    <row r="7980" spans="1:7">
      <c r="A7980" s="3"/>
      <c r="B7980" s="3"/>
      <c r="C7980" s="3"/>
      <c r="D7980" s="3"/>
      <c r="E7980" s="3">
        <v>17</v>
      </c>
      <c r="F7980" s="4" t="str">
        <f>HYPERLINK("http://141.218.60.56/~jnz1568/getInfo.php?workbook=12_05.xlsx&amp;sheet=U0&amp;row=7980&amp;col=6&amp;number=4.6&amp;sourceID=14","4.6")</f>
        <v>4.6</v>
      </c>
      <c r="G7980" s="4" t="str">
        <f>HYPERLINK("http://141.218.60.56/~jnz1568/getInfo.php?workbook=12_05.xlsx&amp;sheet=U0&amp;row=7980&amp;col=7&amp;number=0.000756&amp;sourceID=14","0.000756")</f>
        <v>0.000756</v>
      </c>
    </row>
    <row r="7981" spans="1:7">
      <c r="A7981" s="3"/>
      <c r="B7981" s="3"/>
      <c r="C7981" s="3"/>
      <c r="D7981" s="3"/>
      <c r="E7981" s="3">
        <v>18</v>
      </c>
      <c r="F7981" s="4" t="str">
        <f>HYPERLINK("http://141.218.60.56/~jnz1568/getInfo.php?workbook=12_05.xlsx&amp;sheet=U0&amp;row=7981&amp;col=6&amp;number=4.7&amp;sourceID=14","4.7")</f>
        <v>4.7</v>
      </c>
      <c r="G7981" s="4" t="str">
        <f>HYPERLINK("http://141.218.60.56/~jnz1568/getInfo.php?workbook=12_05.xlsx&amp;sheet=U0&amp;row=7981&amp;col=7&amp;number=0.000749&amp;sourceID=14","0.000749")</f>
        <v>0.000749</v>
      </c>
    </row>
    <row r="7982" spans="1:7">
      <c r="A7982" s="3"/>
      <c r="B7982" s="3"/>
      <c r="C7982" s="3"/>
      <c r="D7982" s="3"/>
      <c r="E7982" s="3">
        <v>19</v>
      </c>
      <c r="F7982" s="4" t="str">
        <f>HYPERLINK("http://141.218.60.56/~jnz1568/getInfo.php?workbook=12_05.xlsx&amp;sheet=U0&amp;row=7982&amp;col=6&amp;number=4.8&amp;sourceID=14","4.8")</f>
        <v>4.8</v>
      </c>
      <c r="G7982" s="4" t="str">
        <f>HYPERLINK("http://141.218.60.56/~jnz1568/getInfo.php?workbook=12_05.xlsx&amp;sheet=U0&amp;row=7982&amp;col=7&amp;number=0.000741&amp;sourceID=14","0.000741")</f>
        <v>0.000741</v>
      </c>
    </row>
    <row r="7983" spans="1:7">
      <c r="A7983" s="3"/>
      <c r="B7983" s="3"/>
      <c r="C7983" s="3"/>
      <c r="D7983" s="3"/>
      <c r="E7983" s="3">
        <v>20</v>
      </c>
      <c r="F7983" s="4" t="str">
        <f>HYPERLINK("http://141.218.60.56/~jnz1568/getInfo.php?workbook=12_05.xlsx&amp;sheet=U0&amp;row=7983&amp;col=6&amp;number=4.9&amp;sourceID=14","4.9")</f>
        <v>4.9</v>
      </c>
      <c r="G7983" s="4" t="str">
        <f>HYPERLINK("http://141.218.60.56/~jnz1568/getInfo.php?workbook=12_05.xlsx&amp;sheet=U0&amp;row=7983&amp;col=7&amp;number=0.00073&amp;sourceID=14","0.00073")</f>
        <v>0.00073</v>
      </c>
    </row>
    <row r="7984" spans="1:7">
      <c r="A7984" s="3">
        <v>12</v>
      </c>
      <c r="B7984" s="3">
        <v>5</v>
      </c>
      <c r="C7984" s="3">
        <v>3</v>
      </c>
      <c r="D7984" s="3">
        <v>63</v>
      </c>
      <c r="E7984" s="3">
        <v>1</v>
      </c>
      <c r="F7984" s="4" t="str">
        <f>HYPERLINK("http://141.218.60.56/~jnz1568/getInfo.php?workbook=12_05.xlsx&amp;sheet=U0&amp;row=7984&amp;col=6&amp;number=3&amp;sourceID=14","3")</f>
        <v>3</v>
      </c>
      <c r="G7984" s="4" t="str">
        <f>HYPERLINK("http://141.218.60.56/~jnz1568/getInfo.php?workbook=12_05.xlsx&amp;sheet=U0&amp;row=7984&amp;col=7&amp;number=0.00203&amp;sourceID=14","0.00203")</f>
        <v>0.00203</v>
      </c>
    </row>
    <row r="7985" spans="1:7">
      <c r="A7985" s="3"/>
      <c r="B7985" s="3"/>
      <c r="C7985" s="3"/>
      <c r="D7985" s="3"/>
      <c r="E7985" s="3">
        <v>2</v>
      </c>
      <c r="F7985" s="4" t="str">
        <f>HYPERLINK("http://141.218.60.56/~jnz1568/getInfo.php?workbook=12_05.xlsx&amp;sheet=U0&amp;row=7985&amp;col=6&amp;number=3.1&amp;sourceID=14","3.1")</f>
        <v>3.1</v>
      </c>
      <c r="G7985" s="4" t="str">
        <f>HYPERLINK("http://141.218.60.56/~jnz1568/getInfo.php?workbook=12_05.xlsx&amp;sheet=U0&amp;row=7985&amp;col=7&amp;number=0.00203&amp;sourceID=14","0.00203")</f>
        <v>0.00203</v>
      </c>
    </row>
    <row r="7986" spans="1:7">
      <c r="A7986" s="3"/>
      <c r="B7986" s="3"/>
      <c r="C7986" s="3"/>
      <c r="D7986" s="3"/>
      <c r="E7986" s="3">
        <v>3</v>
      </c>
      <c r="F7986" s="4" t="str">
        <f>HYPERLINK("http://141.218.60.56/~jnz1568/getInfo.php?workbook=12_05.xlsx&amp;sheet=U0&amp;row=7986&amp;col=6&amp;number=3.2&amp;sourceID=14","3.2")</f>
        <v>3.2</v>
      </c>
      <c r="G7986" s="4" t="str">
        <f>HYPERLINK("http://141.218.60.56/~jnz1568/getInfo.php?workbook=12_05.xlsx&amp;sheet=U0&amp;row=7986&amp;col=7&amp;number=0.00203&amp;sourceID=14","0.00203")</f>
        <v>0.00203</v>
      </c>
    </row>
    <row r="7987" spans="1:7">
      <c r="A7987" s="3"/>
      <c r="B7987" s="3"/>
      <c r="C7987" s="3"/>
      <c r="D7987" s="3"/>
      <c r="E7987" s="3">
        <v>4</v>
      </c>
      <c r="F7987" s="4" t="str">
        <f>HYPERLINK("http://141.218.60.56/~jnz1568/getInfo.php?workbook=12_05.xlsx&amp;sheet=U0&amp;row=7987&amp;col=6&amp;number=3.3&amp;sourceID=14","3.3")</f>
        <v>3.3</v>
      </c>
      <c r="G7987" s="4" t="str">
        <f>HYPERLINK("http://141.218.60.56/~jnz1568/getInfo.php?workbook=12_05.xlsx&amp;sheet=U0&amp;row=7987&amp;col=7&amp;number=0.00203&amp;sourceID=14","0.00203")</f>
        <v>0.00203</v>
      </c>
    </row>
    <row r="7988" spans="1:7">
      <c r="A7988" s="3"/>
      <c r="B7988" s="3"/>
      <c r="C7988" s="3"/>
      <c r="D7988" s="3"/>
      <c r="E7988" s="3">
        <v>5</v>
      </c>
      <c r="F7988" s="4" t="str">
        <f>HYPERLINK("http://141.218.60.56/~jnz1568/getInfo.php?workbook=12_05.xlsx&amp;sheet=U0&amp;row=7988&amp;col=6&amp;number=3.4&amp;sourceID=14","3.4")</f>
        <v>3.4</v>
      </c>
      <c r="G7988" s="4" t="str">
        <f>HYPERLINK("http://141.218.60.56/~jnz1568/getInfo.php?workbook=12_05.xlsx&amp;sheet=U0&amp;row=7988&amp;col=7&amp;number=0.00203&amp;sourceID=14","0.00203")</f>
        <v>0.00203</v>
      </c>
    </row>
    <row r="7989" spans="1:7">
      <c r="A7989" s="3"/>
      <c r="B7989" s="3"/>
      <c r="C7989" s="3"/>
      <c r="D7989" s="3"/>
      <c r="E7989" s="3">
        <v>6</v>
      </c>
      <c r="F7989" s="4" t="str">
        <f>HYPERLINK("http://141.218.60.56/~jnz1568/getInfo.php?workbook=12_05.xlsx&amp;sheet=U0&amp;row=7989&amp;col=6&amp;number=3.5&amp;sourceID=14","3.5")</f>
        <v>3.5</v>
      </c>
      <c r="G7989" s="4" t="str">
        <f>HYPERLINK("http://141.218.60.56/~jnz1568/getInfo.php?workbook=12_05.xlsx&amp;sheet=U0&amp;row=7989&amp;col=7&amp;number=0.00202&amp;sourceID=14","0.00202")</f>
        <v>0.00202</v>
      </c>
    </row>
    <row r="7990" spans="1:7">
      <c r="A7990" s="3"/>
      <c r="B7990" s="3"/>
      <c r="C7990" s="3"/>
      <c r="D7990" s="3"/>
      <c r="E7990" s="3">
        <v>7</v>
      </c>
      <c r="F7990" s="4" t="str">
        <f>HYPERLINK("http://141.218.60.56/~jnz1568/getInfo.php?workbook=12_05.xlsx&amp;sheet=U0&amp;row=7990&amp;col=6&amp;number=3.6&amp;sourceID=14","3.6")</f>
        <v>3.6</v>
      </c>
      <c r="G7990" s="4" t="str">
        <f>HYPERLINK("http://141.218.60.56/~jnz1568/getInfo.php?workbook=12_05.xlsx&amp;sheet=U0&amp;row=7990&amp;col=7&amp;number=0.00202&amp;sourceID=14","0.00202")</f>
        <v>0.00202</v>
      </c>
    </row>
    <row r="7991" spans="1:7">
      <c r="A7991" s="3"/>
      <c r="B7991" s="3"/>
      <c r="C7991" s="3"/>
      <c r="D7991" s="3"/>
      <c r="E7991" s="3">
        <v>8</v>
      </c>
      <c r="F7991" s="4" t="str">
        <f>HYPERLINK("http://141.218.60.56/~jnz1568/getInfo.php?workbook=12_05.xlsx&amp;sheet=U0&amp;row=7991&amp;col=6&amp;number=3.7&amp;sourceID=14","3.7")</f>
        <v>3.7</v>
      </c>
      <c r="G7991" s="4" t="str">
        <f>HYPERLINK("http://141.218.60.56/~jnz1568/getInfo.php?workbook=12_05.xlsx&amp;sheet=U0&amp;row=7991&amp;col=7&amp;number=0.00202&amp;sourceID=14","0.00202")</f>
        <v>0.00202</v>
      </c>
    </row>
    <row r="7992" spans="1:7">
      <c r="A7992" s="3"/>
      <c r="B7992" s="3"/>
      <c r="C7992" s="3"/>
      <c r="D7992" s="3"/>
      <c r="E7992" s="3">
        <v>9</v>
      </c>
      <c r="F7992" s="4" t="str">
        <f>HYPERLINK("http://141.218.60.56/~jnz1568/getInfo.php?workbook=12_05.xlsx&amp;sheet=U0&amp;row=7992&amp;col=6&amp;number=3.8&amp;sourceID=14","3.8")</f>
        <v>3.8</v>
      </c>
      <c r="G7992" s="4" t="str">
        <f>HYPERLINK("http://141.218.60.56/~jnz1568/getInfo.php?workbook=12_05.xlsx&amp;sheet=U0&amp;row=7992&amp;col=7&amp;number=0.00202&amp;sourceID=14","0.00202")</f>
        <v>0.00202</v>
      </c>
    </row>
    <row r="7993" spans="1:7">
      <c r="A7993" s="3"/>
      <c r="B7993" s="3"/>
      <c r="C7993" s="3"/>
      <c r="D7993" s="3"/>
      <c r="E7993" s="3">
        <v>10</v>
      </c>
      <c r="F7993" s="4" t="str">
        <f>HYPERLINK("http://141.218.60.56/~jnz1568/getInfo.php?workbook=12_05.xlsx&amp;sheet=U0&amp;row=7993&amp;col=6&amp;number=3.9&amp;sourceID=14","3.9")</f>
        <v>3.9</v>
      </c>
      <c r="G7993" s="4" t="str">
        <f>HYPERLINK("http://141.218.60.56/~jnz1568/getInfo.php?workbook=12_05.xlsx&amp;sheet=U0&amp;row=7993&amp;col=7&amp;number=0.00201&amp;sourceID=14","0.00201")</f>
        <v>0.00201</v>
      </c>
    </row>
    <row r="7994" spans="1:7">
      <c r="A7994" s="3"/>
      <c r="B7994" s="3"/>
      <c r="C7994" s="3"/>
      <c r="D7994" s="3"/>
      <c r="E7994" s="3">
        <v>11</v>
      </c>
      <c r="F7994" s="4" t="str">
        <f>HYPERLINK("http://141.218.60.56/~jnz1568/getInfo.php?workbook=12_05.xlsx&amp;sheet=U0&amp;row=7994&amp;col=6&amp;number=4&amp;sourceID=14","4")</f>
        <v>4</v>
      </c>
      <c r="G7994" s="4" t="str">
        <f>HYPERLINK("http://141.218.60.56/~jnz1568/getInfo.php?workbook=12_05.xlsx&amp;sheet=U0&amp;row=7994&amp;col=7&amp;number=0.00201&amp;sourceID=14","0.00201")</f>
        <v>0.00201</v>
      </c>
    </row>
    <row r="7995" spans="1:7">
      <c r="A7995" s="3"/>
      <c r="B7995" s="3"/>
      <c r="C7995" s="3"/>
      <c r="D7995" s="3"/>
      <c r="E7995" s="3">
        <v>12</v>
      </c>
      <c r="F7995" s="4" t="str">
        <f>HYPERLINK("http://141.218.60.56/~jnz1568/getInfo.php?workbook=12_05.xlsx&amp;sheet=U0&amp;row=7995&amp;col=6&amp;number=4.1&amp;sourceID=14","4.1")</f>
        <v>4.1</v>
      </c>
      <c r="G7995" s="4" t="str">
        <f>HYPERLINK("http://141.218.60.56/~jnz1568/getInfo.php?workbook=12_05.xlsx&amp;sheet=U0&amp;row=7995&amp;col=7&amp;number=0.00201&amp;sourceID=14","0.00201")</f>
        <v>0.00201</v>
      </c>
    </row>
    <row r="7996" spans="1:7">
      <c r="A7996" s="3"/>
      <c r="B7996" s="3"/>
      <c r="C7996" s="3"/>
      <c r="D7996" s="3"/>
      <c r="E7996" s="3">
        <v>13</v>
      </c>
      <c r="F7996" s="4" t="str">
        <f>HYPERLINK("http://141.218.60.56/~jnz1568/getInfo.php?workbook=12_05.xlsx&amp;sheet=U0&amp;row=7996&amp;col=6&amp;number=4.2&amp;sourceID=14","4.2")</f>
        <v>4.2</v>
      </c>
      <c r="G7996" s="4" t="str">
        <f>HYPERLINK("http://141.218.60.56/~jnz1568/getInfo.php?workbook=12_05.xlsx&amp;sheet=U0&amp;row=7996&amp;col=7&amp;number=0.002&amp;sourceID=14","0.002")</f>
        <v>0.002</v>
      </c>
    </row>
    <row r="7997" spans="1:7">
      <c r="A7997" s="3"/>
      <c r="B7997" s="3"/>
      <c r="C7997" s="3"/>
      <c r="D7997" s="3"/>
      <c r="E7997" s="3">
        <v>14</v>
      </c>
      <c r="F7997" s="4" t="str">
        <f>HYPERLINK("http://141.218.60.56/~jnz1568/getInfo.php?workbook=12_05.xlsx&amp;sheet=U0&amp;row=7997&amp;col=6&amp;number=4.3&amp;sourceID=14","4.3")</f>
        <v>4.3</v>
      </c>
      <c r="G7997" s="4" t="str">
        <f>HYPERLINK("http://141.218.60.56/~jnz1568/getInfo.php?workbook=12_05.xlsx&amp;sheet=U0&amp;row=7997&amp;col=7&amp;number=0.00199&amp;sourceID=14","0.00199")</f>
        <v>0.00199</v>
      </c>
    </row>
    <row r="7998" spans="1:7">
      <c r="A7998" s="3"/>
      <c r="B7998" s="3"/>
      <c r="C7998" s="3"/>
      <c r="D7998" s="3"/>
      <c r="E7998" s="3">
        <v>15</v>
      </c>
      <c r="F7998" s="4" t="str">
        <f>HYPERLINK("http://141.218.60.56/~jnz1568/getInfo.php?workbook=12_05.xlsx&amp;sheet=U0&amp;row=7998&amp;col=6&amp;number=4.4&amp;sourceID=14","4.4")</f>
        <v>4.4</v>
      </c>
      <c r="G7998" s="4" t="str">
        <f>HYPERLINK("http://141.218.60.56/~jnz1568/getInfo.php?workbook=12_05.xlsx&amp;sheet=U0&amp;row=7998&amp;col=7&amp;number=0.00198&amp;sourceID=14","0.00198")</f>
        <v>0.00198</v>
      </c>
    </row>
    <row r="7999" spans="1:7">
      <c r="A7999" s="3"/>
      <c r="B7999" s="3"/>
      <c r="C7999" s="3"/>
      <c r="D7999" s="3"/>
      <c r="E7999" s="3">
        <v>16</v>
      </c>
      <c r="F7999" s="4" t="str">
        <f>HYPERLINK("http://141.218.60.56/~jnz1568/getInfo.php?workbook=12_05.xlsx&amp;sheet=U0&amp;row=7999&amp;col=6&amp;number=4.5&amp;sourceID=14","4.5")</f>
        <v>4.5</v>
      </c>
      <c r="G7999" s="4" t="str">
        <f>HYPERLINK("http://141.218.60.56/~jnz1568/getInfo.php?workbook=12_05.xlsx&amp;sheet=U0&amp;row=7999&amp;col=7&amp;number=0.00197&amp;sourceID=14","0.00197")</f>
        <v>0.00197</v>
      </c>
    </row>
    <row r="8000" spans="1:7">
      <c r="A8000" s="3"/>
      <c r="B8000" s="3"/>
      <c r="C8000" s="3"/>
      <c r="D8000" s="3"/>
      <c r="E8000" s="3">
        <v>17</v>
      </c>
      <c r="F8000" s="4" t="str">
        <f>HYPERLINK("http://141.218.60.56/~jnz1568/getInfo.php?workbook=12_05.xlsx&amp;sheet=U0&amp;row=8000&amp;col=6&amp;number=4.6&amp;sourceID=14","4.6")</f>
        <v>4.6</v>
      </c>
      <c r="G8000" s="4" t="str">
        <f>HYPERLINK("http://141.218.60.56/~jnz1568/getInfo.php?workbook=12_05.xlsx&amp;sheet=U0&amp;row=8000&amp;col=7&amp;number=0.00196&amp;sourceID=14","0.00196")</f>
        <v>0.00196</v>
      </c>
    </row>
    <row r="8001" spans="1:7">
      <c r="A8001" s="3"/>
      <c r="B8001" s="3"/>
      <c r="C8001" s="3"/>
      <c r="D8001" s="3"/>
      <c r="E8001" s="3">
        <v>18</v>
      </c>
      <c r="F8001" s="4" t="str">
        <f>HYPERLINK("http://141.218.60.56/~jnz1568/getInfo.php?workbook=12_05.xlsx&amp;sheet=U0&amp;row=8001&amp;col=6&amp;number=4.7&amp;sourceID=14","4.7")</f>
        <v>4.7</v>
      </c>
      <c r="G8001" s="4" t="str">
        <f>HYPERLINK("http://141.218.60.56/~jnz1568/getInfo.php?workbook=12_05.xlsx&amp;sheet=U0&amp;row=8001&amp;col=7&amp;number=0.00194&amp;sourceID=14","0.00194")</f>
        <v>0.00194</v>
      </c>
    </row>
    <row r="8002" spans="1:7">
      <c r="A8002" s="3"/>
      <c r="B8002" s="3"/>
      <c r="C8002" s="3"/>
      <c r="D8002" s="3"/>
      <c r="E8002" s="3">
        <v>19</v>
      </c>
      <c r="F8002" s="4" t="str">
        <f>HYPERLINK("http://141.218.60.56/~jnz1568/getInfo.php?workbook=12_05.xlsx&amp;sheet=U0&amp;row=8002&amp;col=6&amp;number=4.8&amp;sourceID=14","4.8")</f>
        <v>4.8</v>
      </c>
      <c r="G8002" s="4" t="str">
        <f>HYPERLINK("http://141.218.60.56/~jnz1568/getInfo.php?workbook=12_05.xlsx&amp;sheet=U0&amp;row=8002&amp;col=7&amp;number=0.00191&amp;sourceID=14","0.00191")</f>
        <v>0.00191</v>
      </c>
    </row>
    <row r="8003" spans="1:7">
      <c r="A8003" s="3"/>
      <c r="B8003" s="3"/>
      <c r="C8003" s="3"/>
      <c r="D8003" s="3"/>
      <c r="E8003" s="3">
        <v>20</v>
      </c>
      <c r="F8003" s="4" t="str">
        <f>HYPERLINK("http://141.218.60.56/~jnz1568/getInfo.php?workbook=12_05.xlsx&amp;sheet=U0&amp;row=8003&amp;col=6&amp;number=4.9&amp;sourceID=14","4.9")</f>
        <v>4.9</v>
      </c>
      <c r="G8003" s="4" t="str">
        <f>HYPERLINK("http://141.218.60.56/~jnz1568/getInfo.php?workbook=12_05.xlsx&amp;sheet=U0&amp;row=8003&amp;col=7&amp;number=0.00189&amp;sourceID=14","0.00189")</f>
        <v>0.00189</v>
      </c>
    </row>
    <row r="8004" spans="1:7">
      <c r="A8004" s="3">
        <v>12</v>
      </c>
      <c r="B8004" s="3">
        <v>5</v>
      </c>
      <c r="C8004" s="3">
        <v>3</v>
      </c>
      <c r="D8004" s="3">
        <v>65</v>
      </c>
      <c r="E8004" s="3">
        <v>1</v>
      </c>
      <c r="F8004" s="4" t="str">
        <f>HYPERLINK("http://141.218.60.56/~jnz1568/getInfo.php?workbook=12_05.xlsx&amp;sheet=U0&amp;row=8004&amp;col=6&amp;number=3&amp;sourceID=14","3")</f>
        <v>3</v>
      </c>
      <c r="G8004" s="4" t="str">
        <f>HYPERLINK("http://141.218.60.56/~jnz1568/getInfo.php?workbook=12_05.xlsx&amp;sheet=U0&amp;row=8004&amp;col=7&amp;number=0.00304&amp;sourceID=14","0.00304")</f>
        <v>0.00304</v>
      </c>
    </row>
    <row r="8005" spans="1:7">
      <c r="A8005" s="3"/>
      <c r="B8005" s="3"/>
      <c r="C8005" s="3"/>
      <c r="D8005" s="3"/>
      <c r="E8005" s="3">
        <v>2</v>
      </c>
      <c r="F8005" s="4" t="str">
        <f>HYPERLINK("http://141.218.60.56/~jnz1568/getInfo.php?workbook=12_05.xlsx&amp;sheet=U0&amp;row=8005&amp;col=6&amp;number=3.1&amp;sourceID=14","3.1")</f>
        <v>3.1</v>
      </c>
      <c r="G8005" s="4" t="str">
        <f>HYPERLINK("http://141.218.60.56/~jnz1568/getInfo.php?workbook=12_05.xlsx&amp;sheet=U0&amp;row=8005&amp;col=7&amp;number=0.00304&amp;sourceID=14","0.00304")</f>
        <v>0.00304</v>
      </c>
    </row>
    <row r="8006" spans="1:7">
      <c r="A8006" s="3"/>
      <c r="B8006" s="3"/>
      <c r="C8006" s="3"/>
      <c r="D8006" s="3"/>
      <c r="E8006" s="3">
        <v>3</v>
      </c>
      <c r="F8006" s="4" t="str">
        <f>HYPERLINK("http://141.218.60.56/~jnz1568/getInfo.php?workbook=12_05.xlsx&amp;sheet=U0&amp;row=8006&amp;col=6&amp;number=3.2&amp;sourceID=14","3.2")</f>
        <v>3.2</v>
      </c>
      <c r="G8006" s="4" t="str">
        <f>HYPERLINK("http://141.218.60.56/~jnz1568/getInfo.php?workbook=12_05.xlsx&amp;sheet=U0&amp;row=8006&amp;col=7&amp;number=0.00304&amp;sourceID=14","0.00304")</f>
        <v>0.00304</v>
      </c>
    </row>
    <row r="8007" spans="1:7">
      <c r="A8007" s="3"/>
      <c r="B8007" s="3"/>
      <c r="C8007" s="3"/>
      <c r="D8007" s="3"/>
      <c r="E8007" s="3">
        <v>4</v>
      </c>
      <c r="F8007" s="4" t="str">
        <f>HYPERLINK("http://141.218.60.56/~jnz1568/getInfo.php?workbook=12_05.xlsx&amp;sheet=U0&amp;row=8007&amp;col=6&amp;number=3.3&amp;sourceID=14","3.3")</f>
        <v>3.3</v>
      </c>
      <c r="G8007" s="4" t="str">
        <f>HYPERLINK("http://141.218.60.56/~jnz1568/getInfo.php?workbook=12_05.xlsx&amp;sheet=U0&amp;row=8007&amp;col=7&amp;number=0.00304&amp;sourceID=14","0.00304")</f>
        <v>0.00304</v>
      </c>
    </row>
    <row r="8008" spans="1:7">
      <c r="A8008" s="3"/>
      <c r="B8008" s="3"/>
      <c r="C8008" s="3"/>
      <c r="D8008" s="3"/>
      <c r="E8008" s="3">
        <v>5</v>
      </c>
      <c r="F8008" s="4" t="str">
        <f>HYPERLINK("http://141.218.60.56/~jnz1568/getInfo.php?workbook=12_05.xlsx&amp;sheet=U0&amp;row=8008&amp;col=6&amp;number=3.4&amp;sourceID=14","3.4")</f>
        <v>3.4</v>
      </c>
      <c r="G8008" s="4" t="str">
        <f>HYPERLINK("http://141.218.60.56/~jnz1568/getInfo.php?workbook=12_05.xlsx&amp;sheet=U0&amp;row=8008&amp;col=7&amp;number=0.00304&amp;sourceID=14","0.00304")</f>
        <v>0.00304</v>
      </c>
    </row>
    <row r="8009" spans="1:7">
      <c r="A8009" s="3"/>
      <c r="B8009" s="3"/>
      <c r="C8009" s="3"/>
      <c r="D8009" s="3"/>
      <c r="E8009" s="3">
        <v>6</v>
      </c>
      <c r="F8009" s="4" t="str">
        <f>HYPERLINK("http://141.218.60.56/~jnz1568/getInfo.php?workbook=12_05.xlsx&amp;sheet=U0&amp;row=8009&amp;col=6&amp;number=3.5&amp;sourceID=14","3.5")</f>
        <v>3.5</v>
      </c>
      <c r="G8009" s="4" t="str">
        <f>HYPERLINK("http://141.218.60.56/~jnz1568/getInfo.php?workbook=12_05.xlsx&amp;sheet=U0&amp;row=8009&amp;col=7&amp;number=0.00304&amp;sourceID=14","0.00304")</f>
        <v>0.00304</v>
      </c>
    </row>
    <row r="8010" spans="1:7">
      <c r="A8010" s="3"/>
      <c r="B8010" s="3"/>
      <c r="C8010" s="3"/>
      <c r="D8010" s="3"/>
      <c r="E8010" s="3">
        <v>7</v>
      </c>
      <c r="F8010" s="4" t="str">
        <f>HYPERLINK("http://141.218.60.56/~jnz1568/getInfo.php?workbook=12_05.xlsx&amp;sheet=U0&amp;row=8010&amp;col=6&amp;number=3.6&amp;sourceID=14","3.6")</f>
        <v>3.6</v>
      </c>
      <c r="G8010" s="4" t="str">
        <f>HYPERLINK("http://141.218.60.56/~jnz1568/getInfo.php?workbook=12_05.xlsx&amp;sheet=U0&amp;row=8010&amp;col=7&amp;number=0.00303&amp;sourceID=14","0.00303")</f>
        <v>0.00303</v>
      </c>
    </row>
    <row r="8011" spans="1:7">
      <c r="A8011" s="3"/>
      <c r="B8011" s="3"/>
      <c r="C8011" s="3"/>
      <c r="D8011" s="3"/>
      <c r="E8011" s="3">
        <v>8</v>
      </c>
      <c r="F8011" s="4" t="str">
        <f>HYPERLINK("http://141.218.60.56/~jnz1568/getInfo.php?workbook=12_05.xlsx&amp;sheet=U0&amp;row=8011&amp;col=6&amp;number=3.7&amp;sourceID=14","3.7")</f>
        <v>3.7</v>
      </c>
      <c r="G8011" s="4" t="str">
        <f>HYPERLINK("http://141.218.60.56/~jnz1568/getInfo.php?workbook=12_05.xlsx&amp;sheet=U0&amp;row=8011&amp;col=7&amp;number=0.00303&amp;sourceID=14","0.00303")</f>
        <v>0.00303</v>
      </c>
    </row>
    <row r="8012" spans="1:7">
      <c r="A8012" s="3"/>
      <c r="B8012" s="3"/>
      <c r="C8012" s="3"/>
      <c r="D8012" s="3"/>
      <c r="E8012" s="3">
        <v>9</v>
      </c>
      <c r="F8012" s="4" t="str">
        <f>HYPERLINK("http://141.218.60.56/~jnz1568/getInfo.php?workbook=12_05.xlsx&amp;sheet=U0&amp;row=8012&amp;col=6&amp;number=3.8&amp;sourceID=14","3.8")</f>
        <v>3.8</v>
      </c>
      <c r="G8012" s="4" t="str">
        <f>HYPERLINK("http://141.218.60.56/~jnz1568/getInfo.php?workbook=12_05.xlsx&amp;sheet=U0&amp;row=8012&amp;col=7&amp;number=0.00303&amp;sourceID=14","0.00303")</f>
        <v>0.00303</v>
      </c>
    </row>
    <row r="8013" spans="1:7">
      <c r="A8013" s="3"/>
      <c r="B8013" s="3"/>
      <c r="C8013" s="3"/>
      <c r="D8013" s="3"/>
      <c r="E8013" s="3">
        <v>10</v>
      </c>
      <c r="F8013" s="4" t="str">
        <f>HYPERLINK("http://141.218.60.56/~jnz1568/getInfo.php?workbook=12_05.xlsx&amp;sheet=U0&amp;row=8013&amp;col=6&amp;number=3.9&amp;sourceID=14","3.9")</f>
        <v>3.9</v>
      </c>
      <c r="G8013" s="4" t="str">
        <f>HYPERLINK("http://141.218.60.56/~jnz1568/getInfo.php?workbook=12_05.xlsx&amp;sheet=U0&amp;row=8013&amp;col=7&amp;number=0.00302&amp;sourceID=14","0.00302")</f>
        <v>0.00302</v>
      </c>
    </row>
    <row r="8014" spans="1:7">
      <c r="A8014" s="3"/>
      <c r="B8014" s="3"/>
      <c r="C8014" s="3"/>
      <c r="D8014" s="3"/>
      <c r="E8014" s="3">
        <v>11</v>
      </c>
      <c r="F8014" s="4" t="str">
        <f>HYPERLINK("http://141.218.60.56/~jnz1568/getInfo.php?workbook=12_05.xlsx&amp;sheet=U0&amp;row=8014&amp;col=6&amp;number=4&amp;sourceID=14","4")</f>
        <v>4</v>
      </c>
      <c r="G8014" s="4" t="str">
        <f>HYPERLINK("http://141.218.60.56/~jnz1568/getInfo.php?workbook=12_05.xlsx&amp;sheet=U0&amp;row=8014&amp;col=7&amp;number=0.00302&amp;sourceID=14","0.00302")</f>
        <v>0.00302</v>
      </c>
    </row>
    <row r="8015" spans="1:7">
      <c r="A8015" s="3"/>
      <c r="B8015" s="3"/>
      <c r="C8015" s="3"/>
      <c r="D8015" s="3"/>
      <c r="E8015" s="3">
        <v>12</v>
      </c>
      <c r="F8015" s="4" t="str">
        <f>HYPERLINK("http://141.218.60.56/~jnz1568/getInfo.php?workbook=12_05.xlsx&amp;sheet=U0&amp;row=8015&amp;col=6&amp;number=4.1&amp;sourceID=14","4.1")</f>
        <v>4.1</v>
      </c>
      <c r="G8015" s="4" t="str">
        <f>HYPERLINK("http://141.218.60.56/~jnz1568/getInfo.php?workbook=12_05.xlsx&amp;sheet=U0&amp;row=8015&amp;col=7&amp;number=0.00301&amp;sourceID=14","0.00301")</f>
        <v>0.00301</v>
      </c>
    </row>
    <row r="8016" spans="1:7">
      <c r="A8016" s="3"/>
      <c r="B8016" s="3"/>
      <c r="C8016" s="3"/>
      <c r="D8016" s="3"/>
      <c r="E8016" s="3">
        <v>13</v>
      </c>
      <c r="F8016" s="4" t="str">
        <f>HYPERLINK("http://141.218.60.56/~jnz1568/getInfo.php?workbook=12_05.xlsx&amp;sheet=U0&amp;row=8016&amp;col=6&amp;number=4.2&amp;sourceID=14","4.2")</f>
        <v>4.2</v>
      </c>
      <c r="G8016" s="4" t="str">
        <f>HYPERLINK("http://141.218.60.56/~jnz1568/getInfo.php?workbook=12_05.xlsx&amp;sheet=U0&amp;row=8016&amp;col=7&amp;number=0.003&amp;sourceID=14","0.003")</f>
        <v>0.003</v>
      </c>
    </row>
    <row r="8017" spans="1:7">
      <c r="A8017" s="3"/>
      <c r="B8017" s="3"/>
      <c r="C8017" s="3"/>
      <c r="D8017" s="3"/>
      <c r="E8017" s="3">
        <v>14</v>
      </c>
      <c r="F8017" s="4" t="str">
        <f>HYPERLINK("http://141.218.60.56/~jnz1568/getInfo.php?workbook=12_05.xlsx&amp;sheet=U0&amp;row=8017&amp;col=6&amp;number=4.3&amp;sourceID=14","4.3")</f>
        <v>4.3</v>
      </c>
      <c r="G8017" s="4" t="str">
        <f>HYPERLINK("http://141.218.60.56/~jnz1568/getInfo.php?workbook=12_05.xlsx&amp;sheet=U0&amp;row=8017&amp;col=7&amp;number=0.00299&amp;sourceID=14","0.00299")</f>
        <v>0.00299</v>
      </c>
    </row>
    <row r="8018" spans="1:7">
      <c r="A8018" s="3"/>
      <c r="B8018" s="3"/>
      <c r="C8018" s="3"/>
      <c r="D8018" s="3"/>
      <c r="E8018" s="3">
        <v>15</v>
      </c>
      <c r="F8018" s="4" t="str">
        <f>HYPERLINK("http://141.218.60.56/~jnz1568/getInfo.php?workbook=12_05.xlsx&amp;sheet=U0&amp;row=8018&amp;col=6&amp;number=4.4&amp;sourceID=14","4.4")</f>
        <v>4.4</v>
      </c>
      <c r="G8018" s="4" t="str">
        <f>HYPERLINK("http://141.218.60.56/~jnz1568/getInfo.php?workbook=12_05.xlsx&amp;sheet=U0&amp;row=8018&amp;col=7&amp;number=0.00298&amp;sourceID=14","0.00298")</f>
        <v>0.00298</v>
      </c>
    </row>
    <row r="8019" spans="1:7">
      <c r="A8019" s="3"/>
      <c r="B8019" s="3"/>
      <c r="C8019" s="3"/>
      <c r="D8019" s="3"/>
      <c r="E8019" s="3">
        <v>16</v>
      </c>
      <c r="F8019" s="4" t="str">
        <f>HYPERLINK("http://141.218.60.56/~jnz1568/getInfo.php?workbook=12_05.xlsx&amp;sheet=U0&amp;row=8019&amp;col=6&amp;number=4.5&amp;sourceID=14","4.5")</f>
        <v>4.5</v>
      </c>
      <c r="G8019" s="4" t="str">
        <f>HYPERLINK("http://141.218.60.56/~jnz1568/getInfo.php?workbook=12_05.xlsx&amp;sheet=U0&amp;row=8019&amp;col=7&amp;number=0.00296&amp;sourceID=14","0.00296")</f>
        <v>0.00296</v>
      </c>
    </row>
    <row r="8020" spans="1:7">
      <c r="A8020" s="3"/>
      <c r="B8020" s="3"/>
      <c r="C8020" s="3"/>
      <c r="D8020" s="3"/>
      <c r="E8020" s="3">
        <v>17</v>
      </c>
      <c r="F8020" s="4" t="str">
        <f>HYPERLINK("http://141.218.60.56/~jnz1568/getInfo.php?workbook=12_05.xlsx&amp;sheet=U0&amp;row=8020&amp;col=6&amp;number=4.6&amp;sourceID=14","4.6")</f>
        <v>4.6</v>
      </c>
      <c r="G8020" s="4" t="str">
        <f>HYPERLINK("http://141.218.60.56/~jnz1568/getInfo.php?workbook=12_05.xlsx&amp;sheet=U0&amp;row=8020&amp;col=7&amp;number=0.00294&amp;sourceID=14","0.00294")</f>
        <v>0.00294</v>
      </c>
    </row>
    <row r="8021" spans="1:7">
      <c r="A8021" s="3"/>
      <c r="B8021" s="3"/>
      <c r="C8021" s="3"/>
      <c r="D8021" s="3"/>
      <c r="E8021" s="3">
        <v>18</v>
      </c>
      <c r="F8021" s="4" t="str">
        <f>HYPERLINK("http://141.218.60.56/~jnz1568/getInfo.php?workbook=12_05.xlsx&amp;sheet=U0&amp;row=8021&amp;col=6&amp;number=4.7&amp;sourceID=14","4.7")</f>
        <v>4.7</v>
      </c>
      <c r="G8021" s="4" t="str">
        <f>HYPERLINK("http://141.218.60.56/~jnz1568/getInfo.php?workbook=12_05.xlsx&amp;sheet=U0&amp;row=8021&amp;col=7&amp;number=0.00291&amp;sourceID=14","0.00291")</f>
        <v>0.00291</v>
      </c>
    </row>
    <row r="8022" spans="1:7">
      <c r="A8022" s="3"/>
      <c r="B8022" s="3"/>
      <c r="C8022" s="3"/>
      <c r="D8022" s="3"/>
      <c r="E8022" s="3">
        <v>19</v>
      </c>
      <c r="F8022" s="4" t="str">
        <f>HYPERLINK("http://141.218.60.56/~jnz1568/getInfo.php?workbook=12_05.xlsx&amp;sheet=U0&amp;row=8022&amp;col=6&amp;number=4.8&amp;sourceID=14","4.8")</f>
        <v>4.8</v>
      </c>
      <c r="G8022" s="4" t="str">
        <f>HYPERLINK("http://141.218.60.56/~jnz1568/getInfo.php?workbook=12_05.xlsx&amp;sheet=U0&amp;row=8022&amp;col=7&amp;number=0.00287&amp;sourceID=14","0.00287")</f>
        <v>0.00287</v>
      </c>
    </row>
    <row r="8023" spans="1:7">
      <c r="A8023" s="3"/>
      <c r="B8023" s="3"/>
      <c r="C8023" s="3"/>
      <c r="D8023" s="3"/>
      <c r="E8023" s="3">
        <v>20</v>
      </c>
      <c r="F8023" s="4" t="str">
        <f>HYPERLINK("http://141.218.60.56/~jnz1568/getInfo.php?workbook=12_05.xlsx&amp;sheet=U0&amp;row=8023&amp;col=6&amp;number=4.9&amp;sourceID=14","4.9")</f>
        <v>4.9</v>
      </c>
      <c r="G8023" s="4" t="str">
        <f>HYPERLINK("http://141.218.60.56/~jnz1568/getInfo.php?workbook=12_05.xlsx&amp;sheet=U0&amp;row=8023&amp;col=7&amp;number=0.00283&amp;sourceID=14","0.00283")</f>
        <v>0.00283</v>
      </c>
    </row>
    <row r="8024" spans="1:7">
      <c r="A8024" s="3">
        <v>12</v>
      </c>
      <c r="B8024" s="3">
        <v>5</v>
      </c>
      <c r="C8024" s="3">
        <v>3</v>
      </c>
      <c r="D8024" s="3">
        <v>66</v>
      </c>
      <c r="E8024" s="3">
        <v>1</v>
      </c>
      <c r="F8024" s="4" t="str">
        <f>HYPERLINK("http://141.218.60.56/~jnz1568/getInfo.php?workbook=12_05.xlsx&amp;sheet=U0&amp;row=8024&amp;col=6&amp;number=3&amp;sourceID=14","3")</f>
        <v>3</v>
      </c>
      <c r="G8024" s="4" t="str">
        <f>HYPERLINK("http://141.218.60.56/~jnz1568/getInfo.php?workbook=12_05.xlsx&amp;sheet=U0&amp;row=8024&amp;col=7&amp;number=0.00341&amp;sourceID=14","0.00341")</f>
        <v>0.00341</v>
      </c>
    </row>
    <row r="8025" spans="1:7">
      <c r="A8025" s="3"/>
      <c r="B8025" s="3"/>
      <c r="C8025" s="3"/>
      <c r="D8025" s="3"/>
      <c r="E8025" s="3">
        <v>2</v>
      </c>
      <c r="F8025" s="4" t="str">
        <f>HYPERLINK("http://141.218.60.56/~jnz1568/getInfo.php?workbook=12_05.xlsx&amp;sheet=U0&amp;row=8025&amp;col=6&amp;number=3.1&amp;sourceID=14","3.1")</f>
        <v>3.1</v>
      </c>
      <c r="G8025" s="4" t="str">
        <f>HYPERLINK("http://141.218.60.56/~jnz1568/getInfo.php?workbook=12_05.xlsx&amp;sheet=U0&amp;row=8025&amp;col=7&amp;number=0.00341&amp;sourceID=14","0.00341")</f>
        <v>0.00341</v>
      </c>
    </row>
    <row r="8026" spans="1:7">
      <c r="A8026" s="3"/>
      <c r="B8026" s="3"/>
      <c r="C8026" s="3"/>
      <c r="D8026" s="3"/>
      <c r="E8026" s="3">
        <v>3</v>
      </c>
      <c r="F8026" s="4" t="str">
        <f>HYPERLINK("http://141.218.60.56/~jnz1568/getInfo.php?workbook=12_05.xlsx&amp;sheet=U0&amp;row=8026&amp;col=6&amp;number=3.2&amp;sourceID=14","3.2")</f>
        <v>3.2</v>
      </c>
      <c r="G8026" s="4" t="str">
        <f>HYPERLINK("http://141.218.60.56/~jnz1568/getInfo.php?workbook=12_05.xlsx&amp;sheet=U0&amp;row=8026&amp;col=7&amp;number=0.00341&amp;sourceID=14","0.00341")</f>
        <v>0.00341</v>
      </c>
    </row>
    <row r="8027" spans="1:7">
      <c r="A8027" s="3"/>
      <c r="B8027" s="3"/>
      <c r="C8027" s="3"/>
      <c r="D8027" s="3"/>
      <c r="E8027" s="3">
        <v>4</v>
      </c>
      <c r="F8027" s="4" t="str">
        <f>HYPERLINK("http://141.218.60.56/~jnz1568/getInfo.php?workbook=12_05.xlsx&amp;sheet=U0&amp;row=8027&amp;col=6&amp;number=3.3&amp;sourceID=14","3.3")</f>
        <v>3.3</v>
      </c>
      <c r="G8027" s="4" t="str">
        <f>HYPERLINK("http://141.218.60.56/~jnz1568/getInfo.php?workbook=12_05.xlsx&amp;sheet=U0&amp;row=8027&amp;col=7&amp;number=0.00341&amp;sourceID=14","0.00341")</f>
        <v>0.00341</v>
      </c>
    </row>
    <row r="8028" spans="1:7">
      <c r="A8028" s="3"/>
      <c r="B8028" s="3"/>
      <c r="C8028" s="3"/>
      <c r="D8028" s="3"/>
      <c r="E8028" s="3">
        <v>5</v>
      </c>
      <c r="F8028" s="4" t="str">
        <f>HYPERLINK("http://141.218.60.56/~jnz1568/getInfo.php?workbook=12_05.xlsx&amp;sheet=U0&amp;row=8028&amp;col=6&amp;number=3.4&amp;sourceID=14","3.4")</f>
        <v>3.4</v>
      </c>
      <c r="G8028" s="4" t="str">
        <f>HYPERLINK("http://141.218.60.56/~jnz1568/getInfo.php?workbook=12_05.xlsx&amp;sheet=U0&amp;row=8028&amp;col=7&amp;number=0.00341&amp;sourceID=14","0.00341")</f>
        <v>0.00341</v>
      </c>
    </row>
    <row r="8029" spans="1:7">
      <c r="A8029" s="3"/>
      <c r="B8029" s="3"/>
      <c r="C8029" s="3"/>
      <c r="D8029" s="3"/>
      <c r="E8029" s="3">
        <v>6</v>
      </c>
      <c r="F8029" s="4" t="str">
        <f>HYPERLINK("http://141.218.60.56/~jnz1568/getInfo.php?workbook=12_05.xlsx&amp;sheet=U0&amp;row=8029&amp;col=6&amp;number=3.5&amp;sourceID=14","3.5")</f>
        <v>3.5</v>
      </c>
      <c r="G8029" s="4" t="str">
        <f>HYPERLINK("http://141.218.60.56/~jnz1568/getInfo.php?workbook=12_05.xlsx&amp;sheet=U0&amp;row=8029&amp;col=7&amp;number=0.00341&amp;sourceID=14","0.00341")</f>
        <v>0.00341</v>
      </c>
    </row>
    <row r="8030" spans="1:7">
      <c r="A8030" s="3"/>
      <c r="B8030" s="3"/>
      <c r="C8030" s="3"/>
      <c r="D8030" s="3"/>
      <c r="E8030" s="3">
        <v>7</v>
      </c>
      <c r="F8030" s="4" t="str">
        <f>HYPERLINK("http://141.218.60.56/~jnz1568/getInfo.php?workbook=12_05.xlsx&amp;sheet=U0&amp;row=8030&amp;col=6&amp;number=3.6&amp;sourceID=14","3.6")</f>
        <v>3.6</v>
      </c>
      <c r="G8030" s="4" t="str">
        <f>HYPERLINK("http://141.218.60.56/~jnz1568/getInfo.php?workbook=12_05.xlsx&amp;sheet=U0&amp;row=8030&amp;col=7&amp;number=0.0034&amp;sourceID=14","0.0034")</f>
        <v>0.0034</v>
      </c>
    </row>
    <row r="8031" spans="1:7">
      <c r="A8031" s="3"/>
      <c r="B8031" s="3"/>
      <c r="C8031" s="3"/>
      <c r="D8031" s="3"/>
      <c r="E8031" s="3">
        <v>8</v>
      </c>
      <c r="F8031" s="4" t="str">
        <f>HYPERLINK("http://141.218.60.56/~jnz1568/getInfo.php?workbook=12_05.xlsx&amp;sheet=U0&amp;row=8031&amp;col=6&amp;number=3.7&amp;sourceID=14","3.7")</f>
        <v>3.7</v>
      </c>
      <c r="G8031" s="4" t="str">
        <f>HYPERLINK("http://141.218.60.56/~jnz1568/getInfo.php?workbook=12_05.xlsx&amp;sheet=U0&amp;row=8031&amp;col=7&amp;number=0.0034&amp;sourceID=14","0.0034")</f>
        <v>0.0034</v>
      </c>
    </row>
    <row r="8032" spans="1:7">
      <c r="A8032" s="3"/>
      <c r="B8032" s="3"/>
      <c r="C8032" s="3"/>
      <c r="D8032" s="3"/>
      <c r="E8032" s="3">
        <v>9</v>
      </c>
      <c r="F8032" s="4" t="str">
        <f>HYPERLINK("http://141.218.60.56/~jnz1568/getInfo.php?workbook=12_05.xlsx&amp;sheet=U0&amp;row=8032&amp;col=6&amp;number=3.8&amp;sourceID=14","3.8")</f>
        <v>3.8</v>
      </c>
      <c r="G8032" s="4" t="str">
        <f>HYPERLINK("http://141.218.60.56/~jnz1568/getInfo.php?workbook=12_05.xlsx&amp;sheet=U0&amp;row=8032&amp;col=7&amp;number=0.0034&amp;sourceID=14","0.0034")</f>
        <v>0.0034</v>
      </c>
    </row>
    <row r="8033" spans="1:7">
      <c r="A8033" s="3"/>
      <c r="B8033" s="3"/>
      <c r="C8033" s="3"/>
      <c r="D8033" s="3"/>
      <c r="E8033" s="3">
        <v>10</v>
      </c>
      <c r="F8033" s="4" t="str">
        <f>HYPERLINK("http://141.218.60.56/~jnz1568/getInfo.php?workbook=12_05.xlsx&amp;sheet=U0&amp;row=8033&amp;col=6&amp;number=3.9&amp;sourceID=14","3.9")</f>
        <v>3.9</v>
      </c>
      <c r="G8033" s="4" t="str">
        <f>HYPERLINK("http://141.218.60.56/~jnz1568/getInfo.php?workbook=12_05.xlsx&amp;sheet=U0&amp;row=8033&amp;col=7&amp;number=0.00339&amp;sourceID=14","0.00339")</f>
        <v>0.00339</v>
      </c>
    </row>
    <row r="8034" spans="1:7">
      <c r="A8034" s="3"/>
      <c r="B8034" s="3"/>
      <c r="C8034" s="3"/>
      <c r="D8034" s="3"/>
      <c r="E8034" s="3">
        <v>11</v>
      </c>
      <c r="F8034" s="4" t="str">
        <f>HYPERLINK("http://141.218.60.56/~jnz1568/getInfo.php?workbook=12_05.xlsx&amp;sheet=U0&amp;row=8034&amp;col=6&amp;number=4&amp;sourceID=14","4")</f>
        <v>4</v>
      </c>
      <c r="G8034" s="4" t="str">
        <f>HYPERLINK("http://141.218.60.56/~jnz1568/getInfo.php?workbook=12_05.xlsx&amp;sheet=U0&amp;row=8034&amp;col=7&amp;number=0.00338&amp;sourceID=14","0.00338")</f>
        <v>0.00338</v>
      </c>
    </row>
    <row r="8035" spans="1:7">
      <c r="A8035" s="3"/>
      <c r="B8035" s="3"/>
      <c r="C8035" s="3"/>
      <c r="D8035" s="3"/>
      <c r="E8035" s="3">
        <v>12</v>
      </c>
      <c r="F8035" s="4" t="str">
        <f>HYPERLINK("http://141.218.60.56/~jnz1568/getInfo.php?workbook=12_05.xlsx&amp;sheet=U0&amp;row=8035&amp;col=6&amp;number=4.1&amp;sourceID=14","4.1")</f>
        <v>4.1</v>
      </c>
      <c r="G8035" s="4" t="str">
        <f>HYPERLINK("http://141.218.60.56/~jnz1568/getInfo.php?workbook=12_05.xlsx&amp;sheet=U0&amp;row=8035&amp;col=7&amp;number=0.00338&amp;sourceID=14","0.00338")</f>
        <v>0.00338</v>
      </c>
    </row>
    <row r="8036" spans="1:7">
      <c r="A8036" s="3"/>
      <c r="B8036" s="3"/>
      <c r="C8036" s="3"/>
      <c r="D8036" s="3"/>
      <c r="E8036" s="3">
        <v>13</v>
      </c>
      <c r="F8036" s="4" t="str">
        <f>HYPERLINK("http://141.218.60.56/~jnz1568/getInfo.php?workbook=12_05.xlsx&amp;sheet=U0&amp;row=8036&amp;col=6&amp;number=4.2&amp;sourceID=14","4.2")</f>
        <v>4.2</v>
      </c>
      <c r="G8036" s="4" t="str">
        <f>HYPERLINK("http://141.218.60.56/~jnz1568/getInfo.php?workbook=12_05.xlsx&amp;sheet=U0&amp;row=8036&amp;col=7&amp;number=0.00337&amp;sourceID=14","0.00337")</f>
        <v>0.00337</v>
      </c>
    </row>
    <row r="8037" spans="1:7">
      <c r="A8037" s="3"/>
      <c r="B8037" s="3"/>
      <c r="C8037" s="3"/>
      <c r="D8037" s="3"/>
      <c r="E8037" s="3">
        <v>14</v>
      </c>
      <c r="F8037" s="4" t="str">
        <f>HYPERLINK("http://141.218.60.56/~jnz1568/getInfo.php?workbook=12_05.xlsx&amp;sheet=U0&amp;row=8037&amp;col=6&amp;number=4.3&amp;sourceID=14","4.3")</f>
        <v>4.3</v>
      </c>
      <c r="G8037" s="4" t="str">
        <f>HYPERLINK("http://141.218.60.56/~jnz1568/getInfo.php?workbook=12_05.xlsx&amp;sheet=U0&amp;row=8037&amp;col=7&amp;number=0.00335&amp;sourceID=14","0.00335")</f>
        <v>0.00335</v>
      </c>
    </row>
    <row r="8038" spans="1:7">
      <c r="A8038" s="3"/>
      <c r="B8038" s="3"/>
      <c r="C8038" s="3"/>
      <c r="D8038" s="3"/>
      <c r="E8038" s="3">
        <v>15</v>
      </c>
      <c r="F8038" s="4" t="str">
        <f>HYPERLINK("http://141.218.60.56/~jnz1568/getInfo.php?workbook=12_05.xlsx&amp;sheet=U0&amp;row=8038&amp;col=6&amp;number=4.4&amp;sourceID=14","4.4")</f>
        <v>4.4</v>
      </c>
      <c r="G8038" s="4" t="str">
        <f>HYPERLINK("http://141.218.60.56/~jnz1568/getInfo.php?workbook=12_05.xlsx&amp;sheet=U0&amp;row=8038&amp;col=7&amp;number=0.00334&amp;sourceID=14","0.00334")</f>
        <v>0.00334</v>
      </c>
    </row>
    <row r="8039" spans="1:7">
      <c r="A8039" s="3"/>
      <c r="B8039" s="3"/>
      <c r="C8039" s="3"/>
      <c r="D8039" s="3"/>
      <c r="E8039" s="3">
        <v>16</v>
      </c>
      <c r="F8039" s="4" t="str">
        <f>HYPERLINK("http://141.218.60.56/~jnz1568/getInfo.php?workbook=12_05.xlsx&amp;sheet=U0&amp;row=8039&amp;col=6&amp;number=4.5&amp;sourceID=14","4.5")</f>
        <v>4.5</v>
      </c>
      <c r="G8039" s="4" t="str">
        <f>HYPERLINK("http://141.218.60.56/~jnz1568/getInfo.php?workbook=12_05.xlsx&amp;sheet=U0&amp;row=8039&amp;col=7&amp;number=0.00332&amp;sourceID=14","0.00332")</f>
        <v>0.00332</v>
      </c>
    </row>
    <row r="8040" spans="1:7">
      <c r="A8040" s="3"/>
      <c r="B8040" s="3"/>
      <c r="C8040" s="3"/>
      <c r="D8040" s="3"/>
      <c r="E8040" s="3">
        <v>17</v>
      </c>
      <c r="F8040" s="4" t="str">
        <f>HYPERLINK("http://141.218.60.56/~jnz1568/getInfo.php?workbook=12_05.xlsx&amp;sheet=U0&amp;row=8040&amp;col=6&amp;number=4.6&amp;sourceID=14","4.6")</f>
        <v>4.6</v>
      </c>
      <c r="G8040" s="4" t="str">
        <f>HYPERLINK("http://141.218.60.56/~jnz1568/getInfo.php?workbook=12_05.xlsx&amp;sheet=U0&amp;row=8040&amp;col=7&amp;number=0.00329&amp;sourceID=14","0.00329")</f>
        <v>0.00329</v>
      </c>
    </row>
    <row r="8041" spans="1:7">
      <c r="A8041" s="3"/>
      <c r="B8041" s="3"/>
      <c r="C8041" s="3"/>
      <c r="D8041" s="3"/>
      <c r="E8041" s="3">
        <v>18</v>
      </c>
      <c r="F8041" s="4" t="str">
        <f>HYPERLINK("http://141.218.60.56/~jnz1568/getInfo.php?workbook=12_05.xlsx&amp;sheet=U0&amp;row=8041&amp;col=6&amp;number=4.7&amp;sourceID=14","4.7")</f>
        <v>4.7</v>
      </c>
      <c r="G8041" s="4" t="str">
        <f>HYPERLINK("http://141.218.60.56/~jnz1568/getInfo.php?workbook=12_05.xlsx&amp;sheet=U0&amp;row=8041&amp;col=7&amp;number=0.00326&amp;sourceID=14","0.00326")</f>
        <v>0.00326</v>
      </c>
    </row>
    <row r="8042" spans="1:7">
      <c r="A8042" s="3"/>
      <c r="B8042" s="3"/>
      <c r="C8042" s="3"/>
      <c r="D8042" s="3"/>
      <c r="E8042" s="3">
        <v>19</v>
      </c>
      <c r="F8042" s="4" t="str">
        <f>HYPERLINK("http://141.218.60.56/~jnz1568/getInfo.php?workbook=12_05.xlsx&amp;sheet=U0&amp;row=8042&amp;col=6&amp;number=4.8&amp;sourceID=14","4.8")</f>
        <v>4.8</v>
      </c>
      <c r="G8042" s="4" t="str">
        <f>HYPERLINK("http://141.218.60.56/~jnz1568/getInfo.php?workbook=12_05.xlsx&amp;sheet=U0&amp;row=8042&amp;col=7&amp;number=0.00322&amp;sourceID=14","0.00322")</f>
        <v>0.00322</v>
      </c>
    </row>
    <row r="8043" spans="1:7">
      <c r="A8043" s="3"/>
      <c r="B8043" s="3"/>
      <c r="C8043" s="3"/>
      <c r="D8043" s="3"/>
      <c r="E8043" s="3">
        <v>20</v>
      </c>
      <c r="F8043" s="4" t="str">
        <f>HYPERLINK("http://141.218.60.56/~jnz1568/getInfo.php?workbook=12_05.xlsx&amp;sheet=U0&amp;row=8043&amp;col=6&amp;number=4.9&amp;sourceID=14","4.9")</f>
        <v>4.9</v>
      </c>
      <c r="G8043" s="4" t="str">
        <f>HYPERLINK("http://141.218.60.56/~jnz1568/getInfo.php?workbook=12_05.xlsx&amp;sheet=U0&amp;row=8043&amp;col=7&amp;number=0.00318&amp;sourceID=14","0.00318")</f>
        <v>0.00318</v>
      </c>
    </row>
    <row r="8044" spans="1:7">
      <c r="A8044" s="3">
        <v>12</v>
      </c>
      <c r="B8044" s="3">
        <v>5</v>
      </c>
      <c r="C8044" s="3">
        <v>3</v>
      </c>
      <c r="D8044" s="3">
        <v>67</v>
      </c>
      <c r="E8044" s="3">
        <v>1</v>
      </c>
      <c r="F8044" s="4" t="str">
        <f>HYPERLINK("http://141.218.60.56/~jnz1568/getInfo.php?workbook=12_05.xlsx&amp;sheet=U0&amp;row=8044&amp;col=6&amp;number=3&amp;sourceID=14","3")</f>
        <v>3</v>
      </c>
      <c r="G8044" s="4" t="str">
        <f>HYPERLINK("http://141.218.60.56/~jnz1568/getInfo.php?workbook=12_05.xlsx&amp;sheet=U0&amp;row=8044&amp;col=7&amp;number=0.0019&amp;sourceID=14","0.0019")</f>
        <v>0.0019</v>
      </c>
    </row>
    <row r="8045" spans="1:7">
      <c r="A8045" s="3"/>
      <c r="B8045" s="3"/>
      <c r="C8045" s="3"/>
      <c r="D8045" s="3"/>
      <c r="E8045" s="3">
        <v>2</v>
      </c>
      <c r="F8045" s="4" t="str">
        <f>HYPERLINK("http://141.218.60.56/~jnz1568/getInfo.php?workbook=12_05.xlsx&amp;sheet=U0&amp;row=8045&amp;col=6&amp;number=3.1&amp;sourceID=14","3.1")</f>
        <v>3.1</v>
      </c>
      <c r="G8045" s="4" t="str">
        <f>HYPERLINK("http://141.218.60.56/~jnz1568/getInfo.php?workbook=12_05.xlsx&amp;sheet=U0&amp;row=8045&amp;col=7&amp;number=0.0019&amp;sourceID=14","0.0019")</f>
        <v>0.0019</v>
      </c>
    </row>
    <row r="8046" spans="1:7">
      <c r="A8046" s="3"/>
      <c r="B8046" s="3"/>
      <c r="C8046" s="3"/>
      <c r="D8046" s="3"/>
      <c r="E8046" s="3">
        <v>3</v>
      </c>
      <c r="F8046" s="4" t="str">
        <f>HYPERLINK("http://141.218.60.56/~jnz1568/getInfo.php?workbook=12_05.xlsx&amp;sheet=U0&amp;row=8046&amp;col=6&amp;number=3.2&amp;sourceID=14","3.2")</f>
        <v>3.2</v>
      </c>
      <c r="G8046" s="4" t="str">
        <f>HYPERLINK("http://141.218.60.56/~jnz1568/getInfo.php?workbook=12_05.xlsx&amp;sheet=U0&amp;row=8046&amp;col=7&amp;number=0.0019&amp;sourceID=14","0.0019")</f>
        <v>0.0019</v>
      </c>
    </row>
    <row r="8047" spans="1:7">
      <c r="A8047" s="3"/>
      <c r="B8047" s="3"/>
      <c r="C8047" s="3"/>
      <c r="D8047" s="3"/>
      <c r="E8047" s="3">
        <v>4</v>
      </c>
      <c r="F8047" s="4" t="str">
        <f>HYPERLINK("http://141.218.60.56/~jnz1568/getInfo.php?workbook=12_05.xlsx&amp;sheet=U0&amp;row=8047&amp;col=6&amp;number=3.3&amp;sourceID=14","3.3")</f>
        <v>3.3</v>
      </c>
      <c r="G8047" s="4" t="str">
        <f>HYPERLINK("http://141.218.60.56/~jnz1568/getInfo.php?workbook=12_05.xlsx&amp;sheet=U0&amp;row=8047&amp;col=7&amp;number=0.0019&amp;sourceID=14","0.0019")</f>
        <v>0.0019</v>
      </c>
    </row>
    <row r="8048" spans="1:7">
      <c r="A8048" s="3"/>
      <c r="B8048" s="3"/>
      <c r="C8048" s="3"/>
      <c r="D8048" s="3"/>
      <c r="E8048" s="3">
        <v>5</v>
      </c>
      <c r="F8048" s="4" t="str">
        <f>HYPERLINK("http://141.218.60.56/~jnz1568/getInfo.php?workbook=12_05.xlsx&amp;sheet=U0&amp;row=8048&amp;col=6&amp;number=3.4&amp;sourceID=14","3.4")</f>
        <v>3.4</v>
      </c>
      <c r="G8048" s="4" t="str">
        <f>HYPERLINK("http://141.218.60.56/~jnz1568/getInfo.php?workbook=12_05.xlsx&amp;sheet=U0&amp;row=8048&amp;col=7&amp;number=0.00189&amp;sourceID=14","0.00189")</f>
        <v>0.00189</v>
      </c>
    </row>
    <row r="8049" spans="1:7">
      <c r="A8049" s="3"/>
      <c r="B8049" s="3"/>
      <c r="C8049" s="3"/>
      <c r="D8049" s="3"/>
      <c r="E8049" s="3">
        <v>6</v>
      </c>
      <c r="F8049" s="4" t="str">
        <f>HYPERLINK("http://141.218.60.56/~jnz1568/getInfo.php?workbook=12_05.xlsx&amp;sheet=U0&amp;row=8049&amp;col=6&amp;number=3.5&amp;sourceID=14","3.5")</f>
        <v>3.5</v>
      </c>
      <c r="G8049" s="4" t="str">
        <f>HYPERLINK("http://141.218.60.56/~jnz1568/getInfo.php?workbook=12_05.xlsx&amp;sheet=U0&amp;row=8049&amp;col=7&amp;number=0.00189&amp;sourceID=14","0.00189")</f>
        <v>0.00189</v>
      </c>
    </row>
    <row r="8050" spans="1:7">
      <c r="A8050" s="3"/>
      <c r="B8050" s="3"/>
      <c r="C8050" s="3"/>
      <c r="D8050" s="3"/>
      <c r="E8050" s="3">
        <v>7</v>
      </c>
      <c r="F8050" s="4" t="str">
        <f>HYPERLINK("http://141.218.60.56/~jnz1568/getInfo.php?workbook=12_05.xlsx&amp;sheet=U0&amp;row=8050&amp;col=6&amp;number=3.6&amp;sourceID=14","3.6")</f>
        <v>3.6</v>
      </c>
      <c r="G8050" s="4" t="str">
        <f>HYPERLINK("http://141.218.60.56/~jnz1568/getInfo.php?workbook=12_05.xlsx&amp;sheet=U0&amp;row=8050&amp;col=7&amp;number=0.00189&amp;sourceID=14","0.00189")</f>
        <v>0.00189</v>
      </c>
    </row>
    <row r="8051" spans="1:7">
      <c r="A8051" s="3"/>
      <c r="B8051" s="3"/>
      <c r="C8051" s="3"/>
      <c r="D8051" s="3"/>
      <c r="E8051" s="3">
        <v>8</v>
      </c>
      <c r="F8051" s="4" t="str">
        <f>HYPERLINK("http://141.218.60.56/~jnz1568/getInfo.php?workbook=12_05.xlsx&amp;sheet=U0&amp;row=8051&amp;col=6&amp;number=3.7&amp;sourceID=14","3.7")</f>
        <v>3.7</v>
      </c>
      <c r="G8051" s="4" t="str">
        <f>HYPERLINK("http://141.218.60.56/~jnz1568/getInfo.php?workbook=12_05.xlsx&amp;sheet=U0&amp;row=8051&amp;col=7&amp;number=0.00189&amp;sourceID=14","0.00189")</f>
        <v>0.00189</v>
      </c>
    </row>
    <row r="8052" spans="1:7">
      <c r="A8052" s="3"/>
      <c r="B8052" s="3"/>
      <c r="C8052" s="3"/>
      <c r="D8052" s="3"/>
      <c r="E8052" s="3">
        <v>9</v>
      </c>
      <c r="F8052" s="4" t="str">
        <f>HYPERLINK("http://141.218.60.56/~jnz1568/getInfo.php?workbook=12_05.xlsx&amp;sheet=U0&amp;row=8052&amp;col=6&amp;number=3.8&amp;sourceID=14","3.8")</f>
        <v>3.8</v>
      </c>
      <c r="G8052" s="4" t="str">
        <f>HYPERLINK("http://141.218.60.56/~jnz1568/getInfo.php?workbook=12_05.xlsx&amp;sheet=U0&amp;row=8052&amp;col=7&amp;number=0.00189&amp;sourceID=14","0.00189")</f>
        <v>0.00189</v>
      </c>
    </row>
    <row r="8053" spans="1:7">
      <c r="A8053" s="3"/>
      <c r="B8053" s="3"/>
      <c r="C8053" s="3"/>
      <c r="D8053" s="3"/>
      <c r="E8053" s="3">
        <v>10</v>
      </c>
      <c r="F8053" s="4" t="str">
        <f>HYPERLINK("http://141.218.60.56/~jnz1568/getInfo.php?workbook=12_05.xlsx&amp;sheet=U0&amp;row=8053&amp;col=6&amp;number=3.9&amp;sourceID=14","3.9")</f>
        <v>3.9</v>
      </c>
      <c r="G8053" s="4" t="str">
        <f>HYPERLINK("http://141.218.60.56/~jnz1568/getInfo.php?workbook=12_05.xlsx&amp;sheet=U0&amp;row=8053&amp;col=7&amp;number=0.00189&amp;sourceID=14","0.00189")</f>
        <v>0.00189</v>
      </c>
    </row>
    <row r="8054" spans="1:7">
      <c r="A8054" s="3"/>
      <c r="B8054" s="3"/>
      <c r="C8054" s="3"/>
      <c r="D8054" s="3"/>
      <c r="E8054" s="3">
        <v>11</v>
      </c>
      <c r="F8054" s="4" t="str">
        <f>HYPERLINK("http://141.218.60.56/~jnz1568/getInfo.php?workbook=12_05.xlsx&amp;sheet=U0&amp;row=8054&amp;col=6&amp;number=4&amp;sourceID=14","4")</f>
        <v>4</v>
      </c>
      <c r="G8054" s="4" t="str">
        <f>HYPERLINK("http://141.218.60.56/~jnz1568/getInfo.php?workbook=12_05.xlsx&amp;sheet=U0&amp;row=8054&amp;col=7&amp;number=0.00188&amp;sourceID=14","0.00188")</f>
        <v>0.00188</v>
      </c>
    </row>
    <row r="8055" spans="1:7">
      <c r="A8055" s="3"/>
      <c r="B8055" s="3"/>
      <c r="C8055" s="3"/>
      <c r="D8055" s="3"/>
      <c r="E8055" s="3">
        <v>12</v>
      </c>
      <c r="F8055" s="4" t="str">
        <f>HYPERLINK("http://141.218.60.56/~jnz1568/getInfo.php?workbook=12_05.xlsx&amp;sheet=U0&amp;row=8055&amp;col=6&amp;number=4.1&amp;sourceID=14","4.1")</f>
        <v>4.1</v>
      </c>
      <c r="G8055" s="4" t="str">
        <f>HYPERLINK("http://141.218.60.56/~jnz1568/getInfo.php?workbook=12_05.xlsx&amp;sheet=U0&amp;row=8055&amp;col=7&amp;number=0.00188&amp;sourceID=14","0.00188")</f>
        <v>0.00188</v>
      </c>
    </row>
    <row r="8056" spans="1:7">
      <c r="A8056" s="3"/>
      <c r="B8056" s="3"/>
      <c r="C8056" s="3"/>
      <c r="D8056" s="3"/>
      <c r="E8056" s="3">
        <v>13</v>
      </c>
      <c r="F8056" s="4" t="str">
        <f>HYPERLINK("http://141.218.60.56/~jnz1568/getInfo.php?workbook=12_05.xlsx&amp;sheet=U0&amp;row=8056&amp;col=6&amp;number=4.2&amp;sourceID=14","4.2")</f>
        <v>4.2</v>
      </c>
      <c r="G8056" s="4" t="str">
        <f>HYPERLINK("http://141.218.60.56/~jnz1568/getInfo.php?workbook=12_05.xlsx&amp;sheet=U0&amp;row=8056&amp;col=7&amp;number=0.00187&amp;sourceID=14","0.00187")</f>
        <v>0.00187</v>
      </c>
    </row>
    <row r="8057" spans="1:7">
      <c r="A8057" s="3"/>
      <c r="B8057" s="3"/>
      <c r="C8057" s="3"/>
      <c r="D8057" s="3"/>
      <c r="E8057" s="3">
        <v>14</v>
      </c>
      <c r="F8057" s="4" t="str">
        <f>HYPERLINK("http://141.218.60.56/~jnz1568/getInfo.php?workbook=12_05.xlsx&amp;sheet=U0&amp;row=8057&amp;col=6&amp;number=4.3&amp;sourceID=14","4.3")</f>
        <v>4.3</v>
      </c>
      <c r="G8057" s="4" t="str">
        <f>HYPERLINK("http://141.218.60.56/~jnz1568/getInfo.php?workbook=12_05.xlsx&amp;sheet=U0&amp;row=8057&amp;col=7&amp;number=0.00186&amp;sourceID=14","0.00186")</f>
        <v>0.00186</v>
      </c>
    </row>
    <row r="8058" spans="1:7">
      <c r="A8058" s="3"/>
      <c r="B8058" s="3"/>
      <c r="C8058" s="3"/>
      <c r="D8058" s="3"/>
      <c r="E8058" s="3">
        <v>15</v>
      </c>
      <c r="F8058" s="4" t="str">
        <f>HYPERLINK("http://141.218.60.56/~jnz1568/getInfo.php?workbook=12_05.xlsx&amp;sheet=U0&amp;row=8058&amp;col=6&amp;number=4.4&amp;sourceID=14","4.4")</f>
        <v>4.4</v>
      </c>
      <c r="G8058" s="4" t="str">
        <f>HYPERLINK("http://141.218.60.56/~jnz1568/getInfo.php?workbook=12_05.xlsx&amp;sheet=U0&amp;row=8058&amp;col=7&amp;number=0.00186&amp;sourceID=14","0.00186")</f>
        <v>0.00186</v>
      </c>
    </row>
    <row r="8059" spans="1:7">
      <c r="A8059" s="3"/>
      <c r="B8059" s="3"/>
      <c r="C8059" s="3"/>
      <c r="D8059" s="3"/>
      <c r="E8059" s="3">
        <v>16</v>
      </c>
      <c r="F8059" s="4" t="str">
        <f>HYPERLINK("http://141.218.60.56/~jnz1568/getInfo.php?workbook=12_05.xlsx&amp;sheet=U0&amp;row=8059&amp;col=6&amp;number=4.5&amp;sourceID=14","4.5")</f>
        <v>4.5</v>
      </c>
      <c r="G8059" s="4" t="str">
        <f>HYPERLINK("http://141.218.60.56/~jnz1568/getInfo.php?workbook=12_05.xlsx&amp;sheet=U0&amp;row=8059&amp;col=7&amp;number=0.00185&amp;sourceID=14","0.00185")</f>
        <v>0.00185</v>
      </c>
    </row>
    <row r="8060" spans="1:7">
      <c r="A8060" s="3"/>
      <c r="B8060" s="3"/>
      <c r="C8060" s="3"/>
      <c r="D8060" s="3"/>
      <c r="E8060" s="3">
        <v>17</v>
      </c>
      <c r="F8060" s="4" t="str">
        <f>HYPERLINK("http://141.218.60.56/~jnz1568/getInfo.php?workbook=12_05.xlsx&amp;sheet=U0&amp;row=8060&amp;col=6&amp;number=4.6&amp;sourceID=14","4.6")</f>
        <v>4.6</v>
      </c>
      <c r="G8060" s="4" t="str">
        <f>HYPERLINK("http://141.218.60.56/~jnz1568/getInfo.php?workbook=12_05.xlsx&amp;sheet=U0&amp;row=8060&amp;col=7&amp;number=0.00183&amp;sourceID=14","0.00183")</f>
        <v>0.00183</v>
      </c>
    </row>
    <row r="8061" spans="1:7">
      <c r="A8061" s="3"/>
      <c r="B8061" s="3"/>
      <c r="C8061" s="3"/>
      <c r="D8061" s="3"/>
      <c r="E8061" s="3">
        <v>18</v>
      </c>
      <c r="F8061" s="4" t="str">
        <f>HYPERLINK("http://141.218.60.56/~jnz1568/getInfo.php?workbook=12_05.xlsx&amp;sheet=U0&amp;row=8061&amp;col=6&amp;number=4.7&amp;sourceID=14","4.7")</f>
        <v>4.7</v>
      </c>
      <c r="G8061" s="4" t="str">
        <f>HYPERLINK("http://141.218.60.56/~jnz1568/getInfo.php?workbook=12_05.xlsx&amp;sheet=U0&amp;row=8061&amp;col=7&amp;number=0.00181&amp;sourceID=14","0.00181")</f>
        <v>0.00181</v>
      </c>
    </row>
    <row r="8062" spans="1:7">
      <c r="A8062" s="3"/>
      <c r="B8062" s="3"/>
      <c r="C8062" s="3"/>
      <c r="D8062" s="3"/>
      <c r="E8062" s="3">
        <v>19</v>
      </c>
      <c r="F8062" s="4" t="str">
        <f>HYPERLINK("http://141.218.60.56/~jnz1568/getInfo.php?workbook=12_05.xlsx&amp;sheet=U0&amp;row=8062&amp;col=6&amp;number=4.8&amp;sourceID=14","4.8")</f>
        <v>4.8</v>
      </c>
      <c r="G8062" s="4" t="str">
        <f>HYPERLINK("http://141.218.60.56/~jnz1568/getInfo.php?workbook=12_05.xlsx&amp;sheet=U0&amp;row=8062&amp;col=7&amp;number=0.00179&amp;sourceID=14","0.00179")</f>
        <v>0.00179</v>
      </c>
    </row>
    <row r="8063" spans="1:7">
      <c r="A8063" s="3"/>
      <c r="B8063" s="3"/>
      <c r="C8063" s="3"/>
      <c r="D8063" s="3"/>
      <c r="E8063" s="3">
        <v>20</v>
      </c>
      <c r="F8063" s="4" t="str">
        <f>HYPERLINK("http://141.218.60.56/~jnz1568/getInfo.php?workbook=12_05.xlsx&amp;sheet=U0&amp;row=8063&amp;col=6&amp;number=4.9&amp;sourceID=14","4.9")</f>
        <v>4.9</v>
      </c>
      <c r="G8063" s="4" t="str">
        <f>HYPERLINK("http://141.218.60.56/~jnz1568/getInfo.php?workbook=12_05.xlsx&amp;sheet=U0&amp;row=8063&amp;col=7&amp;number=0.00177&amp;sourceID=14","0.00177")</f>
        <v>0.00177</v>
      </c>
    </row>
    <row r="8064" spans="1:7">
      <c r="A8064" s="3">
        <v>12</v>
      </c>
      <c r="B8064" s="3">
        <v>5</v>
      </c>
      <c r="C8064" s="3">
        <v>3</v>
      </c>
      <c r="D8064" s="3">
        <v>68</v>
      </c>
      <c r="E8064" s="3">
        <v>1</v>
      </c>
      <c r="F8064" s="4" t="str">
        <f>HYPERLINK("http://141.218.60.56/~jnz1568/getInfo.php?workbook=12_05.xlsx&amp;sheet=U0&amp;row=8064&amp;col=6&amp;number=3&amp;sourceID=14","3")</f>
        <v>3</v>
      </c>
      <c r="G8064" s="4" t="str">
        <f>HYPERLINK("http://141.218.60.56/~jnz1568/getInfo.php?workbook=12_05.xlsx&amp;sheet=U0&amp;row=8064&amp;col=7&amp;number=0.000427&amp;sourceID=14","0.000427")</f>
        <v>0.000427</v>
      </c>
    </row>
    <row r="8065" spans="1:7">
      <c r="A8065" s="3"/>
      <c r="B8065" s="3"/>
      <c r="C8065" s="3"/>
      <c r="D8065" s="3"/>
      <c r="E8065" s="3">
        <v>2</v>
      </c>
      <c r="F8065" s="4" t="str">
        <f>HYPERLINK("http://141.218.60.56/~jnz1568/getInfo.php?workbook=12_05.xlsx&amp;sheet=U0&amp;row=8065&amp;col=6&amp;number=3.1&amp;sourceID=14","3.1")</f>
        <v>3.1</v>
      </c>
      <c r="G8065" s="4" t="str">
        <f>HYPERLINK("http://141.218.60.56/~jnz1568/getInfo.php?workbook=12_05.xlsx&amp;sheet=U0&amp;row=8065&amp;col=7&amp;number=0.000427&amp;sourceID=14","0.000427")</f>
        <v>0.000427</v>
      </c>
    </row>
    <row r="8066" spans="1:7">
      <c r="A8066" s="3"/>
      <c r="B8066" s="3"/>
      <c r="C8066" s="3"/>
      <c r="D8066" s="3"/>
      <c r="E8066" s="3">
        <v>3</v>
      </c>
      <c r="F8066" s="4" t="str">
        <f>HYPERLINK("http://141.218.60.56/~jnz1568/getInfo.php?workbook=12_05.xlsx&amp;sheet=U0&amp;row=8066&amp;col=6&amp;number=3.2&amp;sourceID=14","3.2")</f>
        <v>3.2</v>
      </c>
      <c r="G8066" s="4" t="str">
        <f>HYPERLINK("http://141.218.60.56/~jnz1568/getInfo.php?workbook=12_05.xlsx&amp;sheet=U0&amp;row=8066&amp;col=7&amp;number=0.000427&amp;sourceID=14","0.000427")</f>
        <v>0.000427</v>
      </c>
    </row>
    <row r="8067" spans="1:7">
      <c r="A8067" s="3"/>
      <c r="B8067" s="3"/>
      <c r="C8067" s="3"/>
      <c r="D8067" s="3"/>
      <c r="E8067" s="3">
        <v>4</v>
      </c>
      <c r="F8067" s="4" t="str">
        <f>HYPERLINK("http://141.218.60.56/~jnz1568/getInfo.php?workbook=12_05.xlsx&amp;sheet=U0&amp;row=8067&amp;col=6&amp;number=3.3&amp;sourceID=14","3.3")</f>
        <v>3.3</v>
      </c>
      <c r="G8067" s="4" t="str">
        <f>HYPERLINK("http://141.218.60.56/~jnz1568/getInfo.php?workbook=12_05.xlsx&amp;sheet=U0&amp;row=8067&amp;col=7&amp;number=0.000427&amp;sourceID=14","0.000427")</f>
        <v>0.000427</v>
      </c>
    </row>
    <row r="8068" spans="1:7">
      <c r="A8068" s="3"/>
      <c r="B8068" s="3"/>
      <c r="C8068" s="3"/>
      <c r="D8068" s="3"/>
      <c r="E8068" s="3">
        <v>5</v>
      </c>
      <c r="F8068" s="4" t="str">
        <f>HYPERLINK("http://141.218.60.56/~jnz1568/getInfo.php?workbook=12_05.xlsx&amp;sheet=U0&amp;row=8068&amp;col=6&amp;number=3.4&amp;sourceID=14","3.4")</f>
        <v>3.4</v>
      </c>
      <c r="G8068" s="4" t="str">
        <f>HYPERLINK("http://141.218.60.56/~jnz1568/getInfo.php?workbook=12_05.xlsx&amp;sheet=U0&amp;row=8068&amp;col=7&amp;number=0.000427&amp;sourceID=14","0.000427")</f>
        <v>0.000427</v>
      </c>
    </row>
    <row r="8069" spans="1:7">
      <c r="A8069" s="3"/>
      <c r="B8069" s="3"/>
      <c r="C8069" s="3"/>
      <c r="D8069" s="3"/>
      <c r="E8069" s="3">
        <v>6</v>
      </c>
      <c r="F8069" s="4" t="str">
        <f>HYPERLINK("http://141.218.60.56/~jnz1568/getInfo.php?workbook=12_05.xlsx&amp;sheet=U0&amp;row=8069&amp;col=6&amp;number=3.5&amp;sourceID=14","3.5")</f>
        <v>3.5</v>
      </c>
      <c r="G8069" s="4" t="str">
        <f>HYPERLINK("http://141.218.60.56/~jnz1568/getInfo.php?workbook=12_05.xlsx&amp;sheet=U0&amp;row=8069&amp;col=7&amp;number=0.000427&amp;sourceID=14","0.000427")</f>
        <v>0.000427</v>
      </c>
    </row>
    <row r="8070" spans="1:7">
      <c r="A8070" s="3"/>
      <c r="B8070" s="3"/>
      <c r="C8070" s="3"/>
      <c r="D8070" s="3"/>
      <c r="E8070" s="3">
        <v>7</v>
      </c>
      <c r="F8070" s="4" t="str">
        <f>HYPERLINK("http://141.218.60.56/~jnz1568/getInfo.php?workbook=12_05.xlsx&amp;sheet=U0&amp;row=8070&amp;col=6&amp;number=3.6&amp;sourceID=14","3.6")</f>
        <v>3.6</v>
      </c>
      <c r="G8070" s="4" t="str">
        <f>HYPERLINK("http://141.218.60.56/~jnz1568/getInfo.php?workbook=12_05.xlsx&amp;sheet=U0&amp;row=8070&amp;col=7&amp;number=0.000426&amp;sourceID=14","0.000426")</f>
        <v>0.000426</v>
      </c>
    </row>
    <row r="8071" spans="1:7">
      <c r="A8071" s="3"/>
      <c r="B8071" s="3"/>
      <c r="C8071" s="3"/>
      <c r="D8071" s="3"/>
      <c r="E8071" s="3">
        <v>8</v>
      </c>
      <c r="F8071" s="4" t="str">
        <f>HYPERLINK("http://141.218.60.56/~jnz1568/getInfo.php?workbook=12_05.xlsx&amp;sheet=U0&amp;row=8071&amp;col=6&amp;number=3.7&amp;sourceID=14","3.7")</f>
        <v>3.7</v>
      </c>
      <c r="G8071" s="4" t="str">
        <f>HYPERLINK("http://141.218.60.56/~jnz1568/getInfo.php?workbook=12_05.xlsx&amp;sheet=U0&amp;row=8071&amp;col=7&amp;number=0.000426&amp;sourceID=14","0.000426")</f>
        <v>0.000426</v>
      </c>
    </row>
    <row r="8072" spans="1:7">
      <c r="A8072" s="3"/>
      <c r="B8072" s="3"/>
      <c r="C8072" s="3"/>
      <c r="D8072" s="3"/>
      <c r="E8072" s="3">
        <v>9</v>
      </c>
      <c r="F8072" s="4" t="str">
        <f>HYPERLINK("http://141.218.60.56/~jnz1568/getInfo.php?workbook=12_05.xlsx&amp;sheet=U0&amp;row=8072&amp;col=6&amp;number=3.8&amp;sourceID=14","3.8")</f>
        <v>3.8</v>
      </c>
      <c r="G8072" s="4" t="str">
        <f>HYPERLINK("http://141.218.60.56/~jnz1568/getInfo.php?workbook=12_05.xlsx&amp;sheet=U0&amp;row=8072&amp;col=7&amp;number=0.000425&amp;sourceID=14","0.000425")</f>
        <v>0.000425</v>
      </c>
    </row>
    <row r="8073" spans="1:7">
      <c r="A8073" s="3"/>
      <c r="B8073" s="3"/>
      <c r="C8073" s="3"/>
      <c r="D8073" s="3"/>
      <c r="E8073" s="3">
        <v>10</v>
      </c>
      <c r="F8073" s="4" t="str">
        <f>HYPERLINK("http://141.218.60.56/~jnz1568/getInfo.php?workbook=12_05.xlsx&amp;sheet=U0&amp;row=8073&amp;col=6&amp;number=3.9&amp;sourceID=14","3.9")</f>
        <v>3.9</v>
      </c>
      <c r="G8073" s="4" t="str">
        <f>HYPERLINK("http://141.218.60.56/~jnz1568/getInfo.php?workbook=12_05.xlsx&amp;sheet=U0&amp;row=8073&amp;col=7&amp;number=0.000425&amp;sourceID=14","0.000425")</f>
        <v>0.000425</v>
      </c>
    </row>
    <row r="8074" spans="1:7">
      <c r="A8074" s="3"/>
      <c r="B8074" s="3"/>
      <c r="C8074" s="3"/>
      <c r="D8074" s="3"/>
      <c r="E8074" s="3">
        <v>11</v>
      </c>
      <c r="F8074" s="4" t="str">
        <f>HYPERLINK("http://141.218.60.56/~jnz1568/getInfo.php?workbook=12_05.xlsx&amp;sheet=U0&amp;row=8074&amp;col=6&amp;number=4&amp;sourceID=14","4")</f>
        <v>4</v>
      </c>
      <c r="G8074" s="4" t="str">
        <f>HYPERLINK("http://141.218.60.56/~jnz1568/getInfo.php?workbook=12_05.xlsx&amp;sheet=U0&amp;row=8074&amp;col=7&amp;number=0.000424&amp;sourceID=14","0.000424")</f>
        <v>0.000424</v>
      </c>
    </row>
    <row r="8075" spans="1:7">
      <c r="A8075" s="3"/>
      <c r="B8075" s="3"/>
      <c r="C8075" s="3"/>
      <c r="D8075" s="3"/>
      <c r="E8075" s="3">
        <v>12</v>
      </c>
      <c r="F8075" s="4" t="str">
        <f>HYPERLINK("http://141.218.60.56/~jnz1568/getInfo.php?workbook=12_05.xlsx&amp;sheet=U0&amp;row=8075&amp;col=6&amp;number=4.1&amp;sourceID=14","4.1")</f>
        <v>4.1</v>
      </c>
      <c r="G8075" s="4" t="str">
        <f>HYPERLINK("http://141.218.60.56/~jnz1568/getInfo.php?workbook=12_05.xlsx&amp;sheet=U0&amp;row=8075&amp;col=7&amp;number=0.000423&amp;sourceID=14","0.000423")</f>
        <v>0.000423</v>
      </c>
    </row>
    <row r="8076" spans="1:7">
      <c r="A8076" s="3"/>
      <c r="B8076" s="3"/>
      <c r="C8076" s="3"/>
      <c r="D8076" s="3"/>
      <c r="E8076" s="3">
        <v>13</v>
      </c>
      <c r="F8076" s="4" t="str">
        <f>HYPERLINK("http://141.218.60.56/~jnz1568/getInfo.php?workbook=12_05.xlsx&amp;sheet=U0&amp;row=8076&amp;col=6&amp;number=4.2&amp;sourceID=14","4.2")</f>
        <v>4.2</v>
      </c>
      <c r="G8076" s="4" t="str">
        <f>HYPERLINK("http://141.218.60.56/~jnz1568/getInfo.php?workbook=12_05.xlsx&amp;sheet=U0&amp;row=8076&amp;col=7&amp;number=0.000422&amp;sourceID=14","0.000422")</f>
        <v>0.000422</v>
      </c>
    </row>
    <row r="8077" spans="1:7">
      <c r="A8077" s="3"/>
      <c r="B8077" s="3"/>
      <c r="C8077" s="3"/>
      <c r="D8077" s="3"/>
      <c r="E8077" s="3">
        <v>14</v>
      </c>
      <c r="F8077" s="4" t="str">
        <f>HYPERLINK("http://141.218.60.56/~jnz1568/getInfo.php?workbook=12_05.xlsx&amp;sheet=U0&amp;row=8077&amp;col=6&amp;number=4.3&amp;sourceID=14","4.3")</f>
        <v>4.3</v>
      </c>
      <c r="G8077" s="4" t="str">
        <f>HYPERLINK("http://141.218.60.56/~jnz1568/getInfo.php?workbook=12_05.xlsx&amp;sheet=U0&amp;row=8077&amp;col=7&amp;number=0.00042&amp;sourceID=14","0.00042")</f>
        <v>0.00042</v>
      </c>
    </row>
    <row r="8078" spans="1:7">
      <c r="A8078" s="3"/>
      <c r="B8078" s="3"/>
      <c r="C8078" s="3"/>
      <c r="D8078" s="3"/>
      <c r="E8078" s="3">
        <v>15</v>
      </c>
      <c r="F8078" s="4" t="str">
        <f>HYPERLINK("http://141.218.60.56/~jnz1568/getInfo.php?workbook=12_05.xlsx&amp;sheet=U0&amp;row=8078&amp;col=6&amp;number=4.4&amp;sourceID=14","4.4")</f>
        <v>4.4</v>
      </c>
      <c r="G8078" s="4" t="str">
        <f>HYPERLINK("http://141.218.60.56/~jnz1568/getInfo.php?workbook=12_05.xlsx&amp;sheet=U0&amp;row=8078&amp;col=7&amp;number=0.000418&amp;sourceID=14","0.000418")</f>
        <v>0.000418</v>
      </c>
    </row>
    <row r="8079" spans="1:7">
      <c r="A8079" s="3"/>
      <c r="B8079" s="3"/>
      <c r="C8079" s="3"/>
      <c r="D8079" s="3"/>
      <c r="E8079" s="3">
        <v>16</v>
      </c>
      <c r="F8079" s="4" t="str">
        <f>HYPERLINK("http://141.218.60.56/~jnz1568/getInfo.php?workbook=12_05.xlsx&amp;sheet=U0&amp;row=8079&amp;col=6&amp;number=4.5&amp;sourceID=14","4.5")</f>
        <v>4.5</v>
      </c>
      <c r="G8079" s="4" t="str">
        <f>HYPERLINK("http://141.218.60.56/~jnz1568/getInfo.php?workbook=12_05.xlsx&amp;sheet=U0&amp;row=8079&amp;col=7&amp;number=0.000415&amp;sourceID=14","0.000415")</f>
        <v>0.000415</v>
      </c>
    </row>
    <row r="8080" spans="1:7">
      <c r="A8080" s="3"/>
      <c r="B8080" s="3"/>
      <c r="C8080" s="3"/>
      <c r="D8080" s="3"/>
      <c r="E8080" s="3">
        <v>17</v>
      </c>
      <c r="F8080" s="4" t="str">
        <f>HYPERLINK("http://141.218.60.56/~jnz1568/getInfo.php?workbook=12_05.xlsx&amp;sheet=U0&amp;row=8080&amp;col=6&amp;number=4.6&amp;sourceID=14","4.6")</f>
        <v>4.6</v>
      </c>
      <c r="G8080" s="4" t="str">
        <f>HYPERLINK("http://141.218.60.56/~jnz1568/getInfo.php?workbook=12_05.xlsx&amp;sheet=U0&amp;row=8080&amp;col=7&amp;number=0.000412&amp;sourceID=14","0.000412")</f>
        <v>0.000412</v>
      </c>
    </row>
    <row r="8081" spans="1:7">
      <c r="A8081" s="3"/>
      <c r="B8081" s="3"/>
      <c r="C8081" s="3"/>
      <c r="D8081" s="3"/>
      <c r="E8081" s="3">
        <v>18</v>
      </c>
      <c r="F8081" s="4" t="str">
        <f>HYPERLINK("http://141.218.60.56/~jnz1568/getInfo.php?workbook=12_05.xlsx&amp;sheet=U0&amp;row=8081&amp;col=6&amp;number=4.7&amp;sourceID=14","4.7")</f>
        <v>4.7</v>
      </c>
      <c r="G8081" s="4" t="str">
        <f>HYPERLINK("http://141.218.60.56/~jnz1568/getInfo.php?workbook=12_05.xlsx&amp;sheet=U0&amp;row=8081&amp;col=7&amp;number=0.000408&amp;sourceID=14","0.000408")</f>
        <v>0.000408</v>
      </c>
    </row>
    <row r="8082" spans="1:7">
      <c r="A8082" s="3"/>
      <c r="B8082" s="3"/>
      <c r="C8082" s="3"/>
      <c r="D8082" s="3"/>
      <c r="E8082" s="3">
        <v>19</v>
      </c>
      <c r="F8082" s="4" t="str">
        <f>HYPERLINK("http://141.218.60.56/~jnz1568/getInfo.php?workbook=12_05.xlsx&amp;sheet=U0&amp;row=8082&amp;col=6&amp;number=4.8&amp;sourceID=14","4.8")</f>
        <v>4.8</v>
      </c>
      <c r="G8082" s="4" t="str">
        <f>HYPERLINK("http://141.218.60.56/~jnz1568/getInfo.php?workbook=12_05.xlsx&amp;sheet=U0&amp;row=8082&amp;col=7&amp;number=0.000404&amp;sourceID=14","0.000404")</f>
        <v>0.000404</v>
      </c>
    </row>
    <row r="8083" spans="1:7">
      <c r="A8083" s="3"/>
      <c r="B8083" s="3"/>
      <c r="C8083" s="3"/>
      <c r="D8083" s="3"/>
      <c r="E8083" s="3">
        <v>20</v>
      </c>
      <c r="F8083" s="4" t="str">
        <f>HYPERLINK("http://141.218.60.56/~jnz1568/getInfo.php?workbook=12_05.xlsx&amp;sheet=U0&amp;row=8083&amp;col=6&amp;number=4.9&amp;sourceID=14","4.9")</f>
        <v>4.9</v>
      </c>
      <c r="G8083" s="4" t="str">
        <f>HYPERLINK("http://141.218.60.56/~jnz1568/getInfo.php?workbook=12_05.xlsx&amp;sheet=U0&amp;row=8083&amp;col=7&amp;number=0.000398&amp;sourceID=14","0.000398")</f>
        <v>0.000398</v>
      </c>
    </row>
    <row r="8084" spans="1:7">
      <c r="A8084" s="3">
        <v>12</v>
      </c>
      <c r="B8084" s="3">
        <v>5</v>
      </c>
      <c r="C8084" s="3">
        <v>3</v>
      </c>
      <c r="D8084" s="3">
        <v>70</v>
      </c>
      <c r="E8084" s="3">
        <v>1</v>
      </c>
      <c r="F8084" s="4" t="str">
        <f>HYPERLINK("http://141.218.60.56/~jnz1568/getInfo.php?workbook=12_05.xlsx&amp;sheet=U0&amp;row=8084&amp;col=6&amp;number=3&amp;sourceID=14","3")</f>
        <v>3</v>
      </c>
      <c r="G8084" s="4" t="str">
        <f>HYPERLINK("http://141.218.60.56/~jnz1568/getInfo.php?workbook=12_05.xlsx&amp;sheet=U0&amp;row=8084&amp;col=7&amp;number=0.000291&amp;sourceID=14","0.000291")</f>
        <v>0.000291</v>
      </c>
    </row>
    <row r="8085" spans="1:7">
      <c r="A8085" s="3"/>
      <c r="B8085" s="3"/>
      <c r="C8085" s="3"/>
      <c r="D8085" s="3"/>
      <c r="E8085" s="3">
        <v>2</v>
      </c>
      <c r="F8085" s="4" t="str">
        <f>HYPERLINK("http://141.218.60.56/~jnz1568/getInfo.php?workbook=12_05.xlsx&amp;sheet=U0&amp;row=8085&amp;col=6&amp;number=3.1&amp;sourceID=14","3.1")</f>
        <v>3.1</v>
      </c>
      <c r="G8085" s="4" t="str">
        <f>HYPERLINK("http://141.218.60.56/~jnz1568/getInfo.php?workbook=12_05.xlsx&amp;sheet=U0&amp;row=8085&amp;col=7&amp;number=0.000291&amp;sourceID=14","0.000291")</f>
        <v>0.000291</v>
      </c>
    </row>
    <row r="8086" spans="1:7">
      <c r="A8086" s="3"/>
      <c r="B8086" s="3"/>
      <c r="C8086" s="3"/>
      <c r="D8086" s="3"/>
      <c r="E8086" s="3">
        <v>3</v>
      </c>
      <c r="F8086" s="4" t="str">
        <f>HYPERLINK("http://141.218.60.56/~jnz1568/getInfo.php?workbook=12_05.xlsx&amp;sheet=U0&amp;row=8086&amp;col=6&amp;number=3.2&amp;sourceID=14","3.2")</f>
        <v>3.2</v>
      </c>
      <c r="G8086" s="4" t="str">
        <f>HYPERLINK("http://141.218.60.56/~jnz1568/getInfo.php?workbook=12_05.xlsx&amp;sheet=U0&amp;row=8086&amp;col=7&amp;number=0.000291&amp;sourceID=14","0.000291")</f>
        <v>0.000291</v>
      </c>
    </row>
    <row r="8087" spans="1:7">
      <c r="A8087" s="3"/>
      <c r="B8087" s="3"/>
      <c r="C8087" s="3"/>
      <c r="D8087" s="3"/>
      <c r="E8087" s="3">
        <v>4</v>
      </c>
      <c r="F8087" s="4" t="str">
        <f>HYPERLINK("http://141.218.60.56/~jnz1568/getInfo.php?workbook=12_05.xlsx&amp;sheet=U0&amp;row=8087&amp;col=6&amp;number=3.3&amp;sourceID=14","3.3")</f>
        <v>3.3</v>
      </c>
      <c r="G8087" s="4" t="str">
        <f>HYPERLINK("http://141.218.60.56/~jnz1568/getInfo.php?workbook=12_05.xlsx&amp;sheet=U0&amp;row=8087&amp;col=7&amp;number=0.000291&amp;sourceID=14","0.000291")</f>
        <v>0.000291</v>
      </c>
    </row>
    <row r="8088" spans="1:7">
      <c r="A8088" s="3"/>
      <c r="B8088" s="3"/>
      <c r="C8088" s="3"/>
      <c r="D8088" s="3"/>
      <c r="E8088" s="3">
        <v>5</v>
      </c>
      <c r="F8088" s="4" t="str">
        <f>HYPERLINK("http://141.218.60.56/~jnz1568/getInfo.php?workbook=12_05.xlsx&amp;sheet=U0&amp;row=8088&amp;col=6&amp;number=3.4&amp;sourceID=14","3.4")</f>
        <v>3.4</v>
      </c>
      <c r="G8088" s="4" t="str">
        <f>HYPERLINK("http://141.218.60.56/~jnz1568/getInfo.php?workbook=12_05.xlsx&amp;sheet=U0&amp;row=8088&amp;col=7&amp;number=0.000291&amp;sourceID=14","0.000291")</f>
        <v>0.000291</v>
      </c>
    </row>
    <row r="8089" spans="1:7">
      <c r="A8089" s="3"/>
      <c r="B8089" s="3"/>
      <c r="C8089" s="3"/>
      <c r="D8089" s="3"/>
      <c r="E8089" s="3">
        <v>6</v>
      </c>
      <c r="F8089" s="4" t="str">
        <f>HYPERLINK("http://141.218.60.56/~jnz1568/getInfo.php?workbook=12_05.xlsx&amp;sheet=U0&amp;row=8089&amp;col=6&amp;number=3.5&amp;sourceID=14","3.5")</f>
        <v>3.5</v>
      </c>
      <c r="G8089" s="4" t="str">
        <f>HYPERLINK("http://141.218.60.56/~jnz1568/getInfo.php?workbook=12_05.xlsx&amp;sheet=U0&amp;row=8089&amp;col=7&amp;number=0.000291&amp;sourceID=14","0.000291")</f>
        <v>0.000291</v>
      </c>
    </row>
    <row r="8090" spans="1:7">
      <c r="A8090" s="3"/>
      <c r="B8090" s="3"/>
      <c r="C8090" s="3"/>
      <c r="D8090" s="3"/>
      <c r="E8090" s="3">
        <v>7</v>
      </c>
      <c r="F8090" s="4" t="str">
        <f>HYPERLINK("http://141.218.60.56/~jnz1568/getInfo.php?workbook=12_05.xlsx&amp;sheet=U0&amp;row=8090&amp;col=6&amp;number=3.6&amp;sourceID=14","3.6")</f>
        <v>3.6</v>
      </c>
      <c r="G8090" s="4" t="str">
        <f>HYPERLINK("http://141.218.60.56/~jnz1568/getInfo.php?workbook=12_05.xlsx&amp;sheet=U0&amp;row=8090&amp;col=7&amp;number=0.000291&amp;sourceID=14","0.000291")</f>
        <v>0.000291</v>
      </c>
    </row>
    <row r="8091" spans="1:7">
      <c r="A8091" s="3"/>
      <c r="B8091" s="3"/>
      <c r="C8091" s="3"/>
      <c r="D8091" s="3"/>
      <c r="E8091" s="3">
        <v>8</v>
      </c>
      <c r="F8091" s="4" t="str">
        <f>HYPERLINK("http://141.218.60.56/~jnz1568/getInfo.php?workbook=12_05.xlsx&amp;sheet=U0&amp;row=8091&amp;col=6&amp;number=3.7&amp;sourceID=14","3.7")</f>
        <v>3.7</v>
      </c>
      <c r="G8091" s="4" t="str">
        <f>HYPERLINK("http://141.218.60.56/~jnz1568/getInfo.php?workbook=12_05.xlsx&amp;sheet=U0&amp;row=8091&amp;col=7&amp;number=0.00029&amp;sourceID=14","0.00029")</f>
        <v>0.00029</v>
      </c>
    </row>
    <row r="8092" spans="1:7">
      <c r="A8092" s="3"/>
      <c r="B8092" s="3"/>
      <c r="C8092" s="3"/>
      <c r="D8092" s="3"/>
      <c r="E8092" s="3">
        <v>9</v>
      </c>
      <c r="F8092" s="4" t="str">
        <f>HYPERLINK("http://141.218.60.56/~jnz1568/getInfo.php?workbook=12_05.xlsx&amp;sheet=U0&amp;row=8092&amp;col=6&amp;number=3.8&amp;sourceID=14","3.8")</f>
        <v>3.8</v>
      </c>
      <c r="G8092" s="4" t="str">
        <f>HYPERLINK("http://141.218.60.56/~jnz1568/getInfo.php?workbook=12_05.xlsx&amp;sheet=U0&amp;row=8092&amp;col=7&amp;number=0.00029&amp;sourceID=14","0.00029")</f>
        <v>0.00029</v>
      </c>
    </row>
    <row r="8093" spans="1:7">
      <c r="A8093" s="3"/>
      <c r="B8093" s="3"/>
      <c r="C8093" s="3"/>
      <c r="D8093" s="3"/>
      <c r="E8093" s="3">
        <v>10</v>
      </c>
      <c r="F8093" s="4" t="str">
        <f>HYPERLINK("http://141.218.60.56/~jnz1568/getInfo.php?workbook=12_05.xlsx&amp;sheet=U0&amp;row=8093&amp;col=6&amp;number=3.9&amp;sourceID=14","3.9")</f>
        <v>3.9</v>
      </c>
      <c r="G8093" s="4" t="str">
        <f>HYPERLINK("http://141.218.60.56/~jnz1568/getInfo.php?workbook=12_05.xlsx&amp;sheet=U0&amp;row=8093&amp;col=7&amp;number=0.00029&amp;sourceID=14","0.00029")</f>
        <v>0.00029</v>
      </c>
    </row>
    <row r="8094" spans="1:7">
      <c r="A8094" s="3"/>
      <c r="B8094" s="3"/>
      <c r="C8094" s="3"/>
      <c r="D8094" s="3"/>
      <c r="E8094" s="3">
        <v>11</v>
      </c>
      <c r="F8094" s="4" t="str">
        <f>HYPERLINK("http://141.218.60.56/~jnz1568/getInfo.php?workbook=12_05.xlsx&amp;sheet=U0&amp;row=8094&amp;col=6&amp;number=4&amp;sourceID=14","4")</f>
        <v>4</v>
      </c>
      <c r="G8094" s="4" t="str">
        <f>HYPERLINK("http://141.218.60.56/~jnz1568/getInfo.php?workbook=12_05.xlsx&amp;sheet=U0&amp;row=8094&amp;col=7&amp;number=0.000289&amp;sourceID=14","0.000289")</f>
        <v>0.000289</v>
      </c>
    </row>
    <row r="8095" spans="1:7">
      <c r="A8095" s="3"/>
      <c r="B8095" s="3"/>
      <c r="C8095" s="3"/>
      <c r="D8095" s="3"/>
      <c r="E8095" s="3">
        <v>12</v>
      </c>
      <c r="F8095" s="4" t="str">
        <f>HYPERLINK("http://141.218.60.56/~jnz1568/getInfo.php?workbook=12_05.xlsx&amp;sheet=U0&amp;row=8095&amp;col=6&amp;number=4.1&amp;sourceID=14","4.1")</f>
        <v>4.1</v>
      </c>
      <c r="G8095" s="4" t="str">
        <f>HYPERLINK("http://141.218.60.56/~jnz1568/getInfo.php?workbook=12_05.xlsx&amp;sheet=U0&amp;row=8095&amp;col=7&amp;number=0.000288&amp;sourceID=14","0.000288")</f>
        <v>0.000288</v>
      </c>
    </row>
    <row r="8096" spans="1:7">
      <c r="A8096" s="3"/>
      <c r="B8096" s="3"/>
      <c r="C8096" s="3"/>
      <c r="D8096" s="3"/>
      <c r="E8096" s="3">
        <v>13</v>
      </c>
      <c r="F8096" s="4" t="str">
        <f>HYPERLINK("http://141.218.60.56/~jnz1568/getInfo.php?workbook=12_05.xlsx&amp;sheet=U0&amp;row=8096&amp;col=6&amp;number=4.2&amp;sourceID=14","4.2")</f>
        <v>4.2</v>
      </c>
      <c r="G8096" s="4" t="str">
        <f>HYPERLINK("http://141.218.60.56/~jnz1568/getInfo.php?workbook=12_05.xlsx&amp;sheet=U0&amp;row=8096&amp;col=7&amp;number=0.000287&amp;sourceID=14","0.000287")</f>
        <v>0.000287</v>
      </c>
    </row>
    <row r="8097" spans="1:7">
      <c r="A8097" s="3"/>
      <c r="B8097" s="3"/>
      <c r="C8097" s="3"/>
      <c r="D8097" s="3"/>
      <c r="E8097" s="3">
        <v>14</v>
      </c>
      <c r="F8097" s="4" t="str">
        <f>HYPERLINK("http://141.218.60.56/~jnz1568/getInfo.php?workbook=12_05.xlsx&amp;sheet=U0&amp;row=8097&amp;col=6&amp;number=4.3&amp;sourceID=14","4.3")</f>
        <v>4.3</v>
      </c>
      <c r="G8097" s="4" t="str">
        <f>HYPERLINK("http://141.218.60.56/~jnz1568/getInfo.php?workbook=12_05.xlsx&amp;sheet=U0&amp;row=8097&amp;col=7&amp;number=0.000286&amp;sourceID=14","0.000286")</f>
        <v>0.000286</v>
      </c>
    </row>
    <row r="8098" spans="1:7">
      <c r="A8098" s="3"/>
      <c r="B8098" s="3"/>
      <c r="C8098" s="3"/>
      <c r="D8098" s="3"/>
      <c r="E8098" s="3">
        <v>15</v>
      </c>
      <c r="F8098" s="4" t="str">
        <f>HYPERLINK("http://141.218.60.56/~jnz1568/getInfo.php?workbook=12_05.xlsx&amp;sheet=U0&amp;row=8098&amp;col=6&amp;number=4.4&amp;sourceID=14","4.4")</f>
        <v>4.4</v>
      </c>
      <c r="G8098" s="4" t="str">
        <f>HYPERLINK("http://141.218.60.56/~jnz1568/getInfo.php?workbook=12_05.xlsx&amp;sheet=U0&amp;row=8098&amp;col=7&amp;number=0.000285&amp;sourceID=14","0.000285")</f>
        <v>0.000285</v>
      </c>
    </row>
    <row r="8099" spans="1:7">
      <c r="A8099" s="3"/>
      <c r="B8099" s="3"/>
      <c r="C8099" s="3"/>
      <c r="D8099" s="3"/>
      <c r="E8099" s="3">
        <v>16</v>
      </c>
      <c r="F8099" s="4" t="str">
        <f>HYPERLINK("http://141.218.60.56/~jnz1568/getInfo.php?workbook=12_05.xlsx&amp;sheet=U0&amp;row=8099&amp;col=6&amp;number=4.5&amp;sourceID=14","4.5")</f>
        <v>4.5</v>
      </c>
      <c r="G8099" s="4" t="str">
        <f>HYPERLINK("http://141.218.60.56/~jnz1568/getInfo.php?workbook=12_05.xlsx&amp;sheet=U0&amp;row=8099&amp;col=7&amp;number=0.000283&amp;sourceID=14","0.000283")</f>
        <v>0.000283</v>
      </c>
    </row>
    <row r="8100" spans="1:7">
      <c r="A8100" s="3"/>
      <c r="B8100" s="3"/>
      <c r="C8100" s="3"/>
      <c r="D8100" s="3"/>
      <c r="E8100" s="3">
        <v>17</v>
      </c>
      <c r="F8100" s="4" t="str">
        <f>HYPERLINK("http://141.218.60.56/~jnz1568/getInfo.php?workbook=12_05.xlsx&amp;sheet=U0&amp;row=8100&amp;col=6&amp;number=4.6&amp;sourceID=14","4.6")</f>
        <v>4.6</v>
      </c>
      <c r="G8100" s="4" t="str">
        <f>HYPERLINK("http://141.218.60.56/~jnz1568/getInfo.php?workbook=12_05.xlsx&amp;sheet=U0&amp;row=8100&amp;col=7&amp;number=0.000281&amp;sourceID=14","0.000281")</f>
        <v>0.000281</v>
      </c>
    </row>
    <row r="8101" spans="1:7">
      <c r="A8101" s="3"/>
      <c r="B8101" s="3"/>
      <c r="C8101" s="3"/>
      <c r="D8101" s="3"/>
      <c r="E8101" s="3">
        <v>18</v>
      </c>
      <c r="F8101" s="4" t="str">
        <f>HYPERLINK("http://141.218.60.56/~jnz1568/getInfo.php?workbook=12_05.xlsx&amp;sheet=U0&amp;row=8101&amp;col=6&amp;number=4.7&amp;sourceID=14","4.7")</f>
        <v>4.7</v>
      </c>
      <c r="G8101" s="4" t="str">
        <f>HYPERLINK("http://141.218.60.56/~jnz1568/getInfo.php?workbook=12_05.xlsx&amp;sheet=U0&amp;row=8101&amp;col=7&amp;number=0.000278&amp;sourceID=14","0.000278")</f>
        <v>0.000278</v>
      </c>
    </row>
    <row r="8102" spans="1:7">
      <c r="A8102" s="3"/>
      <c r="B8102" s="3"/>
      <c r="C8102" s="3"/>
      <c r="D8102" s="3"/>
      <c r="E8102" s="3">
        <v>19</v>
      </c>
      <c r="F8102" s="4" t="str">
        <f>HYPERLINK("http://141.218.60.56/~jnz1568/getInfo.php?workbook=12_05.xlsx&amp;sheet=U0&amp;row=8102&amp;col=6&amp;number=4.8&amp;sourceID=14","4.8")</f>
        <v>4.8</v>
      </c>
      <c r="G8102" s="4" t="str">
        <f>HYPERLINK("http://141.218.60.56/~jnz1568/getInfo.php?workbook=12_05.xlsx&amp;sheet=U0&amp;row=8102&amp;col=7&amp;number=0.000275&amp;sourceID=14","0.000275")</f>
        <v>0.000275</v>
      </c>
    </row>
    <row r="8103" spans="1:7">
      <c r="A8103" s="3"/>
      <c r="B8103" s="3"/>
      <c r="C8103" s="3"/>
      <c r="D8103" s="3"/>
      <c r="E8103" s="3">
        <v>20</v>
      </c>
      <c r="F8103" s="4" t="str">
        <f>HYPERLINK("http://141.218.60.56/~jnz1568/getInfo.php?workbook=12_05.xlsx&amp;sheet=U0&amp;row=8103&amp;col=6&amp;number=4.9&amp;sourceID=14","4.9")</f>
        <v>4.9</v>
      </c>
      <c r="G8103" s="4" t="str">
        <f>HYPERLINK("http://141.218.60.56/~jnz1568/getInfo.php?workbook=12_05.xlsx&amp;sheet=U0&amp;row=8103&amp;col=7&amp;number=0.000271&amp;sourceID=14","0.000271")</f>
        <v>0.000271</v>
      </c>
    </row>
    <row r="8104" spans="1:7">
      <c r="A8104" s="3">
        <v>12</v>
      </c>
      <c r="B8104" s="3">
        <v>5</v>
      </c>
      <c r="C8104" s="3">
        <v>3</v>
      </c>
      <c r="D8104" s="3">
        <v>73</v>
      </c>
      <c r="E8104" s="3">
        <v>1</v>
      </c>
      <c r="F8104" s="4" t="str">
        <f>HYPERLINK("http://141.218.60.56/~jnz1568/getInfo.php?workbook=12_05.xlsx&amp;sheet=U0&amp;row=8104&amp;col=6&amp;number=3&amp;sourceID=14","3")</f>
        <v>3</v>
      </c>
      <c r="G8104" s="4" t="str">
        <f>HYPERLINK("http://141.218.60.56/~jnz1568/getInfo.php?workbook=12_05.xlsx&amp;sheet=U0&amp;row=8104&amp;col=7&amp;number=0.000103&amp;sourceID=14","0.000103")</f>
        <v>0.000103</v>
      </c>
    </row>
    <row r="8105" spans="1:7">
      <c r="A8105" s="3"/>
      <c r="B8105" s="3"/>
      <c r="C8105" s="3"/>
      <c r="D8105" s="3"/>
      <c r="E8105" s="3">
        <v>2</v>
      </c>
      <c r="F8105" s="4" t="str">
        <f>HYPERLINK("http://141.218.60.56/~jnz1568/getInfo.php?workbook=12_05.xlsx&amp;sheet=U0&amp;row=8105&amp;col=6&amp;number=3.1&amp;sourceID=14","3.1")</f>
        <v>3.1</v>
      </c>
      <c r="G8105" s="4" t="str">
        <f>HYPERLINK("http://141.218.60.56/~jnz1568/getInfo.php?workbook=12_05.xlsx&amp;sheet=U0&amp;row=8105&amp;col=7&amp;number=0.000103&amp;sourceID=14","0.000103")</f>
        <v>0.000103</v>
      </c>
    </row>
    <row r="8106" spans="1:7">
      <c r="A8106" s="3"/>
      <c r="B8106" s="3"/>
      <c r="C8106" s="3"/>
      <c r="D8106" s="3"/>
      <c r="E8106" s="3">
        <v>3</v>
      </c>
      <c r="F8106" s="4" t="str">
        <f>HYPERLINK("http://141.218.60.56/~jnz1568/getInfo.php?workbook=12_05.xlsx&amp;sheet=U0&amp;row=8106&amp;col=6&amp;number=3.2&amp;sourceID=14","3.2")</f>
        <v>3.2</v>
      </c>
      <c r="G8106" s="4" t="str">
        <f>HYPERLINK("http://141.218.60.56/~jnz1568/getInfo.php?workbook=12_05.xlsx&amp;sheet=U0&amp;row=8106&amp;col=7&amp;number=0.000103&amp;sourceID=14","0.000103")</f>
        <v>0.000103</v>
      </c>
    </row>
    <row r="8107" spans="1:7">
      <c r="A8107" s="3"/>
      <c r="B8107" s="3"/>
      <c r="C8107" s="3"/>
      <c r="D8107" s="3"/>
      <c r="E8107" s="3">
        <v>4</v>
      </c>
      <c r="F8107" s="4" t="str">
        <f>HYPERLINK("http://141.218.60.56/~jnz1568/getInfo.php?workbook=12_05.xlsx&amp;sheet=U0&amp;row=8107&amp;col=6&amp;number=3.3&amp;sourceID=14","3.3")</f>
        <v>3.3</v>
      </c>
      <c r="G8107" s="4" t="str">
        <f>HYPERLINK("http://141.218.60.56/~jnz1568/getInfo.php?workbook=12_05.xlsx&amp;sheet=U0&amp;row=8107&amp;col=7&amp;number=0.000103&amp;sourceID=14","0.000103")</f>
        <v>0.000103</v>
      </c>
    </row>
    <row r="8108" spans="1:7">
      <c r="A8108" s="3"/>
      <c r="B8108" s="3"/>
      <c r="C8108" s="3"/>
      <c r="D8108" s="3"/>
      <c r="E8108" s="3">
        <v>5</v>
      </c>
      <c r="F8108" s="4" t="str">
        <f>HYPERLINK("http://141.218.60.56/~jnz1568/getInfo.php?workbook=12_05.xlsx&amp;sheet=U0&amp;row=8108&amp;col=6&amp;number=3.4&amp;sourceID=14","3.4")</f>
        <v>3.4</v>
      </c>
      <c r="G8108" s="4" t="str">
        <f>HYPERLINK("http://141.218.60.56/~jnz1568/getInfo.php?workbook=12_05.xlsx&amp;sheet=U0&amp;row=8108&amp;col=7&amp;number=0.000103&amp;sourceID=14","0.000103")</f>
        <v>0.000103</v>
      </c>
    </row>
    <row r="8109" spans="1:7">
      <c r="A8109" s="3"/>
      <c r="B8109" s="3"/>
      <c r="C8109" s="3"/>
      <c r="D8109" s="3"/>
      <c r="E8109" s="3">
        <v>6</v>
      </c>
      <c r="F8109" s="4" t="str">
        <f>HYPERLINK("http://141.218.60.56/~jnz1568/getInfo.php?workbook=12_05.xlsx&amp;sheet=U0&amp;row=8109&amp;col=6&amp;number=3.5&amp;sourceID=14","3.5")</f>
        <v>3.5</v>
      </c>
      <c r="G8109" s="4" t="str">
        <f>HYPERLINK("http://141.218.60.56/~jnz1568/getInfo.php?workbook=12_05.xlsx&amp;sheet=U0&amp;row=8109&amp;col=7&amp;number=0.000103&amp;sourceID=14","0.000103")</f>
        <v>0.000103</v>
      </c>
    </row>
    <row r="8110" spans="1:7">
      <c r="A8110" s="3"/>
      <c r="B8110" s="3"/>
      <c r="C8110" s="3"/>
      <c r="D8110" s="3"/>
      <c r="E8110" s="3">
        <v>7</v>
      </c>
      <c r="F8110" s="4" t="str">
        <f>HYPERLINK("http://141.218.60.56/~jnz1568/getInfo.php?workbook=12_05.xlsx&amp;sheet=U0&amp;row=8110&amp;col=6&amp;number=3.6&amp;sourceID=14","3.6")</f>
        <v>3.6</v>
      </c>
      <c r="G8110" s="4" t="str">
        <f>HYPERLINK("http://141.218.60.56/~jnz1568/getInfo.php?workbook=12_05.xlsx&amp;sheet=U0&amp;row=8110&amp;col=7&amp;number=0.000103&amp;sourceID=14","0.000103")</f>
        <v>0.000103</v>
      </c>
    </row>
    <row r="8111" spans="1:7">
      <c r="A8111" s="3"/>
      <c r="B8111" s="3"/>
      <c r="C8111" s="3"/>
      <c r="D8111" s="3"/>
      <c r="E8111" s="3">
        <v>8</v>
      </c>
      <c r="F8111" s="4" t="str">
        <f>HYPERLINK("http://141.218.60.56/~jnz1568/getInfo.php?workbook=12_05.xlsx&amp;sheet=U0&amp;row=8111&amp;col=6&amp;number=3.7&amp;sourceID=14","3.7")</f>
        <v>3.7</v>
      </c>
      <c r="G8111" s="4" t="str">
        <f>HYPERLINK("http://141.218.60.56/~jnz1568/getInfo.php?workbook=12_05.xlsx&amp;sheet=U0&amp;row=8111&amp;col=7&amp;number=0.000103&amp;sourceID=14","0.000103")</f>
        <v>0.000103</v>
      </c>
    </row>
    <row r="8112" spans="1:7">
      <c r="A8112" s="3"/>
      <c r="B8112" s="3"/>
      <c r="C8112" s="3"/>
      <c r="D8112" s="3"/>
      <c r="E8112" s="3">
        <v>9</v>
      </c>
      <c r="F8112" s="4" t="str">
        <f>HYPERLINK("http://141.218.60.56/~jnz1568/getInfo.php?workbook=12_05.xlsx&amp;sheet=U0&amp;row=8112&amp;col=6&amp;number=3.8&amp;sourceID=14","3.8")</f>
        <v>3.8</v>
      </c>
      <c r="G8112" s="4" t="str">
        <f>HYPERLINK("http://141.218.60.56/~jnz1568/getInfo.php?workbook=12_05.xlsx&amp;sheet=U0&amp;row=8112&amp;col=7&amp;number=0.000103&amp;sourceID=14","0.000103")</f>
        <v>0.000103</v>
      </c>
    </row>
    <row r="8113" spans="1:7">
      <c r="A8113" s="3"/>
      <c r="B8113" s="3"/>
      <c r="C8113" s="3"/>
      <c r="D8113" s="3"/>
      <c r="E8113" s="3">
        <v>10</v>
      </c>
      <c r="F8113" s="4" t="str">
        <f>HYPERLINK("http://141.218.60.56/~jnz1568/getInfo.php?workbook=12_05.xlsx&amp;sheet=U0&amp;row=8113&amp;col=6&amp;number=3.9&amp;sourceID=14","3.9")</f>
        <v>3.9</v>
      </c>
      <c r="G8113" s="4" t="str">
        <f>HYPERLINK("http://141.218.60.56/~jnz1568/getInfo.php?workbook=12_05.xlsx&amp;sheet=U0&amp;row=8113&amp;col=7&amp;number=0.000102&amp;sourceID=14","0.000102")</f>
        <v>0.000102</v>
      </c>
    </row>
    <row r="8114" spans="1:7">
      <c r="A8114" s="3"/>
      <c r="B8114" s="3"/>
      <c r="C8114" s="3"/>
      <c r="D8114" s="3"/>
      <c r="E8114" s="3">
        <v>11</v>
      </c>
      <c r="F8114" s="4" t="str">
        <f>HYPERLINK("http://141.218.60.56/~jnz1568/getInfo.php?workbook=12_05.xlsx&amp;sheet=U0&amp;row=8114&amp;col=6&amp;number=4&amp;sourceID=14","4")</f>
        <v>4</v>
      </c>
      <c r="G8114" s="4" t="str">
        <f>HYPERLINK("http://141.218.60.56/~jnz1568/getInfo.php?workbook=12_05.xlsx&amp;sheet=U0&amp;row=8114&amp;col=7&amp;number=0.000102&amp;sourceID=14","0.000102")</f>
        <v>0.000102</v>
      </c>
    </row>
    <row r="8115" spans="1:7">
      <c r="A8115" s="3"/>
      <c r="B8115" s="3"/>
      <c r="C8115" s="3"/>
      <c r="D8115" s="3"/>
      <c r="E8115" s="3">
        <v>12</v>
      </c>
      <c r="F8115" s="4" t="str">
        <f>HYPERLINK("http://141.218.60.56/~jnz1568/getInfo.php?workbook=12_05.xlsx&amp;sheet=U0&amp;row=8115&amp;col=6&amp;number=4.1&amp;sourceID=14","4.1")</f>
        <v>4.1</v>
      </c>
      <c r="G8115" s="4" t="str">
        <f>HYPERLINK("http://141.218.60.56/~jnz1568/getInfo.php?workbook=12_05.xlsx&amp;sheet=U0&amp;row=8115&amp;col=7&amp;number=0.000102&amp;sourceID=14","0.000102")</f>
        <v>0.000102</v>
      </c>
    </row>
    <row r="8116" spans="1:7">
      <c r="A8116" s="3"/>
      <c r="B8116" s="3"/>
      <c r="C8116" s="3"/>
      <c r="D8116" s="3"/>
      <c r="E8116" s="3">
        <v>13</v>
      </c>
      <c r="F8116" s="4" t="str">
        <f>HYPERLINK("http://141.218.60.56/~jnz1568/getInfo.php?workbook=12_05.xlsx&amp;sheet=U0&amp;row=8116&amp;col=6&amp;number=4.2&amp;sourceID=14","4.2")</f>
        <v>4.2</v>
      </c>
      <c r="G8116" s="4" t="str">
        <f>HYPERLINK("http://141.218.60.56/~jnz1568/getInfo.php?workbook=12_05.xlsx&amp;sheet=U0&amp;row=8116&amp;col=7&amp;number=0.000102&amp;sourceID=14","0.000102")</f>
        <v>0.000102</v>
      </c>
    </row>
    <row r="8117" spans="1:7">
      <c r="A8117" s="3"/>
      <c r="B8117" s="3"/>
      <c r="C8117" s="3"/>
      <c r="D8117" s="3"/>
      <c r="E8117" s="3">
        <v>14</v>
      </c>
      <c r="F8117" s="4" t="str">
        <f>HYPERLINK("http://141.218.60.56/~jnz1568/getInfo.php?workbook=12_05.xlsx&amp;sheet=U0&amp;row=8117&amp;col=6&amp;number=4.3&amp;sourceID=14","4.3")</f>
        <v>4.3</v>
      </c>
      <c r="G8117" s="4" t="str">
        <f>HYPERLINK("http://141.218.60.56/~jnz1568/getInfo.php?workbook=12_05.xlsx&amp;sheet=U0&amp;row=8117&amp;col=7&amp;number=0.000101&amp;sourceID=14","0.000101")</f>
        <v>0.000101</v>
      </c>
    </row>
    <row r="8118" spans="1:7">
      <c r="A8118" s="3"/>
      <c r="B8118" s="3"/>
      <c r="C8118" s="3"/>
      <c r="D8118" s="3"/>
      <c r="E8118" s="3">
        <v>15</v>
      </c>
      <c r="F8118" s="4" t="str">
        <f>HYPERLINK("http://141.218.60.56/~jnz1568/getInfo.php?workbook=12_05.xlsx&amp;sheet=U0&amp;row=8118&amp;col=6&amp;number=4.4&amp;sourceID=14","4.4")</f>
        <v>4.4</v>
      </c>
      <c r="G8118" s="4" t="str">
        <f>HYPERLINK("http://141.218.60.56/~jnz1568/getInfo.php?workbook=12_05.xlsx&amp;sheet=U0&amp;row=8118&amp;col=7&amp;number=0.000101&amp;sourceID=14","0.000101")</f>
        <v>0.000101</v>
      </c>
    </row>
    <row r="8119" spans="1:7">
      <c r="A8119" s="3"/>
      <c r="B8119" s="3"/>
      <c r="C8119" s="3"/>
      <c r="D8119" s="3"/>
      <c r="E8119" s="3">
        <v>16</v>
      </c>
      <c r="F8119" s="4" t="str">
        <f>HYPERLINK("http://141.218.60.56/~jnz1568/getInfo.php?workbook=12_05.xlsx&amp;sheet=U0&amp;row=8119&amp;col=6&amp;number=4.5&amp;sourceID=14","4.5")</f>
        <v>4.5</v>
      </c>
      <c r="G8119" s="4" t="str">
        <f>HYPERLINK("http://141.218.60.56/~jnz1568/getInfo.php?workbook=12_05.xlsx&amp;sheet=U0&amp;row=8119&amp;col=7&amp;number=0.0001&amp;sourceID=14","0.0001")</f>
        <v>0.0001</v>
      </c>
    </row>
    <row r="8120" spans="1:7">
      <c r="A8120" s="3"/>
      <c r="B8120" s="3"/>
      <c r="C8120" s="3"/>
      <c r="D8120" s="3"/>
      <c r="E8120" s="3">
        <v>17</v>
      </c>
      <c r="F8120" s="4" t="str">
        <f>HYPERLINK("http://141.218.60.56/~jnz1568/getInfo.php?workbook=12_05.xlsx&amp;sheet=U0&amp;row=8120&amp;col=6&amp;number=4.6&amp;sourceID=14","4.6")</f>
        <v>4.6</v>
      </c>
      <c r="G8120" s="4" t="str">
        <f>HYPERLINK("http://141.218.60.56/~jnz1568/getInfo.php?workbook=12_05.xlsx&amp;sheet=U0&amp;row=8120&amp;col=7&amp;number=9.97e-05&amp;sourceID=14","9.97e-05")</f>
        <v>9.97e-05</v>
      </c>
    </row>
    <row r="8121" spans="1:7">
      <c r="A8121" s="3"/>
      <c r="B8121" s="3"/>
      <c r="C8121" s="3"/>
      <c r="D8121" s="3"/>
      <c r="E8121" s="3">
        <v>18</v>
      </c>
      <c r="F8121" s="4" t="str">
        <f>HYPERLINK("http://141.218.60.56/~jnz1568/getInfo.php?workbook=12_05.xlsx&amp;sheet=U0&amp;row=8121&amp;col=6&amp;number=4.7&amp;sourceID=14","4.7")</f>
        <v>4.7</v>
      </c>
      <c r="G8121" s="4" t="str">
        <f>HYPERLINK("http://141.218.60.56/~jnz1568/getInfo.php?workbook=12_05.xlsx&amp;sheet=U0&amp;row=8121&amp;col=7&amp;number=9.88e-05&amp;sourceID=14","9.88e-05")</f>
        <v>9.88e-05</v>
      </c>
    </row>
    <row r="8122" spans="1:7">
      <c r="A8122" s="3"/>
      <c r="B8122" s="3"/>
      <c r="C8122" s="3"/>
      <c r="D8122" s="3"/>
      <c r="E8122" s="3">
        <v>19</v>
      </c>
      <c r="F8122" s="4" t="str">
        <f>HYPERLINK("http://141.218.60.56/~jnz1568/getInfo.php?workbook=12_05.xlsx&amp;sheet=U0&amp;row=8122&amp;col=6&amp;number=4.8&amp;sourceID=14","4.8")</f>
        <v>4.8</v>
      </c>
      <c r="G8122" s="4" t="str">
        <f>HYPERLINK("http://141.218.60.56/~jnz1568/getInfo.php?workbook=12_05.xlsx&amp;sheet=U0&amp;row=8122&amp;col=7&amp;number=9.78e-05&amp;sourceID=14","9.78e-05")</f>
        <v>9.78e-05</v>
      </c>
    </row>
    <row r="8123" spans="1:7">
      <c r="A8123" s="3"/>
      <c r="B8123" s="3"/>
      <c r="C8123" s="3"/>
      <c r="D8123" s="3"/>
      <c r="E8123" s="3">
        <v>20</v>
      </c>
      <c r="F8123" s="4" t="str">
        <f>HYPERLINK("http://141.218.60.56/~jnz1568/getInfo.php?workbook=12_05.xlsx&amp;sheet=U0&amp;row=8123&amp;col=6&amp;number=4.9&amp;sourceID=14","4.9")</f>
        <v>4.9</v>
      </c>
      <c r="G8123" s="4" t="str">
        <f>HYPERLINK("http://141.218.60.56/~jnz1568/getInfo.php?workbook=12_05.xlsx&amp;sheet=U0&amp;row=8123&amp;col=7&amp;number=9.65e-05&amp;sourceID=14","9.65e-05")</f>
        <v>9.65e-05</v>
      </c>
    </row>
    <row r="8124" spans="1:7">
      <c r="A8124" s="3">
        <v>12</v>
      </c>
      <c r="B8124" s="3">
        <v>5</v>
      </c>
      <c r="C8124" s="3">
        <v>3</v>
      </c>
      <c r="D8124" s="3">
        <v>74</v>
      </c>
      <c r="E8124" s="3">
        <v>1</v>
      </c>
      <c r="F8124" s="4" t="str">
        <f>HYPERLINK("http://141.218.60.56/~jnz1568/getInfo.php?workbook=12_05.xlsx&amp;sheet=U0&amp;row=8124&amp;col=6&amp;number=3&amp;sourceID=14","3")</f>
        <v>3</v>
      </c>
      <c r="G8124" s="4" t="str">
        <f>HYPERLINK("http://141.218.60.56/~jnz1568/getInfo.php?workbook=12_05.xlsx&amp;sheet=U0&amp;row=8124&amp;col=7&amp;number=0.00289&amp;sourceID=14","0.00289")</f>
        <v>0.00289</v>
      </c>
    </row>
    <row r="8125" spans="1:7">
      <c r="A8125" s="3"/>
      <c r="B8125" s="3"/>
      <c r="C8125" s="3"/>
      <c r="D8125" s="3"/>
      <c r="E8125" s="3">
        <v>2</v>
      </c>
      <c r="F8125" s="4" t="str">
        <f>HYPERLINK("http://141.218.60.56/~jnz1568/getInfo.php?workbook=12_05.xlsx&amp;sheet=U0&amp;row=8125&amp;col=6&amp;number=3.1&amp;sourceID=14","3.1")</f>
        <v>3.1</v>
      </c>
      <c r="G8125" s="4" t="str">
        <f>HYPERLINK("http://141.218.60.56/~jnz1568/getInfo.php?workbook=12_05.xlsx&amp;sheet=U0&amp;row=8125&amp;col=7&amp;number=0.00289&amp;sourceID=14","0.00289")</f>
        <v>0.00289</v>
      </c>
    </row>
    <row r="8126" spans="1:7">
      <c r="A8126" s="3"/>
      <c r="B8126" s="3"/>
      <c r="C8126" s="3"/>
      <c r="D8126" s="3"/>
      <c r="E8126" s="3">
        <v>3</v>
      </c>
      <c r="F8126" s="4" t="str">
        <f>HYPERLINK("http://141.218.60.56/~jnz1568/getInfo.php?workbook=12_05.xlsx&amp;sheet=U0&amp;row=8126&amp;col=6&amp;number=3.2&amp;sourceID=14","3.2")</f>
        <v>3.2</v>
      </c>
      <c r="G8126" s="4" t="str">
        <f>HYPERLINK("http://141.218.60.56/~jnz1568/getInfo.php?workbook=12_05.xlsx&amp;sheet=U0&amp;row=8126&amp;col=7&amp;number=0.00289&amp;sourceID=14","0.00289")</f>
        <v>0.00289</v>
      </c>
    </row>
    <row r="8127" spans="1:7">
      <c r="A8127" s="3"/>
      <c r="B8127" s="3"/>
      <c r="C8127" s="3"/>
      <c r="D8127" s="3"/>
      <c r="E8127" s="3">
        <v>4</v>
      </c>
      <c r="F8127" s="4" t="str">
        <f>HYPERLINK("http://141.218.60.56/~jnz1568/getInfo.php?workbook=12_05.xlsx&amp;sheet=U0&amp;row=8127&amp;col=6&amp;number=3.3&amp;sourceID=14","3.3")</f>
        <v>3.3</v>
      </c>
      <c r="G8127" s="4" t="str">
        <f>HYPERLINK("http://141.218.60.56/~jnz1568/getInfo.php?workbook=12_05.xlsx&amp;sheet=U0&amp;row=8127&amp;col=7&amp;number=0.00289&amp;sourceID=14","0.00289")</f>
        <v>0.00289</v>
      </c>
    </row>
    <row r="8128" spans="1:7">
      <c r="A8128" s="3"/>
      <c r="B8128" s="3"/>
      <c r="C8128" s="3"/>
      <c r="D8128" s="3"/>
      <c r="E8128" s="3">
        <v>5</v>
      </c>
      <c r="F8128" s="4" t="str">
        <f>HYPERLINK("http://141.218.60.56/~jnz1568/getInfo.php?workbook=12_05.xlsx&amp;sheet=U0&amp;row=8128&amp;col=6&amp;number=3.4&amp;sourceID=14","3.4")</f>
        <v>3.4</v>
      </c>
      <c r="G8128" s="4" t="str">
        <f>HYPERLINK("http://141.218.60.56/~jnz1568/getInfo.php?workbook=12_05.xlsx&amp;sheet=U0&amp;row=8128&amp;col=7&amp;number=0.00289&amp;sourceID=14","0.00289")</f>
        <v>0.00289</v>
      </c>
    </row>
    <row r="8129" spans="1:7">
      <c r="A8129" s="3"/>
      <c r="B8129" s="3"/>
      <c r="C8129" s="3"/>
      <c r="D8129" s="3"/>
      <c r="E8129" s="3">
        <v>6</v>
      </c>
      <c r="F8129" s="4" t="str">
        <f>HYPERLINK("http://141.218.60.56/~jnz1568/getInfo.php?workbook=12_05.xlsx&amp;sheet=U0&amp;row=8129&amp;col=6&amp;number=3.5&amp;sourceID=14","3.5")</f>
        <v>3.5</v>
      </c>
      <c r="G8129" s="4" t="str">
        <f>HYPERLINK("http://141.218.60.56/~jnz1568/getInfo.php?workbook=12_05.xlsx&amp;sheet=U0&amp;row=8129&amp;col=7&amp;number=0.00289&amp;sourceID=14","0.00289")</f>
        <v>0.00289</v>
      </c>
    </row>
    <row r="8130" spans="1:7">
      <c r="A8130" s="3"/>
      <c r="B8130" s="3"/>
      <c r="C8130" s="3"/>
      <c r="D8130" s="3"/>
      <c r="E8130" s="3">
        <v>7</v>
      </c>
      <c r="F8130" s="4" t="str">
        <f>HYPERLINK("http://141.218.60.56/~jnz1568/getInfo.php?workbook=12_05.xlsx&amp;sheet=U0&amp;row=8130&amp;col=6&amp;number=3.6&amp;sourceID=14","3.6")</f>
        <v>3.6</v>
      </c>
      <c r="G8130" s="4" t="str">
        <f>HYPERLINK("http://141.218.60.56/~jnz1568/getInfo.php?workbook=12_05.xlsx&amp;sheet=U0&amp;row=8130&amp;col=7&amp;number=0.0029&amp;sourceID=14","0.0029")</f>
        <v>0.0029</v>
      </c>
    </row>
    <row r="8131" spans="1:7">
      <c r="A8131" s="3"/>
      <c r="B8131" s="3"/>
      <c r="C8131" s="3"/>
      <c r="D8131" s="3"/>
      <c r="E8131" s="3">
        <v>8</v>
      </c>
      <c r="F8131" s="4" t="str">
        <f>HYPERLINK("http://141.218.60.56/~jnz1568/getInfo.php?workbook=12_05.xlsx&amp;sheet=U0&amp;row=8131&amp;col=6&amp;number=3.7&amp;sourceID=14","3.7")</f>
        <v>3.7</v>
      </c>
      <c r="G8131" s="4" t="str">
        <f>HYPERLINK("http://141.218.60.56/~jnz1568/getInfo.php?workbook=12_05.xlsx&amp;sheet=U0&amp;row=8131&amp;col=7&amp;number=0.0029&amp;sourceID=14","0.0029")</f>
        <v>0.0029</v>
      </c>
    </row>
    <row r="8132" spans="1:7">
      <c r="A8132" s="3"/>
      <c r="B8132" s="3"/>
      <c r="C8132" s="3"/>
      <c r="D8132" s="3"/>
      <c r="E8132" s="3">
        <v>9</v>
      </c>
      <c r="F8132" s="4" t="str">
        <f>HYPERLINK("http://141.218.60.56/~jnz1568/getInfo.php?workbook=12_05.xlsx&amp;sheet=U0&amp;row=8132&amp;col=6&amp;number=3.8&amp;sourceID=14","3.8")</f>
        <v>3.8</v>
      </c>
      <c r="G8132" s="4" t="str">
        <f>HYPERLINK("http://141.218.60.56/~jnz1568/getInfo.php?workbook=12_05.xlsx&amp;sheet=U0&amp;row=8132&amp;col=7&amp;number=0.0029&amp;sourceID=14","0.0029")</f>
        <v>0.0029</v>
      </c>
    </row>
    <row r="8133" spans="1:7">
      <c r="A8133" s="3"/>
      <c r="B8133" s="3"/>
      <c r="C8133" s="3"/>
      <c r="D8133" s="3"/>
      <c r="E8133" s="3">
        <v>10</v>
      </c>
      <c r="F8133" s="4" t="str">
        <f>HYPERLINK("http://141.218.60.56/~jnz1568/getInfo.php?workbook=12_05.xlsx&amp;sheet=U0&amp;row=8133&amp;col=6&amp;number=3.9&amp;sourceID=14","3.9")</f>
        <v>3.9</v>
      </c>
      <c r="G8133" s="4" t="str">
        <f>HYPERLINK("http://141.218.60.56/~jnz1568/getInfo.php?workbook=12_05.xlsx&amp;sheet=U0&amp;row=8133&amp;col=7&amp;number=0.0029&amp;sourceID=14","0.0029")</f>
        <v>0.0029</v>
      </c>
    </row>
    <row r="8134" spans="1:7">
      <c r="A8134" s="3"/>
      <c r="B8134" s="3"/>
      <c r="C8134" s="3"/>
      <c r="D8134" s="3"/>
      <c r="E8134" s="3">
        <v>11</v>
      </c>
      <c r="F8134" s="4" t="str">
        <f>HYPERLINK("http://141.218.60.56/~jnz1568/getInfo.php?workbook=12_05.xlsx&amp;sheet=U0&amp;row=8134&amp;col=6&amp;number=4&amp;sourceID=14","4")</f>
        <v>4</v>
      </c>
      <c r="G8134" s="4" t="str">
        <f>HYPERLINK("http://141.218.60.56/~jnz1568/getInfo.php?workbook=12_05.xlsx&amp;sheet=U0&amp;row=8134&amp;col=7&amp;number=0.00291&amp;sourceID=14","0.00291")</f>
        <v>0.00291</v>
      </c>
    </row>
    <row r="8135" spans="1:7">
      <c r="A8135" s="3"/>
      <c r="B8135" s="3"/>
      <c r="C8135" s="3"/>
      <c r="D8135" s="3"/>
      <c r="E8135" s="3">
        <v>12</v>
      </c>
      <c r="F8135" s="4" t="str">
        <f>HYPERLINK("http://141.218.60.56/~jnz1568/getInfo.php?workbook=12_05.xlsx&amp;sheet=U0&amp;row=8135&amp;col=6&amp;number=4.1&amp;sourceID=14","4.1")</f>
        <v>4.1</v>
      </c>
      <c r="G8135" s="4" t="str">
        <f>HYPERLINK("http://141.218.60.56/~jnz1568/getInfo.php?workbook=12_05.xlsx&amp;sheet=U0&amp;row=8135&amp;col=7&amp;number=0.00291&amp;sourceID=14","0.00291")</f>
        <v>0.00291</v>
      </c>
    </row>
    <row r="8136" spans="1:7">
      <c r="A8136" s="3"/>
      <c r="B8136" s="3"/>
      <c r="C8136" s="3"/>
      <c r="D8136" s="3"/>
      <c r="E8136" s="3">
        <v>13</v>
      </c>
      <c r="F8136" s="4" t="str">
        <f>HYPERLINK("http://141.218.60.56/~jnz1568/getInfo.php?workbook=12_05.xlsx&amp;sheet=U0&amp;row=8136&amp;col=6&amp;number=4.2&amp;sourceID=14","4.2")</f>
        <v>4.2</v>
      </c>
      <c r="G8136" s="4" t="str">
        <f>HYPERLINK("http://141.218.60.56/~jnz1568/getInfo.php?workbook=12_05.xlsx&amp;sheet=U0&amp;row=8136&amp;col=7&amp;number=0.00292&amp;sourceID=14","0.00292")</f>
        <v>0.00292</v>
      </c>
    </row>
    <row r="8137" spans="1:7">
      <c r="A8137" s="3"/>
      <c r="B8137" s="3"/>
      <c r="C8137" s="3"/>
      <c r="D8137" s="3"/>
      <c r="E8137" s="3">
        <v>14</v>
      </c>
      <c r="F8137" s="4" t="str">
        <f>HYPERLINK("http://141.218.60.56/~jnz1568/getInfo.php?workbook=12_05.xlsx&amp;sheet=U0&amp;row=8137&amp;col=6&amp;number=4.3&amp;sourceID=14","4.3")</f>
        <v>4.3</v>
      </c>
      <c r="G8137" s="4" t="str">
        <f>HYPERLINK("http://141.218.60.56/~jnz1568/getInfo.php?workbook=12_05.xlsx&amp;sheet=U0&amp;row=8137&amp;col=7&amp;number=0.00292&amp;sourceID=14","0.00292")</f>
        <v>0.00292</v>
      </c>
    </row>
    <row r="8138" spans="1:7">
      <c r="A8138" s="3"/>
      <c r="B8138" s="3"/>
      <c r="C8138" s="3"/>
      <c r="D8138" s="3"/>
      <c r="E8138" s="3">
        <v>15</v>
      </c>
      <c r="F8138" s="4" t="str">
        <f>HYPERLINK("http://141.218.60.56/~jnz1568/getInfo.php?workbook=12_05.xlsx&amp;sheet=U0&amp;row=8138&amp;col=6&amp;number=4.4&amp;sourceID=14","4.4")</f>
        <v>4.4</v>
      </c>
      <c r="G8138" s="4" t="str">
        <f>HYPERLINK("http://141.218.60.56/~jnz1568/getInfo.php?workbook=12_05.xlsx&amp;sheet=U0&amp;row=8138&amp;col=7&amp;number=0.00293&amp;sourceID=14","0.00293")</f>
        <v>0.00293</v>
      </c>
    </row>
    <row r="8139" spans="1:7">
      <c r="A8139" s="3"/>
      <c r="B8139" s="3"/>
      <c r="C8139" s="3"/>
      <c r="D8139" s="3"/>
      <c r="E8139" s="3">
        <v>16</v>
      </c>
      <c r="F8139" s="4" t="str">
        <f>HYPERLINK("http://141.218.60.56/~jnz1568/getInfo.php?workbook=12_05.xlsx&amp;sheet=U0&amp;row=8139&amp;col=6&amp;number=4.5&amp;sourceID=14","4.5")</f>
        <v>4.5</v>
      </c>
      <c r="G8139" s="4" t="str">
        <f>HYPERLINK("http://141.218.60.56/~jnz1568/getInfo.php?workbook=12_05.xlsx&amp;sheet=U0&amp;row=8139&amp;col=7&amp;number=0.00295&amp;sourceID=14","0.00295")</f>
        <v>0.00295</v>
      </c>
    </row>
    <row r="8140" spans="1:7">
      <c r="A8140" s="3"/>
      <c r="B8140" s="3"/>
      <c r="C8140" s="3"/>
      <c r="D8140" s="3"/>
      <c r="E8140" s="3">
        <v>17</v>
      </c>
      <c r="F8140" s="4" t="str">
        <f>HYPERLINK("http://141.218.60.56/~jnz1568/getInfo.php?workbook=12_05.xlsx&amp;sheet=U0&amp;row=8140&amp;col=6&amp;number=4.6&amp;sourceID=14","4.6")</f>
        <v>4.6</v>
      </c>
      <c r="G8140" s="4" t="str">
        <f>HYPERLINK("http://141.218.60.56/~jnz1568/getInfo.php?workbook=12_05.xlsx&amp;sheet=U0&amp;row=8140&amp;col=7&amp;number=0.00296&amp;sourceID=14","0.00296")</f>
        <v>0.00296</v>
      </c>
    </row>
    <row r="8141" spans="1:7">
      <c r="A8141" s="3"/>
      <c r="B8141" s="3"/>
      <c r="C8141" s="3"/>
      <c r="D8141" s="3"/>
      <c r="E8141" s="3">
        <v>18</v>
      </c>
      <c r="F8141" s="4" t="str">
        <f>HYPERLINK("http://141.218.60.56/~jnz1568/getInfo.php?workbook=12_05.xlsx&amp;sheet=U0&amp;row=8141&amp;col=6&amp;number=4.7&amp;sourceID=14","4.7")</f>
        <v>4.7</v>
      </c>
      <c r="G8141" s="4" t="str">
        <f>HYPERLINK("http://141.218.60.56/~jnz1568/getInfo.php?workbook=12_05.xlsx&amp;sheet=U0&amp;row=8141&amp;col=7&amp;number=0.00298&amp;sourceID=14","0.00298")</f>
        <v>0.00298</v>
      </c>
    </row>
    <row r="8142" spans="1:7">
      <c r="A8142" s="3"/>
      <c r="B8142" s="3"/>
      <c r="C8142" s="3"/>
      <c r="D8142" s="3"/>
      <c r="E8142" s="3">
        <v>19</v>
      </c>
      <c r="F8142" s="4" t="str">
        <f>HYPERLINK("http://141.218.60.56/~jnz1568/getInfo.php?workbook=12_05.xlsx&amp;sheet=U0&amp;row=8142&amp;col=6&amp;number=4.8&amp;sourceID=14","4.8")</f>
        <v>4.8</v>
      </c>
      <c r="G8142" s="4" t="str">
        <f>HYPERLINK("http://141.218.60.56/~jnz1568/getInfo.php?workbook=12_05.xlsx&amp;sheet=U0&amp;row=8142&amp;col=7&amp;number=0.003&amp;sourceID=14","0.003")</f>
        <v>0.003</v>
      </c>
    </row>
    <row r="8143" spans="1:7">
      <c r="A8143" s="3"/>
      <c r="B8143" s="3"/>
      <c r="C8143" s="3"/>
      <c r="D8143" s="3"/>
      <c r="E8143" s="3">
        <v>20</v>
      </c>
      <c r="F8143" s="4" t="str">
        <f>HYPERLINK("http://141.218.60.56/~jnz1568/getInfo.php?workbook=12_05.xlsx&amp;sheet=U0&amp;row=8143&amp;col=6&amp;number=4.9&amp;sourceID=14","4.9")</f>
        <v>4.9</v>
      </c>
      <c r="G8143" s="4" t="str">
        <f>HYPERLINK("http://141.218.60.56/~jnz1568/getInfo.php?workbook=12_05.xlsx&amp;sheet=U0&amp;row=8143&amp;col=7&amp;number=0.00303&amp;sourceID=14","0.00303")</f>
        <v>0.00303</v>
      </c>
    </row>
    <row r="8144" spans="1:7">
      <c r="A8144" s="3">
        <v>12</v>
      </c>
      <c r="B8144" s="3">
        <v>5</v>
      </c>
      <c r="C8144" s="3">
        <v>3</v>
      </c>
      <c r="D8144" s="3">
        <v>75</v>
      </c>
      <c r="E8144" s="3">
        <v>1</v>
      </c>
      <c r="F8144" s="4" t="str">
        <f>HYPERLINK("http://141.218.60.56/~jnz1568/getInfo.php?workbook=12_05.xlsx&amp;sheet=U0&amp;row=8144&amp;col=6&amp;number=3&amp;sourceID=14","3")</f>
        <v>3</v>
      </c>
      <c r="G8144" s="4" t="str">
        <f>HYPERLINK("http://141.218.60.56/~jnz1568/getInfo.php?workbook=12_05.xlsx&amp;sheet=U0&amp;row=8144&amp;col=7&amp;number=0.003&amp;sourceID=14","0.003")</f>
        <v>0.003</v>
      </c>
    </row>
    <row r="8145" spans="1:7">
      <c r="A8145" s="3"/>
      <c r="B8145" s="3"/>
      <c r="C8145" s="3"/>
      <c r="D8145" s="3"/>
      <c r="E8145" s="3">
        <v>2</v>
      </c>
      <c r="F8145" s="4" t="str">
        <f>HYPERLINK("http://141.218.60.56/~jnz1568/getInfo.php?workbook=12_05.xlsx&amp;sheet=U0&amp;row=8145&amp;col=6&amp;number=3.1&amp;sourceID=14","3.1")</f>
        <v>3.1</v>
      </c>
      <c r="G8145" s="4" t="str">
        <f>HYPERLINK("http://141.218.60.56/~jnz1568/getInfo.php?workbook=12_05.xlsx&amp;sheet=U0&amp;row=8145&amp;col=7&amp;number=0.003&amp;sourceID=14","0.003")</f>
        <v>0.003</v>
      </c>
    </row>
    <row r="8146" spans="1:7">
      <c r="A8146" s="3"/>
      <c r="B8146" s="3"/>
      <c r="C8146" s="3"/>
      <c r="D8146" s="3"/>
      <c r="E8146" s="3">
        <v>3</v>
      </c>
      <c r="F8146" s="4" t="str">
        <f>HYPERLINK("http://141.218.60.56/~jnz1568/getInfo.php?workbook=12_05.xlsx&amp;sheet=U0&amp;row=8146&amp;col=6&amp;number=3.2&amp;sourceID=14","3.2")</f>
        <v>3.2</v>
      </c>
      <c r="G8146" s="4" t="str">
        <f>HYPERLINK("http://141.218.60.56/~jnz1568/getInfo.php?workbook=12_05.xlsx&amp;sheet=U0&amp;row=8146&amp;col=7&amp;number=0.003&amp;sourceID=14","0.003")</f>
        <v>0.003</v>
      </c>
    </row>
    <row r="8147" spans="1:7">
      <c r="A8147" s="3"/>
      <c r="B8147" s="3"/>
      <c r="C8147" s="3"/>
      <c r="D8147" s="3"/>
      <c r="E8147" s="3">
        <v>4</v>
      </c>
      <c r="F8147" s="4" t="str">
        <f>HYPERLINK("http://141.218.60.56/~jnz1568/getInfo.php?workbook=12_05.xlsx&amp;sheet=U0&amp;row=8147&amp;col=6&amp;number=3.3&amp;sourceID=14","3.3")</f>
        <v>3.3</v>
      </c>
      <c r="G8147" s="4" t="str">
        <f>HYPERLINK("http://141.218.60.56/~jnz1568/getInfo.php?workbook=12_05.xlsx&amp;sheet=U0&amp;row=8147&amp;col=7&amp;number=0.003&amp;sourceID=14","0.003")</f>
        <v>0.003</v>
      </c>
    </row>
    <row r="8148" spans="1:7">
      <c r="A8148" s="3"/>
      <c r="B8148" s="3"/>
      <c r="C8148" s="3"/>
      <c r="D8148" s="3"/>
      <c r="E8148" s="3">
        <v>5</v>
      </c>
      <c r="F8148" s="4" t="str">
        <f>HYPERLINK("http://141.218.60.56/~jnz1568/getInfo.php?workbook=12_05.xlsx&amp;sheet=U0&amp;row=8148&amp;col=6&amp;number=3.4&amp;sourceID=14","3.4")</f>
        <v>3.4</v>
      </c>
      <c r="G8148" s="4" t="str">
        <f>HYPERLINK("http://141.218.60.56/~jnz1568/getInfo.php?workbook=12_05.xlsx&amp;sheet=U0&amp;row=8148&amp;col=7&amp;number=0.003&amp;sourceID=14","0.003")</f>
        <v>0.003</v>
      </c>
    </row>
    <row r="8149" spans="1:7">
      <c r="A8149" s="3"/>
      <c r="B8149" s="3"/>
      <c r="C8149" s="3"/>
      <c r="D8149" s="3"/>
      <c r="E8149" s="3">
        <v>6</v>
      </c>
      <c r="F8149" s="4" t="str">
        <f>HYPERLINK("http://141.218.60.56/~jnz1568/getInfo.php?workbook=12_05.xlsx&amp;sheet=U0&amp;row=8149&amp;col=6&amp;number=3.5&amp;sourceID=14","3.5")</f>
        <v>3.5</v>
      </c>
      <c r="G8149" s="4" t="str">
        <f>HYPERLINK("http://141.218.60.56/~jnz1568/getInfo.php?workbook=12_05.xlsx&amp;sheet=U0&amp;row=8149&amp;col=7&amp;number=0.003&amp;sourceID=14","0.003")</f>
        <v>0.003</v>
      </c>
    </row>
    <row r="8150" spans="1:7">
      <c r="A8150" s="3"/>
      <c r="B8150" s="3"/>
      <c r="C8150" s="3"/>
      <c r="D8150" s="3"/>
      <c r="E8150" s="3">
        <v>7</v>
      </c>
      <c r="F8150" s="4" t="str">
        <f>HYPERLINK("http://141.218.60.56/~jnz1568/getInfo.php?workbook=12_05.xlsx&amp;sheet=U0&amp;row=8150&amp;col=6&amp;number=3.6&amp;sourceID=14","3.6")</f>
        <v>3.6</v>
      </c>
      <c r="G8150" s="4" t="str">
        <f>HYPERLINK("http://141.218.60.56/~jnz1568/getInfo.php?workbook=12_05.xlsx&amp;sheet=U0&amp;row=8150&amp;col=7&amp;number=0.003&amp;sourceID=14","0.003")</f>
        <v>0.003</v>
      </c>
    </row>
    <row r="8151" spans="1:7">
      <c r="A8151" s="3"/>
      <c r="B8151" s="3"/>
      <c r="C8151" s="3"/>
      <c r="D8151" s="3"/>
      <c r="E8151" s="3">
        <v>8</v>
      </c>
      <c r="F8151" s="4" t="str">
        <f>HYPERLINK("http://141.218.60.56/~jnz1568/getInfo.php?workbook=12_05.xlsx&amp;sheet=U0&amp;row=8151&amp;col=6&amp;number=3.7&amp;sourceID=14","3.7")</f>
        <v>3.7</v>
      </c>
      <c r="G8151" s="4" t="str">
        <f>HYPERLINK("http://141.218.60.56/~jnz1568/getInfo.php?workbook=12_05.xlsx&amp;sheet=U0&amp;row=8151&amp;col=7&amp;number=0.00299&amp;sourceID=14","0.00299")</f>
        <v>0.00299</v>
      </c>
    </row>
    <row r="8152" spans="1:7">
      <c r="A8152" s="3"/>
      <c r="B8152" s="3"/>
      <c r="C8152" s="3"/>
      <c r="D8152" s="3"/>
      <c r="E8152" s="3">
        <v>9</v>
      </c>
      <c r="F8152" s="4" t="str">
        <f>HYPERLINK("http://141.218.60.56/~jnz1568/getInfo.php?workbook=12_05.xlsx&amp;sheet=U0&amp;row=8152&amp;col=6&amp;number=3.8&amp;sourceID=14","3.8")</f>
        <v>3.8</v>
      </c>
      <c r="G8152" s="4" t="str">
        <f>HYPERLINK("http://141.218.60.56/~jnz1568/getInfo.php?workbook=12_05.xlsx&amp;sheet=U0&amp;row=8152&amp;col=7&amp;number=0.00299&amp;sourceID=14","0.00299")</f>
        <v>0.00299</v>
      </c>
    </row>
    <row r="8153" spans="1:7">
      <c r="A8153" s="3"/>
      <c r="B8153" s="3"/>
      <c r="C8153" s="3"/>
      <c r="D8153" s="3"/>
      <c r="E8153" s="3">
        <v>10</v>
      </c>
      <c r="F8153" s="4" t="str">
        <f>HYPERLINK("http://141.218.60.56/~jnz1568/getInfo.php?workbook=12_05.xlsx&amp;sheet=U0&amp;row=8153&amp;col=6&amp;number=3.9&amp;sourceID=14","3.9")</f>
        <v>3.9</v>
      </c>
      <c r="G8153" s="4" t="str">
        <f>HYPERLINK("http://141.218.60.56/~jnz1568/getInfo.php?workbook=12_05.xlsx&amp;sheet=U0&amp;row=8153&amp;col=7&amp;number=0.00299&amp;sourceID=14","0.00299")</f>
        <v>0.00299</v>
      </c>
    </row>
    <row r="8154" spans="1:7">
      <c r="A8154" s="3"/>
      <c r="B8154" s="3"/>
      <c r="C8154" s="3"/>
      <c r="D8154" s="3"/>
      <c r="E8154" s="3">
        <v>11</v>
      </c>
      <c r="F8154" s="4" t="str">
        <f>HYPERLINK("http://141.218.60.56/~jnz1568/getInfo.php?workbook=12_05.xlsx&amp;sheet=U0&amp;row=8154&amp;col=6&amp;number=4&amp;sourceID=14","4")</f>
        <v>4</v>
      </c>
      <c r="G8154" s="4" t="str">
        <f>HYPERLINK("http://141.218.60.56/~jnz1568/getInfo.php?workbook=12_05.xlsx&amp;sheet=U0&amp;row=8154&amp;col=7&amp;number=0.00298&amp;sourceID=14","0.00298")</f>
        <v>0.00298</v>
      </c>
    </row>
    <row r="8155" spans="1:7">
      <c r="A8155" s="3"/>
      <c r="B8155" s="3"/>
      <c r="C8155" s="3"/>
      <c r="D8155" s="3"/>
      <c r="E8155" s="3">
        <v>12</v>
      </c>
      <c r="F8155" s="4" t="str">
        <f>HYPERLINK("http://141.218.60.56/~jnz1568/getInfo.php?workbook=12_05.xlsx&amp;sheet=U0&amp;row=8155&amp;col=6&amp;number=4.1&amp;sourceID=14","4.1")</f>
        <v>4.1</v>
      </c>
      <c r="G8155" s="4" t="str">
        <f>HYPERLINK("http://141.218.60.56/~jnz1568/getInfo.php?workbook=12_05.xlsx&amp;sheet=U0&amp;row=8155&amp;col=7&amp;number=0.00298&amp;sourceID=14","0.00298")</f>
        <v>0.00298</v>
      </c>
    </row>
    <row r="8156" spans="1:7">
      <c r="A8156" s="3"/>
      <c r="B8156" s="3"/>
      <c r="C8156" s="3"/>
      <c r="D8156" s="3"/>
      <c r="E8156" s="3">
        <v>13</v>
      </c>
      <c r="F8156" s="4" t="str">
        <f>HYPERLINK("http://141.218.60.56/~jnz1568/getInfo.php?workbook=12_05.xlsx&amp;sheet=U0&amp;row=8156&amp;col=6&amp;number=4.2&amp;sourceID=14","4.2")</f>
        <v>4.2</v>
      </c>
      <c r="G8156" s="4" t="str">
        <f>HYPERLINK("http://141.218.60.56/~jnz1568/getInfo.php?workbook=12_05.xlsx&amp;sheet=U0&amp;row=8156&amp;col=7&amp;number=0.00297&amp;sourceID=14","0.00297")</f>
        <v>0.00297</v>
      </c>
    </row>
    <row r="8157" spans="1:7">
      <c r="A8157" s="3"/>
      <c r="B8157" s="3"/>
      <c r="C8157" s="3"/>
      <c r="D8157" s="3"/>
      <c r="E8157" s="3">
        <v>14</v>
      </c>
      <c r="F8157" s="4" t="str">
        <f>HYPERLINK("http://141.218.60.56/~jnz1568/getInfo.php?workbook=12_05.xlsx&amp;sheet=U0&amp;row=8157&amp;col=6&amp;number=4.3&amp;sourceID=14","4.3")</f>
        <v>4.3</v>
      </c>
      <c r="G8157" s="4" t="str">
        <f>HYPERLINK("http://141.218.60.56/~jnz1568/getInfo.php?workbook=12_05.xlsx&amp;sheet=U0&amp;row=8157&amp;col=7&amp;number=0.00296&amp;sourceID=14","0.00296")</f>
        <v>0.00296</v>
      </c>
    </row>
    <row r="8158" spans="1:7">
      <c r="A8158" s="3"/>
      <c r="B8158" s="3"/>
      <c r="C8158" s="3"/>
      <c r="D8158" s="3"/>
      <c r="E8158" s="3">
        <v>15</v>
      </c>
      <c r="F8158" s="4" t="str">
        <f>HYPERLINK("http://141.218.60.56/~jnz1568/getInfo.php?workbook=12_05.xlsx&amp;sheet=U0&amp;row=8158&amp;col=6&amp;number=4.4&amp;sourceID=14","4.4")</f>
        <v>4.4</v>
      </c>
      <c r="G8158" s="4" t="str">
        <f>HYPERLINK("http://141.218.60.56/~jnz1568/getInfo.php?workbook=12_05.xlsx&amp;sheet=U0&amp;row=8158&amp;col=7&amp;number=0.00295&amp;sourceID=14","0.00295")</f>
        <v>0.00295</v>
      </c>
    </row>
    <row r="8159" spans="1:7">
      <c r="A8159" s="3"/>
      <c r="B8159" s="3"/>
      <c r="C8159" s="3"/>
      <c r="D8159" s="3"/>
      <c r="E8159" s="3">
        <v>16</v>
      </c>
      <c r="F8159" s="4" t="str">
        <f>HYPERLINK("http://141.218.60.56/~jnz1568/getInfo.php?workbook=12_05.xlsx&amp;sheet=U0&amp;row=8159&amp;col=6&amp;number=4.5&amp;sourceID=14","4.5")</f>
        <v>4.5</v>
      </c>
      <c r="G8159" s="4" t="str">
        <f>HYPERLINK("http://141.218.60.56/~jnz1568/getInfo.php?workbook=12_05.xlsx&amp;sheet=U0&amp;row=8159&amp;col=7&amp;number=0.00293&amp;sourceID=14","0.00293")</f>
        <v>0.00293</v>
      </c>
    </row>
    <row r="8160" spans="1:7">
      <c r="A8160" s="3"/>
      <c r="B8160" s="3"/>
      <c r="C8160" s="3"/>
      <c r="D8160" s="3"/>
      <c r="E8160" s="3">
        <v>17</v>
      </c>
      <c r="F8160" s="4" t="str">
        <f>HYPERLINK("http://141.218.60.56/~jnz1568/getInfo.php?workbook=12_05.xlsx&amp;sheet=U0&amp;row=8160&amp;col=6&amp;number=4.6&amp;sourceID=14","4.6")</f>
        <v>4.6</v>
      </c>
      <c r="G8160" s="4" t="str">
        <f>HYPERLINK("http://141.218.60.56/~jnz1568/getInfo.php?workbook=12_05.xlsx&amp;sheet=U0&amp;row=8160&amp;col=7&amp;number=0.00291&amp;sourceID=14","0.00291")</f>
        <v>0.00291</v>
      </c>
    </row>
    <row r="8161" spans="1:7">
      <c r="A8161" s="3"/>
      <c r="B8161" s="3"/>
      <c r="C8161" s="3"/>
      <c r="D8161" s="3"/>
      <c r="E8161" s="3">
        <v>18</v>
      </c>
      <c r="F8161" s="4" t="str">
        <f>HYPERLINK("http://141.218.60.56/~jnz1568/getInfo.php?workbook=12_05.xlsx&amp;sheet=U0&amp;row=8161&amp;col=6&amp;number=4.7&amp;sourceID=14","4.7")</f>
        <v>4.7</v>
      </c>
      <c r="G8161" s="4" t="str">
        <f>HYPERLINK("http://141.218.60.56/~jnz1568/getInfo.php?workbook=12_05.xlsx&amp;sheet=U0&amp;row=8161&amp;col=7&amp;number=0.00289&amp;sourceID=14","0.00289")</f>
        <v>0.00289</v>
      </c>
    </row>
    <row r="8162" spans="1:7">
      <c r="A8162" s="3"/>
      <c r="B8162" s="3"/>
      <c r="C8162" s="3"/>
      <c r="D8162" s="3"/>
      <c r="E8162" s="3">
        <v>19</v>
      </c>
      <c r="F8162" s="4" t="str">
        <f>HYPERLINK("http://141.218.60.56/~jnz1568/getInfo.php?workbook=12_05.xlsx&amp;sheet=U0&amp;row=8162&amp;col=6&amp;number=4.8&amp;sourceID=14","4.8")</f>
        <v>4.8</v>
      </c>
      <c r="G8162" s="4" t="str">
        <f>HYPERLINK("http://141.218.60.56/~jnz1568/getInfo.php?workbook=12_05.xlsx&amp;sheet=U0&amp;row=8162&amp;col=7&amp;number=0.00286&amp;sourceID=14","0.00286")</f>
        <v>0.00286</v>
      </c>
    </row>
    <row r="8163" spans="1:7">
      <c r="A8163" s="3"/>
      <c r="B8163" s="3"/>
      <c r="C8163" s="3"/>
      <c r="D8163" s="3"/>
      <c r="E8163" s="3">
        <v>20</v>
      </c>
      <c r="F8163" s="4" t="str">
        <f>HYPERLINK("http://141.218.60.56/~jnz1568/getInfo.php?workbook=12_05.xlsx&amp;sheet=U0&amp;row=8163&amp;col=6&amp;number=4.9&amp;sourceID=14","4.9")</f>
        <v>4.9</v>
      </c>
      <c r="G8163" s="4" t="str">
        <f>HYPERLINK("http://141.218.60.56/~jnz1568/getInfo.php?workbook=12_05.xlsx&amp;sheet=U0&amp;row=8163&amp;col=7&amp;number=0.00282&amp;sourceID=14","0.00282")</f>
        <v>0.00282</v>
      </c>
    </row>
    <row r="8164" spans="1:7">
      <c r="A8164" s="3">
        <v>12</v>
      </c>
      <c r="B8164" s="3">
        <v>5</v>
      </c>
      <c r="C8164" s="3">
        <v>3</v>
      </c>
      <c r="D8164" s="3">
        <v>76</v>
      </c>
      <c r="E8164" s="3">
        <v>1</v>
      </c>
      <c r="F8164" s="4" t="str">
        <f>HYPERLINK("http://141.218.60.56/~jnz1568/getInfo.php?workbook=12_05.xlsx&amp;sheet=U0&amp;row=8164&amp;col=6&amp;number=3&amp;sourceID=14","3")</f>
        <v>3</v>
      </c>
      <c r="G8164" s="4" t="str">
        <f>HYPERLINK("http://141.218.60.56/~jnz1568/getInfo.php?workbook=12_05.xlsx&amp;sheet=U0&amp;row=8164&amp;col=7&amp;number=0.156&amp;sourceID=14","0.156")</f>
        <v>0.156</v>
      </c>
    </row>
    <row r="8165" spans="1:7">
      <c r="A8165" s="3"/>
      <c r="B8165" s="3"/>
      <c r="C8165" s="3"/>
      <c r="D8165" s="3"/>
      <c r="E8165" s="3">
        <v>2</v>
      </c>
      <c r="F8165" s="4" t="str">
        <f>HYPERLINK("http://141.218.60.56/~jnz1568/getInfo.php?workbook=12_05.xlsx&amp;sheet=U0&amp;row=8165&amp;col=6&amp;number=3.1&amp;sourceID=14","3.1")</f>
        <v>3.1</v>
      </c>
      <c r="G8165" s="4" t="str">
        <f>HYPERLINK("http://141.218.60.56/~jnz1568/getInfo.php?workbook=12_05.xlsx&amp;sheet=U0&amp;row=8165&amp;col=7&amp;number=0.156&amp;sourceID=14","0.156")</f>
        <v>0.156</v>
      </c>
    </row>
    <row r="8166" spans="1:7">
      <c r="A8166" s="3"/>
      <c r="B8166" s="3"/>
      <c r="C8166" s="3"/>
      <c r="D8166" s="3"/>
      <c r="E8166" s="3">
        <v>3</v>
      </c>
      <c r="F8166" s="4" t="str">
        <f>HYPERLINK("http://141.218.60.56/~jnz1568/getInfo.php?workbook=12_05.xlsx&amp;sheet=U0&amp;row=8166&amp;col=6&amp;number=3.2&amp;sourceID=14","3.2")</f>
        <v>3.2</v>
      </c>
      <c r="G8166" s="4" t="str">
        <f>HYPERLINK("http://141.218.60.56/~jnz1568/getInfo.php?workbook=12_05.xlsx&amp;sheet=U0&amp;row=8166&amp;col=7&amp;number=0.156&amp;sourceID=14","0.156")</f>
        <v>0.156</v>
      </c>
    </row>
    <row r="8167" spans="1:7">
      <c r="A8167" s="3"/>
      <c r="B8167" s="3"/>
      <c r="C8167" s="3"/>
      <c r="D8167" s="3"/>
      <c r="E8167" s="3">
        <v>4</v>
      </c>
      <c r="F8167" s="4" t="str">
        <f>HYPERLINK("http://141.218.60.56/~jnz1568/getInfo.php?workbook=12_05.xlsx&amp;sheet=U0&amp;row=8167&amp;col=6&amp;number=3.3&amp;sourceID=14","3.3")</f>
        <v>3.3</v>
      </c>
      <c r="G8167" s="4" t="str">
        <f>HYPERLINK("http://141.218.60.56/~jnz1568/getInfo.php?workbook=12_05.xlsx&amp;sheet=U0&amp;row=8167&amp;col=7&amp;number=0.156&amp;sourceID=14","0.156")</f>
        <v>0.156</v>
      </c>
    </row>
    <row r="8168" spans="1:7">
      <c r="A8168" s="3"/>
      <c r="B8168" s="3"/>
      <c r="C8168" s="3"/>
      <c r="D8168" s="3"/>
      <c r="E8168" s="3">
        <v>5</v>
      </c>
      <c r="F8168" s="4" t="str">
        <f>HYPERLINK("http://141.218.60.56/~jnz1568/getInfo.php?workbook=12_05.xlsx&amp;sheet=U0&amp;row=8168&amp;col=6&amp;number=3.4&amp;sourceID=14","3.4")</f>
        <v>3.4</v>
      </c>
      <c r="G8168" s="4" t="str">
        <f>HYPERLINK("http://141.218.60.56/~jnz1568/getInfo.php?workbook=12_05.xlsx&amp;sheet=U0&amp;row=8168&amp;col=7&amp;number=0.156&amp;sourceID=14","0.156")</f>
        <v>0.156</v>
      </c>
    </row>
    <row r="8169" spans="1:7">
      <c r="A8169" s="3"/>
      <c r="B8169" s="3"/>
      <c r="C8169" s="3"/>
      <c r="D8169" s="3"/>
      <c r="E8169" s="3">
        <v>6</v>
      </c>
      <c r="F8169" s="4" t="str">
        <f>HYPERLINK("http://141.218.60.56/~jnz1568/getInfo.php?workbook=12_05.xlsx&amp;sheet=U0&amp;row=8169&amp;col=6&amp;number=3.5&amp;sourceID=14","3.5")</f>
        <v>3.5</v>
      </c>
      <c r="G8169" s="4" t="str">
        <f>HYPERLINK("http://141.218.60.56/~jnz1568/getInfo.php?workbook=12_05.xlsx&amp;sheet=U0&amp;row=8169&amp;col=7&amp;number=0.156&amp;sourceID=14","0.156")</f>
        <v>0.156</v>
      </c>
    </row>
    <row r="8170" spans="1:7">
      <c r="A8170" s="3"/>
      <c r="B8170" s="3"/>
      <c r="C8170" s="3"/>
      <c r="D8170" s="3"/>
      <c r="E8170" s="3">
        <v>7</v>
      </c>
      <c r="F8170" s="4" t="str">
        <f>HYPERLINK("http://141.218.60.56/~jnz1568/getInfo.php?workbook=12_05.xlsx&amp;sheet=U0&amp;row=8170&amp;col=6&amp;number=3.6&amp;sourceID=14","3.6")</f>
        <v>3.6</v>
      </c>
      <c r="G8170" s="4" t="str">
        <f>HYPERLINK("http://141.218.60.56/~jnz1568/getInfo.php?workbook=12_05.xlsx&amp;sheet=U0&amp;row=8170&amp;col=7&amp;number=0.156&amp;sourceID=14","0.156")</f>
        <v>0.156</v>
      </c>
    </row>
    <row r="8171" spans="1:7">
      <c r="A8171" s="3"/>
      <c r="B8171" s="3"/>
      <c r="C8171" s="3"/>
      <c r="D8171" s="3"/>
      <c r="E8171" s="3">
        <v>8</v>
      </c>
      <c r="F8171" s="4" t="str">
        <f>HYPERLINK("http://141.218.60.56/~jnz1568/getInfo.php?workbook=12_05.xlsx&amp;sheet=U0&amp;row=8171&amp;col=6&amp;number=3.7&amp;sourceID=14","3.7")</f>
        <v>3.7</v>
      </c>
      <c r="G8171" s="4" t="str">
        <f>HYPERLINK("http://141.218.60.56/~jnz1568/getInfo.php?workbook=12_05.xlsx&amp;sheet=U0&amp;row=8171&amp;col=7&amp;number=0.156&amp;sourceID=14","0.156")</f>
        <v>0.156</v>
      </c>
    </row>
    <row r="8172" spans="1:7">
      <c r="A8172" s="3"/>
      <c r="B8172" s="3"/>
      <c r="C8172" s="3"/>
      <c r="D8172" s="3"/>
      <c r="E8172" s="3">
        <v>9</v>
      </c>
      <c r="F8172" s="4" t="str">
        <f>HYPERLINK("http://141.218.60.56/~jnz1568/getInfo.php?workbook=12_05.xlsx&amp;sheet=U0&amp;row=8172&amp;col=6&amp;number=3.8&amp;sourceID=14","3.8")</f>
        <v>3.8</v>
      </c>
      <c r="G8172" s="4" t="str">
        <f>HYPERLINK("http://141.218.60.56/~jnz1568/getInfo.php?workbook=12_05.xlsx&amp;sheet=U0&amp;row=8172&amp;col=7&amp;number=0.156&amp;sourceID=14","0.156")</f>
        <v>0.156</v>
      </c>
    </row>
    <row r="8173" spans="1:7">
      <c r="A8173" s="3"/>
      <c r="B8173" s="3"/>
      <c r="C8173" s="3"/>
      <c r="D8173" s="3"/>
      <c r="E8173" s="3">
        <v>10</v>
      </c>
      <c r="F8173" s="4" t="str">
        <f>HYPERLINK("http://141.218.60.56/~jnz1568/getInfo.php?workbook=12_05.xlsx&amp;sheet=U0&amp;row=8173&amp;col=6&amp;number=3.9&amp;sourceID=14","3.9")</f>
        <v>3.9</v>
      </c>
      <c r="G8173" s="4" t="str">
        <f>HYPERLINK("http://141.218.60.56/~jnz1568/getInfo.php?workbook=12_05.xlsx&amp;sheet=U0&amp;row=8173&amp;col=7&amp;number=0.157&amp;sourceID=14","0.157")</f>
        <v>0.157</v>
      </c>
    </row>
    <row r="8174" spans="1:7">
      <c r="A8174" s="3"/>
      <c r="B8174" s="3"/>
      <c r="C8174" s="3"/>
      <c r="D8174" s="3"/>
      <c r="E8174" s="3">
        <v>11</v>
      </c>
      <c r="F8174" s="4" t="str">
        <f>HYPERLINK("http://141.218.60.56/~jnz1568/getInfo.php?workbook=12_05.xlsx&amp;sheet=U0&amp;row=8174&amp;col=6&amp;number=4&amp;sourceID=14","4")</f>
        <v>4</v>
      </c>
      <c r="G8174" s="4" t="str">
        <f>HYPERLINK("http://141.218.60.56/~jnz1568/getInfo.php?workbook=12_05.xlsx&amp;sheet=U0&amp;row=8174&amp;col=7&amp;number=0.157&amp;sourceID=14","0.157")</f>
        <v>0.157</v>
      </c>
    </row>
    <row r="8175" spans="1:7">
      <c r="A8175" s="3"/>
      <c r="B8175" s="3"/>
      <c r="C8175" s="3"/>
      <c r="D8175" s="3"/>
      <c r="E8175" s="3">
        <v>12</v>
      </c>
      <c r="F8175" s="4" t="str">
        <f>HYPERLINK("http://141.218.60.56/~jnz1568/getInfo.php?workbook=12_05.xlsx&amp;sheet=U0&amp;row=8175&amp;col=6&amp;number=4.1&amp;sourceID=14","4.1")</f>
        <v>4.1</v>
      </c>
      <c r="G8175" s="4" t="str">
        <f>HYPERLINK("http://141.218.60.56/~jnz1568/getInfo.php?workbook=12_05.xlsx&amp;sheet=U0&amp;row=8175&amp;col=7&amp;number=0.157&amp;sourceID=14","0.157")</f>
        <v>0.157</v>
      </c>
    </row>
    <row r="8176" spans="1:7">
      <c r="A8176" s="3"/>
      <c r="B8176" s="3"/>
      <c r="C8176" s="3"/>
      <c r="D8176" s="3"/>
      <c r="E8176" s="3">
        <v>13</v>
      </c>
      <c r="F8176" s="4" t="str">
        <f>HYPERLINK("http://141.218.60.56/~jnz1568/getInfo.php?workbook=12_05.xlsx&amp;sheet=U0&amp;row=8176&amp;col=6&amp;number=4.2&amp;sourceID=14","4.2")</f>
        <v>4.2</v>
      </c>
      <c r="G8176" s="4" t="str">
        <f>HYPERLINK("http://141.218.60.56/~jnz1568/getInfo.php?workbook=12_05.xlsx&amp;sheet=U0&amp;row=8176&amp;col=7&amp;number=0.158&amp;sourceID=14","0.158")</f>
        <v>0.158</v>
      </c>
    </row>
    <row r="8177" spans="1:7">
      <c r="A8177" s="3"/>
      <c r="B8177" s="3"/>
      <c r="C8177" s="3"/>
      <c r="D8177" s="3"/>
      <c r="E8177" s="3">
        <v>14</v>
      </c>
      <c r="F8177" s="4" t="str">
        <f>HYPERLINK("http://141.218.60.56/~jnz1568/getInfo.php?workbook=12_05.xlsx&amp;sheet=U0&amp;row=8177&amp;col=6&amp;number=4.3&amp;sourceID=14","4.3")</f>
        <v>4.3</v>
      </c>
      <c r="G8177" s="4" t="str">
        <f>HYPERLINK("http://141.218.60.56/~jnz1568/getInfo.php?workbook=12_05.xlsx&amp;sheet=U0&amp;row=8177&amp;col=7&amp;number=0.158&amp;sourceID=14","0.158")</f>
        <v>0.158</v>
      </c>
    </row>
    <row r="8178" spans="1:7">
      <c r="A8178" s="3"/>
      <c r="B8178" s="3"/>
      <c r="C8178" s="3"/>
      <c r="D8178" s="3"/>
      <c r="E8178" s="3">
        <v>15</v>
      </c>
      <c r="F8178" s="4" t="str">
        <f>HYPERLINK("http://141.218.60.56/~jnz1568/getInfo.php?workbook=12_05.xlsx&amp;sheet=U0&amp;row=8178&amp;col=6&amp;number=4.4&amp;sourceID=14","4.4")</f>
        <v>4.4</v>
      </c>
      <c r="G8178" s="4" t="str">
        <f>HYPERLINK("http://141.218.60.56/~jnz1568/getInfo.php?workbook=12_05.xlsx&amp;sheet=U0&amp;row=8178&amp;col=7&amp;number=0.159&amp;sourceID=14","0.159")</f>
        <v>0.159</v>
      </c>
    </row>
    <row r="8179" spans="1:7">
      <c r="A8179" s="3"/>
      <c r="B8179" s="3"/>
      <c r="C8179" s="3"/>
      <c r="D8179" s="3"/>
      <c r="E8179" s="3">
        <v>16</v>
      </c>
      <c r="F8179" s="4" t="str">
        <f>HYPERLINK("http://141.218.60.56/~jnz1568/getInfo.php?workbook=12_05.xlsx&amp;sheet=U0&amp;row=8179&amp;col=6&amp;number=4.5&amp;sourceID=14","4.5")</f>
        <v>4.5</v>
      </c>
      <c r="G8179" s="4" t="str">
        <f>HYPERLINK("http://141.218.60.56/~jnz1568/getInfo.php?workbook=12_05.xlsx&amp;sheet=U0&amp;row=8179&amp;col=7&amp;number=0.16&amp;sourceID=14","0.16")</f>
        <v>0.16</v>
      </c>
    </row>
    <row r="8180" spans="1:7">
      <c r="A8180" s="3"/>
      <c r="B8180" s="3"/>
      <c r="C8180" s="3"/>
      <c r="D8180" s="3"/>
      <c r="E8180" s="3">
        <v>17</v>
      </c>
      <c r="F8180" s="4" t="str">
        <f>HYPERLINK("http://141.218.60.56/~jnz1568/getInfo.php?workbook=12_05.xlsx&amp;sheet=U0&amp;row=8180&amp;col=6&amp;number=4.6&amp;sourceID=14","4.6")</f>
        <v>4.6</v>
      </c>
      <c r="G8180" s="4" t="str">
        <f>HYPERLINK("http://141.218.60.56/~jnz1568/getInfo.php?workbook=12_05.xlsx&amp;sheet=U0&amp;row=8180&amp;col=7&amp;number=0.161&amp;sourceID=14","0.161")</f>
        <v>0.161</v>
      </c>
    </row>
    <row r="8181" spans="1:7">
      <c r="A8181" s="3"/>
      <c r="B8181" s="3"/>
      <c r="C8181" s="3"/>
      <c r="D8181" s="3"/>
      <c r="E8181" s="3">
        <v>18</v>
      </c>
      <c r="F8181" s="4" t="str">
        <f>HYPERLINK("http://141.218.60.56/~jnz1568/getInfo.php?workbook=12_05.xlsx&amp;sheet=U0&amp;row=8181&amp;col=6&amp;number=4.7&amp;sourceID=14","4.7")</f>
        <v>4.7</v>
      </c>
      <c r="G8181" s="4" t="str">
        <f>HYPERLINK("http://141.218.60.56/~jnz1568/getInfo.php?workbook=12_05.xlsx&amp;sheet=U0&amp;row=8181&amp;col=7&amp;number=0.162&amp;sourceID=14","0.162")</f>
        <v>0.162</v>
      </c>
    </row>
    <row r="8182" spans="1:7">
      <c r="A8182" s="3"/>
      <c r="B8182" s="3"/>
      <c r="C8182" s="3"/>
      <c r="D8182" s="3"/>
      <c r="E8182" s="3">
        <v>19</v>
      </c>
      <c r="F8182" s="4" t="str">
        <f>HYPERLINK("http://141.218.60.56/~jnz1568/getInfo.php?workbook=12_05.xlsx&amp;sheet=U0&amp;row=8182&amp;col=6&amp;number=4.8&amp;sourceID=14","4.8")</f>
        <v>4.8</v>
      </c>
      <c r="G8182" s="4" t="str">
        <f>HYPERLINK("http://141.218.60.56/~jnz1568/getInfo.php?workbook=12_05.xlsx&amp;sheet=U0&amp;row=8182&amp;col=7&amp;number=0.163&amp;sourceID=14","0.163")</f>
        <v>0.163</v>
      </c>
    </row>
    <row r="8183" spans="1:7">
      <c r="A8183" s="3"/>
      <c r="B8183" s="3"/>
      <c r="C8183" s="3"/>
      <c r="D8183" s="3"/>
      <c r="E8183" s="3">
        <v>20</v>
      </c>
      <c r="F8183" s="4" t="str">
        <f>HYPERLINK("http://141.218.60.56/~jnz1568/getInfo.php?workbook=12_05.xlsx&amp;sheet=U0&amp;row=8183&amp;col=6&amp;number=4.9&amp;sourceID=14","4.9")</f>
        <v>4.9</v>
      </c>
      <c r="G8183" s="4" t="str">
        <f>HYPERLINK("http://141.218.60.56/~jnz1568/getInfo.php?workbook=12_05.xlsx&amp;sheet=U0&amp;row=8183&amp;col=7&amp;number=0.165&amp;sourceID=14","0.165")</f>
        <v>0.165</v>
      </c>
    </row>
    <row r="8184" spans="1:7">
      <c r="A8184" s="3">
        <v>12</v>
      </c>
      <c r="B8184" s="3">
        <v>5</v>
      </c>
      <c r="C8184" s="3">
        <v>3</v>
      </c>
      <c r="D8184" s="3">
        <v>77</v>
      </c>
      <c r="E8184" s="3">
        <v>1</v>
      </c>
      <c r="F8184" s="4" t="str">
        <f>HYPERLINK("http://141.218.60.56/~jnz1568/getInfo.php?workbook=12_05.xlsx&amp;sheet=U0&amp;row=8184&amp;col=6&amp;number=3&amp;sourceID=14","3")</f>
        <v>3</v>
      </c>
      <c r="G8184" s="4" t="str">
        <f>HYPERLINK("http://141.218.60.56/~jnz1568/getInfo.php?workbook=12_05.xlsx&amp;sheet=U0&amp;row=8184&amp;col=7&amp;number=0.0117&amp;sourceID=14","0.0117")</f>
        <v>0.0117</v>
      </c>
    </row>
    <row r="8185" spans="1:7">
      <c r="A8185" s="3"/>
      <c r="B8185" s="3"/>
      <c r="C8185" s="3"/>
      <c r="D8185" s="3"/>
      <c r="E8185" s="3">
        <v>2</v>
      </c>
      <c r="F8185" s="4" t="str">
        <f>HYPERLINK("http://141.218.60.56/~jnz1568/getInfo.php?workbook=12_05.xlsx&amp;sheet=U0&amp;row=8185&amp;col=6&amp;number=3.1&amp;sourceID=14","3.1")</f>
        <v>3.1</v>
      </c>
      <c r="G8185" s="4" t="str">
        <f>HYPERLINK("http://141.218.60.56/~jnz1568/getInfo.php?workbook=12_05.xlsx&amp;sheet=U0&amp;row=8185&amp;col=7&amp;number=0.0117&amp;sourceID=14","0.0117")</f>
        <v>0.0117</v>
      </c>
    </row>
    <row r="8186" spans="1:7">
      <c r="A8186" s="3"/>
      <c r="B8186" s="3"/>
      <c r="C8186" s="3"/>
      <c r="D8186" s="3"/>
      <c r="E8186" s="3">
        <v>3</v>
      </c>
      <c r="F8186" s="4" t="str">
        <f>HYPERLINK("http://141.218.60.56/~jnz1568/getInfo.php?workbook=12_05.xlsx&amp;sheet=U0&amp;row=8186&amp;col=6&amp;number=3.2&amp;sourceID=14","3.2")</f>
        <v>3.2</v>
      </c>
      <c r="G8186" s="4" t="str">
        <f>HYPERLINK("http://141.218.60.56/~jnz1568/getInfo.php?workbook=12_05.xlsx&amp;sheet=U0&amp;row=8186&amp;col=7&amp;number=0.0117&amp;sourceID=14","0.0117")</f>
        <v>0.0117</v>
      </c>
    </row>
    <row r="8187" spans="1:7">
      <c r="A8187" s="3"/>
      <c r="B8187" s="3"/>
      <c r="C8187" s="3"/>
      <c r="D8187" s="3"/>
      <c r="E8187" s="3">
        <v>4</v>
      </c>
      <c r="F8187" s="4" t="str">
        <f>HYPERLINK("http://141.218.60.56/~jnz1568/getInfo.php?workbook=12_05.xlsx&amp;sheet=U0&amp;row=8187&amp;col=6&amp;number=3.3&amp;sourceID=14","3.3")</f>
        <v>3.3</v>
      </c>
      <c r="G8187" s="4" t="str">
        <f>HYPERLINK("http://141.218.60.56/~jnz1568/getInfo.php?workbook=12_05.xlsx&amp;sheet=U0&amp;row=8187&amp;col=7&amp;number=0.0117&amp;sourceID=14","0.0117")</f>
        <v>0.0117</v>
      </c>
    </row>
    <row r="8188" spans="1:7">
      <c r="A8188" s="3"/>
      <c r="B8188" s="3"/>
      <c r="C8188" s="3"/>
      <c r="D8188" s="3"/>
      <c r="E8188" s="3">
        <v>5</v>
      </c>
      <c r="F8188" s="4" t="str">
        <f>HYPERLINK("http://141.218.60.56/~jnz1568/getInfo.php?workbook=12_05.xlsx&amp;sheet=U0&amp;row=8188&amp;col=6&amp;number=3.4&amp;sourceID=14","3.4")</f>
        <v>3.4</v>
      </c>
      <c r="G8188" s="4" t="str">
        <f>HYPERLINK("http://141.218.60.56/~jnz1568/getInfo.php?workbook=12_05.xlsx&amp;sheet=U0&amp;row=8188&amp;col=7&amp;number=0.0117&amp;sourceID=14","0.0117")</f>
        <v>0.0117</v>
      </c>
    </row>
    <row r="8189" spans="1:7">
      <c r="A8189" s="3"/>
      <c r="B8189" s="3"/>
      <c r="C8189" s="3"/>
      <c r="D8189" s="3"/>
      <c r="E8189" s="3">
        <v>6</v>
      </c>
      <c r="F8189" s="4" t="str">
        <f>HYPERLINK("http://141.218.60.56/~jnz1568/getInfo.php?workbook=12_05.xlsx&amp;sheet=U0&amp;row=8189&amp;col=6&amp;number=3.5&amp;sourceID=14","3.5")</f>
        <v>3.5</v>
      </c>
      <c r="G8189" s="4" t="str">
        <f>HYPERLINK("http://141.218.60.56/~jnz1568/getInfo.php?workbook=12_05.xlsx&amp;sheet=U0&amp;row=8189&amp;col=7&amp;number=0.0117&amp;sourceID=14","0.0117")</f>
        <v>0.0117</v>
      </c>
    </row>
    <row r="8190" spans="1:7">
      <c r="A8190" s="3"/>
      <c r="B8190" s="3"/>
      <c r="C8190" s="3"/>
      <c r="D8190" s="3"/>
      <c r="E8190" s="3">
        <v>7</v>
      </c>
      <c r="F8190" s="4" t="str">
        <f>HYPERLINK("http://141.218.60.56/~jnz1568/getInfo.php?workbook=12_05.xlsx&amp;sheet=U0&amp;row=8190&amp;col=6&amp;number=3.6&amp;sourceID=14","3.6")</f>
        <v>3.6</v>
      </c>
      <c r="G8190" s="4" t="str">
        <f>HYPERLINK("http://141.218.60.56/~jnz1568/getInfo.php?workbook=12_05.xlsx&amp;sheet=U0&amp;row=8190&amp;col=7&amp;number=0.0118&amp;sourceID=14","0.0118")</f>
        <v>0.0118</v>
      </c>
    </row>
    <row r="8191" spans="1:7">
      <c r="A8191" s="3"/>
      <c r="B8191" s="3"/>
      <c r="C8191" s="3"/>
      <c r="D8191" s="3"/>
      <c r="E8191" s="3">
        <v>8</v>
      </c>
      <c r="F8191" s="4" t="str">
        <f>HYPERLINK("http://141.218.60.56/~jnz1568/getInfo.php?workbook=12_05.xlsx&amp;sheet=U0&amp;row=8191&amp;col=6&amp;number=3.7&amp;sourceID=14","3.7")</f>
        <v>3.7</v>
      </c>
      <c r="G8191" s="4" t="str">
        <f>HYPERLINK("http://141.218.60.56/~jnz1568/getInfo.php?workbook=12_05.xlsx&amp;sheet=U0&amp;row=8191&amp;col=7&amp;number=0.0118&amp;sourceID=14","0.0118")</f>
        <v>0.0118</v>
      </c>
    </row>
    <row r="8192" spans="1:7">
      <c r="A8192" s="3"/>
      <c r="B8192" s="3"/>
      <c r="C8192" s="3"/>
      <c r="D8192" s="3"/>
      <c r="E8192" s="3">
        <v>9</v>
      </c>
      <c r="F8192" s="4" t="str">
        <f>HYPERLINK("http://141.218.60.56/~jnz1568/getInfo.php?workbook=12_05.xlsx&amp;sheet=U0&amp;row=8192&amp;col=6&amp;number=3.8&amp;sourceID=14","3.8")</f>
        <v>3.8</v>
      </c>
      <c r="G8192" s="4" t="str">
        <f>HYPERLINK("http://141.218.60.56/~jnz1568/getInfo.php?workbook=12_05.xlsx&amp;sheet=U0&amp;row=8192&amp;col=7&amp;number=0.0118&amp;sourceID=14","0.0118")</f>
        <v>0.0118</v>
      </c>
    </row>
    <row r="8193" spans="1:7">
      <c r="A8193" s="3"/>
      <c r="B8193" s="3"/>
      <c r="C8193" s="3"/>
      <c r="D8193" s="3"/>
      <c r="E8193" s="3">
        <v>10</v>
      </c>
      <c r="F8193" s="4" t="str">
        <f>HYPERLINK("http://141.218.60.56/~jnz1568/getInfo.php?workbook=12_05.xlsx&amp;sheet=U0&amp;row=8193&amp;col=6&amp;number=3.9&amp;sourceID=14","3.9")</f>
        <v>3.9</v>
      </c>
      <c r="G8193" s="4" t="str">
        <f>HYPERLINK("http://141.218.60.56/~jnz1568/getInfo.php?workbook=12_05.xlsx&amp;sheet=U0&amp;row=8193&amp;col=7&amp;number=0.0118&amp;sourceID=14","0.0118")</f>
        <v>0.0118</v>
      </c>
    </row>
    <row r="8194" spans="1:7">
      <c r="A8194" s="3"/>
      <c r="B8194" s="3"/>
      <c r="C8194" s="3"/>
      <c r="D8194" s="3"/>
      <c r="E8194" s="3">
        <v>11</v>
      </c>
      <c r="F8194" s="4" t="str">
        <f>HYPERLINK("http://141.218.60.56/~jnz1568/getInfo.php?workbook=12_05.xlsx&amp;sheet=U0&amp;row=8194&amp;col=6&amp;number=4&amp;sourceID=14","4")</f>
        <v>4</v>
      </c>
      <c r="G8194" s="4" t="str">
        <f>HYPERLINK("http://141.218.60.56/~jnz1568/getInfo.php?workbook=12_05.xlsx&amp;sheet=U0&amp;row=8194&amp;col=7&amp;number=0.0118&amp;sourceID=14","0.0118")</f>
        <v>0.0118</v>
      </c>
    </row>
    <row r="8195" spans="1:7">
      <c r="A8195" s="3"/>
      <c r="B8195" s="3"/>
      <c r="C8195" s="3"/>
      <c r="D8195" s="3"/>
      <c r="E8195" s="3">
        <v>12</v>
      </c>
      <c r="F8195" s="4" t="str">
        <f>HYPERLINK("http://141.218.60.56/~jnz1568/getInfo.php?workbook=12_05.xlsx&amp;sheet=U0&amp;row=8195&amp;col=6&amp;number=4.1&amp;sourceID=14","4.1")</f>
        <v>4.1</v>
      </c>
      <c r="G8195" s="4" t="str">
        <f>HYPERLINK("http://141.218.60.56/~jnz1568/getInfo.php?workbook=12_05.xlsx&amp;sheet=U0&amp;row=8195&amp;col=7&amp;number=0.0118&amp;sourceID=14","0.0118")</f>
        <v>0.0118</v>
      </c>
    </row>
    <row r="8196" spans="1:7">
      <c r="A8196" s="3"/>
      <c r="B8196" s="3"/>
      <c r="C8196" s="3"/>
      <c r="D8196" s="3"/>
      <c r="E8196" s="3">
        <v>13</v>
      </c>
      <c r="F8196" s="4" t="str">
        <f>HYPERLINK("http://141.218.60.56/~jnz1568/getInfo.php?workbook=12_05.xlsx&amp;sheet=U0&amp;row=8196&amp;col=6&amp;number=4.2&amp;sourceID=14","4.2")</f>
        <v>4.2</v>
      </c>
      <c r="G8196" s="4" t="str">
        <f>HYPERLINK("http://141.218.60.56/~jnz1568/getInfo.php?workbook=12_05.xlsx&amp;sheet=U0&amp;row=8196&amp;col=7&amp;number=0.0118&amp;sourceID=14","0.0118")</f>
        <v>0.0118</v>
      </c>
    </row>
    <row r="8197" spans="1:7">
      <c r="A8197" s="3"/>
      <c r="B8197" s="3"/>
      <c r="C8197" s="3"/>
      <c r="D8197" s="3"/>
      <c r="E8197" s="3">
        <v>14</v>
      </c>
      <c r="F8197" s="4" t="str">
        <f>HYPERLINK("http://141.218.60.56/~jnz1568/getInfo.php?workbook=12_05.xlsx&amp;sheet=U0&amp;row=8197&amp;col=6&amp;number=4.3&amp;sourceID=14","4.3")</f>
        <v>4.3</v>
      </c>
      <c r="G8197" s="4" t="str">
        <f>HYPERLINK("http://141.218.60.56/~jnz1568/getInfo.php?workbook=12_05.xlsx&amp;sheet=U0&amp;row=8197&amp;col=7&amp;number=0.0118&amp;sourceID=14","0.0118")</f>
        <v>0.0118</v>
      </c>
    </row>
    <row r="8198" spans="1:7">
      <c r="A8198" s="3"/>
      <c r="B8198" s="3"/>
      <c r="C8198" s="3"/>
      <c r="D8198" s="3"/>
      <c r="E8198" s="3">
        <v>15</v>
      </c>
      <c r="F8198" s="4" t="str">
        <f>HYPERLINK("http://141.218.60.56/~jnz1568/getInfo.php?workbook=12_05.xlsx&amp;sheet=U0&amp;row=8198&amp;col=6&amp;number=4.4&amp;sourceID=14","4.4")</f>
        <v>4.4</v>
      </c>
      <c r="G8198" s="4" t="str">
        <f>HYPERLINK("http://141.218.60.56/~jnz1568/getInfo.php?workbook=12_05.xlsx&amp;sheet=U0&amp;row=8198&amp;col=7&amp;number=0.0119&amp;sourceID=14","0.0119")</f>
        <v>0.0119</v>
      </c>
    </row>
    <row r="8199" spans="1:7">
      <c r="A8199" s="3"/>
      <c r="B8199" s="3"/>
      <c r="C8199" s="3"/>
      <c r="D8199" s="3"/>
      <c r="E8199" s="3">
        <v>16</v>
      </c>
      <c r="F8199" s="4" t="str">
        <f>HYPERLINK("http://141.218.60.56/~jnz1568/getInfo.php?workbook=12_05.xlsx&amp;sheet=U0&amp;row=8199&amp;col=6&amp;number=4.5&amp;sourceID=14","4.5")</f>
        <v>4.5</v>
      </c>
      <c r="G8199" s="4" t="str">
        <f>HYPERLINK("http://141.218.60.56/~jnz1568/getInfo.php?workbook=12_05.xlsx&amp;sheet=U0&amp;row=8199&amp;col=7&amp;number=0.0119&amp;sourceID=14","0.0119")</f>
        <v>0.0119</v>
      </c>
    </row>
    <row r="8200" spans="1:7">
      <c r="A8200" s="3"/>
      <c r="B8200" s="3"/>
      <c r="C8200" s="3"/>
      <c r="D8200" s="3"/>
      <c r="E8200" s="3">
        <v>17</v>
      </c>
      <c r="F8200" s="4" t="str">
        <f>HYPERLINK("http://141.218.60.56/~jnz1568/getInfo.php?workbook=12_05.xlsx&amp;sheet=U0&amp;row=8200&amp;col=6&amp;number=4.6&amp;sourceID=14","4.6")</f>
        <v>4.6</v>
      </c>
      <c r="G8200" s="4" t="str">
        <f>HYPERLINK("http://141.218.60.56/~jnz1568/getInfo.php?workbook=12_05.xlsx&amp;sheet=U0&amp;row=8200&amp;col=7&amp;number=0.0119&amp;sourceID=14","0.0119")</f>
        <v>0.0119</v>
      </c>
    </row>
    <row r="8201" spans="1:7">
      <c r="A8201" s="3"/>
      <c r="B8201" s="3"/>
      <c r="C8201" s="3"/>
      <c r="D8201" s="3"/>
      <c r="E8201" s="3">
        <v>18</v>
      </c>
      <c r="F8201" s="4" t="str">
        <f>HYPERLINK("http://141.218.60.56/~jnz1568/getInfo.php?workbook=12_05.xlsx&amp;sheet=U0&amp;row=8201&amp;col=6&amp;number=4.7&amp;sourceID=14","4.7")</f>
        <v>4.7</v>
      </c>
      <c r="G8201" s="4" t="str">
        <f>HYPERLINK("http://141.218.60.56/~jnz1568/getInfo.php?workbook=12_05.xlsx&amp;sheet=U0&amp;row=8201&amp;col=7&amp;number=0.012&amp;sourceID=14","0.012")</f>
        <v>0.012</v>
      </c>
    </row>
    <row r="8202" spans="1:7">
      <c r="A8202" s="3"/>
      <c r="B8202" s="3"/>
      <c r="C8202" s="3"/>
      <c r="D8202" s="3"/>
      <c r="E8202" s="3">
        <v>19</v>
      </c>
      <c r="F8202" s="4" t="str">
        <f>HYPERLINK("http://141.218.60.56/~jnz1568/getInfo.php?workbook=12_05.xlsx&amp;sheet=U0&amp;row=8202&amp;col=6&amp;number=4.8&amp;sourceID=14","4.8")</f>
        <v>4.8</v>
      </c>
      <c r="G8202" s="4" t="str">
        <f>HYPERLINK("http://141.218.60.56/~jnz1568/getInfo.php?workbook=12_05.xlsx&amp;sheet=U0&amp;row=8202&amp;col=7&amp;number=0.0121&amp;sourceID=14","0.0121")</f>
        <v>0.0121</v>
      </c>
    </row>
    <row r="8203" spans="1:7">
      <c r="A8203" s="3"/>
      <c r="B8203" s="3"/>
      <c r="C8203" s="3"/>
      <c r="D8203" s="3"/>
      <c r="E8203" s="3">
        <v>20</v>
      </c>
      <c r="F8203" s="4" t="str">
        <f>HYPERLINK("http://141.218.60.56/~jnz1568/getInfo.php?workbook=12_05.xlsx&amp;sheet=U0&amp;row=8203&amp;col=6&amp;number=4.9&amp;sourceID=14","4.9")</f>
        <v>4.9</v>
      </c>
      <c r="G8203" s="4" t="str">
        <f>HYPERLINK("http://141.218.60.56/~jnz1568/getInfo.php?workbook=12_05.xlsx&amp;sheet=U0&amp;row=8203&amp;col=7&amp;number=0.0122&amp;sourceID=14","0.0122")</f>
        <v>0.0122</v>
      </c>
    </row>
    <row r="8204" spans="1:7">
      <c r="A8204" s="3">
        <v>12</v>
      </c>
      <c r="B8204" s="3">
        <v>5</v>
      </c>
      <c r="C8204" s="3">
        <v>3</v>
      </c>
      <c r="D8204" s="3">
        <v>78</v>
      </c>
      <c r="E8204" s="3">
        <v>1</v>
      </c>
      <c r="F8204" s="4" t="str">
        <f>HYPERLINK("http://141.218.60.56/~jnz1568/getInfo.php?workbook=12_05.xlsx&amp;sheet=U0&amp;row=8204&amp;col=6&amp;number=3&amp;sourceID=14","3")</f>
        <v>3</v>
      </c>
      <c r="G8204" s="4" t="str">
        <f>HYPERLINK("http://141.218.60.56/~jnz1568/getInfo.php?workbook=12_05.xlsx&amp;sheet=U0&amp;row=8204&amp;col=7&amp;number=0.000344&amp;sourceID=14","0.000344")</f>
        <v>0.000344</v>
      </c>
    </row>
    <row r="8205" spans="1:7">
      <c r="A8205" s="3"/>
      <c r="B8205" s="3"/>
      <c r="C8205" s="3"/>
      <c r="D8205" s="3"/>
      <c r="E8205" s="3">
        <v>2</v>
      </c>
      <c r="F8205" s="4" t="str">
        <f>HYPERLINK("http://141.218.60.56/~jnz1568/getInfo.php?workbook=12_05.xlsx&amp;sheet=U0&amp;row=8205&amp;col=6&amp;number=3.1&amp;sourceID=14","3.1")</f>
        <v>3.1</v>
      </c>
      <c r="G8205" s="4" t="str">
        <f>HYPERLINK("http://141.218.60.56/~jnz1568/getInfo.php?workbook=12_05.xlsx&amp;sheet=U0&amp;row=8205&amp;col=7&amp;number=0.000344&amp;sourceID=14","0.000344")</f>
        <v>0.000344</v>
      </c>
    </row>
    <row r="8206" spans="1:7">
      <c r="A8206" s="3"/>
      <c r="B8206" s="3"/>
      <c r="C8206" s="3"/>
      <c r="D8206" s="3"/>
      <c r="E8206" s="3">
        <v>3</v>
      </c>
      <c r="F8206" s="4" t="str">
        <f>HYPERLINK("http://141.218.60.56/~jnz1568/getInfo.php?workbook=12_05.xlsx&amp;sheet=U0&amp;row=8206&amp;col=6&amp;number=3.2&amp;sourceID=14","3.2")</f>
        <v>3.2</v>
      </c>
      <c r="G8206" s="4" t="str">
        <f>HYPERLINK("http://141.218.60.56/~jnz1568/getInfo.php?workbook=12_05.xlsx&amp;sheet=U0&amp;row=8206&amp;col=7&amp;number=0.000343&amp;sourceID=14","0.000343")</f>
        <v>0.000343</v>
      </c>
    </row>
    <row r="8207" spans="1:7">
      <c r="A8207" s="3"/>
      <c r="B8207" s="3"/>
      <c r="C8207" s="3"/>
      <c r="D8207" s="3"/>
      <c r="E8207" s="3">
        <v>4</v>
      </c>
      <c r="F8207" s="4" t="str">
        <f>HYPERLINK("http://141.218.60.56/~jnz1568/getInfo.php?workbook=12_05.xlsx&amp;sheet=U0&amp;row=8207&amp;col=6&amp;number=3.3&amp;sourceID=14","3.3")</f>
        <v>3.3</v>
      </c>
      <c r="G8207" s="4" t="str">
        <f>HYPERLINK("http://141.218.60.56/~jnz1568/getInfo.php?workbook=12_05.xlsx&amp;sheet=U0&amp;row=8207&amp;col=7&amp;number=0.000343&amp;sourceID=14","0.000343")</f>
        <v>0.000343</v>
      </c>
    </row>
    <row r="8208" spans="1:7">
      <c r="A8208" s="3"/>
      <c r="B8208" s="3"/>
      <c r="C8208" s="3"/>
      <c r="D8208" s="3"/>
      <c r="E8208" s="3">
        <v>5</v>
      </c>
      <c r="F8208" s="4" t="str">
        <f>HYPERLINK("http://141.218.60.56/~jnz1568/getInfo.php?workbook=12_05.xlsx&amp;sheet=U0&amp;row=8208&amp;col=6&amp;number=3.4&amp;sourceID=14","3.4")</f>
        <v>3.4</v>
      </c>
      <c r="G8208" s="4" t="str">
        <f>HYPERLINK("http://141.218.60.56/~jnz1568/getInfo.php?workbook=12_05.xlsx&amp;sheet=U0&amp;row=8208&amp;col=7&amp;number=0.000343&amp;sourceID=14","0.000343")</f>
        <v>0.000343</v>
      </c>
    </row>
    <row r="8209" spans="1:7">
      <c r="A8209" s="3"/>
      <c r="B8209" s="3"/>
      <c r="C8209" s="3"/>
      <c r="D8209" s="3"/>
      <c r="E8209" s="3">
        <v>6</v>
      </c>
      <c r="F8209" s="4" t="str">
        <f>HYPERLINK("http://141.218.60.56/~jnz1568/getInfo.php?workbook=12_05.xlsx&amp;sheet=U0&amp;row=8209&amp;col=6&amp;number=3.5&amp;sourceID=14","3.5")</f>
        <v>3.5</v>
      </c>
      <c r="G8209" s="4" t="str">
        <f>HYPERLINK("http://141.218.60.56/~jnz1568/getInfo.php?workbook=12_05.xlsx&amp;sheet=U0&amp;row=8209&amp;col=7&amp;number=0.000343&amp;sourceID=14","0.000343")</f>
        <v>0.000343</v>
      </c>
    </row>
    <row r="8210" spans="1:7">
      <c r="A8210" s="3"/>
      <c r="B8210" s="3"/>
      <c r="C8210" s="3"/>
      <c r="D8210" s="3"/>
      <c r="E8210" s="3">
        <v>7</v>
      </c>
      <c r="F8210" s="4" t="str">
        <f>HYPERLINK("http://141.218.60.56/~jnz1568/getInfo.php?workbook=12_05.xlsx&amp;sheet=U0&amp;row=8210&amp;col=6&amp;number=3.6&amp;sourceID=14","3.6")</f>
        <v>3.6</v>
      </c>
      <c r="G8210" s="4" t="str">
        <f>HYPERLINK("http://141.218.60.56/~jnz1568/getInfo.php?workbook=12_05.xlsx&amp;sheet=U0&amp;row=8210&amp;col=7&amp;number=0.000342&amp;sourceID=14","0.000342")</f>
        <v>0.000342</v>
      </c>
    </row>
    <row r="8211" spans="1:7">
      <c r="A8211" s="3"/>
      <c r="B8211" s="3"/>
      <c r="C8211" s="3"/>
      <c r="D8211" s="3"/>
      <c r="E8211" s="3">
        <v>8</v>
      </c>
      <c r="F8211" s="4" t="str">
        <f>HYPERLINK("http://141.218.60.56/~jnz1568/getInfo.php?workbook=12_05.xlsx&amp;sheet=U0&amp;row=8211&amp;col=6&amp;number=3.7&amp;sourceID=14","3.7")</f>
        <v>3.7</v>
      </c>
      <c r="G8211" s="4" t="str">
        <f>HYPERLINK("http://141.218.60.56/~jnz1568/getInfo.php?workbook=12_05.xlsx&amp;sheet=U0&amp;row=8211&amp;col=7&amp;number=0.000342&amp;sourceID=14","0.000342")</f>
        <v>0.000342</v>
      </c>
    </row>
    <row r="8212" spans="1:7">
      <c r="A8212" s="3"/>
      <c r="B8212" s="3"/>
      <c r="C8212" s="3"/>
      <c r="D8212" s="3"/>
      <c r="E8212" s="3">
        <v>9</v>
      </c>
      <c r="F8212" s="4" t="str">
        <f>HYPERLINK("http://141.218.60.56/~jnz1568/getInfo.php?workbook=12_05.xlsx&amp;sheet=U0&amp;row=8212&amp;col=6&amp;number=3.8&amp;sourceID=14","3.8")</f>
        <v>3.8</v>
      </c>
      <c r="G8212" s="4" t="str">
        <f>HYPERLINK("http://141.218.60.56/~jnz1568/getInfo.php?workbook=12_05.xlsx&amp;sheet=U0&amp;row=8212&amp;col=7&amp;number=0.000342&amp;sourceID=14","0.000342")</f>
        <v>0.000342</v>
      </c>
    </row>
    <row r="8213" spans="1:7">
      <c r="A8213" s="3"/>
      <c r="B8213" s="3"/>
      <c r="C8213" s="3"/>
      <c r="D8213" s="3"/>
      <c r="E8213" s="3">
        <v>10</v>
      </c>
      <c r="F8213" s="4" t="str">
        <f>HYPERLINK("http://141.218.60.56/~jnz1568/getInfo.php?workbook=12_05.xlsx&amp;sheet=U0&amp;row=8213&amp;col=6&amp;number=3.9&amp;sourceID=14","3.9")</f>
        <v>3.9</v>
      </c>
      <c r="G8213" s="4" t="str">
        <f>HYPERLINK("http://141.218.60.56/~jnz1568/getInfo.php?workbook=12_05.xlsx&amp;sheet=U0&amp;row=8213&amp;col=7&amp;number=0.000341&amp;sourceID=14","0.000341")</f>
        <v>0.000341</v>
      </c>
    </row>
    <row r="8214" spans="1:7">
      <c r="A8214" s="3"/>
      <c r="B8214" s="3"/>
      <c r="C8214" s="3"/>
      <c r="D8214" s="3"/>
      <c r="E8214" s="3">
        <v>11</v>
      </c>
      <c r="F8214" s="4" t="str">
        <f>HYPERLINK("http://141.218.60.56/~jnz1568/getInfo.php?workbook=12_05.xlsx&amp;sheet=U0&amp;row=8214&amp;col=6&amp;number=4&amp;sourceID=14","4")</f>
        <v>4</v>
      </c>
      <c r="G8214" s="4" t="str">
        <f>HYPERLINK("http://141.218.60.56/~jnz1568/getInfo.php?workbook=12_05.xlsx&amp;sheet=U0&amp;row=8214&amp;col=7&amp;number=0.00034&amp;sourceID=14","0.00034")</f>
        <v>0.00034</v>
      </c>
    </row>
    <row r="8215" spans="1:7">
      <c r="A8215" s="3"/>
      <c r="B8215" s="3"/>
      <c r="C8215" s="3"/>
      <c r="D8215" s="3"/>
      <c r="E8215" s="3">
        <v>12</v>
      </c>
      <c r="F8215" s="4" t="str">
        <f>HYPERLINK("http://141.218.60.56/~jnz1568/getInfo.php?workbook=12_05.xlsx&amp;sheet=U0&amp;row=8215&amp;col=6&amp;number=4.1&amp;sourceID=14","4.1")</f>
        <v>4.1</v>
      </c>
      <c r="G8215" s="4" t="str">
        <f>HYPERLINK("http://141.218.60.56/~jnz1568/getInfo.php?workbook=12_05.xlsx&amp;sheet=U0&amp;row=8215&amp;col=7&amp;number=0.000339&amp;sourceID=14","0.000339")</f>
        <v>0.000339</v>
      </c>
    </row>
    <row r="8216" spans="1:7">
      <c r="A8216" s="3"/>
      <c r="B8216" s="3"/>
      <c r="C8216" s="3"/>
      <c r="D8216" s="3"/>
      <c r="E8216" s="3">
        <v>13</v>
      </c>
      <c r="F8216" s="4" t="str">
        <f>HYPERLINK("http://141.218.60.56/~jnz1568/getInfo.php?workbook=12_05.xlsx&amp;sheet=U0&amp;row=8216&amp;col=6&amp;number=4.2&amp;sourceID=14","4.2")</f>
        <v>4.2</v>
      </c>
      <c r="G8216" s="4" t="str">
        <f>HYPERLINK("http://141.218.60.56/~jnz1568/getInfo.php?workbook=12_05.xlsx&amp;sheet=U0&amp;row=8216&amp;col=7&amp;number=0.000338&amp;sourceID=14","0.000338")</f>
        <v>0.000338</v>
      </c>
    </row>
    <row r="8217" spans="1:7">
      <c r="A8217" s="3"/>
      <c r="B8217" s="3"/>
      <c r="C8217" s="3"/>
      <c r="D8217" s="3"/>
      <c r="E8217" s="3">
        <v>14</v>
      </c>
      <c r="F8217" s="4" t="str">
        <f>HYPERLINK("http://141.218.60.56/~jnz1568/getInfo.php?workbook=12_05.xlsx&amp;sheet=U0&amp;row=8217&amp;col=6&amp;number=4.3&amp;sourceID=14","4.3")</f>
        <v>4.3</v>
      </c>
      <c r="G8217" s="4" t="str">
        <f>HYPERLINK("http://141.218.60.56/~jnz1568/getInfo.php?workbook=12_05.xlsx&amp;sheet=U0&amp;row=8217&amp;col=7&amp;number=0.000336&amp;sourceID=14","0.000336")</f>
        <v>0.000336</v>
      </c>
    </row>
    <row r="8218" spans="1:7">
      <c r="A8218" s="3"/>
      <c r="B8218" s="3"/>
      <c r="C8218" s="3"/>
      <c r="D8218" s="3"/>
      <c r="E8218" s="3">
        <v>15</v>
      </c>
      <c r="F8218" s="4" t="str">
        <f>HYPERLINK("http://141.218.60.56/~jnz1568/getInfo.php?workbook=12_05.xlsx&amp;sheet=U0&amp;row=8218&amp;col=6&amp;number=4.4&amp;sourceID=14","4.4")</f>
        <v>4.4</v>
      </c>
      <c r="G8218" s="4" t="str">
        <f>HYPERLINK("http://141.218.60.56/~jnz1568/getInfo.php?workbook=12_05.xlsx&amp;sheet=U0&amp;row=8218&amp;col=7&amp;number=0.000334&amp;sourceID=14","0.000334")</f>
        <v>0.000334</v>
      </c>
    </row>
    <row r="8219" spans="1:7">
      <c r="A8219" s="3"/>
      <c r="B8219" s="3"/>
      <c r="C8219" s="3"/>
      <c r="D8219" s="3"/>
      <c r="E8219" s="3">
        <v>16</v>
      </c>
      <c r="F8219" s="4" t="str">
        <f>HYPERLINK("http://141.218.60.56/~jnz1568/getInfo.php?workbook=12_05.xlsx&amp;sheet=U0&amp;row=8219&amp;col=6&amp;number=4.5&amp;sourceID=14","4.5")</f>
        <v>4.5</v>
      </c>
      <c r="G8219" s="4" t="str">
        <f>HYPERLINK("http://141.218.60.56/~jnz1568/getInfo.php?workbook=12_05.xlsx&amp;sheet=U0&amp;row=8219&amp;col=7&amp;number=0.000332&amp;sourceID=14","0.000332")</f>
        <v>0.000332</v>
      </c>
    </row>
    <row r="8220" spans="1:7">
      <c r="A8220" s="3"/>
      <c r="B8220" s="3"/>
      <c r="C8220" s="3"/>
      <c r="D8220" s="3"/>
      <c r="E8220" s="3">
        <v>17</v>
      </c>
      <c r="F8220" s="4" t="str">
        <f>HYPERLINK("http://141.218.60.56/~jnz1568/getInfo.php?workbook=12_05.xlsx&amp;sheet=U0&amp;row=8220&amp;col=6&amp;number=4.6&amp;sourceID=14","4.6")</f>
        <v>4.6</v>
      </c>
      <c r="G8220" s="4" t="str">
        <f>HYPERLINK("http://141.218.60.56/~jnz1568/getInfo.php?workbook=12_05.xlsx&amp;sheet=U0&amp;row=8220&amp;col=7&amp;number=0.000329&amp;sourceID=14","0.000329")</f>
        <v>0.000329</v>
      </c>
    </row>
    <row r="8221" spans="1:7">
      <c r="A8221" s="3"/>
      <c r="B8221" s="3"/>
      <c r="C8221" s="3"/>
      <c r="D8221" s="3"/>
      <c r="E8221" s="3">
        <v>18</v>
      </c>
      <c r="F8221" s="4" t="str">
        <f>HYPERLINK("http://141.218.60.56/~jnz1568/getInfo.php?workbook=12_05.xlsx&amp;sheet=U0&amp;row=8221&amp;col=6&amp;number=4.7&amp;sourceID=14","4.7")</f>
        <v>4.7</v>
      </c>
      <c r="G8221" s="4" t="str">
        <f>HYPERLINK("http://141.218.60.56/~jnz1568/getInfo.php?workbook=12_05.xlsx&amp;sheet=U0&amp;row=8221&amp;col=7&amp;number=0.000325&amp;sourceID=14","0.000325")</f>
        <v>0.000325</v>
      </c>
    </row>
    <row r="8222" spans="1:7">
      <c r="A8222" s="3"/>
      <c r="B8222" s="3"/>
      <c r="C8222" s="3"/>
      <c r="D8222" s="3"/>
      <c r="E8222" s="3">
        <v>19</v>
      </c>
      <c r="F8222" s="4" t="str">
        <f>HYPERLINK("http://141.218.60.56/~jnz1568/getInfo.php?workbook=12_05.xlsx&amp;sheet=U0&amp;row=8222&amp;col=6&amp;number=4.8&amp;sourceID=14","4.8")</f>
        <v>4.8</v>
      </c>
      <c r="G8222" s="4" t="str">
        <f>HYPERLINK("http://141.218.60.56/~jnz1568/getInfo.php?workbook=12_05.xlsx&amp;sheet=U0&amp;row=8222&amp;col=7&amp;number=0.000321&amp;sourceID=14","0.000321")</f>
        <v>0.000321</v>
      </c>
    </row>
    <row r="8223" spans="1:7">
      <c r="A8223" s="3"/>
      <c r="B8223" s="3"/>
      <c r="C8223" s="3"/>
      <c r="D8223" s="3"/>
      <c r="E8223" s="3">
        <v>20</v>
      </c>
      <c r="F8223" s="4" t="str">
        <f>HYPERLINK("http://141.218.60.56/~jnz1568/getInfo.php?workbook=12_05.xlsx&amp;sheet=U0&amp;row=8223&amp;col=6&amp;number=4.9&amp;sourceID=14","4.9")</f>
        <v>4.9</v>
      </c>
      <c r="G8223" s="4" t="str">
        <f>HYPERLINK("http://141.218.60.56/~jnz1568/getInfo.php?workbook=12_05.xlsx&amp;sheet=U0&amp;row=8223&amp;col=7&amp;number=0.000315&amp;sourceID=14","0.000315")</f>
        <v>0.000315</v>
      </c>
    </row>
    <row r="8224" spans="1:7">
      <c r="A8224" s="3">
        <v>12</v>
      </c>
      <c r="B8224" s="3">
        <v>5</v>
      </c>
      <c r="C8224" s="3">
        <v>3</v>
      </c>
      <c r="D8224" s="3">
        <v>79</v>
      </c>
      <c r="E8224" s="3">
        <v>1</v>
      </c>
      <c r="F8224" s="4" t="str">
        <f>HYPERLINK("http://141.218.60.56/~jnz1568/getInfo.php?workbook=12_05.xlsx&amp;sheet=U0&amp;row=8224&amp;col=6&amp;number=3&amp;sourceID=14","3")</f>
        <v>3</v>
      </c>
      <c r="G8224" s="4" t="str">
        <f>HYPERLINK("http://141.218.60.56/~jnz1568/getInfo.php?workbook=12_05.xlsx&amp;sheet=U0&amp;row=8224&amp;col=7&amp;number=0.00457&amp;sourceID=14","0.00457")</f>
        <v>0.00457</v>
      </c>
    </row>
    <row r="8225" spans="1:7">
      <c r="A8225" s="3"/>
      <c r="B8225" s="3"/>
      <c r="C8225" s="3"/>
      <c r="D8225" s="3"/>
      <c r="E8225" s="3">
        <v>2</v>
      </c>
      <c r="F8225" s="4" t="str">
        <f>HYPERLINK("http://141.218.60.56/~jnz1568/getInfo.php?workbook=12_05.xlsx&amp;sheet=U0&amp;row=8225&amp;col=6&amp;number=3.1&amp;sourceID=14","3.1")</f>
        <v>3.1</v>
      </c>
      <c r="G8225" s="4" t="str">
        <f>HYPERLINK("http://141.218.60.56/~jnz1568/getInfo.php?workbook=12_05.xlsx&amp;sheet=U0&amp;row=8225&amp;col=7&amp;number=0.00457&amp;sourceID=14","0.00457")</f>
        <v>0.00457</v>
      </c>
    </row>
    <row r="8226" spans="1:7">
      <c r="A8226" s="3"/>
      <c r="B8226" s="3"/>
      <c r="C8226" s="3"/>
      <c r="D8226" s="3"/>
      <c r="E8226" s="3">
        <v>3</v>
      </c>
      <c r="F8226" s="4" t="str">
        <f>HYPERLINK("http://141.218.60.56/~jnz1568/getInfo.php?workbook=12_05.xlsx&amp;sheet=U0&amp;row=8226&amp;col=6&amp;number=3.2&amp;sourceID=14","3.2")</f>
        <v>3.2</v>
      </c>
      <c r="G8226" s="4" t="str">
        <f>HYPERLINK("http://141.218.60.56/~jnz1568/getInfo.php?workbook=12_05.xlsx&amp;sheet=U0&amp;row=8226&amp;col=7&amp;number=0.00457&amp;sourceID=14","0.00457")</f>
        <v>0.00457</v>
      </c>
    </row>
    <row r="8227" spans="1:7">
      <c r="A8227" s="3"/>
      <c r="B8227" s="3"/>
      <c r="C8227" s="3"/>
      <c r="D8227" s="3"/>
      <c r="E8227" s="3">
        <v>4</v>
      </c>
      <c r="F8227" s="4" t="str">
        <f>HYPERLINK("http://141.218.60.56/~jnz1568/getInfo.php?workbook=12_05.xlsx&amp;sheet=U0&amp;row=8227&amp;col=6&amp;number=3.3&amp;sourceID=14","3.3")</f>
        <v>3.3</v>
      </c>
      <c r="G8227" s="4" t="str">
        <f>HYPERLINK("http://141.218.60.56/~jnz1568/getInfo.php?workbook=12_05.xlsx&amp;sheet=U0&amp;row=8227&amp;col=7&amp;number=0.00457&amp;sourceID=14","0.00457")</f>
        <v>0.00457</v>
      </c>
    </row>
    <row r="8228" spans="1:7">
      <c r="A8228" s="3"/>
      <c r="B8228" s="3"/>
      <c r="C8228" s="3"/>
      <c r="D8228" s="3"/>
      <c r="E8228" s="3">
        <v>5</v>
      </c>
      <c r="F8228" s="4" t="str">
        <f>HYPERLINK("http://141.218.60.56/~jnz1568/getInfo.php?workbook=12_05.xlsx&amp;sheet=U0&amp;row=8228&amp;col=6&amp;number=3.4&amp;sourceID=14","3.4")</f>
        <v>3.4</v>
      </c>
      <c r="G8228" s="4" t="str">
        <f>HYPERLINK("http://141.218.60.56/~jnz1568/getInfo.php?workbook=12_05.xlsx&amp;sheet=U0&amp;row=8228&amp;col=7&amp;number=0.00456&amp;sourceID=14","0.00456")</f>
        <v>0.00456</v>
      </c>
    </row>
    <row r="8229" spans="1:7">
      <c r="A8229" s="3"/>
      <c r="B8229" s="3"/>
      <c r="C8229" s="3"/>
      <c r="D8229" s="3"/>
      <c r="E8229" s="3">
        <v>6</v>
      </c>
      <c r="F8229" s="4" t="str">
        <f>HYPERLINK("http://141.218.60.56/~jnz1568/getInfo.php?workbook=12_05.xlsx&amp;sheet=U0&amp;row=8229&amp;col=6&amp;number=3.5&amp;sourceID=14","3.5")</f>
        <v>3.5</v>
      </c>
      <c r="G8229" s="4" t="str">
        <f>HYPERLINK("http://141.218.60.56/~jnz1568/getInfo.php?workbook=12_05.xlsx&amp;sheet=U0&amp;row=8229&amp;col=7&amp;number=0.00456&amp;sourceID=14","0.00456")</f>
        <v>0.00456</v>
      </c>
    </row>
    <row r="8230" spans="1:7">
      <c r="A8230" s="3"/>
      <c r="B8230" s="3"/>
      <c r="C8230" s="3"/>
      <c r="D8230" s="3"/>
      <c r="E8230" s="3">
        <v>7</v>
      </c>
      <c r="F8230" s="4" t="str">
        <f>HYPERLINK("http://141.218.60.56/~jnz1568/getInfo.php?workbook=12_05.xlsx&amp;sheet=U0&amp;row=8230&amp;col=6&amp;number=3.6&amp;sourceID=14","3.6")</f>
        <v>3.6</v>
      </c>
      <c r="G8230" s="4" t="str">
        <f>HYPERLINK("http://141.218.60.56/~jnz1568/getInfo.php?workbook=12_05.xlsx&amp;sheet=U0&amp;row=8230&amp;col=7&amp;number=0.00456&amp;sourceID=14","0.00456")</f>
        <v>0.00456</v>
      </c>
    </row>
    <row r="8231" spans="1:7">
      <c r="A8231" s="3"/>
      <c r="B8231" s="3"/>
      <c r="C8231" s="3"/>
      <c r="D8231" s="3"/>
      <c r="E8231" s="3">
        <v>8</v>
      </c>
      <c r="F8231" s="4" t="str">
        <f>HYPERLINK("http://141.218.60.56/~jnz1568/getInfo.php?workbook=12_05.xlsx&amp;sheet=U0&amp;row=8231&amp;col=6&amp;number=3.7&amp;sourceID=14","3.7")</f>
        <v>3.7</v>
      </c>
      <c r="G8231" s="4" t="str">
        <f>HYPERLINK("http://141.218.60.56/~jnz1568/getInfo.php?workbook=12_05.xlsx&amp;sheet=U0&amp;row=8231&amp;col=7&amp;number=0.00455&amp;sourceID=14","0.00455")</f>
        <v>0.00455</v>
      </c>
    </row>
    <row r="8232" spans="1:7">
      <c r="A8232" s="3"/>
      <c r="B8232" s="3"/>
      <c r="C8232" s="3"/>
      <c r="D8232" s="3"/>
      <c r="E8232" s="3">
        <v>9</v>
      </c>
      <c r="F8232" s="4" t="str">
        <f>HYPERLINK("http://141.218.60.56/~jnz1568/getInfo.php?workbook=12_05.xlsx&amp;sheet=U0&amp;row=8232&amp;col=6&amp;number=3.8&amp;sourceID=14","3.8")</f>
        <v>3.8</v>
      </c>
      <c r="G8232" s="4" t="str">
        <f>HYPERLINK("http://141.218.60.56/~jnz1568/getInfo.php?workbook=12_05.xlsx&amp;sheet=U0&amp;row=8232&amp;col=7&amp;number=0.00454&amp;sourceID=14","0.00454")</f>
        <v>0.00454</v>
      </c>
    </row>
    <row r="8233" spans="1:7">
      <c r="A8233" s="3"/>
      <c r="B8233" s="3"/>
      <c r="C8233" s="3"/>
      <c r="D8233" s="3"/>
      <c r="E8233" s="3">
        <v>10</v>
      </c>
      <c r="F8233" s="4" t="str">
        <f>HYPERLINK("http://141.218.60.56/~jnz1568/getInfo.php?workbook=12_05.xlsx&amp;sheet=U0&amp;row=8233&amp;col=6&amp;number=3.9&amp;sourceID=14","3.9")</f>
        <v>3.9</v>
      </c>
      <c r="G8233" s="4" t="str">
        <f>HYPERLINK("http://141.218.60.56/~jnz1568/getInfo.php?workbook=12_05.xlsx&amp;sheet=U0&amp;row=8233&amp;col=7&amp;number=0.00454&amp;sourceID=14","0.00454")</f>
        <v>0.00454</v>
      </c>
    </row>
    <row r="8234" spans="1:7">
      <c r="A8234" s="3"/>
      <c r="B8234" s="3"/>
      <c r="C8234" s="3"/>
      <c r="D8234" s="3"/>
      <c r="E8234" s="3">
        <v>11</v>
      </c>
      <c r="F8234" s="4" t="str">
        <f>HYPERLINK("http://141.218.60.56/~jnz1568/getInfo.php?workbook=12_05.xlsx&amp;sheet=U0&amp;row=8234&amp;col=6&amp;number=4&amp;sourceID=14","4")</f>
        <v>4</v>
      </c>
      <c r="G8234" s="4" t="str">
        <f>HYPERLINK("http://141.218.60.56/~jnz1568/getInfo.php?workbook=12_05.xlsx&amp;sheet=U0&amp;row=8234&amp;col=7&amp;number=0.00453&amp;sourceID=14","0.00453")</f>
        <v>0.00453</v>
      </c>
    </row>
    <row r="8235" spans="1:7">
      <c r="A8235" s="3"/>
      <c r="B8235" s="3"/>
      <c r="C8235" s="3"/>
      <c r="D8235" s="3"/>
      <c r="E8235" s="3">
        <v>12</v>
      </c>
      <c r="F8235" s="4" t="str">
        <f>HYPERLINK("http://141.218.60.56/~jnz1568/getInfo.php?workbook=12_05.xlsx&amp;sheet=U0&amp;row=8235&amp;col=6&amp;number=4.1&amp;sourceID=14","4.1")</f>
        <v>4.1</v>
      </c>
      <c r="G8235" s="4" t="str">
        <f>HYPERLINK("http://141.218.60.56/~jnz1568/getInfo.php?workbook=12_05.xlsx&amp;sheet=U0&amp;row=8235&amp;col=7&amp;number=0.00451&amp;sourceID=14","0.00451")</f>
        <v>0.00451</v>
      </c>
    </row>
    <row r="8236" spans="1:7">
      <c r="A8236" s="3"/>
      <c r="B8236" s="3"/>
      <c r="C8236" s="3"/>
      <c r="D8236" s="3"/>
      <c r="E8236" s="3">
        <v>13</v>
      </c>
      <c r="F8236" s="4" t="str">
        <f>HYPERLINK("http://141.218.60.56/~jnz1568/getInfo.php?workbook=12_05.xlsx&amp;sheet=U0&amp;row=8236&amp;col=6&amp;number=4.2&amp;sourceID=14","4.2")</f>
        <v>4.2</v>
      </c>
      <c r="G8236" s="4" t="str">
        <f>HYPERLINK("http://141.218.60.56/~jnz1568/getInfo.php?workbook=12_05.xlsx&amp;sheet=U0&amp;row=8236&amp;col=7&amp;number=0.0045&amp;sourceID=14","0.0045")</f>
        <v>0.0045</v>
      </c>
    </row>
    <row r="8237" spans="1:7">
      <c r="A8237" s="3"/>
      <c r="B8237" s="3"/>
      <c r="C8237" s="3"/>
      <c r="D8237" s="3"/>
      <c r="E8237" s="3">
        <v>14</v>
      </c>
      <c r="F8237" s="4" t="str">
        <f>HYPERLINK("http://141.218.60.56/~jnz1568/getInfo.php?workbook=12_05.xlsx&amp;sheet=U0&amp;row=8237&amp;col=6&amp;number=4.3&amp;sourceID=14","4.3")</f>
        <v>4.3</v>
      </c>
      <c r="G8237" s="4" t="str">
        <f>HYPERLINK("http://141.218.60.56/~jnz1568/getInfo.php?workbook=12_05.xlsx&amp;sheet=U0&amp;row=8237&amp;col=7&amp;number=0.00448&amp;sourceID=14","0.00448")</f>
        <v>0.00448</v>
      </c>
    </row>
    <row r="8238" spans="1:7">
      <c r="A8238" s="3"/>
      <c r="B8238" s="3"/>
      <c r="C8238" s="3"/>
      <c r="D8238" s="3"/>
      <c r="E8238" s="3">
        <v>15</v>
      </c>
      <c r="F8238" s="4" t="str">
        <f>HYPERLINK("http://141.218.60.56/~jnz1568/getInfo.php?workbook=12_05.xlsx&amp;sheet=U0&amp;row=8238&amp;col=6&amp;number=4.4&amp;sourceID=14","4.4")</f>
        <v>4.4</v>
      </c>
      <c r="G8238" s="4" t="str">
        <f>HYPERLINK("http://141.218.60.56/~jnz1568/getInfo.php?workbook=12_05.xlsx&amp;sheet=U0&amp;row=8238&amp;col=7&amp;number=0.00445&amp;sourceID=14","0.00445")</f>
        <v>0.00445</v>
      </c>
    </row>
    <row r="8239" spans="1:7">
      <c r="A8239" s="3"/>
      <c r="B8239" s="3"/>
      <c r="C8239" s="3"/>
      <c r="D8239" s="3"/>
      <c r="E8239" s="3">
        <v>16</v>
      </c>
      <c r="F8239" s="4" t="str">
        <f>HYPERLINK("http://141.218.60.56/~jnz1568/getInfo.php?workbook=12_05.xlsx&amp;sheet=U0&amp;row=8239&amp;col=6&amp;number=4.5&amp;sourceID=14","4.5")</f>
        <v>4.5</v>
      </c>
      <c r="G8239" s="4" t="str">
        <f>HYPERLINK("http://141.218.60.56/~jnz1568/getInfo.php?workbook=12_05.xlsx&amp;sheet=U0&amp;row=8239&amp;col=7&amp;number=0.00442&amp;sourceID=14","0.00442")</f>
        <v>0.00442</v>
      </c>
    </row>
    <row r="8240" spans="1:7">
      <c r="A8240" s="3"/>
      <c r="B8240" s="3"/>
      <c r="C8240" s="3"/>
      <c r="D8240" s="3"/>
      <c r="E8240" s="3">
        <v>17</v>
      </c>
      <c r="F8240" s="4" t="str">
        <f>HYPERLINK("http://141.218.60.56/~jnz1568/getInfo.php?workbook=12_05.xlsx&amp;sheet=U0&amp;row=8240&amp;col=6&amp;number=4.6&amp;sourceID=14","4.6")</f>
        <v>4.6</v>
      </c>
      <c r="G8240" s="4" t="str">
        <f>HYPERLINK("http://141.218.60.56/~jnz1568/getInfo.php?workbook=12_05.xlsx&amp;sheet=U0&amp;row=8240&amp;col=7&amp;number=0.00438&amp;sourceID=14","0.00438")</f>
        <v>0.00438</v>
      </c>
    </row>
    <row r="8241" spans="1:7">
      <c r="A8241" s="3"/>
      <c r="B8241" s="3"/>
      <c r="C8241" s="3"/>
      <c r="D8241" s="3"/>
      <c r="E8241" s="3">
        <v>18</v>
      </c>
      <c r="F8241" s="4" t="str">
        <f>HYPERLINK("http://141.218.60.56/~jnz1568/getInfo.php?workbook=12_05.xlsx&amp;sheet=U0&amp;row=8241&amp;col=6&amp;number=4.7&amp;sourceID=14","4.7")</f>
        <v>4.7</v>
      </c>
      <c r="G8241" s="4" t="str">
        <f>HYPERLINK("http://141.218.60.56/~jnz1568/getInfo.php?workbook=12_05.xlsx&amp;sheet=U0&amp;row=8241&amp;col=7&amp;number=0.00433&amp;sourceID=14","0.00433")</f>
        <v>0.00433</v>
      </c>
    </row>
    <row r="8242" spans="1:7">
      <c r="A8242" s="3"/>
      <c r="B8242" s="3"/>
      <c r="C8242" s="3"/>
      <c r="D8242" s="3"/>
      <c r="E8242" s="3">
        <v>19</v>
      </c>
      <c r="F8242" s="4" t="str">
        <f>HYPERLINK("http://141.218.60.56/~jnz1568/getInfo.php?workbook=12_05.xlsx&amp;sheet=U0&amp;row=8242&amp;col=6&amp;number=4.8&amp;sourceID=14","4.8")</f>
        <v>4.8</v>
      </c>
      <c r="G8242" s="4" t="str">
        <f>HYPERLINK("http://141.218.60.56/~jnz1568/getInfo.php?workbook=12_05.xlsx&amp;sheet=U0&amp;row=8242&amp;col=7&amp;number=0.00427&amp;sourceID=14","0.00427")</f>
        <v>0.00427</v>
      </c>
    </row>
    <row r="8243" spans="1:7">
      <c r="A8243" s="3"/>
      <c r="B8243" s="3"/>
      <c r="C8243" s="3"/>
      <c r="D8243" s="3"/>
      <c r="E8243" s="3">
        <v>20</v>
      </c>
      <c r="F8243" s="4" t="str">
        <f>HYPERLINK("http://141.218.60.56/~jnz1568/getInfo.php?workbook=12_05.xlsx&amp;sheet=U0&amp;row=8243&amp;col=6&amp;number=4.9&amp;sourceID=14","4.9")</f>
        <v>4.9</v>
      </c>
      <c r="G8243" s="4" t="str">
        <f>HYPERLINK("http://141.218.60.56/~jnz1568/getInfo.php?workbook=12_05.xlsx&amp;sheet=U0&amp;row=8243&amp;col=7&amp;number=0.0042&amp;sourceID=14","0.0042")</f>
        <v>0.0042</v>
      </c>
    </row>
    <row r="8244" spans="1:7">
      <c r="A8244" s="3">
        <v>12</v>
      </c>
      <c r="B8244" s="3">
        <v>5</v>
      </c>
      <c r="C8244" s="3">
        <v>3</v>
      </c>
      <c r="D8244" s="3">
        <v>81</v>
      </c>
      <c r="E8244" s="3">
        <v>1</v>
      </c>
      <c r="F8244" s="4" t="str">
        <f>HYPERLINK("http://141.218.60.56/~jnz1568/getInfo.php?workbook=12_05.xlsx&amp;sheet=U0&amp;row=8244&amp;col=6&amp;number=3&amp;sourceID=14","3")</f>
        <v>3</v>
      </c>
      <c r="G8244" s="4" t="str">
        <f>HYPERLINK("http://141.218.60.56/~jnz1568/getInfo.php?workbook=12_05.xlsx&amp;sheet=U0&amp;row=8244&amp;col=7&amp;number=0.000839&amp;sourceID=14","0.000839")</f>
        <v>0.000839</v>
      </c>
    </row>
    <row r="8245" spans="1:7">
      <c r="A8245" s="3"/>
      <c r="B8245" s="3"/>
      <c r="C8245" s="3"/>
      <c r="D8245" s="3"/>
      <c r="E8245" s="3">
        <v>2</v>
      </c>
      <c r="F8245" s="4" t="str">
        <f>HYPERLINK("http://141.218.60.56/~jnz1568/getInfo.php?workbook=12_05.xlsx&amp;sheet=U0&amp;row=8245&amp;col=6&amp;number=3.1&amp;sourceID=14","3.1")</f>
        <v>3.1</v>
      </c>
      <c r="G8245" s="4" t="str">
        <f>HYPERLINK("http://141.218.60.56/~jnz1568/getInfo.php?workbook=12_05.xlsx&amp;sheet=U0&amp;row=8245&amp;col=7&amp;number=0.000839&amp;sourceID=14","0.000839")</f>
        <v>0.000839</v>
      </c>
    </row>
    <row r="8246" spans="1:7">
      <c r="A8246" s="3"/>
      <c r="B8246" s="3"/>
      <c r="C8246" s="3"/>
      <c r="D8246" s="3"/>
      <c r="E8246" s="3">
        <v>3</v>
      </c>
      <c r="F8246" s="4" t="str">
        <f>HYPERLINK("http://141.218.60.56/~jnz1568/getInfo.php?workbook=12_05.xlsx&amp;sheet=U0&amp;row=8246&amp;col=6&amp;number=3.2&amp;sourceID=14","3.2")</f>
        <v>3.2</v>
      </c>
      <c r="G8246" s="4" t="str">
        <f>HYPERLINK("http://141.218.60.56/~jnz1568/getInfo.php?workbook=12_05.xlsx&amp;sheet=U0&amp;row=8246&amp;col=7&amp;number=0.000839&amp;sourceID=14","0.000839")</f>
        <v>0.000839</v>
      </c>
    </row>
    <row r="8247" spans="1:7">
      <c r="A8247" s="3"/>
      <c r="B8247" s="3"/>
      <c r="C8247" s="3"/>
      <c r="D8247" s="3"/>
      <c r="E8247" s="3">
        <v>4</v>
      </c>
      <c r="F8247" s="4" t="str">
        <f>HYPERLINK("http://141.218.60.56/~jnz1568/getInfo.php?workbook=12_05.xlsx&amp;sheet=U0&amp;row=8247&amp;col=6&amp;number=3.3&amp;sourceID=14","3.3")</f>
        <v>3.3</v>
      </c>
      <c r="G8247" s="4" t="str">
        <f>HYPERLINK("http://141.218.60.56/~jnz1568/getInfo.php?workbook=12_05.xlsx&amp;sheet=U0&amp;row=8247&amp;col=7&amp;number=0.000838&amp;sourceID=14","0.000838")</f>
        <v>0.000838</v>
      </c>
    </row>
    <row r="8248" spans="1:7">
      <c r="A8248" s="3"/>
      <c r="B8248" s="3"/>
      <c r="C8248" s="3"/>
      <c r="D8248" s="3"/>
      <c r="E8248" s="3">
        <v>5</v>
      </c>
      <c r="F8248" s="4" t="str">
        <f>HYPERLINK("http://141.218.60.56/~jnz1568/getInfo.php?workbook=12_05.xlsx&amp;sheet=U0&amp;row=8248&amp;col=6&amp;number=3.4&amp;sourceID=14","3.4")</f>
        <v>3.4</v>
      </c>
      <c r="G8248" s="4" t="str">
        <f>HYPERLINK("http://141.218.60.56/~jnz1568/getInfo.php?workbook=12_05.xlsx&amp;sheet=U0&amp;row=8248&amp;col=7&amp;number=0.000838&amp;sourceID=14","0.000838")</f>
        <v>0.000838</v>
      </c>
    </row>
    <row r="8249" spans="1:7">
      <c r="A8249" s="3"/>
      <c r="B8249" s="3"/>
      <c r="C8249" s="3"/>
      <c r="D8249" s="3"/>
      <c r="E8249" s="3">
        <v>6</v>
      </c>
      <c r="F8249" s="4" t="str">
        <f>HYPERLINK("http://141.218.60.56/~jnz1568/getInfo.php?workbook=12_05.xlsx&amp;sheet=U0&amp;row=8249&amp;col=6&amp;number=3.5&amp;sourceID=14","3.5")</f>
        <v>3.5</v>
      </c>
      <c r="G8249" s="4" t="str">
        <f>HYPERLINK("http://141.218.60.56/~jnz1568/getInfo.php?workbook=12_05.xlsx&amp;sheet=U0&amp;row=8249&amp;col=7&amp;number=0.000838&amp;sourceID=14","0.000838")</f>
        <v>0.000838</v>
      </c>
    </row>
    <row r="8250" spans="1:7">
      <c r="A8250" s="3"/>
      <c r="B8250" s="3"/>
      <c r="C8250" s="3"/>
      <c r="D8250" s="3"/>
      <c r="E8250" s="3">
        <v>7</v>
      </c>
      <c r="F8250" s="4" t="str">
        <f>HYPERLINK("http://141.218.60.56/~jnz1568/getInfo.php?workbook=12_05.xlsx&amp;sheet=U0&amp;row=8250&amp;col=6&amp;number=3.6&amp;sourceID=14","3.6")</f>
        <v>3.6</v>
      </c>
      <c r="G8250" s="4" t="str">
        <f>HYPERLINK("http://141.218.60.56/~jnz1568/getInfo.php?workbook=12_05.xlsx&amp;sheet=U0&amp;row=8250&amp;col=7&amp;number=0.000837&amp;sourceID=14","0.000837")</f>
        <v>0.000837</v>
      </c>
    </row>
    <row r="8251" spans="1:7">
      <c r="A8251" s="3"/>
      <c r="B8251" s="3"/>
      <c r="C8251" s="3"/>
      <c r="D8251" s="3"/>
      <c r="E8251" s="3">
        <v>8</v>
      </c>
      <c r="F8251" s="4" t="str">
        <f>HYPERLINK("http://141.218.60.56/~jnz1568/getInfo.php?workbook=12_05.xlsx&amp;sheet=U0&amp;row=8251&amp;col=6&amp;number=3.7&amp;sourceID=14","3.7")</f>
        <v>3.7</v>
      </c>
      <c r="G8251" s="4" t="str">
        <f>HYPERLINK("http://141.218.60.56/~jnz1568/getInfo.php?workbook=12_05.xlsx&amp;sheet=U0&amp;row=8251&amp;col=7&amp;number=0.000836&amp;sourceID=14","0.000836")</f>
        <v>0.000836</v>
      </c>
    </row>
    <row r="8252" spans="1:7">
      <c r="A8252" s="3"/>
      <c r="B8252" s="3"/>
      <c r="C8252" s="3"/>
      <c r="D8252" s="3"/>
      <c r="E8252" s="3">
        <v>9</v>
      </c>
      <c r="F8252" s="4" t="str">
        <f>HYPERLINK("http://141.218.60.56/~jnz1568/getInfo.php?workbook=12_05.xlsx&amp;sheet=U0&amp;row=8252&amp;col=6&amp;number=3.8&amp;sourceID=14","3.8")</f>
        <v>3.8</v>
      </c>
      <c r="G8252" s="4" t="str">
        <f>HYPERLINK("http://141.218.60.56/~jnz1568/getInfo.php?workbook=12_05.xlsx&amp;sheet=U0&amp;row=8252&amp;col=7&amp;number=0.000835&amp;sourceID=14","0.000835")</f>
        <v>0.000835</v>
      </c>
    </row>
    <row r="8253" spans="1:7">
      <c r="A8253" s="3"/>
      <c r="B8253" s="3"/>
      <c r="C8253" s="3"/>
      <c r="D8253" s="3"/>
      <c r="E8253" s="3">
        <v>10</v>
      </c>
      <c r="F8253" s="4" t="str">
        <f>HYPERLINK("http://141.218.60.56/~jnz1568/getInfo.php?workbook=12_05.xlsx&amp;sheet=U0&amp;row=8253&amp;col=6&amp;number=3.9&amp;sourceID=14","3.9")</f>
        <v>3.9</v>
      </c>
      <c r="G8253" s="4" t="str">
        <f>HYPERLINK("http://141.218.60.56/~jnz1568/getInfo.php?workbook=12_05.xlsx&amp;sheet=U0&amp;row=8253&amp;col=7&amp;number=0.000834&amp;sourceID=14","0.000834")</f>
        <v>0.000834</v>
      </c>
    </row>
    <row r="8254" spans="1:7">
      <c r="A8254" s="3"/>
      <c r="B8254" s="3"/>
      <c r="C8254" s="3"/>
      <c r="D8254" s="3"/>
      <c r="E8254" s="3">
        <v>11</v>
      </c>
      <c r="F8254" s="4" t="str">
        <f>HYPERLINK("http://141.218.60.56/~jnz1568/getInfo.php?workbook=12_05.xlsx&amp;sheet=U0&amp;row=8254&amp;col=6&amp;number=4&amp;sourceID=14","4")</f>
        <v>4</v>
      </c>
      <c r="G8254" s="4" t="str">
        <f>HYPERLINK("http://141.218.60.56/~jnz1568/getInfo.php?workbook=12_05.xlsx&amp;sheet=U0&amp;row=8254&amp;col=7&amp;number=0.000833&amp;sourceID=14","0.000833")</f>
        <v>0.000833</v>
      </c>
    </row>
    <row r="8255" spans="1:7">
      <c r="A8255" s="3"/>
      <c r="B8255" s="3"/>
      <c r="C8255" s="3"/>
      <c r="D8255" s="3"/>
      <c r="E8255" s="3">
        <v>12</v>
      </c>
      <c r="F8255" s="4" t="str">
        <f>HYPERLINK("http://141.218.60.56/~jnz1568/getInfo.php?workbook=12_05.xlsx&amp;sheet=U0&amp;row=8255&amp;col=6&amp;number=4.1&amp;sourceID=14","4.1")</f>
        <v>4.1</v>
      </c>
      <c r="G8255" s="4" t="str">
        <f>HYPERLINK("http://141.218.60.56/~jnz1568/getInfo.php?workbook=12_05.xlsx&amp;sheet=U0&amp;row=8255&amp;col=7&amp;number=0.000831&amp;sourceID=14","0.000831")</f>
        <v>0.000831</v>
      </c>
    </row>
    <row r="8256" spans="1:7">
      <c r="A8256" s="3"/>
      <c r="B8256" s="3"/>
      <c r="C8256" s="3"/>
      <c r="D8256" s="3"/>
      <c r="E8256" s="3">
        <v>13</v>
      </c>
      <c r="F8256" s="4" t="str">
        <f>HYPERLINK("http://141.218.60.56/~jnz1568/getInfo.php?workbook=12_05.xlsx&amp;sheet=U0&amp;row=8256&amp;col=6&amp;number=4.2&amp;sourceID=14","4.2")</f>
        <v>4.2</v>
      </c>
      <c r="G8256" s="4" t="str">
        <f>HYPERLINK("http://141.218.60.56/~jnz1568/getInfo.php?workbook=12_05.xlsx&amp;sheet=U0&amp;row=8256&amp;col=7&amp;number=0.000829&amp;sourceID=14","0.000829")</f>
        <v>0.000829</v>
      </c>
    </row>
    <row r="8257" spans="1:7">
      <c r="A8257" s="3"/>
      <c r="B8257" s="3"/>
      <c r="C8257" s="3"/>
      <c r="D8257" s="3"/>
      <c r="E8257" s="3">
        <v>14</v>
      </c>
      <c r="F8257" s="4" t="str">
        <f>HYPERLINK("http://141.218.60.56/~jnz1568/getInfo.php?workbook=12_05.xlsx&amp;sheet=U0&amp;row=8257&amp;col=6&amp;number=4.3&amp;sourceID=14","4.3")</f>
        <v>4.3</v>
      </c>
      <c r="G8257" s="4" t="str">
        <f>HYPERLINK("http://141.218.60.56/~jnz1568/getInfo.php?workbook=12_05.xlsx&amp;sheet=U0&amp;row=8257&amp;col=7&amp;number=0.000826&amp;sourceID=14","0.000826")</f>
        <v>0.000826</v>
      </c>
    </row>
    <row r="8258" spans="1:7">
      <c r="A8258" s="3"/>
      <c r="B8258" s="3"/>
      <c r="C8258" s="3"/>
      <c r="D8258" s="3"/>
      <c r="E8258" s="3">
        <v>15</v>
      </c>
      <c r="F8258" s="4" t="str">
        <f>HYPERLINK("http://141.218.60.56/~jnz1568/getInfo.php?workbook=12_05.xlsx&amp;sheet=U0&amp;row=8258&amp;col=6&amp;number=4.4&amp;sourceID=14","4.4")</f>
        <v>4.4</v>
      </c>
      <c r="G8258" s="4" t="str">
        <f>HYPERLINK("http://141.218.60.56/~jnz1568/getInfo.php?workbook=12_05.xlsx&amp;sheet=U0&amp;row=8258&amp;col=7&amp;number=0.000823&amp;sourceID=14","0.000823")</f>
        <v>0.000823</v>
      </c>
    </row>
    <row r="8259" spans="1:7">
      <c r="A8259" s="3"/>
      <c r="B8259" s="3"/>
      <c r="C8259" s="3"/>
      <c r="D8259" s="3"/>
      <c r="E8259" s="3">
        <v>16</v>
      </c>
      <c r="F8259" s="4" t="str">
        <f>HYPERLINK("http://141.218.60.56/~jnz1568/getInfo.php?workbook=12_05.xlsx&amp;sheet=U0&amp;row=8259&amp;col=6&amp;number=4.5&amp;sourceID=14","4.5")</f>
        <v>4.5</v>
      </c>
      <c r="G8259" s="4" t="str">
        <f>HYPERLINK("http://141.218.60.56/~jnz1568/getInfo.php?workbook=12_05.xlsx&amp;sheet=U0&amp;row=8259&amp;col=7&amp;number=0.000818&amp;sourceID=14","0.000818")</f>
        <v>0.000818</v>
      </c>
    </row>
    <row r="8260" spans="1:7">
      <c r="A8260" s="3"/>
      <c r="B8260" s="3"/>
      <c r="C8260" s="3"/>
      <c r="D8260" s="3"/>
      <c r="E8260" s="3">
        <v>17</v>
      </c>
      <c r="F8260" s="4" t="str">
        <f>HYPERLINK("http://141.218.60.56/~jnz1568/getInfo.php?workbook=12_05.xlsx&amp;sheet=U0&amp;row=8260&amp;col=6&amp;number=4.6&amp;sourceID=14","4.6")</f>
        <v>4.6</v>
      </c>
      <c r="G8260" s="4" t="str">
        <f>HYPERLINK("http://141.218.60.56/~jnz1568/getInfo.php?workbook=12_05.xlsx&amp;sheet=U0&amp;row=8260&amp;col=7&amp;number=0.000813&amp;sourceID=14","0.000813")</f>
        <v>0.000813</v>
      </c>
    </row>
    <row r="8261" spans="1:7">
      <c r="A8261" s="3"/>
      <c r="B8261" s="3"/>
      <c r="C8261" s="3"/>
      <c r="D8261" s="3"/>
      <c r="E8261" s="3">
        <v>18</v>
      </c>
      <c r="F8261" s="4" t="str">
        <f>HYPERLINK("http://141.218.60.56/~jnz1568/getInfo.php?workbook=12_05.xlsx&amp;sheet=U0&amp;row=8261&amp;col=6&amp;number=4.7&amp;sourceID=14","4.7")</f>
        <v>4.7</v>
      </c>
      <c r="G8261" s="4" t="str">
        <f>HYPERLINK("http://141.218.60.56/~jnz1568/getInfo.php?workbook=12_05.xlsx&amp;sheet=U0&amp;row=8261&amp;col=7&amp;number=0.000806&amp;sourceID=14","0.000806")</f>
        <v>0.000806</v>
      </c>
    </row>
    <row r="8262" spans="1:7">
      <c r="A8262" s="3"/>
      <c r="B8262" s="3"/>
      <c r="C8262" s="3"/>
      <c r="D8262" s="3"/>
      <c r="E8262" s="3">
        <v>19</v>
      </c>
      <c r="F8262" s="4" t="str">
        <f>HYPERLINK("http://141.218.60.56/~jnz1568/getInfo.php?workbook=12_05.xlsx&amp;sheet=U0&amp;row=8262&amp;col=6&amp;number=4.8&amp;sourceID=14","4.8")</f>
        <v>4.8</v>
      </c>
      <c r="G8262" s="4" t="str">
        <f>HYPERLINK("http://141.218.60.56/~jnz1568/getInfo.php?workbook=12_05.xlsx&amp;sheet=U0&amp;row=8262&amp;col=7&amp;number=0.000798&amp;sourceID=14","0.000798")</f>
        <v>0.000798</v>
      </c>
    </row>
    <row r="8263" spans="1:7">
      <c r="A8263" s="3"/>
      <c r="B8263" s="3"/>
      <c r="C8263" s="3"/>
      <c r="D8263" s="3"/>
      <c r="E8263" s="3">
        <v>20</v>
      </c>
      <c r="F8263" s="4" t="str">
        <f>HYPERLINK("http://141.218.60.56/~jnz1568/getInfo.php?workbook=12_05.xlsx&amp;sheet=U0&amp;row=8263&amp;col=6&amp;number=4.9&amp;sourceID=14","4.9")</f>
        <v>4.9</v>
      </c>
      <c r="G8263" s="4" t="str">
        <f>HYPERLINK("http://141.218.60.56/~jnz1568/getInfo.php?workbook=12_05.xlsx&amp;sheet=U0&amp;row=8263&amp;col=7&amp;number=0.000788&amp;sourceID=14","0.000788")</f>
        <v>0.000788</v>
      </c>
    </row>
    <row r="8264" spans="1:7">
      <c r="A8264" s="3">
        <v>12</v>
      </c>
      <c r="B8264" s="3">
        <v>5</v>
      </c>
      <c r="C8264" s="3">
        <v>3</v>
      </c>
      <c r="D8264" s="3">
        <v>82</v>
      </c>
      <c r="E8264" s="3">
        <v>1</v>
      </c>
      <c r="F8264" s="4" t="str">
        <f>HYPERLINK("http://141.218.60.56/~jnz1568/getInfo.php?workbook=12_05.xlsx&amp;sheet=U0&amp;row=8264&amp;col=6&amp;number=3&amp;sourceID=14","3")</f>
        <v>3</v>
      </c>
      <c r="G8264" s="4" t="str">
        <f>HYPERLINK("http://141.218.60.56/~jnz1568/getInfo.php?workbook=12_05.xlsx&amp;sheet=U0&amp;row=8264&amp;col=7&amp;number=0.00243&amp;sourceID=14","0.00243")</f>
        <v>0.00243</v>
      </c>
    </row>
    <row r="8265" spans="1:7">
      <c r="A8265" s="3"/>
      <c r="B8265" s="3"/>
      <c r="C8265" s="3"/>
      <c r="D8265" s="3"/>
      <c r="E8265" s="3">
        <v>2</v>
      </c>
      <c r="F8265" s="4" t="str">
        <f>HYPERLINK("http://141.218.60.56/~jnz1568/getInfo.php?workbook=12_05.xlsx&amp;sheet=U0&amp;row=8265&amp;col=6&amp;number=3.1&amp;sourceID=14","3.1")</f>
        <v>3.1</v>
      </c>
      <c r="G8265" s="4" t="str">
        <f>HYPERLINK("http://141.218.60.56/~jnz1568/getInfo.php?workbook=12_05.xlsx&amp;sheet=U0&amp;row=8265&amp;col=7&amp;number=0.00243&amp;sourceID=14","0.00243")</f>
        <v>0.00243</v>
      </c>
    </row>
    <row r="8266" spans="1:7">
      <c r="A8266" s="3"/>
      <c r="B8266" s="3"/>
      <c r="C8266" s="3"/>
      <c r="D8266" s="3"/>
      <c r="E8266" s="3">
        <v>3</v>
      </c>
      <c r="F8266" s="4" t="str">
        <f>HYPERLINK("http://141.218.60.56/~jnz1568/getInfo.php?workbook=12_05.xlsx&amp;sheet=U0&amp;row=8266&amp;col=6&amp;number=3.2&amp;sourceID=14","3.2")</f>
        <v>3.2</v>
      </c>
      <c r="G8266" s="4" t="str">
        <f>HYPERLINK("http://141.218.60.56/~jnz1568/getInfo.php?workbook=12_05.xlsx&amp;sheet=U0&amp;row=8266&amp;col=7&amp;number=0.00243&amp;sourceID=14","0.00243")</f>
        <v>0.00243</v>
      </c>
    </row>
    <row r="8267" spans="1:7">
      <c r="A8267" s="3"/>
      <c r="B8267" s="3"/>
      <c r="C8267" s="3"/>
      <c r="D8267" s="3"/>
      <c r="E8267" s="3">
        <v>4</v>
      </c>
      <c r="F8267" s="4" t="str">
        <f>HYPERLINK("http://141.218.60.56/~jnz1568/getInfo.php?workbook=12_05.xlsx&amp;sheet=U0&amp;row=8267&amp;col=6&amp;number=3.3&amp;sourceID=14","3.3")</f>
        <v>3.3</v>
      </c>
      <c r="G8267" s="4" t="str">
        <f>HYPERLINK("http://141.218.60.56/~jnz1568/getInfo.php?workbook=12_05.xlsx&amp;sheet=U0&amp;row=8267&amp;col=7&amp;number=0.00243&amp;sourceID=14","0.00243")</f>
        <v>0.00243</v>
      </c>
    </row>
    <row r="8268" spans="1:7">
      <c r="A8268" s="3"/>
      <c r="B8268" s="3"/>
      <c r="C8268" s="3"/>
      <c r="D8268" s="3"/>
      <c r="E8268" s="3">
        <v>5</v>
      </c>
      <c r="F8268" s="4" t="str">
        <f>HYPERLINK("http://141.218.60.56/~jnz1568/getInfo.php?workbook=12_05.xlsx&amp;sheet=U0&amp;row=8268&amp;col=6&amp;number=3.4&amp;sourceID=14","3.4")</f>
        <v>3.4</v>
      </c>
      <c r="G8268" s="4" t="str">
        <f>HYPERLINK("http://141.218.60.56/~jnz1568/getInfo.php?workbook=12_05.xlsx&amp;sheet=U0&amp;row=8268&amp;col=7&amp;number=0.00243&amp;sourceID=14","0.00243")</f>
        <v>0.00243</v>
      </c>
    </row>
    <row r="8269" spans="1:7">
      <c r="A8269" s="3"/>
      <c r="B8269" s="3"/>
      <c r="C8269" s="3"/>
      <c r="D8269" s="3"/>
      <c r="E8269" s="3">
        <v>6</v>
      </c>
      <c r="F8269" s="4" t="str">
        <f>HYPERLINK("http://141.218.60.56/~jnz1568/getInfo.php?workbook=12_05.xlsx&amp;sheet=U0&amp;row=8269&amp;col=6&amp;number=3.5&amp;sourceID=14","3.5")</f>
        <v>3.5</v>
      </c>
      <c r="G8269" s="4" t="str">
        <f>HYPERLINK("http://141.218.60.56/~jnz1568/getInfo.php?workbook=12_05.xlsx&amp;sheet=U0&amp;row=8269&amp;col=7&amp;number=0.00243&amp;sourceID=14","0.00243")</f>
        <v>0.00243</v>
      </c>
    </row>
    <row r="8270" spans="1:7">
      <c r="A8270" s="3"/>
      <c r="B8270" s="3"/>
      <c r="C8270" s="3"/>
      <c r="D8270" s="3"/>
      <c r="E8270" s="3">
        <v>7</v>
      </c>
      <c r="F8270" s="4" t="str">
        <f>HYPERLINK("http://141.218.60.56/~jnz1568/getInfo.php?workbook=12_05.xlsx&amp;sheet=U0&amp;row=8270&amp;col=6&amp;number=3.6&amp;sourceID=14","3.6")</f>
        <v>3.6</v>
      </c>
      <c r="G8270" s="4" t="str">
        <f>HYPERLINK("http://141.218.60.56/~jnz1568/getInfo.php?workbook=12_05.xlsx&amp;sheet=U0&amp;row=8270&amp;col=7&amp;number=0.00244&amp;sourceID=14","0.00244")</f>
        <v>0.00244</v>
      </c>
    </row>
    <row r="8271" spans="1:7">
      <c r="A8271" s="3"/>
      <c r="B8271" s="3"/>
      <c r="C8271" s="3"/>
      <c r="D8271" s="3"/>
      <c r="E8271" s="3">
        <v>8</v>
      </c>
      <c r="F8271" s="4" t="str">
        <f>HYPERLINK("http://141.218.60.56/~jnz1568/getInfo.php?workbook=12_05.xlsx&amp;sheet=U0&amp;row=8271&amp;col=6&amp;number=3.7&amp;sourceID=14","3.7")</f>
        <v>3.7</v>
      </c>
      <c r="G8271" s="4" t="str">
        <f>HYPERLINK("http://141.218.60.56/~jnz1568/getInfo.php?workbook=12_05.xlsx&amp;sheet=U0&amp;row=8271&amp;col=7&amp;number=0.00244&amp;sourceID=14","0.00244")</f>
        <v>0.00244</v>
      </c>
    </row>
    <row r="8272" spans="1:7">
      <c r="A8272" s="3"/>
      <c r="B8272" s="3"/>
      <c r="C8272" s="3"/>
      <c r="D8272" s="3"/>
      <c r="E8272" s="3">
        <v>9</v>
      </c>
      <c r="F8272" s="4" t="str">
        <f>HYPERLINK("http://141.218.60.56/~jnz1568/getInfo.php?workbook=12_05.xlsx&amp;sheet=U0&amp;row=8272&amp;col=6&amp;number=3.8&amp;sourceID=14","3.8")</f>
        <v>3.8</v>
      </c>
      <c r="G8272" s="4" t="str">
        <f>HYPERLINK("http://141.218.60.56/~jnz1568/getInfo.php?workbook=12_05.xlsx&amp;sheet=U0&amp;row=8272&amp;col=7&amp;number=0.00244&amp;sourceID=14","0.00244")</f>
        <v>0.00244</v>
      </c>
    </row>
    <row r="8273" spans="1:7">
      <c r="A8273" s="3"/>
      <c r="B8273" s="3"/>
      <c r="C8273" s="3"/>
      <c r="D8273" s="3"/>
      <c r="E8273" s="3">
        <v>10</v>
      </c>
      <c r="F8273" s="4" t="str">
        <f>HYPERLINK("http://141.218.60.56/~jnz1568/getInfo.php?workbook=12_05.xlsx&amp;sheet=U0&amp;row=8273&amp;col=6&amp;number=3.9&amp;sourceID=14","3.9")</f>
        <v>3.9</v>
      </c>
      <c r="G8273" s="4" t="str">
        <f>HYPERLINK("http://141.218.60.56/~jnz1568/getInfo.php?workbook=12_05.xlsx&amp;sheet=U0&amp;row=8273&amp;col=7&amp;number=0.00245&amp;sourceID=14","0.00245")</f>
        <v>0.00245</v>
      </c>
    </row>
    <row r="8274" spans="1:7">
      <c r="A8274" s="3"/>
      <c r="B8274" s="3"/>
      <c r="C8274" s="3"/>
      <c r="D8274" s="3"/>
      <c r="E8274" s="3">
        <v>11</v>
      </c>
      <c r="F8274" s="4" t="str">
        <f>HYPERLINK("http://141.218.60.56/~jnz1568/getInfo.php?workbook=12_05.xlsx&amp;sheet=U0&amp;row=8274&amp;col=6&amp;number=4&amp;sourceID=14","4")</f>
        <v>4</v>
      </c>
      <c r="G8274" s="4" t="str">
        <f>HYPERLINK("http://141.218.60.56/~jnz1568/getInfo.php?workbook=12_05.xlsx&amp;sheet=U0&amp;row=8274&amp;col=7&amp;number=0.00246&amp;sourceID=14","0.00246")</f>
        <v>0.00246</v>
      </c>
    </row>
    <row r="8275" spans="1:7">
      <c r="A8275" s="3"/>
      <c r="B8275" s="3"/>
      <c r="C8275" s="3"/>
      <c r="D8275" s="3"/>
      <c r="E8275" s="3">
        <v>12</v>
      </c>
      <c r="F8275" s="4" t="str">
        <f>HYPERLINK("http://141.218.60.56/~jnz1568/getInfo.php?workbook=12_05.xlsx&amp;sheet=U0&amp;row=8275&amp;col=6&amp;number=4.1&amp;sourceID=14","4.1")</f>
        <v>4.1</v>
      </c>
      <c r="G8275" s="4" t="str">
        <f>HYPERLINK("http://141.218.60.56/~jnz1568/getInfo.php?workbook=12_05.xlsx&amp;sheet=U0&amp;row=8275&amp;col=7&amp;number=0.00247&amp;sourceID=14","0.00247")</f>
        <v>0.00247</v>
      </c>
    </row>
    <row r="8276" spans="1:7">
      <c r="A8276" s="3"/>
      <c r="B8276" s="3"/>
      <c r="C8276" s="3"/>
      <c r="D8276" s="3"/>
      <c r="E8276" s="3">
        <v>13</v>
      </c>
      <c r="F8276" s="4" t="str">
        <f>HYPERLINK("http://141.218.60.56/~jnz1568/getInfo.php?workbook=12_05.xlsx&amp;sheet=U0&amp;row=8276&amp;col=6&amp;number=4.2&amp;sourceID=14","4.2")</f>
        <v>4.2</v>
      </c>
      <c r="G8276" s="4" t="str">
        <f>HYPERLINK("http://141.218.60.56/~jnz1568/getInfo.php?workbook=12_05.xlsx&amp;sheet=U0&amp;row=8276&amp;col=7&amp;number=0.00248&amp;sourceID=14","0.00248")</f>
        <v>0.00248</v>
      </c>
    </row>
    <row r="8277" spans="1:7">
      <c r="A8277" s="3"/>
      <c r="B8277" s="3"/>
      <c r="C8277" s="3"/>
      <c r="D8277" s="3"/>
      <c r="E8277" s="3">
        <v>14</v>
      </c>
      <c r="F8277" s="4" t="str">
        <f>HYPERLINK("http://141.218.60.56/~jnz1568/getInfo.php?workbook=12_05.xlsx&amp;sheet=U0&amp;row=8277&amp;col=6&amp;number=4.3&amp;sourceID=14","4.3")</f>
        <v>4.3</v>
      </c>
      <c r="G8277" s="4" t="str">
        <f>HYPERLINK("http://141.218.60.56/~jnz1568/getInfo.php?workbook=12_05.xlsx&amp;sheet=U0&amp;row=8277&amp;col=7&amp;number=0.00249&amp;sourceID=14","0.00249")</f>
        <v>0.00249</v>
      </c>
    </row>
    <row r="8278" spans="1:7">
      <c r="A8278" s="3"/>
      <c r="B8278" s="3"/>
      <c r="C8278" s="3"/>
      <c r="D8278" s="3"/>
      <c r="E8278" s="3">
        <v>15</v>
      </c>
      <c r="F8278" s="4" t="str">
        <f>HYPERLINK("http://141.218.60.56/~jnz1568/getInfo.php?workbook=12_05.xlsx&amp;sheet=U0&amp;row=8278&amp;col=6&amp;number=4.4&amp;sourceID=14","4.4")</f>
        <v>4.4</v>
      </c>
      <c r="G8278" s="4" t="str">
        <f>HYPERLINK("http://141.218.60.56/~jnz1568/getInfo.php?workbook=12_05.xlsx&amp;sheet=U0&amp;row=8278&amp;col=7&amp;number=0.00251&amp;sourceID=14","0.00251")</f>
        <v>0.00251</v>
      </c>
    </row>
    <row r="8279" spans="1:7">
      <c r="A8279" s="3"/>
      <c r="B8279" s="3"/>
      <c r="C8279" s="3"/>
      <c r="D8279" s="3"/>
      <c r="E8279" s="3">
        <v>16</v>
      </c>
      <c r="F8279" s="4" t="str">
        <f>HYPERLINK("http://141.218.60.56/~jnz1568/getInfo.php?workbook=12_05.xlsx&amp;sheet=U0&amp;row=8279&amp;col=6&amp;number=4.5&amp;sourceID=14","4.5")</f>
        <v>4.5</v>
      </c>
      <c r="G8279" s="4" t="str">
        <f>HYPERLINK("http://141.218.60.56/~jnz1568/getInfo.php?workbook=12_05.xlsx&amp;sheet=U0&amp;row=8279&amp;col=7&amp;number=0.00253&amp;sourceID=14","0.00253")</f>
        <v>0.00253</v>
      </c>
    </row>
    <row r="8280" spans="1:7">
      <c r="A8280" s="3"/>
      <c r="B8280" s="3"/>
      <c r="C8280" s="3"/>
      <c r="D8280" s="3"/>
      <c r="E8280" s="3">
        <v>17</v>
      </c>
      <c r="F8280" s="4" t="str">
        <f>HYPERLINK("http://141.218.60.56/~jnz1568/getInfo.php?workbook=12_05.xlsx&amp;sheet=U0&amp;row=8280&amp;col=6&amp;number=4.6&amp;sourceID=14","4.6")</f>
        <v>4.6</v>
      </c>
      <c r="G8280" s="4" t="str">
        <f>HYPERLINK("http://141.218.60.56/~jnz1568/getInfo.php?workbook=12_05.xlsx&amp;sheet=U0&amp;row=8280&amp;col=7&amp;number=0.00256&amp;sourceID=14","0.00256")</f>
        <v>0.00256</v>
      </c>
    </row>
    <row r="8281" spans="1:7">
      <c r="A8281" s="3"/>
      <c r="B8281" s="3"/>
      <c r="C8281" s="3"/>
      <c r="D8281" s="3"/>
      <c r="E8281" s="3">
        <v>18</v>
      </c>
      <c r="F8281" s="4" t="str">
        <f>HYPERLINK("http://141.218.60.56/~jnz1568/getInfo.php?workbook=12_05.xlsx&amp;sheet=U0&amp;row=8281&amp;col=6&amp;number=4.7&amp;sourceID=14","4.7")</f>
        <v>4.7</v>
      </c>
      <c r="G8281" s="4" t="str">
        <f>HYPERLINK("http://141.218.60.56/~jnz1568/getInfo.php?workbook=12_05.xlsx&amp;sheet=U0&amp;row=8281&amp;col=7&amp;number=0.0026&amp;sourceID=14","0.0026")</f>
        <v>0.0026</v>
      </c>
    </row>
    <row r="8282" spans="1:7">
      <c r="A8282" s="3"/>
      <c r="B8282" s="3"/>
      <c r="C8282" s="3"/>
      <c r="D8282" s="3"/>
      <c r="E8282" s="3">
        <v>19</v>
      </c>
      <c r="F8282" s="4" t="str">
        <f>HYPERLINK("http://141.218.60.56/~jnz1568/getInfo.php?workbook=12_05.xlsx&amp;sheet=U0&amp;row=8282&amp;col=6&amp;number=4.8&amp;sourceID=14","4.8")</f>
        <v>4.8</v>
      </c>
      <c r="G8282" s="4" t="str">
        <f>HYPERLINK("http://141.218.60.56/~jnz1568/getInfo.php?workbook=12_05.xlsx&amp;sheet=U0&amp;row=8282&amp;col=7&amp;number=0.00264&amp;sourceID=14","0.00264")</f>
        <v>0.00264</v>
      </c>
    </row>
    <row r="8283" spans="1:7">
      <c r="A8283" s="3"/>
      <c r="B8283" s="3"/>
      <c r="C8283" s="3"/>
      <c r="D8283" s="3"/>
      <c r="E8283" s="3">
        <v>20</v>
      </c>
      <c r="F8283" s="4" t="str">
        <f>HYPERLINK("http://141.218.60.56/~jnz1568/getInfo.php?workbook=12_05.xlsx&amp;sheet=U0&amp;row=8283&amp;col=6&amp;number=4.9&amp;sourceID=14","4.9")</f>
        <v>4.9</v>
      </c>
      <c r="G8283" s="4" t="str">
        <f>HYPERLINK("http://141.218.60.56/~jnz1568/getInfo.php?workbook=12_05.xlsx&amp;sheet=U0&amp;row=8283&amp;col=7&amp;number=0.00269&amp;sourceID=14","0.00269")</f>
        <v>0.00269</v>
      </c>
    </row>
    <row r="8284" spans="1:7">
      <c r="A8284" s="3">
        <v>12</v>
      </c>
      <c r="B8284" s="3">
        <v>5</v>
      </c>
      <c r="C8284" s="3">
        <v>3</v>
      </c>
      <c r="D8284" s="3">
        <v>83</v>
      </c>
      <c r="E8284" s="3">
        <v>1</v>
      </c>
      <c r="F8284" s="4" t="str">
        <f>HYPERLINK("http://141.218.60.56/~jnz1568/getInfo.php?workbook=12_05.xlsx&amp;sheet=U0&amp;row=8284&amp;col=6&amp;number=3&amp;sourceID=14","3")</f>
        <v>3</v>
      </c>
      <c r="G8284" s="4" t="str">
        <f>HYPERLINK("http://141.218.60.56/~jnz1568/getInfo.php?workbook=12_05.xlsx&amp;sheet=U0&amp;row=8284&amp;col=7&amp;number=0.000853&amp;sourceID=14","0.000853")</f>
        <v>0.000853</v>
      </c>
    </row>
    <row r="8285" spans="1:7">
      <c r="A8285" s="3"/>
      <c r="B8285" s="3"/>
      <c r="C8285" s="3"/>
      <c r="D8285" s="3"/>
      <c r="E8285" s="3">
        <v>2</v>
      </c>
      <c r="F8285" s="4" t="str">
        <f>HYPERLINK("http://141.218.60.56/~jnz1568/getInfo.php?workbook=12_05.xlsx&amp;sheet=U0&amp;row=8285&amp;col=6&amp;number=3.1&amp;sourceID=14","3.1")</f>
        <v>3.1</v>
      </c>
      <c r="G8285" s="4" t="str">
        <f>HYPERLINK("http://141.218.60.56/~jnz1568/getInfo.php?workbook=12_05.xlsx&amp;sheet=U0&amp;row=8285&amp;col=7&amp;number=0.000853&amp;sourceID=14","0.000853")</f>
        <v>0.000853</v>
      </c>
    </row>
    <row r="8286" spans="1:7">
      <c r="A8286" s="3"/>
      <c r="B8286" s="3"/>
      <c r="C8286" s="3"/>
      <c r="D8286" s="3"/>
      <c r="E8286" s="3">
        <v>3</v>
      </c>
      <c r="F8286" s="4" t="str">
        <f>HYPERLINK("http://141.218.60.56/~jnz1568/getInfo.php?workbook=12_05.xlsx&amp;sheet=U0&amp;row=8286&amp;col=6&amp;number=3.2&amp;sourceID=14","3.2")</f>
        <v>3.2</v>
      </c>
      <c r="G8286" s="4" t="str">
        <f>HYPERLINK("http://141.218.60.56/~jnz1568/getInfo.php?workbook=12_05.xlsx&amp;sheet=U0&amp;row=8286&amp;col=7&amp;number=0.000853&amp;sourceID=14","0.000853")</f>
        <v>0.000853</v>
      </c>
    </row>
    <row r="8287" spans="1:7">
      <c r="A8287" s="3"/>
      <c r="B8287" s="3"/>
      <c r="C8287" s="3"/>
      <c r="D8287" s="3"/>
      <c r="E8287" s="3">
        <v>4</v>
      </c>
      <c r="F8287" s="4" t="str">
        <f>HYPERLINK("http://141.218.60.56/~jnz1568/getInfo.php?workbook=12_05.xlsx&amp;sheet=U0&amp;row=8287&amp;col=6&amp;number=3.3&amp;sourceID=14","3.3")</f>
        <v>3.3</v>
      </c>
      <c r="G8287" s="4" t="str">
        <f>HYPERLINK("http://141.218.60.56/~jnz1568/getInfo.php?workbook=12_05.xlsx&amp;sheet=U0&amp;row=8287&amp;col=7&amp;number=0.000853&amp;sourceID=14","0.000853")</f>
        <v>0.000853</v>
      </c>
    </row>
    <row r="8288" spans="1:7">
      <c r="A8288" s="3"/>
      <c r="B8288" s="3"/>
      <c r="C8288" s="3"/>
      <c r="D8288" s="3"/>
      <c r="E8288" s="3">
        <v>5</v>
      </c>
      <c r="F8288" s="4" t="str">
        <f>HYPERLINK("http://141.218.60.56/~jnz1568/getInfo.php?workbook=12_05.xlsx&amp;sheet=U0&amp;row=8288&amp;col=6&amp;number=3.4&amp;sourceID=14","3.4")</f>
        <v>3.4</v>
      </c>
      <c r="G8288" s="4" t="str">
        <f>HYPERLINK("http://141.218.60.56/~jnz1568/getInfo.php?workbook=12_05.xlsx&amp;sheet=U0&amp;row=8288&amp;col=7&amp;number=0.000854&amp;sourceID=14","0.000854")</f>
        <v>0.000854</v>
      </c>
    </row>
    <row r="8289" spans="1:7">
      <c r="A8289" s="3"/>
      <c r="B8289" s="3"/>
      <c r="C8289" s="3"/>
      <c r="D8289" s="3"/>
      <c r="E8289" s="3">
        <v>6</v>
      </c>
      <c r="F8289" s="4" t="str">
        <f>HYPERLINK("http://141.218.60.56/~jnz1568/getInfo.php?workbook=12_05.xlsx&amp;sheet=U0&amp;row=8289&amp;col=6&amp;number=3.5&amp;sourceID=14","3.5")</f>
        <v>3.5</v>
      </c>
      <c r="G8289" s="4" t="str">
        <f>HYPERLINK("http://141.218.60.56/~jnz1568/getInfo.php?workbook=12_05.xlsx&amp;sheet=U0&amp;row=8289&amp;col=7&amp;number=0.000854&amp;sourceID=14","0.000854")</f>
        <v>0.000854</v>
      </c>
    </row>
    <row r="8290" spans="1:7">
      <c r="A8290" s="3"/>
      <c r="B8290" s="3"/>
      <c r="C8290" s="3"/>
      <c r="D8290" s="3"/>
      <c r="E8290" s="3">
        <v>7</v>
      </c>
      <c r="F8290" s="4" t="str">
        <f>HYPERLINK("http://141.218.60.56/~jnz1568/getInfo.php?workbook=12_05.xlsx&amp;sheet=U0&amp;row=8290&amp;col=6&amp;number=3.6&amp;sourceID=14","3.6")</f>
        <v>3.6</v>
      </c>
      <c r="G8290" s="4" t="str">
        <f>HYPERLINK("http://141.218.60.56/~jnz1568/getInfo.php?workbook=12_05.xlsx&amp;sheet=U0&amp;row=8290&amp;col=7&amp;number=0.000855&amp;sourceID=14","0.000855")</f>
        <v>0.000855</v>
      </c>
    </row>
    <row r="8291" spans="1:7">
      <c r="A8291" s="3"/>
      <c r="B8291" s="3"/>
      <c r="C8291" s="3"/>
      <c r="D8291" s="3"/>
      <c r="E8291" s="3">
        <v>8</v>
      </c>
      <c r="F8291" s="4" t="str">
        <f>HYPERLINK("http://141.218.60.56/~jnz1568/getInfo.php?workbook=12_05.xlsx&amp;sheet=U0&amp;row=8291&amp;col=6&amp;number=3.7&amp;sourceID=14","3.7")</f>
        <v>3.7</v>
      </c>
      <c r="G8291" s="4" t="str">
        <f>HYPERLINK("http://141.218.60.56/~jnz1568/getInfo.php?workbook=12_05.xlsx&amp;sheet=U0&amp;row=8291&amp;col=7&amp;number=0.000855&amp;sourceID=14","0.000855")</f>
        <v>0.000855</v>
      </c>
    </row>
    <row r="8292" spans="1:7">
      <c r="A8292" s="3"/>
      <c r="B8292" s="3"/>
      <c r="C8292" s="3"/>
      <c r="D8292" s="3"/>
      <c r="E8292" s="3">
        <v>9</v>
      </c>
      <c r="F8292" s="4" t="str">
        <f>HYPERLINK("http://141.218.60.56/~jnz1568/getInfo.php?workbook=12_05.xlsx&amp;sheet=U0&amp;row=8292&amp;col=6&amp;number=3.8&amp;sourceID=14","3.8")</f>
        <v>3.8</v>
      </c>
      <c r="G8292" s="4" t="str">
        <f>HYPERLINK("http://141.218.60.56/~jnz1568/getInfo.php?workbook=12_05.xlsx&amp;sheet=U0&amp;row=8292&amp;col=7&amp;number=0.000856&amp;sourceID=14","0.000856")</f>
        <v>0.000856</v>
      </c>
    </row>
    <row r="8293" spans="1:7">
      <c r="A8293" s="3"/>
      <c r="B8293" s="3"/>
      <c r="C8293" s="3"/>
      <c r="D8293" s="3"/>
      <c r="E8293" s="3">
        <v>10</v>
      </c>
      <c r="F8293" s="4" t="str">
        <f>HYPERLINK("http://141.218.60.56/~jnz1568/getInfo.php?workbook=12_05.xlsx&amp;sheet=U0&amp;row=8293&amp;col=6&amp;number=3.9&amp;sourceID=14","3.9")</f>
        <v>3.9</v>
      </c>
      <c r="G8293" s="4" t="str">
        <f>HYPERLINK("http://141.218.60.56/~jnz1568/getInfo.php?workbook=12_05.xlsx&amp;sheet=U0&amp;row=8293&amp;col=7&amp;number=0.000857&amp;sourceID=14","0.000857")</f>
        <v>0.000857</v>
      </c>
    </row>
    <row r="8294" spans="1:7">
      <c r="A8294" s="3"/>
      <c r="B8294" s="3"/>
      <c r="C8294" s="3"/>
      <c r="D8294" s="3"/>
      <c r="E8294" s="3">
        <v>11</v>
      </c>
      <c r="F8294" s="4" t="str">
        <f>HYPERLINK("http://141.218.60.56/~jnz1568/getInfo.php?workbook=12_05.xlsx&amp;sheet=U0&amp;row=8294&amp;col=6&amp;number=4&amp;sourceID=14","4")</f>
        <v>4</v>
      </c>
      <c r="G8294" s="4" t="str">
        <f>HYPERLINK("http://141.218.60.56/~jnz1568/getInfo.php?workbook=12_05.xlsx&amp;sheet=U0&amp;row=8294&amp;col=7&amp;number=0.000858&amp;sourceID=14","0.000858")</f>
        <v>0.000858</v>
      </c>
    </row>
    <row r="8295" spans="1:7">
      <c r="A8295" s="3"/>
      <c r="B8295" s="3"/>
      <c r="C8295" s="3"/>
      <c r="D8295" s="3"/>
      <c r="E8295" s="3">
        <v>12</v>
      </c>
      <c r="F8295" s="4" t="str">
        <f>HYPERLINK("http://141.218.60.56/~jnz1568/getInfo.php?workbook=12_05.xlsx&amp;sheet=U0&amp;row=8295&amp;col=6&amp;number=4.1&amp;sourceID=14","4.1")</f>
        <v>4.1</v>
      </c>
      <c r="G8295" s="4" t="str">
        <f>HYPERLINK("http://141.218.60.56/~jnz1568/getInfo.php?workbook=12_05.xlsx&amp;sheet=U0&amp;row=8295&amp;col=7&amp;number=0.00086&amp;sourceID=14","0.00086")</f>
        <v>0.00086</v>
      </c>
    </row>
    <row r="8296" spans="1:7">
      <c r="A8296" s="3"/>
      <c r="B8296" s="3"/>
      <c r="C8296" s="3"/>
      <c r="D8296" s="3"/>
      <c r="E8296" s="3">
        <v>13</v>
      </c>
      <c r="F8296" s="4" t="str">
        <f>HYPERLINK("http://141.218.60.56/~jnz1568/getInfo.php?workbook=12_05.xlsx&amp;sheet=U0&amp;row=8296&amp;col=6&amp;number=4.2&amp;sourceID=14","4.2")</f>
        <v>4.2</v>
      </c>
      <c r="G8296" s="4" t="str">
        <f>HYPERLINK("http://141.218.60.56/~jnz1568/getInfo.php?workbook=12_05.xlsx&amp;sheet=U0&amp;row=8296&amp;col=7&amp;number=0.000862&amp;sourceID=14","0.000862")</f>
        <v>0.000862</v>
      </c>
    </row>
    <row r="8297" spans="1:7">
      <c r="A8297" s="3"/>
      <c r="B8297" s="3"/>
      <c r="C8297" s="3"/>
      <c r="D8297" s="3"/>
      <c r="E8297" s="3">
        <v>14</v>
      </c>
      <c r="F8297" s="4" t="str">
        <f>HYPERLINK("http://141.218.60.56/~jnz1568/getInfo.php?workbook=12_05.xlsx&amp;sheet=U0&amp;row=8297&amp;col=6&amp;number=4.3&amp;sourceID=14","4.3")</f>
        <v>4.3</v>
      </c>
      <c r="G8297" s="4" t="str">
        <f>HYPERLINK("http://141.218.60.56/~jnz1568/getInfo.php?workbook=12_05.xlsx&amp;sheet=U0&amp;row=8297&amp;col=7&amp;number=0.000865&amp;sourceID=14","0.000865")</f>
        <v>0.000865</v>
      </c>
    </row>
    <row r="8298" spans="1:7">
      <c r="A8298" s="3"/>
      <c r="B8298" s="3"/>
      <c r="C8298" s="3"/>
      <c r="D8298" s="3"/>
      <c r="E8298" s="3">
        <v>15</v>
      </c>
      <c r="F8298" s="4" t="str">
        <f>HYPERLINK("http://141.218.60.56/~jnz1568/getInfo.php?workbook=12_05.xlsx&amp;sheet=U0&amp;row=8298&amp;col=6&amp;number=4.4&amp;sourceID=14","4.4")</f>
        <v>4.4</v>
      </c>
      <c r="G8298" s="4" t="str">
        <f>HYPERLINK("http://141.218.60.56/~jnz1568/getInfo.php?workbook=12_05.xlsx&amp;sheet=U0&amp;row=8298&amp;col=7&amp;number=0.000868&amp;sourceID=14","0.000868")</f>
        <v>0.000868</v>
      </c>
    </row>
    <row r="8299" spans="1:7">
      <c r="A8299" s="3"/>
      <c r="B8299" s="3"/>
      <c r="C8299" s="3"/>
      <c r="D8299" s="3"/>
      <c r="E8299" s="3">
        <v>16</v>
      </c>
      <c r="F8299" s="4" t="str">
        <f>HYPERLINK("http://141.218.60.56/~jnz1568/getInfo.php?workbook=12_05.xlsx&amp;sheet=U0&amp;row=8299&amp;col=6&amp;number=4.5&amp;sourceID=14","4.5")</f>
        <v>4.5</v>
      </c>
      <c r="G8299" s="4" t="str">
        <f>HYPERLINK("http://141.218.60.56/~jnz1568/getInfo.php?workbook=12_05.xlsx&amp;sheet=U0&amp;row=8299&amp;col=7&amp;number=0.000872&amp;sourceID=14","0.000872")</f>
        <v>0.000872</v>
      </c>
    </row>
    <row r="8300" spans="1:7">
      <c r="A8300" s="3"/>
      <c r="B8300" s="3"/>
      <c r="C8300" s="3"/>
      <c r="D8300" s="3"/>
      <c r="E8300" s="3">
        <v>17</v>
      </c>
      <c r="F8300" s="4" t="str">
        <f>HYPERLINK("http://141.218.60.56/~jnz1568/getInfo.php?workbook=12_05.xlsx&amp;sheet=U0&amp;row=8300&amp;col=6&amp;number=4.6&amp;sourceID=14","4.6")</f>
        <v>4.6</v>
      </c>
      <c r="G8300" s="4" t="str">
        <f>HYPERLINK("http://141.218.60.56/~jnz1568/getInfo.php?workbook=12_05.xlsx&amp;sheet=U0&amp;row=8300&amp;col=7&amp;number=0.000877&amp;sourceID=14","0.000877")</f>
        <v>0.000877</v>
      </c>
    </row>
    <row r="8301" spans="1:7">
      <c r="A8301" s="3"/>
      <c r="B8301" s="3"/>
      <c r="C8301" s="3"/>
      <c r="D8301" s="3"/>
      <c r="E8301" s="3">
        <v>18</v>
      </c>
      <c r="F8301" s="4" t="str">
        <f>HYPERLINK("http://141.218.60.56/~jnz1568/getInfo.php?workbook=12_05.xlsx&amp;sheet=U0&amp;row=8301&amp;col=6&amp;number=4.7&amp;sourceID=14","4.7")</f>
        <v>4.7</v>
      </c>
      <c r="G8301" s="4" t="str">
        <f>HYPERLINK("http://141.218.60.56/~jnz1568/getInfo.php?workbook=12_05.xlsx&amp;sheet=U0&amp;row=8301&amp;col=7&amp;number=0.000884&amp;sourceID=14","0.000884")</f>
        <v>0.000884</v>
      </c>
    </row>
    <row r="8302" spans="1:7">
      <c r="A8302" s="3"/>
      <c r="B8302" s="3"/>
      <c r="C8302" s="3"/>
      <c r="D8302" s="3"/>
      <c r="E8302" s="3">
        <v>19</v>
      </c>
      <c r="F8302" s="4" t="str">
        <f>HYPERLINK("http://141.218.60.56/~jnz1568/getInfo.php?workbook=12_05.xlsx&amp;sheet=U0&amp;row=8302&amp;col=6&amp;number=4.8&amp;sourceID=14","4.8")</f>
        <v>4.8</v>
      </c>
      <c r="G8302" s="4" t="str">
        <f>HYPERLINK("http://141.218.60.56/~jnz1568/getInfo.php?workbook=12_05.xlsx&amp;sheet=U0&amp;row=8302&amp;col=7&amp;number=0.000892&amp;sourceID=14","0.000892")</f>
        <v>0.000892</v>
      </c>
    </row>
    <row r="8303" spans="1:7">
      <c r="A8303" s="3"/>
      <c r="B8303" s="3"/>
      <c r="C8303" s="3"/>
      <c r="D8303" s="3"/>
      <c r="E8303" s="3">
        <v>20</v>
      </c>
      <c r="F8303" s="4" t="str">
        <f>HYPERLINK("http://141.218.60.56/~jnz1568/getInfo.php?workbook=12_05.xlsx&amp;sheet=U0&amp;row=8303&amp;col=6&amp;number=4.9&amp;sourceID=14","4.9")</f>
        <v>4.9</v>
      </c>
      <c r="G8303" s="4" t="str">
        <f>HYPERLINK("http://141.218.60.56/~jnz1568/getInfo.php?workbook=12_05.xlsx&amp;sheet=U0&amp;row=8303&amp;col=7&amp;number=0.000902&amp;sourceID=14","0.000902")</f>
        <v>0.000902</v>
      </c>
    </row>
    <row r="8304" spans="1:7">
      <c r="A8304" s="3">
        <v>12</v>
      </c>
      <c r="B8304" s="3">
        <v>5</v>
      </c>
      <c r="C8304" s="3">
        <v>3</v>
      </c>
      <c r="D8304" s="3">
        <v>84</v>
      </c>
      <c r="E8304" s="3">
        <v>1</v>
      </c>
      <c r="F8304" s="4" t="str">
        <f>HYPERLINK("http://141.218.60.56/~jnz1568/getInfo.php?workbook=12_05.xlsx&amp;sheet=U0&amp;row=8304&amp;col=6&amp;number=3&amp;sourceID=14","3")</f>
        <v>3</v>
      </c>
      <c r="G8304" s="4" t="str">
        <f>HYPERLINK("http://141.218.60.56/~jnz1568/getInfo.php?workbook=12_05.xlsx&amp;sheet=U0&amp;row=8304&amp;col=7&amp;number=0.000608&amp;sourceID=14","0.000608")</f>
        <v>0.000608</v>
      </c>
    </row>
    <row r="8305" spans="1:7">
      <c r="A8305" s="3"/>
      <c r="B8305" s="3"/>
      <c r="C8305" s="3"/>
      <c r="D8305" s="3"/>
      <c r="E8305" s="3">
        <v>2</v>
      </c>
      <c r="F8305" s="4" t="str">
        <f>HYPERLINK("http://141.218.60.56/~jnz1568/getInfo.php?workbook=12_05.xlsx&amp;sheet=U0&amp;row=8305&amp;col=6&amp;number=3.1&amp;sourceID=14","3.1")</f>
        <v>3.1</v>
      </c>
      <c r="G8305" s="4" t="str">
        <f>HYPERLINK("http://141.218.60.56/~jnz1568/getInfo.php?workbook=12_05.xlsx&amp;sheet=U0&amp;row=8305&amp;col=7&amp;number=0.000608&amp;sourceID=14","0.000608")</f>
        <v>0.000608</v>
      </c>
    </row>
    <row r="8306" spans="1:7">
      <c r="A8306" s="3"/>
      <c r="B8306" s="3"/>
      <c r="C8306" s="3"/>
      <c r="D8306" s="3"/>
      <c r="E8306" s="3">
        <v>3</v>
      </c>
      <c r="F8306" s="4" t="str">
        <f>HYPERLINK("http://141.218.60.56/~jnz1568/getInfo.php?workbook=12_05.xlsx&amp;sheet=U0&amp;row=8306&amp;col=6&amp;number=3.2&amp;sourceID=14","3.2")</f>
        <v>3.2</v>
      </c>
      <c r="G8306" s="4" t="str">
        <f>HYPERLINK("http://141.218.60.56/~jnz1568/getInfo.php?workbook=12_05.xlsx&amp;sheet=U0&amp;row=8306&amp;col=7&amp;number=0.000608&amp;sourceID=14","0.000608")</f>
        <v>0.000608</v>
      </c>
    </row>
    <row r="8307" spans="1:7">
      <c r="A8307" s="3"/>
      <c r="B8307" s="3"/>
      <c r="C8307" s="3"/>
      <c r="D8307" s="3"/>
      <c r="E8307" s="3">
        <v>4</v>
      </c>
      <c r="F8307" s="4" t="str">
        <f>HYPERLINK("http://141.218.60.56/~jnz1568/getInfo.php?workbook=12_05.xlsx&amp;sheet=U0&amp;row=8307&amp;col=6&amp;number=3.3&amp;sourceID=14","3.3")</f>
        <v>3.3</v>
      </c>
      <c r="G8307" s="4" t="str">
        <f>HYPERLINK("http://141.218.60.56/~jnz1568/getInfo.php?workbook=12_05.xlsx&amp;sheet=U0&amp;row=8307&amp;col=7&amp;number=0.000608&amp;sourceID=14","0.000608")</f>
        <v>0.000608</v>
      </c>
    </row>
    <row r="8308" spans="1:7">
      <c r="A8308" s="3"/>
      <c r="B8308" s="3"/>
      <c r="C8308" s="3"/>
      <c r="D8308" s="3"/>
      <c r="E8308" s="3">
        <v>5</v>
      </c>
      <c r="F8308" s="4" t="str">
        <f>HYPERLINK("http://141.218.60.56/~jnz1568/getInfo.php?workbook=12_05.xlsx&amp;sheet=U0&amp;row=8308&amp;col=6&amp;number=3.4&amp;sourceID=14","3.4")</f>
        <v>3.4</v>
      </c>
      <c r="G8308" s="4" t="str">
        <f>HYPERLINK("http://141.218.60.56/~jnz1568/getInfo.php?workbook=12_05.xlsx&amp;sheet=U0&amp;row=8308&amp;col=7&amp;number=0.000607&amp;sourceID=14","0.000607")</f>
        <v>0.000607</v>
      </c>
    </row>
    <row r="8309" spans="1:7">
      <c r="A8309" s="3"/>
      <c r="B8309" s="3"/>
      <c r="C8309" s="3"/>
      <c r="D8309" s="3"/>
      <c r="E8309" s="3">
        <v>6</v>
      </c>
      <c r="F8309" s="4" t="str">
        <f>HYPERLINK("http://141.218.60.56/~jnz1568/getInfo.php?workbook=12_05.xlsx&amp;sheet=U0&amp;row=8309&amp;col=6&amp;number=3.5&amp;sourceID=14","3.5")</f>
        <v>3.5</v>
      </c>
      <c r="G8309" s="4" t="str">
        <f>HYPERLINK("http://141.218.60.56/~jnz1568/getInfo.php?workbook=12_05.xlsx&amp;sheet=U0&amp;row=8309&amp;col=7&amp;number=0.000607&amp;sourceID=14","0.000607")</f>
        <v>0.000607</v>
      </c>
    </row>
    <row r="8310" spans="1:7">
      <c r="A8310" s="3"/>
      <c r="B8310" s="3"/>
      <c r="C8310" s="3"/>
      <c r="D8310" s="3"/>
      <c r="E8310" s="3">
        <v>7</v>
      </c>
      <c r="F8310" s="4" t="str">
        <f>HYPERLINK("http://141.218.60.56/~jnz1568/getInfo.php?workbook=12_05.xlsx&amp;sheet=U0&amp;row=8310&amp;col=6&amp;number=3.6&amp;sourceID=14","3.6")</f>
        <v>3.6</v>
      </c>
      <c r="G8310" s="4" t="str">
        <f>HYPERLINK("http://141.218.60.56/~jnz1568/getInfo.php?workbook=12_05.xlsx&amp;sheet=U0&amp;row=8310&amp;col=7&amp;number=0.000607&amp;sourceID=14","0.000607")</f>
        <v>0.000607</v>
      </c>
    </row>
    <row r="8311" spans="1:7">
      <c r="A8311" s="3"/>
      <c r="B8311" s="3"/>
      <c r="C8311" s="3"/>
      <c r="D8311" s="3"/>
      <c r="E8311" s="3">
        <v>8</v>
      </c>
      <c r="F8311" s="4" t="str">
        <f>HYPERLINK("http://141.218.60.56/~jnz1568/getInfo.php?workbook=12_05.xlsx&amp;sheet=U0&amp;row=8311&amp;col=6&amp;number=3.7&amp;sourceID=14","3.7")</f>
        <v>3.7</v>
      </c>
      <c r="G8311" s="4" t="str">
        <f>HYPERLINK("http://141.218.60.56/~jnz1568/getInfo.php?workbook=12_05.xlsx&amp;sheet=U0&amp;row=8311&amp;col=7&amp;number=0.000606&amp;sourceID=14","0.000606")</f>
        <v>0.000606</v>
      </c>
    </row>
    <row r="8312" spans="1:7">
      <c r="A8312" s="3"/>
      <c r="B8312" s="3"/>
      <c r="C8312" s="3"/>
      <c r="D8312" s="3"/>
      <c r="E8312" s="3">
        <v>9</v>
      </c>
      <c r="F8312" s="4" t="str">
        <f>HYPERLINK("http://141.218.60.56/~jnz1568/getInfo.php?workbook=12_05.xlsx&amp;sheet=U0&amp;row=8312&amp;col=6&amp;number=3.8&amp;sourceID=14","3.8")</f>
        <v>3.8</v>
      </c>
      <c r="G8312" s="4" t="str">
        <f>HYPERLINK("http://141.218.60.56/~jnz1568/getInfo.php?workbook=12_05.xlsx&amp;sheet=U0&amp;row=8312&amp;col=7&amp;number=0.000606&amp;sourceID=14","0.000606")</f>
        <v>0.000606</v>
      </c>
    </row>
    <row r="8313" spans="1:7">
      <c r="A8313" s="3"/>
      <c r="B8313" s="3"/>
      <c r="C8313" s="3"/>
      <c r="D8313" s="3"/>
      <c r="E8313" s="3">
        <v>10</v>
      </c>
      <c r="F8313" s="4" t="str">
        <f>HYPERLINK("http://141.218.60.56/~jnz1568/getInfo.php?workbook=12_05.xlsx&amp;sheet=U0&amp;row=8313&amp;col=6&amp;number=3.9&amp;sourceID=14","3.9")</f>
        <v>3.9</v>
      </c>
      <c r="G8313" s="4" t="str">
        <f>HYPERLINK("http://141.218.60.56/~jnz1568/getInfo.php?workbook=12_05.xlsx&amp;sheet=U0&amp;row=8313&amp;col=7&amp;number=0.000605&amp;sourceID=14","0.000605")</f>
        <v>0.000605</v>
      </c>
    </row>
    <row r="8314" spans="1:7">
      <c r="A8314" s="3"/>
      <c r="B8314" s="3"/>
      <c r="C8314" s="3"/>
      <c r="D8314" s="3"/>
      <c r="E8314" s="3">
        <v>11</v>
      </c>
      <c r="F8314" s="4" t="str">
        <f>HYPERLINK("http://141.218.60.56/~jnz1568/getInfo.php?workbook=12_05.xlsx&amp;sheet=U0&amp;row=8314&amp;col=6&amp;number=4&amp;sourceID=14","4")</f>
        <v>4</v>
      </c>
      <c r="G8314" s="4" t="str">
        <f>HYPERLINK("http://141.218.60.56/~jnz1568/getInfo.php?workbook=12_05.xlsx&amp;sheet=U0&amp;row=8314&amp;col=7&amp;number=0.000604&amp;sourceID=14","0.000604")</f>
        <v>0.000604</v>
      </c>
    </row>
    <row r="8315" spans="1:7">
      <c r="A8315" s="3"/>
      <c r="B8315" s="3"/>
      <c r="C8315" s="3"/>
      <c r="D8315" s="3"/>
      <c r="E8315" s="3">
        <v>12</v>
      </c>
      <c r="F8315" s="4" t="str">
        <f>HYPERLINK("http://141.218.60.56/~jnz1568/getInfo.php?workbook=12_05.xlsx&amp;sheet=U0&amp;row=8315&amp;col=6&amp;number=4.1&amp;sourceID=14","4.1")</f>
        <v>4.1</v>
      </c>
      <c r="G8315" s="4" t="str">
        <f>HYPERLINK("http://141.218.60.56/~jnz1568/getInfo.php?workbook=12_05.xlsx&amp;sheet=U0&amp;row=8315&amp;col=7&amp;number=0.000603&amp;sourceID=14","0.000603")</f>
        <v>0.000603</v>
      </c>
    </row>
    <row r="8316" spans="1:7">
      <c r="A8316" s="3"/>
      <c r="B8316" s="3"/>
      <c r="C8316" s="3"/>
      <c r="D8316" s="3"/>
      <c r="E8316" s="3">
        <v>13</v>
      </c>
      <c r="F8316" s="4" t="str">
        <f>HYPERLINK("http://141.218.60.56/~jnz1568/getInfo.php?workbook=12_05.xlsx&amp;sheet=U0&amp;row=8316&amp;col=6&amp;number=4.2&amp;sourceID=14","4.2")</f>
        <v>4.2</v>
      </c>
      <c r="G8316" s="4" t="str">
        <f>HYPERLINK("http://141.218.60.56/~jnz1568/getInfo.php?workbook=12_05.xlsx&amp;sheet=U0&amp;row=8316&amp;col=7&amp;number=0.000601&amp;sourceID=14","0.000601")</f>
        <v>0.000601</v>
      </c>
    </row>
    <row r="8317" spans="1:7">
      <c r="A8317" s="3"/>
      <c r="B8317" s="3"/>
      <c r="C8317" s="3"/>
      <c r="D8317" s="3"/>
      <c r="E8317" s="3">
        <v>14</v>
      </c>
      <c r="F8317" s="4" t="str">
        <f>HYPERLINK("http://141.218.60.56/~jnz1568/getInfo.php?workbook=12_05.xlsx&amp;sheet=U0&amp;row=8317&amp;col=6&amp;number=4.3&amp;sourceID=14","4.3")</f>
        <v>4.3</v>
      </c>
      <c r="G8317" s="4" t="str">
        <f>HYPERLINK("http://141.218.60.56/~jnz1568/getInfo.php?workbook=12_05.xlsx&amp;sheet=U0&amp;row=8317&amp;col=7&amp;number=0.000599&amp;sourceID=14","0.000599")</f>
        <v>0.000599</v>
      </c>
    </row>
    <row r="8318" spans="1:7">
      <c r="A8318" s="3"/>
      <c r="B8318" s="3"/>
      <c r="C8318" s="3"/>
      <c r="D8318" s="3"/>
      <c r="E8318" s="3">
        <v>15</v>
      </c>
      <c r="F8318" s="4" t="str">
        <f>HYPERLINK("http://141.218.60.56/~jnz1568/getInfo.php?workbook=12_05.xlsx&amp;sheet=U0&amp;row=8318&amp;col=6&amp;number=4.4&amp;sourceID=14","4.4")</f>
        <v>4.4</v>
      </c>
      <c r="G8318" s="4" t="str">
        <f>HYPERLINK("http://141.218.60.56/~jnz1568/getInfo.php?workbook=12_05.xlsx&amp;sheet=U0&amp;row=8318&amp;col=7&amp;number=0.000597&amp;sourceID=14","0.000597")</f>
        <v>0.000597</v>
      </c>
    </row>
    <row r="8319" spans="1:7">
      <c r="A8319" s="3"/>
      <c r="B8319" s="3"/>
      <c r="C8319" s="3"/>
      <c r="D8319" s="3"/>
      <c r="E8319" s="3">
        <v>16</v>
      </c>
      <c r="F8319" s="4" t="str">
        <f>HYPERLINK("http://141.218.60.56/~jnz1568/getInfo.php?workbook=12_05.xlsx&amp;sheet=U0&amp;row=8319&amp;col=6&amp;number=4.5&amp;sourceID=14","4.5")</f>
        <v>4.5</v>
      </c>
      <c r="G8319" s="4" t="str">
        <f>HYPERLINK("http://141.218.60.56/~jnz1568/getInfo.php?workbook=12_05.xlsx&amp;sheet=U0&amp;row=8319&amp;col=7&amp;number=0.000594&amp;sourceID=14","0.000594")</f>
        <v>0.000594</v>
      </c>
    </row>
    <row r="8320" spans="1:7">
      <c r="A8320" s="3"/>
      <c r="B8320" s="3"/>
      <c r="C8320" s="3"/>
      <c r="D8320" s="3"/>
      <c r="E8320" s="3">
        <v>17</v>
      </c>
      <c r="F8320" s="4" t="str">
        <f>HYPERLINK("http://141.218.60.56/~jnz1568/getInfo.php?workbook=12_05.xlsx&amp;sheet=U0&amp;row=8320&amp;col=6&amp;number=4.6&amp;sourceID=14","4.6")</f>
        <v>4.6</v>
      </c>
      <c r="G8320" s="4" t="str">
        <f>HYPERLINK("http://141.218.60.56/~jnz1568/getInfo.php?workbook=12_05.xlsx&amp;sheet=U0&amp;row=8320&amp;col=7&amp;number=0.00059&amp;sourceID=14","0.00059")</f>
        <v>0.00059</v>
      </c>
    </row>
    <row r="8321" spans="1:7">
      <c r="A8321" s="3"/>
      <c r="B8321" s="3"/>
      <c r="C8321" s="3"/>
      <c r="D8321" s="3"/>
      <c r="E8321" s="3">
        <v>18</v>
      </c>
      <c r="F8321" s="4" t="str">
        <f>HYPERLINK("http://141.218.60.56/~jnz1568/getInfo.php?workbook=12_05.xlsx&amp;sheet=U0&amp;row=8321&amp;col=6&amp;number=4.7&amp;sourceID=14","4.7")</f>
        <v>4.7</v>
      </c>
      <c r="G8321" s="4" t="str">
        <f>HYPERLINK("http://141.218.60.56/~jnz1568/getInfo.php?workbook=12_05.xlsx&amp;sheet=U0&amp;row=8321&amp;col=7&amp;number=0.000585&amp;sourceID=14","0.000585")</f>
        <v>0.000585</v>
      </c>
    </row>
    <row r="8322" spans="1:7">
      <c r="A8322" s="3"/>
      <c r="B8322" s="3"/>
      <c r="C8322" s="3"/>
      <c r="D8322" s="3"/>
      <c r="E8322" s="3">
        <v>19</v>
      </c>
      <c r="F8322" s="4" t="str">
        <f>HYPERLINK("http://141.218.60.56/~jnz1568/getInfo.php?workbook=12_05.xlsx&amp;sheet=U0&amp;row=8322&amp;col=6&amp;number=4.8&amp;sourceID=14","4.8")</f>
        <v>4.8</v>
      </c>
      <c r="G8322" s="4" t="str">
        <f>HYPERLINK("http://141.218.60.56/~jnz1568/getInfo.php?workbook=12_05.xlsx&amp;sheet=U0&amp;row=8322&amp;col=7&amp;number=0.000579&amp;sourceID=14","0.000579")</f>
        <v>0.000579</v>
      </c>
    </row>
    <row r="8323" spans="1:7">
      <c r="A8323" s="3"/>
      <c r="B8323" s="3"/>
      <c r="C8323" s="3"/>
      <c r="D8323" s="3"/>
      <c r="E8323" s="3">
        <v>20</v>
      </c>
      <c r="F8323" s="4" t="str">
        <f>HYPERLINK("http://141.218.60.56/~jnz1568/getInfo.php?workbook=12_05.xlsx&amp;sheet=U0&amp;row=8323&amp;col=6&amp;number=4.9&amp;sourceID=14","4.9")</f>
        <v>4.9</v>
      </c>
      <c r="G8323" s="4" t="str">
        <f>HYPERLINK("http://141.218.60.56/~jnz1568/getInfo.php?workbook=12_05.xlsx&amp;sheet=U0&amp;row=8323&amp;col=7&amp;number=0.000572&amp;sourceID=14","0.000572")</f>
        <v>0.000572</v>
      </c>
    </row>
    <row r="8324" spans="1:7">
      <c r="A8324" s="3">
        <v>12</v>
      </c>
      <c r="B8324" s="3">
        <v>5</v>
      </c>
      <c r="C8324" s="3">
        <v>3</v>
      </c>
      <c r="D8324" s="3">
        <v>85</v>
      </c>
      <c r="E8324" s="3">
        <v>1</v>
      </c>
      <c r="F8324" s="4" t="str">
        <f>HYPERLINK("http://141.218.60.56/~jnz1568/getInfo.php?workbook=12_05.xlsx&amp;sheet=U0&amp;row=8324&amp;col=6&amp;number=3&amp;sourceID=14","3")</f>
        <v>3</v>
      </c>
      <c r="G8324" s="4" t="str">
        <f>HYPERLINK("http://141.218.60.56/~jnz1568/getInfo.php?workbook=12_05.xlsx&amp;sheet=U0&amp;row=8324&amp;col=7&amp;number=0.000192&amp;sourceID=14","0.000192")</f>
        <v>0.000192</v>
      </c>
    </row>
    <row r="8325" spans="1:7">
      <c r="A8325" s="3"/>
      <c r="B8325" s="3"/>
      <c r="C8325" s="3"/>
      <c r="D8325" s="3"/>
      <c r="E8325" s="3">
        <v>2</v>
      </c>
      <c r="F8325" s="4" t="str">
        <f>HYPERLINK("http://141.218.60.56/~jnz1568/getInfo.php?workbook=12_05.xlsx&amp;sheet=U0&amp;row=8325&amp;col=6&amp;number=3.1&amp;sourceID=14","3.1")</f>
        <v>3.1</v>
      </c>
      <c r="G8325" s="4" t="str">
        <f>HYPERLINK("http://141.218.60.56/~jnz1568/getInfo.php?workbook=12_05.xlsx&amp;sheet=U0&amp;row=8325&amp;col=7&amp;number=0.000192&amp;sourceID=14","0.000192")</f>
        <v>0.000192</v>
      </c>
    </row>
    <row r="8326" spans="1:7">
      <c r="A8326" s="3"/>
      <c r="B8326" s="3"/>
      <c r="C8326" s="3"/>
      <c r="D8326" s="3"/>
      <c r="E8326" s="3">
        <v>3</v>
      </c>
      <c r="F8326" s="4" t="str">
        <f>HYPERLINK("http://141.218.60.56/~jnz1568/getInfo.php?workbook=12_05.xlsx&amp;sheet=U0&amp;row=8326&amp;col=6&amp;number=3.2&amp;sourceID=14","3.2")</f>
        <v>3.2</v>
      </c>
      <c r="G8326" s="4" t="str">
        <f>HYPERLINK("http://141.218.60.56/~jnz1568/getInfo.php?workbook=12_05.xlsx&amp;sheet=U0&amp;row=8326&amp;col=7&amp;number=0.000192&amp;sourceID=14","0.000192")</f>
        <v>0.000192</v>
      </c>
    </row>
    <row r="8327" spans="1:7">
      <c r="A8327" s="3"/>
      <c r="B8327" s="3"/>
      <c r="C8327" s="3"/>
      <c r="D8327" s="3"/>
      <c r="E8327" s="3">
        <v>4</v>
      </c>
      <c r="F8327" s="4" t="str">
        <f>HYPERLINK("http://141.218.60.56/~jnz1568/getInfo.php?workbook=12_05.xlsx&amp;sheet=U0&amp;row=8327&amp;col=6&amp;number=3.3&amp;sourceID=14","3.3")</f>
        <v>3.3</v>
      </c>
      <c r="G8327" s="4" t="str">
        <f>HYPERLINK("http://141.218.60.56/~jnz1568/getInfo.php?workbook=12_05.xlsx&amp;sheet=U0&amp;row=8327&amp;col=7&amp;number=0.000191&amp;sourceID=14","0.000191")</f>
        <v>0.000191</v>
      </c>
    </row>
    <row r="8328" spans="1:7">
      <c r="A8328" s="3"/>
      <c r="B8328" s="3"/>
      <c r="C8328" s="3"/>
      <c r="D8328" s="3"/>
      <c r="E8328" s="3">
        <v>5</v>
      </c>
      <c r="F8328" s="4" t="str">
        <f>HYPERLINK("http://141.218.60.56/~jnz1568/getInfo.php?workbook=12_05.xlsx&amp;sheet=U0&amp;row=8328&amp;col=6&amp;number=3.4&amp;sourceID=14","3.4")</f>
        <v>3.4</v>
      </c>
      <c r="G8328" s="4" t="str">
        <f>HYPERLINK("http://141.218.60.56/~jnz1568/getInfo.php?workbook=12_05.xlsx&amp;sheet=U0&amp;row=8328&amp;col=7&amp;number=0.000191&amp;sourceID=14","0.000191")</f>
        <v>0.000191</v>
      </c>
    </row>
    <row r="8329" spans="1:7">
      <c r="A8329" s="3"/>
      <c r="B8329" s="3"/>
      <c r="C8329" s="3"/>
      <c r="D8329" s="3"/>
      <c r="E8329" s="3">
        <v>6</v>
      </c>
      <c r="F8329" s="4" t="str">
        <f>HYPERLINK("http://141.218.60.56/~jnz1568/getInfo.php?workbook=12_05.xlsx&amp;sheet=U0&amp;row=8329&amp;col=6&amp;number=3.5&amp;sourceID=14","3.5")</f>
        <v>3.5</v>
      </c>
      <c r="G8329" s="4" t="str">
        <f>HYPERLINK("http://141.218.60.56/~jnz1568/getInfo.php?workbook=12_05.xlsx&amp;sheet=U0&amp;row=8329&amp;col=7&amp;number=0.000191&amp;sourceID=14","0.000191")</f>
        <v>0.000191</v>
      </c>
    </row>
    <row r="8330" spans="1:7">
      <c r="A8330" s="3"/>
      <c r="B8330" s="3"/>
      <c r="C8330" s="3"/>
      <c r="D8330" s="3"/>
      <c r="E8330" s="3">
        <v>7</v>
      </c>
      <c r="F8330" s="4" t="str">
        <f>HYPERLINK("http://141.218.60.56/~jnz1568/getInfo.php?workbook=12_05.xlsx&amp;sheet=U0&amp;row=8330&amp;col=6&amp;number=3.6&amp;sourceID=14","3.6")</f>
        <v>3.6</v>
      </c>
      <c r="G8330" s="4" t="str">
        <f>HYPERLINK("http://141.218.60.56/~jnz1568/getInfo.php?workbook=12_05.xlsx&amp;sheet=U0&amp;row=8330&amp;col=7&amp;number=0.000191&amp;sourceID=14","0.000191")</f>
        <v>0.000191</v>
      </c>
    </row>
    <row r="8331" spans="1:7">
      <c r="A8331" s="3"/>
      <c r="B8331" s="3"/>
      <c r="C8331" s="3"/>
      <c r="D8331" s="3"/>
      <c r="E8331" s="3">
        <v>8</v>
      </c>
      <c r="F8331" s="4" t="str">
        <f>HYPERLINK("http://141.218.60.56/~jnz1568/getInfo.php?workbook=12_05.xlsx&amp;sheet=U0&amp;row=8331&amp;col=6&amp;number=3.7&amp;sourceID=14","3.7")</f>
        <v>3.7</v>
      </c>
      <c r="G8331" s="4" t="str">
        <f>HYPERLINK("http://141.218.60.56/~jnz1568/getInfo.php?workbook=12_05.xlsx&amp;sheet=U0&amp;row=8331&amp;col=7&amp;number=0.000191&amp;sourceID=14","0.000191")</f>
        <v>0.000191</v>
      </c>
    </row>
    <row r="8332" spans="1:7">
      <c r="A8332" s="3"/>
      <c r="B8332" s="3"/>
      <c r="C8332" s="3"/>
      <c r="D8332" s="3"/>
      <c r="E8332" s="3">
        <v>9</v>
      </c>
      <c r="F8332" s="4" t="str">
        <f>HYPERLINK("http://141.218.60.56/~jnz1568/getInfo.php?workbook=12_05.xlsx&amp;sheet=U0&amp;row=8332&amp;col=6&amp;number=3.8&amp;sourceID=14","3.8")</f>
        <v>3.8</v>
      </c>
      <c r="G8332" s="4" t="str">
        <f>HYPERLINK("http://141.218.60.56/~jnz1568/getInfo.php?workbook=12_05.xlsx&amp;sheet=U0&amp;row=8332&amp;col=7&amp;number=0.000191&amp;sourceID=14","0.000191")</f>
        <v>0.000191</v>
      </c>
    </row>
    <row r="8333" spans="1:7">
      <c r="A8333" s="3"/>
      <c r="B8333" s="3"/>
      <c r="C8333" s="3"/>
      <c r="D8333" s="3"/>
      <c r="E8333" s="3">
        <v>10</v>
      </c>
      <c r="F8333" s="4" t="str">
        <f>HYPERLINK("http://141.218.60.56/~jnz1568/getInfo.php?workbook=12_05.xlsx&amp;sheet=U0&amp;row=8333&amp;col=6&amp;number=3.9&amp;sourceID=14","3.9")</f>
        <v>3.9</v>
      </c>
      <c r="G8333" s="4" t="str">
        <f>HYPERLINK("http://141.218.60.56/~jnz1568/getInfo.php?workbook=12_05.xlsx&amp;sheet=U0&amp;row=8333&amp;col=7&amp;number=0.000191&amp;sourceID=14","0.000191")</f>
        <v>0.000191</v>
      </c>
    </row>
    <row r="8334" spans="1:7">
      <c r="A8334" s="3"/>
      <c r="B8334" s="3"/>
      <c r="C8334" s="3"/>
      <c r="D8334" s="3"/>
      <c r="E8334" s="3">
        <v>11</v>
      </c>
      <c r="F8334" s="4" t="str">
        <f>HYPERLINK("http://141.218.60.56/~jnz1568/getInfo.php?workbook=12_05.xlsx&amp;sheet=U0&amp;row=8334&amp;col=6&amp;number=4&amp;sourceID=14","4")</f>
        <v>4</v>
      </c>
      <c r="G8334" s="4" t="str">
        <f>HYPERLINK("http://141.218.60.56/~jnz1568/getInfo.php?workbook=12_05.xlsx&amp;sheet=U0&amp;row=8334&amp;col=7&amp;number=0.00019&amp;sourceID=14","0.00019")</f>
        <v>0.00019</v>
      </c>
    </row>
    <row r="8335" spans="1:7">
      <c r="A8335" s="3"/>
      <c r="B8335" s="3"/>
      <c r="C8335" s="3"/>
      <c r="D8335" s="3"/>
      <c r="E8335" s="3">
        <v>12</v>
      </c>
      <c r="F8335" s="4" t="str">
        <f>HYPERLINK("http://141.218.60.56/~jnz1568/getInfo.php?workbook=12_05.xlsx&amp;sheet=U0&amp;row=8335&amp;col=6&amp;number=4.1&amp;sourceID=14","4.1")</f>
        <v>4.1</v>
      </c>
      <c r="G8335" s="4" t="str">
        <f>HYPERLINK("http://141.218.60.56/~jnz1568/getInfo.php?workbook=12_05.xlsx&amp;sheet=U0&amp;row=8335&amp;col=7&amp;number=0.00019&amp;sourceID=14","0.00019")</f>
        <v>0.00019</v>
      </c>
    </row>
    <row r="8336" spans="1:7">
      <c r="A8336" s="3"/>
      <c r="B8336" s="3"/>
      <c r="C8336" s="3"/>
      <c r="D8336" s="3"/>
      <c r="E8336" s="3">
        <v>13</v>
      </c>
      <c r="F8336" s="4" t="str">
        <f>HYPERLINK("http://141.218.60.56/~jnz1568/getInfo.php?workbook=12_05.xlsx&amp;sheet=U0&amp;row=8336&amp;col=6&amp;number=4.2&amp;sourceID=14","4.2")</f>
        <v>4.2</v>
      </c>
      <c r="G8336" s="4" t="str">
        <f>HYPERLINK("http://141.218.60.56/~jnz1568/getInfo.php?workbook=12_05.xlsx&amp;sheet=U0&amp;row=8336&amp;col=7&amp;number=0.000189&amp;sourceID=14","0.000189")</f>
        <v>0.000189</v>
      </c>
    </row>
    <row r="8337" spans="1:7">
      <c r="A8337" s="3"/>
      <c r="B8337" s="3"/>
      <c r="C8337" s="3"/>
      <c r="D8337" s="3"/>
      <c r="E8337" s="3">
        <v>14</v>
      </c>
      <c r="F8337" s="4" t="str">
        <f>HYPERLINK("http://141.218.60.56/~jnz1568/getInfo.php?workbook=12_05.xlsx&amp;sheet=U0&amp;row=8337&amp;col=6&amp;number=4.3&amp;sourceID=14","4.3")</f>
        <v>4.3</v>
      </c>
      <c r="G8337" s="4" t="str">
        <f>HYPERLINK("http://141.218.60.56/~jnz1568/getInfo.php?workbook=12_05.xlsx&amp;sheet=U0&amp;row=8337&amp;col=7&amp;number=0.000189&amp;sourceID=14","0.000189")</f>
        <v>0.000189</v>
      </c>
    </row>
    <row r="8338" spans="1:7">
      <c r="A8338" s="3"/>
      <c r="B8338" s="3"/>
      <c r="C8338" s="3"/>
      <c r="D8338" s="3"/>
      <c r="E8338" s="3">
        <v>15</v>
      </c>
      <c r="F8338" s="4" t="str">
        <f>HYPERLINK("http://141.218.60.56/~jnz1568/getInfo.php?workbook=12_05.xlsx&amp;sheet=U0&amp;row=8338&amp;col=6&amp;number=4.4&amp;sourceID=14","4.4")</f>
        <v>4.4</v>
      </c>
      <c r="G8338" s="4" t="str">
        <f>HYPERLINK("http://141.218.60.56/~jnz1568/getInfo.php?workbook=12_05.xlsx&amp;sheet=U0&amp;row=8338&amp;col=7&amp;number=0.000188&amp;sourceID=14","0.000188")</f>
        <v>0.000188</v>
      </c>
    </row>
    <row r="8339" spans="1:7">
      <c r="A8339" s="3"/>
      <c r="B8339" s="3"/>
      <c r="C8339" s="3"/>
      <c r="D8339" s="3"/>
      <c r="E8339" s="3">
        <v>16</v>
      </c>
      <c r="F8339" s="4" t="str">
        <f>HYPERLINK("http://141.218.60.56/~jnz1568/getInfo.php?workbook=12_05.xlsx&amp;sheet=U0&amp;row=8339&amp;col=6&amp;number=4.5&amp;sourceID=14","4.5")</f>
        <v>4.5</v>
      </c>
      <c r="G8339" s="4" t="str">
        <f>HYPERLINK("http://141.218.60.56/~jnz1568/getInfo.php?workbook=12_05.xlsx&amp;sheet=U0&amp;row=8339&amp;col=7&amp;number=0.000187&amp;sourceID=14","0.000187")</f>
        <v>0.000187</v>
      </c>
    </row>
    <row r="8340" spans="1:7">
      <c r="A8340" s="3"/>
      <c r="B8340" s="3"/>
      <c r="C8340" s="3"/>
      <c r="D8340" s="3"/>
      <c r="E8340" s="3">
        <v>17</v>
      </c>
      <c r="F8340" s="4" t="str">
        <f>HYPERLINK("http://141.218.60.56/~jnz1568/getInfo.php?workbook=12_05.xlsx&amp;sheet=U0&amp;row=8340&amp;col=6&amp;number=4.6&amp;sourceID=14","4.6")</f>
        <v>4.6</v>
      </c>
      <c r="G8340" s="4" t="str">
        <f>HYPERLINK("http://141.218.60.56/~jnz1568/getInfo.php?workbook=12_05.xlsx&amp;sheet=U0&amp;row=8340&amp;col=7&amp;number=0.000186&amp;sourceID=14","0.000186")</f>
        <v>0.000186</v>
      </c>
    </row>
    <row r="8341" spans="1:7">
      <c r="A8341" s="3"/>
      <c r="B8341" s="3"/>
      <c r="C8341" s="3"/>
      <c r="D8341" s="3"/>
      <c r="E8341" s="3">
        <v>18</v>
      </c>
      <c r="F8341" s="4" t="str">
        <f>HYPERLINK("http://141.218.60.56/~jnz1568/getInfo.php?workbook=12_05.xlsx&amp;sheet=U0&amp;row=8341&amp;col=6&amp;number=4.7&amp;sourceID=14","4.7")</f>
        <v>4.7</v>
      </c>
      <c r="G8341" s="4" t="str">
        <f>HYPERLINK("http://141.218.60.56/~jnz1568/getInfo.php?workbook=12_05.xlsx&amp;sheet=U0&amp;row=8341&amp;col=7&amp;number=0.000184&amp;sourceID=14","0.000184")</f>
        <v>0.000184</v>
      </c>
    </row>
    <row r="8342" spans="1:7">
      <c r="A8342" s="3"/>
      <c r="B8342" s="3"/>
      <c r="C8342" s="3"/>
      <c r="D8342" s="3"/>
      <c r="E8342" s="3">
        <v>19</v>
      </c>
      <c r="F8342" s="4" t="str">
        <f>HYPERLINK("http://141.218.60.56/~jnz1568/getInfo.php?workbook=12_05.xlsx&amp;sheet=U0&amp;row=8342&amp;col=6&amp;number=4.8&amp;sourceID=14","4.8")</f>
        <v>4.8</v>
      </c>
      <c r="G8342" s="4" t="str">
        <f>HYPERLINK("http://141.218.60.56/~jnz1568/getInfo.php?workbook=12_05.xlsx&amp;sheet=U0&amp;row=8342&amp;col=7&amp;number=0.000182&amp;sourceID=14","0.000182")</f>
        <v>0.000182</v>
      </c>
    </row>
    <row r="8343" spans="1:7">
      <c r="A8343" s="3"/>
      <c r="B8343" s="3"/>
      <c r="C8343" s="3"/>
      <c r="D8343" s="3"/>
      <c r="E8343" s="3">
        <v>20</v>
      </c>
      <c r="F8343" s="4" t="str">
        <f>HYPERLINK("http://141.218.60.56/~jnz1568/getInfo.php?workbook=12_05.xlsx&amp;sheet=U0&amp;row=8343&amp;col=6&amp;number=4.9&amp;sourceID=14","4.9")</f>
        <v>4.9</v>
      </c>
      <c r="G8343" s="4" t="str">
        <f>HYPERLINK("http://141.218.60.56/~jnz1568/getInfo.php?workbook=12_05.xlsx&amp;sheet=U0&amp;row=8343&amp;col=7&amp;number=0.00018&amp;sourceID=14","0.00018")</f>
        <v>0.00018</v>
      </c>
    </row>
    <row r="8344" spans="1:7">
      <c r="A8344" s="3">
        <v>12</v>
      </c>
      <c r="B8344" s="3">
        <v>5</v>
      </c>
      <c r="C8344" s="3">
        <v>3</v>
      </c>
      <c r="D8344" s="3">
        <v>88</v>
      </c>
      <c r="E8344" s="3">
        <v>1</v>
      </c>
      <c r="F8344" s="4" t="str">
        <f>HYPERLINK("http://141.218.60.56/~jnz1568/getInfo.php?workbook=12_05.xlsx&amp;sheet=U0&amp;row=8344&amp;col=6&amp;number=3&amp;sourceID=14","3")</f>
        <v>3</v>
      </c>
      <c r="G8344" s="4" t="str">
        <f>HYPERLINK("http://141.218.60.56/~jnz1568/getInfo.php?workbook=12_05.xlsx&amp;sheet=U0&amp;row=8344&amp;col=7&amp;number=0.00909&amp;sourceID=14","0.00909")</f>
        <v>0.00909</v>
      </c>
    </row>
    <row r="8345" spans="1:7">
      <c r="A8345" s="3"/>
      <c r="B8345" s="3"/>
      <c r="C8345" s="3"/>
      <c r="D8345" s="3"/>
      <c r="E8345" s="3">
        <v>2</v>
      </c>
      <c r="F8345" s="4" t="str">
        <f>HYPERLINK("http://141.218.60.56/~jnz1568/getInfo.php?workbook=12_05.xlsx&amp;sheet=U0&amp;row=8345&amp;col=6&amp;number=3.1&amp;sourceID=14","3.1")</f>
        <v>3.1</v>
      </c>
      <c r="G8345" s="4" t="str">
        <f>HYPERLINK("http://141.218.60.56/~jnz1568/getInfo.php?workbook=12_05.xlsx&amp;sheet=U0&amp;row=8345&amp;col=7&amp;number=0.0091&amp;sourceID=14","0.0091")</f>
        <v>0.0091</v>
      </c>
    </row>
    <row r="8346" spans="1:7">
      <c r="A8346" s="3"/>
      <c r="B8346" s="3"/>
      <c r="C8346" s="3"/>
      <c r="D8346" s="3"/>
      <c r="E8346" s="3">
        <v>3</v>
      </c>
      <c r="F8346" s="4" t="str">
        <f>HYPERLINK("http://141.218.60.56/~jnz1568/getInfo.php?workbook=12_05.xlsx&amp;sheet=U0&amp;row=8346&amp;col=6&amp;number=3.2&amp;sourceID=14","3.2")</f>
        <v>3.2</v>
      </c>
      <c r="G8346" s="4" t="str">
        <f>HYPERLINK("http://141.218.60.56/~jnz1568/getInfo.php?workbook=12_05.xlsx&amp;sheet=U0&amp;row=8346&amp;col=7&amp;number=0.0091&amp;sourceID=14","0.0091")</f>
        <v>0.0091</v>
      </c>
    </row>
    <row r="8347" spans="1:7">
      <c r="A8347" s="3"/>
      <c r="B8347" s="3"/>
      <c r="C8347" s="3"/>
      <c r="D8347" s="3"/>
      <c r="E8347" s="3">
        <v>4</v>
      </c>
      <c r="F8347" s="4" t="str">
        <f>HYPERLINK("http://141.218.60.56/~jnz1568/getInfo.php?workbook=12_05.xlsx&amp;sheet=U0&amp;row=8347&amp;col=6&amp;number=3.3&amp;sourceID=14","3.3")</f>
        <v>3.3</v>
      </c>
      <c r="G8347" s="4" t="str">
        <f>HYPERLINK("http://141.218.60.56/~jnz1568/getInfo.php?workbook=12_05.xlsx&amp;sheet=U0&amp;row=8347&amp;col=7&amp;number=0.00911&amp;sourceID=14","0.00911")</f>
        <v>0.00911</v>
      </c>
    </row>
    <row r="8348" spans="1:7">
      <c r="A8348" s="3"/>
      <c r="B8348" s="3"/>
      <c r="C8348" s="3"/>
      <c r="D8348" s="3"/>
      <c r="E8348" s="3">
        <v>5</v>
      </c>
      <c r="F8348" s="4" t="str">
        <f>HYPERLINK("http://141.218.60.56/~jnz1568/getInfo.php?workbook=12_05.xlsx&amp;sheet=U0&amp;row=8348&amp;col=6&amp;number=3.4&amp;sourceID=14","3.4")</f>
        <v>3.4</v>
      </c>
      <c r="G8348" s="4" t="str">
        <f>HYPERLINK("http://141.218.60.56/~jnz1568/getInfo.php?workbook=12_05.xlsx&amp;sheet=U0&amp;row=8348&amp;col=7&amp;number=0.00911&amp;sourceID=14","0.00911")</f>
        <v>0.00911</v>
      </c>
    </row>
    <row r="8349" spans="1:7">
      <c r="A8349" s="3"/>
      <c r="B8349" s="3"/>
      <c r="C8349" s="3"/>
      <c r="D8349" s="3"/>
      <c r="E8349" s="3">
        <v>6</v>
      </c>
      <c r="F8349" s="4" t="str">
        <f>HYPERLINK("http://141.218.60.56/~jnz1568/getInfo.php?workbook=12_05.xlsx&amp;sheet=U0&amp;row=8349&amp;col=6&amp;number=3.5&amp;sourceID=14","3.5")</f>
        <v>3.5</v>
      </c>
      <c r="G8349" s="4" t="str">
        <f>HYPERLINK("http://141.218.60.56/~jnz1568/getInfo.php?workbook=12_05.xlsx&amp;sheet=U0&amp;row=8349&amp;col=7&amp;number=0.00912&amp;sourceID=14","0.00912")</f>
        <v>0.00912</v>
      </c>
    </row>
    <row r="8350" spans="1:7">
      <c r="A8350" s="3"/>
      <c r="B8350" s="3"/>
      <c r="C8350" s="3"/>
      <c r="D8350" s="3"/>
      <c r="E8350" s="3">
        <v>7</v>
      </c>
      <c r="F8350" s="4" t="str">
        <f>HYPERLINK("http://141.218.60.56/~jnz1568/getInfo.php?workbook=12_05.xlsx&amp;sheet=U0&amp;row=8350&amp;col=6&amp;number=3.6&amp;sourceID=14","3.6")</f>
        <v>3.6</v>
      </c>
      <c r="G8350" s="4" t="str">
        <f>HYPERLINK("http://141.218.60.56/~jnz1568/getInfo.php?workbook=12_05.xlsx&amp;sheet=U0&amp;row=8350&amp;col=7&amp;number=0.00913&amp;sourceID=14","0.00913")</f>
        <v>0.00913</v>
      </c>
    </row>
    <row r="8351" spans="1:7">
      <c r="A8351" s="3"/>
      <c r="B8351" s="3"/>
      <c r="C8351" s="3"/>
      <c r="D8351" s="3"/>
      <c r="E8351" s="3">
        <v>8</v>
      </c>
      <c r="F8351" s="4" t="str">
        <f>HYPERLINK("http://141.218.60.56/~jnz1568/getInfo.php?workbook=12_05.xlsx&amp;sheet=U0&amp;row=8351&amp;col=6&amp;number=3.7&amp;sourceID=14","3.7")</f>
        <v>3.7</v>
      </c>
      <c r="G8351" s="4" t="str">
        <f>HYPERLINK("http://141.218.60.56/~jnz1568/getInfo.php?workbook=12_05.xlsx&amp;sheet=U0&amp;row=8351&amp;col=7&amp;number=0.00915&amp;sourceID=14","0.00915")</f>
        <v>0.00915</v>
      </c>
    </row>
    <row r="8352" spans="1:7">
      <c r="A8352" s="3"/>
      <c r="B8352" s="3"/>
      <c r="C8352" s="3"/>
      <c r="D8352" s="3"/>
      <c r="E8352" s="3">
        <v>9</v>
      </c>
      <c r="F8352" s="4" t="str">
        <f>HYPERLINK("http://141.218.60.56/~jnz1568/getInfo.php?workbook=12_05.xlsx&amp;sheet=U0&amp;row=8352&amp;col=6&amp;number=3.8&amp;sourceID=14","3.8")</f>
        <v>3.8</v>
      </c>
      <c r="G8352" s="4" t="str">
        <f>HYPERLINK("http://141.218.60.56/~jnz1568/getInfo.php?workbook=12_05.xlsx&amp;sheet=U0&amp;row=8352&amp;col=7&amp;number=0.00916&amp;sourceID=14","0.00916")</f>
        <v>0.00916</v>
      </c>
    </row>
    <row r="8353" spans="1:7">
      <c r="A8353" s="3"/>
      <c r="B8353" s="3"/>
      <c r="C8353" s="3"/>
      <c r="D8353" s="3"/>
      <c r="E8353" s="3">
        <v>10</v>
      </c>
      <c r="F8353" s="4" t="str">
        <f>HYPERLINK("http://141.218.60.56/~jnz1568/getInfo.php?workbook=12_05.xlsx&amp;sheet=U0&amp;row=8353&amp;col=6&amp;number=3.9&amp;sourceID=14","3.9")</f>
        <v>3.9</v>
      </c>
      <c r="G8353" s="4" t="str">
        <f>HYPERLINK("http://141.218.60.56/~jnz1568/getInfo.php?workbook=12_05.xlsx&amp;sheet=U0&amp;row=8353&amp;col=7&amp;number=0.00918&amp;sourceID=14","0.00918")</f>
        <v>0.00918</v>
      </c>
    </row>
    <row r="8354" spans="1:7">
      <c r="A8354" s="3"/>
      <c r="B8354" s="3"/>
      <c r="C8354" s="3"/>
      <c r="D8354" s="3"/>
      <c r="E8354" s="3">
        <v>11</v>
      </c>
      <c r="F8354" s="4" t="str">
        <f>HYPERLINK("http://141.218.60.56/~jnz1568/getInfo.php?workbook=12_05.xlsx&amp;sheet=U0&amp;row=8354&amp;col=6&amp;number=4&amp;sourceID=14","4")</f>
        <v>4</v>
      </c>
      <c r="G8354" s="4" t="str">
        <f>HYPERLINK("http://141.218.60.56/~jnz1568/getInfo.php?workbook=12_05.xlsx&amp;sheet=U0&amp;row=8354&amp;col=7&amp;number=0.00921&amp;sourceID=14","0.00921")</f>
        <v>0.00921</v>
      </c>
    </row>
    <row r="8355" spans="1:7">
      <c r="A8355" s="3"/>
      <c r="B8355" s="3"/>
      <c r="C8355" s="3"/>
      <c r="D8355" s="3"/>
      <c r="E8355" s="3">
        <v>12</v>
      </c>
      <c r="F8355" s="4" t="str">
        <f>HYPERLINK("http://141.218.60.56/~jnz1568/getInfo.php?workbook=12_05.xlsx&amp;sheet=U0&amp;row=8355&amp;col=6&amp;number=4.1&amp;sourceID=14","4.1")</f>
        <v>4.1</v>
      </c>
      <c r="G8355" s="4" t="str">
        <f>HYPERLINK("http://141.218.60.56/~jnz1568/getInfo.php?workbook=12_05.xlsx&amp;sheet=U0&amp;row=8355&amp;col=7&amp;number=0.00924&amp;sourceID=14","0.00924")</f>
        <v>0.00924</v>
      </c>
    </row>
    <row r="8356" spans="1:7">
      <c r="A8356" s="3"/>
      <c r="B8356" s="3"/>
      <c r="C8356" s="3"/>
      <c r="D8356" s="3"/>
      <c r="E8356" s="3">
        <v>13</v>
      </c>
      <c r="F8356" s="4" t="str">
        <f>HYPERLINK("http://141.218.60.56/~jnz1568/getInfo.php?workbook=12_05.xlsx&amp;sheet=U0&amp;row=8356&amp;col=6&amp;number=4.2&amp;sourceID=14","4.2")</f>
        <v>4.2</v>
      </c>
      <c r="G8356" s="4" t="str">
        <f>HYPERLINK("http://141.218.60.56/~jnz1568/getInfo.php?workbook=12_05.xlsx&amp;sheet=U0&amp;row=8356&amp;col=7&amp;number=0.00929&amp;sourceID=14","0.00929")</f>
        <v>0.00929</v>
      </c>
    </row>
    <row r="8357" spans="1:7">
      <c r="A8357" s="3"/>
      <c r="B8357" s="3"/>
      <c r="C8357" s="3"/>
      <c r="D8357" s="3"/>
      <c r="E8357" s="3">
        <v>14</v>
      </c>
      <c r="F8357" s="4" t="str">
        <f>HYPERLINK("http://141.218.60.56/~jnz1568/getInfo.php?workbook=12_05.xlsx&amp;sheet=U0&amp;row=8357&amp;col=6&amp;number=4.3&amp;sourceID=14","4.3")</f>
        <v>4.3</v>
      </c>
      <c r="G8357" s="4" t="str">
        <f>HYPERLINK("http://141.218.60.56/~jnz1568/getInfo.php?workbook=12_05.xlsx&amp;sheet=U0&amp;row=8357&amp;col=7&amp;number=0.00934&amp;sourceID=14","0.00934")</f>
        <v>0.00934</v>
      </c>
    </row>
    <row r="8358" spans="1:7">
      <c r="A8358" s="3"/>
      <c r="B8358" s="3"/>
      <c r="C8358" s="3"/>
      <c r="D8358" s="3"/>
      <c r="E8358" s="3">
        <v>15</v>
      </c>
      <c r="F8358" s="4" t="str">
        <f>HYPERLINK("http://141.218.60.56/~jnz1568/getInfo.php?workbook=12_05.xlsx&amp;sheet=U0&amp;row=8358&amp;col=6&amp;number=4.4&amp;sourceID=14","4.4")</f>
        <v>4.4</v>
      </c>
      <c r="G8358" s="4" t="str">
        <f>HYPERLINK("http://141.218.60.56/~jnz1568/getInfo.php?workbook=12_05.xlsx&amp;sheet=U0&amp;row=8358&amp;col=7&amp;number=0.0094&amp;sourceID=14","0.0094")</f>
        <v>0.0094</v>
      </c>
    </row>
    <row r="8359" spans="1:7">
      <c r="A8359" s="3"/>
      <c r="B8359" s="3"/>
      <c r="C8359" s="3"/>
      <c r="D8359" s="3"/>
      <c r="E8359" s="3">
        <v>16</v>
      </c>
      <c r="F8359" s="4" t="str">
        <f>HYPERLINK("http://141.218.60.56/~jnz1568/getInfo.php?workbook=12_05.xlsx&amp;sheet=U0&amp;row=8359&amp;col=6&amp;number=4.5&amp;sourceID=14","4.5")</f>
        <v>4.5</v>
      </c>
      <c r="G8359" s="4" t="str">
        <f>HYPERLINK("http://141.218.60.56/~jnz1568/getInfo.php?workbook=12_05.xlsx&amp;sheet=U0&amp;row=8359&amp;col=7&amp;number=0.00949&amp;sourceID=14","0.00949")</f>
        <v>0.00949</v>
      </c>
    </row>
    <row r="8360" spans="1:7">
      <c r="A8360" s="3"/>
      <c r="B8360" s="3"/>
      <c r="C8360" s="3"/>
      <c r="D8360" s="3"/>
      <c r="E8360" s="3">
        <v>17</v>
      </c>
      <c r="F8360" s="4" t="str">
        <f>HYPERLINK("http://141.218.60.56/~jnz1568/getInfo.php?workbook=12_05.xlsx&amp;sheet=U0&amp;row=8360&amp;col=6&amp;number=4.6&amp;sourceID=14","4.6")</f>
        <v>4.6</v>
      </c>
      <c r="G8360" s="4" t="str">
        <f>HYPERLINK("http://141.218.60.56/~jnz1568/getInfo.php?workbook=12_05.xlsx&amp;sheet=U0&amp;row=8360&amp;col=7&amp;number=0.00959&amp;sourceID=14","0.00959")</f>
        <v>0.00959</v>
      </c>
    </row>
    <row r="8361" spans="1:7">
      <c r="A8361" s="3"/>
      <c r="B8361" s="3"/>
      <c r="C8361" s="3"/>
      <c r="D8361" s="3"/>
      <c r="E8361" s="3">
        <v>18</v>
      </c>
      <c r="F8361" s="4" t="str">
        <f>HYPERLINK("http://141.218.60.56/~jnz1568/getInfo.php?workbook=12_05.xlsx&amp;sheet=U0&amp;row=8361&amp;col=6&amp;number=4.7&amp;sourceID=14","4.7")</f>
        <v>4.7</v>
      </c>
      <c r="G8361" s="4" t="str">
        <f>HYPERLINK("http://141.218.60.56/~jnz1568/getInfo.php?workbook=12_05.xlsx&amp;sheet=U0&amp;row=8361&amp;col=7&amp;number=0.00972&amp;sourceID=14","0.00972")</f>
        <v>0.00972</v>
      </c>
    </row>
    <row r="8362" spans="1:7">
      <c r="A8362" s="3"/>
      <c r="B8362" s="3"/>
      <c r="C8362" s="3"/>
      <c r="D8362" s="3"/>
      <c r="E8362" s="3">
        <v>19</v>
      </c>
      <c r="F8362" s="4" t="str">
        <f>HYPERLINK("http://141.218.60.56/~jnz1568/getInfo.php?workbook=12_05.xlsx&amp;sheet=U0&amp;row=8362&amp;col=6&amp;number=4.8&amp;sourceID=14","4.8")</f>
        <v>4.8</v>
      </c>
      <c r="G8362" s="4" t="str">
        <f>HYPERLINK("http://141.218.60.56/~jnz1568/getInfo.php?workbook=12_05.xlsx&amp;sheet=U0&amp;row=8362&amp;col=7&amp;number=0.00988&amp;sourceID=14","0.00988")</f>
        <v>0.00988</v>
      </c>
    </row>
    <row r="8363" spans="1:7">
      <c r="A8363" s="3"/>
      <c r="B8363" s="3"/>
      <c r="C8363" s="3"/>
      <c r="D8363" s="3"/>
      <c r="E8363" s="3">
        <v>20</v>
      </c>
      <c r="F8363" s="4" t="str">
        <f>HYPERLINK("http://141.218.60.56/~jnz1568/getInfo.php?workbook=12_05.xlsx&amp;sheet=U0&amp;row=8363&amp;col=6&amp;number=4.9&amp;sourceID=14","4.9")</f>
        <v>4.9</v>
      </c>
      <c r="G8363" s="4" t="str">
        <f>HYPERLINK("http://141.218.60.56/~jnz1568/getInfo.php?workbook=12_05.xlsx&amp;sheet=U0&amp;row=8363&amp;col=7&amp;number=0.0101&amp;sourceID=14","0.0101")</f>
        <v>0.0101</v>
      </c>
    </row>
    <row r="8364" spans="1:7">
      <c r="A8364" s="3">
        <v>12</v>
      </c>
      <c r="B8364" s="3">
        <v>5</v>
      </c>
      <c r="C8364" s="3">
        <v>3</v>
      </c>
      <c r="D8364" s="3">
        <v>89</v>
      </c>
      <c r="E8364" s="3">
        <v>1</v>
      </c>
      <c r="F8364" s="4" t="str">
        <f>HYPERLINK("http://141.218.60.56/~jnz1568/getInfo.php?workbook=12_05.xlsx&amp;sheet=U0&amp;row=8364&amp;col=6&amp;number=3&amp;sourceID=14","3")</f>
        <v>3</v>
      </c>
      <c r="G8364" s="4" t="str">
        <f>HYPERLINK("http://141.218.60.56/~jnz1568/getInfo.php?workbook=12_05.xlsx&amp;sheet=U0&amp;row=8364&amp;col=7&amp;number=0.00173&amp;sourceID=14","0.00173")</f>
        <v>0.00173</v>
      </c>
    </row>
    <row r="8365" spans="1:7">
      <c r="A8365" s="3"/>
      <c r="B8365" s="3"/>
      <c r="C8365" s="3"/>
      <c r="D8365" s="3"/>
      <c r="E8365" s="3">
        <v>2</v>
      </c>
      <c r="F8365" s="4" t="str">
        <f>HYPERLINK("http://141.218.60.56/~jnz1568/getInfo.php?workbook=12_05.xlsx&amp;sheet=U0&amp;row=8365&amp;col=6&amp;number=3.1&amp;sourceID=14","3.1")</f>
        <v>3.1</v>
      </c>
      <c r="G8365" s="4" t="str">
        <f>HYPERLINK("http://141.218.60.56/~jnz1568/getInfo.php?workbook=12_05.xlsx&amp;sheet=U0&amp;row=8365&amp;col=7&amp;number=0.00173&amp;sourceID=14","0.00173")</f>
        <v>0.00173</v>
      </c>
    </row>
    <row r="8366" spans="1:7">
      <c r="A8366" s="3"/>
      <c r="B8366" s="3"/>
      <c r="C8366" s="3"/>
      <c r="D8366" s="3"/>
      <c r="E8366" s="3">
        <v>3</v>
      </c>
      <c r="F8366" s="4" t="str">
        <f>HYPERLINK("http://141.218.60.56/~jnz1568/getInfo.php?workbook=12_05.xlsx&amp;sheet=U0&amp;row=8366&amp;col=6&amp;number=3.2&amp;sourceID=14","3.2")</f>
        <v>3.2</v>
      </c>
      <c r="G8366" s="4" t="str">
        <f>HYPERLINK("http://141.218.60.56/~jnz1568/getInfo.php?workbook=12_05.xlsx&amp;sheet=U0&amp;row=8366&amp;col=7&amp;number=0.00173&amp;sourceID=14","0.00173")</f>
        <v>0.00173</v>
      </c>
    </row>
    <row r="8367" spans="1:7">
      <c r="A8367" s="3"/>
      <c r="B8367" s="3"/>
      <c r="C8367" s="3"/>
      <c r="D8367" s="3"/>
      <c r="E8367" s="3">
        <v>4</v>
      </c>
      <c r="F8367" s="4" t="str">
        <f>HYPERLINK("http://141.218.60.56/~jnz1568/getInfo.php?workbook=12_05.xlsx&amp;sheet=U0&amp;row=8367&amp;col=6&amp;number=3.3&amp;sourceID=14","3.3")</f>
        <v>3.3</v>
      </c>
      <c r="G8367" s="4" t="str">
        <f>HYPERLINK("http://141.218.60.56/~jnz1568/getInfo.php?workbook=12_05.xlsx&amp;sheet=U0&amp;row=8367&amp;col=7&amp;number=0.00173&amp;sourceID=14","0.00173")</f>
        <v>0.00173</v>
      </c>
    </row>
    <row r="8368" spans="1:7">
      <c r="A8368" s="3"/>
      <c r="B8368" s="3"/>
      <c r="C8368" s="3"/>
      <c r="D8368" s="3"/>
      <c r="E8368" s="3">
        <v>5</v>
      </c>
      <c r="F8368" s="4" t="str">
        <f>HYPERLINK("http://141.218.60.56/~jnz1568/getInfo.php?workbook=12_05.xlsx&amp;sheet=U0&amp;row=8368&amp;col=6&amp;number=3.4&amp;sourceID=14","3.4")</f>
        <v>3.4</v>
      </c>
      <c r="G8368" s="4" t="str">
        <f>HYPERLINK("http://141.218.60.56/~jnz1568/getInfo.php?workbook=12_05.xlsx&amp;sheet=U0&amp;row=8368&amp;col=7&amp;number=0.00173&amp;sourceID=14","0.00173")</f>
        <v>0.00173</v>
      </c>
    </row>
    <row r="8369" spans="1:7">
      <c r="A8369" s="3"/>
      <c r="B8369" s="3"/>
      <c r="C8369" s="3"/>
      <c r="D8369" s="3"/>
      <c r="E8369" s="3">
        <v>6</v>
      </c>
      <c r="F8369" s="4" t="str">
        <f>HYPERLINK("http://141.218.60.56/~jnz1568/getInfo.php?workbook=12_05.xlsx&amp;sheet=U0&amp;row=8369&amp;col=6&amp;number=3.5&amp;sourceID=14","3.5")</f>
        <v>3.5</v>
      </c>
      <c r="G8369" s="4" t="str">
        <f>HYPERLINK("http://141.218.60.56/~jnz1568/getInfo.php?workbook=12_05.xlsx&amp;sheet=U0&amp;row=8369&amp;col=7&amp;number=0.00173&amp;sourceID=14","0.00173")</f>
        <v>0.00173</v>
      </c>
    </row>
    <row r="8370" spans="1:7">
      <c r="A8370" s="3"/>
      <c r="B8370" s="3"/>
      <c r="C8370" s="3"/>
      <c r="D8370" s="3"/>
      <c r="E8370" s="3">
        <v>7</v>
      </c>
      <c r="F8370" s="4" t="str">
        <f>HYPERLINK("http://141.218.60.56/~jnz1568/getInfo.php?workbook=12_05.xlsx&amp;sheet=U0&amp;row=8370&amp;col=6&amp;number=3.6&amp;sourceID=14","3.6")</f>
        <v>3.6</v>
      </c>
      <c r="G8370" s="4" t="str">
        <f>HYPERLINK("http://141.218.60.56/~jnz1568/getInfo.php?workbook=12_05.xlsx&amp;sheet=U0&amp;row=8370&amp;col=7&amp;number=0.00173&amp;sourceID=14","0.00173")</f>
        <v>0.00173</v>
      </c>
    </row>
    <row r="8371" spans="1:7">
      <c r="A8371" s="3"/>
      <c r="B8371" s="3"/>
      <c r="C8371" s="3"/>
      <c r="D8371" s="3"/>
      <c r="E8371" s="3">
        <v>8</v>
      </c>
      <c r="F8371" s="4" t="str">
        <f>HYPERLINK("http://141.218.60.56/~jnz1568/getInfo.php?workbook=12_05.xlsx&amp;sheet=U0&amp;row=8371&amp;col=6&amp;number=3.7&amp;sourceID=14","3.7")</f>
        <v>3.7</v>
      </c>
      <c r="G8371" s="4" t="str">
        <f>HYPERLINK("http://141.218.60.56/~jnz1568/getInfo.php?workbook=12_05.xlsx&amp;sheet=U0&amp;row=8371&amp;col=7&amp;number=0.00173&amp;sourceID=14","0.00173")</f>
        <v>0.00173</v>
      </c>
    </row>
    <row r="8372" spans="1:7">
      <c r="A8372" s="3"/>
      <c r="B8372" s="3"/>
      <c r="C8372" s="3"/>
      <c r="D8372" s="3"/>
      <c r="E8372" s="3">
        <v>9</v>
      </c>
      <c r="F8372" s="4" t="str">
        <f>HYPERLINK("http://141.218.60.56/~jnz1568/getInfo.php?workbook=12_05.xlsx&amp;sheet=U0&amp;row=8372&amp;col=6&amp;number=3.8&amp;sourceID=14","3.8")</f>
        <v>3.8</v>
      </c>
      <c r="G8372" s="4" t="str">
        <f>HYPERLINK("http://141.218.60.56/~jnz1568/getInfo.php?workbook=12_05.xlsx&amp;sheet=U0&amp;row=8372&amp;col=7&amp;number=0.00172&amp;sourceID=14","0.00172")</f>
        <v>0.00172</v>
      </c>
    </row>
    <row r="8373" spans="1:7">
      <c r="A8373" s="3"/>
      <c r="B8373" s="3"/>
      <c r="C8373" s="3"/>
      <c r="D8373" s="3"/>
      <c r="E8373" s="3">
        <v>10</v>
      </c>
      <c r="F8373" s="4" t="str">
        <f>HYPERLINK("http://141.218.60.56/~jnz1568/getInfo.php?workbook=12_05.xlsx&amp;sheet=U0&amp;row=8373&amp;col=6&amp;number=3.9&amp;sourceID=14","3.9")</f>
        <v>3.9</v>
      </c>
      <c r="G8373" s="4" t="str">
        <f>HYPERLINK("http://141.218.60.56/~jnz1568/getInfo.php?workbook=12_05.xlsx&amp;sheet=U0&amp;row=8373&amp;col=7&amp;number=0.00172&amp;sourceID=14","0.00172")</f>
        <v>0.00172</v>
      </c>
    </row>
    <row r="8374" spans="1:7">
      <c r="A8374" s="3"/>
      <c r="B8374" s="3"/>
      <c r="C8374" s="3"/>
      <c r="D8374" s="3"/>
      <c r="E8374" s="3">
        <v>11</v>
      </c>
      <c r="F8374" s="4" t="str">
        <f>HYPERLINK("http://141.218.60.56/~jnz1568/getInfo.php?workbook=12_05.xlsx&amp;sheet=U0&amp;row=8374&amp;col=6&amp;number=4&amp;sourceID=14","4")</f>
        <v>4</v>
      </c>
      <c r="G8374" s="4" t="str">
        <f>HYPERLINK("http://141.218.60.56/~jnz1568/getInfo.php?workbook=12_05.xlsx&amp;sheet=U0&amp;row=8374&amp;col=7&amp;number=0.00172&amp;sourceID=14","0.00172")</f>
        <v>0.00172</v>
      </c>
    </row>
    <row r="8375" spans="1:7">
      <c r="A8375" s="3"/>
      <c r="B8375" s="3"/>
      <c r="C8375" s="3"/>
      <c r="D8375" s="3"/>
      <c r="E8375" s="3">
        <v>12</v>
      </c>
      <c r="F8375" s="4" t="str">
        <f>HYPERLINK("http://141.218.60.56/~jnz1568/getInfo.php?workbook=12_05.xlsx&amp;sheet=U0&amp;row=8375&amp;col=6&amp;number=4.1&amp;sourceID=14","4.1")</f>
        <v>4.1</v>
      </c>
      <c r="G8375" s="4" t="str">
        <f>HYPERLINK("http://141.218.60.56/~jnz1568/getInfo.php?workbook=12_05.xlsx&amp;sheet=U0&amp;row=8375&amp;col=7&amp;number=0.00171&amp;sourceID=14","0.00171")</f>
        <v>0.00171</v>
      </c>
    </row>
    <row r="8376" spans="1:7">
      <c r="A8376" s="3"/>
      <c r="B8376" s="3"/>
      <c r="C8376" s="3"/>
      <c r="D8376" s="3"/>
      <c r="E8376" s="3">
        <v>13</v>
      </c>
      <c r="F8376" s="4" t="str">
        <f>HYPERLINK("http://141.218.60.56/~jnz1568/getInfo.php?workbook=12_05.xlsx&amp;sheet=U0&amp;row=8376&amp;col=6&amp;number=4.2&amp;sourceID=14","4.2")</f>
        <v>4.2</v>
      </c>
      <c r="G8376" s="4" t="str">
        <f>HYPERLINK("http://141.218.60.56/~jnz1568/getInfo.php?workbook=12_05.xlsx&amp;sheet=U0&amp;row=8376&amp;col=7&amp;number=0.00171&amp;sourceID=14","0.00171")</f>
        <v>0.00171</v>
      </c>
    </row>
    <row r="8377" spans="1:7">
      <c r="A8377" s="3"/>
      <c r="B8377" s="3"/>
      <c r="C8377" s="3"/>
      <c r="D8377" s="3"/>
      <c r="E8377" s="3">
        <v>14</v>
      </c>
      <c r="F8377" s="4" t="str">
        <f>HYPERLINK("http://141.218.60.56/~jnz1568/getInfo.php?workbook=12_05.xlsx&amp;sheet=U0&amp;row=8377&amp;col=6&amp;number=4.3&amp;sourceID=14","4.3")</f>
        <v>4.3</v>
      </c>
      <c r="G8377" s="4" t="str">
        <f>HYPERLINK("http://141.218.60.56/~jnz1568/getInfo.php?workbook=12_05.xlsx&amp;sheet=U0&amp;row=8377&amp;col=7&amp;number=0.0017&amp;sourceID=14","0.0017")</f>
        <v>0.0017</v>
      </c>
    </row>
    <row r="8378" spans="1:7">
      <c r="A8378" s="3"/>
      <c r="B8378" s="3"/>
      <c r="C8378" s="3"/>
      <c r="D8378" s="3"/>
      <c r="E8378" s="3">
        <v>15</v>
      </c>
      <c r="F8378" s="4" t="str">
        <f>HYPERLINK("http://141.218.60.56/~jnz1568/getInfo.php?workbook=12_05.xlsx&amp;sheet=U0&amp;row=8378&amp;col=6&amp;number=4.4&amp;sourceID=14","4.4")</f>
        <v>4.4</v>
      </c>
      <c r="G8378" s="4" t="str">
        <f>HYPERLINK("http://141.218.60.56/~jnz1568/getInfo.php?workbook=12_05.xlsx&amp;sheet=U0&amp;row=8378&amp;col=7&amp;number=0.0017&amp;sourceID=14","0.0017")</f>
        <v>0.0017</v>
      </c>
    </row>
    <row r="8379" spans="1:7">
      <c r="A8379" s="3"/>
      <c r="B8379" s="3"/>
      <c r="C8379" s="3"/>
      <c r="D8379" s="3"/>
      <c r="E8379" s="3">
        <v>16</v>
      </c>
      <c r="F8379" s="4" t="str">
        <f>HYPERLINK("http://141.218.60.56/~jnz1568/getInfo.php?workbook=12_05.xlsx&amp;sheet=U0&amp;row=8379&amp;col=6&amp;number=4.5&amp;sourceID=14","4.5")</f>
        <v>4.5</v>
      </c>
      <c r="G8379" s="4" t="str">
        <f>HYPERLINK("http://141.218.60.56/~jnz1568/getInfo.php?workbook=12_05.xlsx&amp;sheet=U0&amp;row=8379&amp;col=7&amp;number=0.00169&amp;sourceID=14","0.00169")</f>
        <v>0.00169</v>
      </c>
    </row>
    <row r="8380" spans="1:7">
      <c r="A8380" s="3"/>
      <c r="B8380" s="3"/>
      <c r="C8380" s="3"/>
      <c r="D8380" s="3"/>
      <c r="E8380" s="3">
        <v>17</v>
      </c>
      <c r="F8380" s="4" t="str">
        <f>HYPERLINK("http://141.218.60.56/~jnz1568/getInfo.php?workbook=12_05.xlsx&amp;sheet=U0&amp;row=8380&amp;col=6&amp;number=4.6&amp;sourceID=14","4.6")</f>
        <v>4.6</v>
      </c>
      <c r="G8380" s="4" t="str">
        <f>HYPERLINK("http://141.218.60.56/~jnz1568/getInfo.php?workbook=12_05.xlsx&amp;sheet=U0&amp;row=8380&amp;col=7&amp;number=0.00168&amp;sourceID=14","0.00168")</f>
        <v>0.00168</v>
      </c>
    </row>
    <row r="8381" spans="1:7">
      <c r="A8381" s="3"/>
      <c r="B8381" s="3"/>
      <c r="C8381" s="3"/>
      <c r="D8381" s="3"/>
      <c r="E8381" s="3">
        <v>18</v>
      </c>
      <c r="F8381" s="4" t="str">
        <f>HYPERLINK("http://141.218.60.56/~jnz1568/getInfo.php?workbook=12_05.xlsx&amp;sheet=U0&amp;row=8381&amp;col=6&amp;number=4.7&amp;sourceID=14","4.7")</f>
        <v>4.7</v>
      </c>
      <c r="G8381" s="4" t="str">
        <f>HYPERLINK("http://141.218.60.56/~jnz1568/getInfo.php?workbook=12_05.xlsx&amp;sheet=U0&amp;row=8381&amp;col=7&amp;number=0.00166&amp;sourceID=14","0.00166")</f>
        <v>0.00166</v>
      </c>
    </row>
    <row r="8382" spans="1:7">
      <c r="A8382" s="3"/>
      <c r="B8382" s="3"/>
      <c r="C8382" s="3"/>
      <c r="D8382" s="3"/>
      <c r="E8382" s="3">
        <v>19</v>
      </c>
      <c r="F8382" s="4" t="str">
        <f>HYPERLINK("http://141.218.60.56/~jnz1568/getInfo.php?workbook=12_05.xlsx&amp;sheet=U0&amp;row=8382&amp;col=6&amp;number=4.8&amp;sourceID=14","4.8")</f>
        <v>4.8</v>
      </c>
      <c r="G8382" s="4" t="str">
        <f>HYPERLINK("http://141.218.60.56/~jnz1568/getInfo.php?workbook=12_05.xlsx&amp;sheet=U0&amp;row=8382&amp;col=7&amp;number=0.00164&amp;sourceID=14","0.00164")</f>
        <v>0.00164</v>
      </c>
    </row>
    <row r="8383" spans="1:7">
      <c r="A8383" s="3"/>
      <c r="B8383" s="3"/>
      <c r="C8383" s="3"/>
      <c r="D8383" s="3"/>
      <c r="E8383" s="3">
        <v>20</v>
      </c>
      <c r="F8383" s="4" t="str">
        <f>HYPERLINK("http://141.218.60.56/~jnz1568/getInfo.php?workbook=12_05.xlsx&amp;sheet=U0&amp;row=8383&amp;col=6&amp;number=4.9&amp;sourceID=14","4.9")</f>
        <v>4.9</v>
      </c>
      <c r="G8383" s="4" t="str">
        <f>HYPERLINK("http://141.218.60.56/~jnz1568/getInfo.php?workbook=12_05.xlsx&amp;sheet=U0&amp;row=8383&amp;col=7&amp;number=0.00162&amp;sourceID=14","0.00162")</f>
        <v>0.00162</v>
      </c>
    </row>
    <row r="8384" spans="1:7">
      <c r="A8384" s="3">
        <v>12</v>
      </c>
      <c r="B8384" s="3">
        <v>5</v>
      </c>
      <c r="C8384" s="3">
        <v>3</v>
      </c>
      <c r="D8384" s="3">
        <v>90</v>
      </c>
      <c r="E8384" s="3">
        <v>1</v>
      </c>
      <c r="F8384" s="4" t="str">
        <f>HYPERLINK("http://141.218.60.56/~jnz1568/getInfo.php?workbook=12_05.xlsx&amp;sheet=U0&amp;row=8384&amp;col=6&amp;number=3&amp;sourceID=14","3")</f>
        <v>3</v>
      </c>
      <c r="G8384" s="4" t="str">
        <f>HYPERLINK("http://141.218.60.56/~jnz1568/getInfo.php?workbook=12_05.xlsx&amp;sheet=U0&amp;row=8384&amp;col=7&amp;number=0.00987&amp;sourceID=14","0.00987")</f>
        <v>0.00987</v>
      </c>
    </row>
    <row r="8385" spans="1:7">
      <c r="A8385" s="3"/>
      <c r="B8385" s="3"/>
      <c r="C8385" s="3"/>
      <c r="D8385" s="3"/>
      <c r="E8385" s="3">
        <v>2</v>
      </c>
      <c r="F8385" s="4" t="str">
        <f>HYPERLINK("http://141.218.60.56/~jnz1568/getInfo.php?workbook=12_05.xlsx&amp;sheet=U0&amp;row=8385&amp;col=6&amp;number=3.1&amp;sourceID=14","3.1")</f>
        <v>3.1</v>
      </c>
      <c r="G8385" s="4" t="str">
        <f>HYPERLINK("http://141.218.60.56/~jnz1568/getInfo.php?workbook=12_05.xlsx&amp;sheet=U0&amp;row=8385&amp;col=7&amp;number=0.00986&amp;sourceID=14","0.00986")</f>
        <v>0.00986</v>
      </c>
    </row>
    <row r="8386" spans="1:7">
      <c r="A8386" s="3"/>
      <c r="B8386" s="3"/>
      <c r="C8386" s="3"/>
      <c r="D8386" s="3"/>
      <c r="E8386" s="3">
        <v>3</v>
      </c>
      <c r="F8386" s="4" t="str">
        <f>HYPERLINK("http://141.218.60.56/~jnz1568/getInfo.php?workbook=12_05.xlsx&amp;sheet=U0&amp;row=8386&amp;col=6&amp;number=3.2&amp;sourceID=14","3.2")</f>
        <v>3.2</v>
      </c>
      <c r="G8386" s="4" t="str">
        <f>HYPERLINK("http://141.218.60.56/~jnz1568/getInfo.php?workbook=12_05.xlsx&amp;sheet=U0&amp;row=8386&amp;col=7&amp;number=0.00986&amp;sourceID=14","0.00986")</f>
        <v>0.00986</v>
      </c>
    </row>
    <row r="8387" spans="1:7">
      <c r="A8387" s="3"/>
      <c r="B8387" s="3"/>
      <c r="C8387" s="3"/>
      <c r="D8387" s="3"/>
      <c r="E8387" s="3">
        <v>4</v>
      </c>
      <c r="F8387" s="4" t="str">
        <f>HYPERLINK("http://141.218.60.56/~jnz1568/getInfo.php?workbook=12_05.xlsx&amp;sheet=U0&amp;row=8387&amp;col=6&amp;number=3.3&amp;sourceID=14","3.3")</f>
        <v>3.3</v>
      </c>
      <c r="G8387" s="4" t="str">
        <f>HYPERLINK("http://141.218.60.56/~jnz1568/getInfo.php?workbook=12_05.xlsx&amp;sheet=U0&amp;row=8387&amp;col=7&amp;number=0.00986&amp;sourceID=14","0.00986")</f>
        <v>0.00986</v>
      </c>
    </row>
    <row r="8388" spans="1:7">
      <c r="A8388" s="3"/>
      <c r="B8388" s="3"/>
      <c r="C8388" s="3"/>
      <c r="D8388" s="3"/>
      <c r="E8388" s="3">
        <v>5</v>
      </c>
      <c r="F8388" s="4" t="str">
        <f>HYPERLINK("http://141.218.60.56/~jnz1568/getInfo.php?workbook=12_05.xlsx&amp;sheet=U0&amp;row=8388&amp;col=6&amp;number=3.4&amp;sourceID=14","3.4")</f>
        <v>3.4</v>
      </c>
      <c r="G8388" s="4" t="str">
        <f>HYPERLINK("http://141.218.60.56/~jnz1568/getInfo.php?workbook=12_05.xlsx&amp;sheet=U0&amp;row=8388&amp;col=7&amp;number=0.00985&amp;sourceID=14","0.00985")</f>
        <v>0.00985</v>
      </c>
    </row>
    <row r="8389" spans="1:7">
      <c r="A8389" s="3"/>
      <c r="B8389" s="3"/>
      <c r="C8389" s="3"/>
      <c r="D8389" s="3"/>
      <c r="E8389" s="3">
        <v>6</v>
      </c>
      <c r="F8389" s="4" t="str">
        <f>HYPERLINK("http://141.218.60.56/~jnz1568/getInfo.php?workbook=12_05.xlsx&amp;sheet=U0&amp;row=8389&amp;col=6&amp;number=3.5&amp;sourceID=14","3.5")</f>
        <v>3.5</v>
      </c>
      <c r="G8389" s="4" t="str">
        <f>HYPERLINK("http://141.218.60.56/~jnz1568/getInfo.php?workbook=12_05.xlsx&amp;sheet=U0&amp;row=8389&amp;col=7&amp;number=0.00984&amp;sourceID=14","0.00984")</f>
        <v>0.00984</v>
      </c>
    </row>
    <row r="8390" spans="1:7">
      <c r="A8390" s="3"/>
      <c r="B8390" s="3"/>
      <c r="C8390" s="3"/>
      <c r="D8390" s="3"/>
      <c r="E8390" s="3">
        <v>7</v>
      </c>
      <c r="F8390" s="4" t="str">
        <f>HYPERLINK("http://141.218.60.56/~jnz1568/getInfo.php?workbook=12_05.xlsx&amp;sheet=U0&amp;row=8390&amp;col=6&amp;number=3.6&amp;sourceID=14","3.6")</f>
        <v>3.6</v>
      </c>
      <c r="G8390" s="4" t="str">
        <f>HYPERLINK("http://141.218.60.56/~jnz1568/getInfo.php?workbook=12_05.xlsx&amp;sheet=U0&amp;row=8390&amp;col=7&amp;number=0.00984&amp;sourceID=14","0.00984")</f>
        <v>0.00984</v>
      </c>
    </row>
    <row r="8391" spans="1:7">
      <c r="A8391" s="3"/>
      <c r="B8391" s="3"/>
      <c r="C8391" s="3"/>
      <c r="D8391" s="3"/>
      <c r="E8391" s="3">
        <v>8</v>
      </c>
      <c r="F8391" s="4" t="str">
        <f>HYPERLINK("http://141.218.60.56/~jnz1568/getInfo.php?workbook=12_05.xlsx&amp;sheet=U0&amp;row=8391&amp;col=6&amp;number=3.7&amp;sourceID=14","3.7")</f>
        <v>3.7</v>
      </c>
      <c r="G8391" s="4" t="str">
        <f>HYPERLINK("http://141.218.60.56/~jnz1568/getInfo.php?workbook=12_05.xlsx&amp;sheet=U0&amp;row=8391&amp;col=7&amp;number=0.00982&amp;sourceID=14","0.00982")</f>
        <v>0.00982</v>
      </c>
    </row>
    <row r="8392" spans="1:7">
      <c r="A8392" s="3"/>
      <c r="B8392" s="3"/>
      <c r="C8392" s="3"/>
      <c r="D8392" s="3"/>
      <c r="E8392" s="3">
        <v>9</v>
      </c>
      <c r="F8392" s="4" t="str">
        <f>HYPERLINK("http://141.218.60.56/~jnz1568/getInfo.php?workbook=12_05.xlsx&amp;sheet=U0&amp;row=8392&amp;col=6&amp;number=3.8&amp;sourceID=14","3.8")</f>
        <v>3.8</v>
      </c>
      <c r="G8392" s="4" t="str">
        <f>HYPERLINK("http://141.218.60.56/~jnz1568/getInfo.php?workbook=12_05.xlsx&amp;sheet=U0&amp;row=8392&amp;col=7&amp;number=0.00981&amp;sourceID=14","0.00981")</f>
        <v>0.00981</v>
      </c>
    </row>
    <row r="8393" spans="1:7">
      <c r="A8393" s="3"/>
      <c r="B8393" s="3"/>
      <c r="C8393" s="3"/>
      <c r="D8393" s="3"/>
      <c r="E8393" s="3">
        <v>10</v>
      </c>
      <c r="F8393" s="4" t="str">
        <f>HYPERLINK("http://141.218.60.56/~jnz1568/getInfo.php?workbook=12_05.xlsx&amp;sheet=U0&amp;row=8393&amp;col=6&amp;number=3.9&amp;sourceID=14","3.9")</f>
        <v>3.9</v>
      </c>
      <c r="G8393" s="4" t="str">
        <f>HYPERLINK("http://141.218.60.56/~jnz1568/getInfo.php?workbook=12_05.xlsx&amp;sheet=U0&amp;row=8393&amp;col=7&amp;number=0.00979&amp;sourceID=14","0.00979")</f>
        <v>0.00979</v>
      </c>
    </row>
    <row r="8394" spans="1:7">
      <c r="A8394" s="3"/>
      <c r="B8394" s="3"/>
      <c r="C8394" s="3"/>
      <c r="D8394" s="3"/>
      <c r="E8394" s="3">
        <v>11</v>
      </c>
      <c r="F8394" s="4" t="str">
        <f>HYPERLINK("http://141.218.60.56/~jnz1568/getInfo.php?workbook=12_05.xlsx&amp;sheet=U0&amp;row=8394&amp;col=6&amp;number=4&amp;sourceID=14","4")</f>
        <v>4</v>
      </c>
      <c r="G8394" s="4" t="str">
        <f>HYPERLINK("http://141.218.60.56/~jnz1568/getInfo.php?workbook=12_05.xlsx&amp;sheet=U0&amp;row=8394&amp;col=7&amp;number=0.00977&amp;sourceID=14","0.00977")</f>
        <v>0.00977</v>
      </c>
    </row>
    <row r="8395" spans="1:7">
      <c r="A8395" s="3"/>
      <c r="B8395" s="3"/>
      <c r="C8395" s="3"/>
      <c r="D8395" s="3"/>
      <c r="E8395" s="3">
        <v>12</v>
      </c>
      <c r="F8395" s="4" t="str">
        <f>HYPERLINK("http://141.218.60.56/~jnz1568/getInfo.php?workbook=12_05.xlsx&amp;sheet=U0&amp;row=8395&amp;col=6&amp;number=4.1&amp;sourceID=14","4.1")</f>
        <v>4.1</v>
      </c>
      <c r="G8395" s="4" t="str">
        <f>HYPERLINK("http://141.218.60.56/~jnz1568/getInfo.php?workbook=12_05.xlsx&amp;sheet=U0&amp;row=8395&amp;col=7&amp;number=0.00975&amp;sourceID=14","0.00975")</f>
        <v>0.00975</v>
      </c>
    </row>
    <row r="8396" spans="1:7">
      <c r="A8396" s="3"/>
      <c r="B8396" s="3"/>
      <c r="C8396" s="3"/>
      <c r="D8396" s="3"/>
      <c r="E8396" s="3">
        <v>13</v>
      </c>
      <c r="F8396" s="4" t="str">
        <f>HYPERLINK("http://141.218.60.56/~jnz1568/getInfo.php?workbook=12_05.xlsx&amp;sheet=U0&amp;row=8396&amp;col=6&amp;number=4.2&amp;sourceID=14","4.2")</f>
        <v>4.2</v>
      </c>
      <c r="G8396" s="4" t="str">
        <f>HYPERLINK("http://141.218.60.56/~jnz1568/getInfo.php?workbook=12_05.xlsx&amp;sheet=U0&amp;row=8396&amp;col=7&amp;number=0.00971&amp;sourceID=14","0.00971")</f>
        <v>0.00971</v>
      </c>
    </row>
    <row r="8397" spans="1:7">
      <c r="A8397" s="3"/>
      <c r="B8397" s="3"/>
      <c r="C8397" s="3"/>
      <c r="D8397" s="3"/>
      <c r="E8397" s="3">
        <v>14</v>
      </c>
      <c r="F8397" s="4" t="str">
        <f>HYPERLINK("http://141.218.60.56/~jnz1568/getInfo.php?workbook=12_05.xlsx&amp;sheet=U0&amp;row=8397&amp;col=6&amp;number=4.3&amp;sourceID=14","4.3")</f>
        <v>4.3</v>
      </c>
      <c r="G8397" s="4" t="str">
        <f>HYPERLINK("http://141.218.60.56/~jnz1568/getInfo.php?workbook=12_05.xlsx&amp;sheet=U0&amp;row=8397&amp;col=7&amp;number=0.00967&amp;sourceID=14","0.00967")</f>
        <v>0.00967</v>
      </c>
    </row>
    <row r="8398" spans="1:7">
      <c r="A8398" s="3"/>
      <c r="B8398" s="3"/>
      <c r="C8398" s="3"/>
      <c r="D8398" s="3"/>
      <c r="E8398" s="3">
        <v>15</v>
      </c>
      <c r="F8398" s="4" t="str">
        <f>HYPERLINK("http://141.218.60.56/~jnz1568/getInfo.php?workbook=12_05.xlsx&amp;sheet=U0&amp;row=8398&amp;col=6&amp;number=4.4&amp;sourceID=14","4.4")</f>
        <v>4.4</v>
      </c>
      <c r="G8398" s="4" t="str">
        <f>HYPERLINK("http://141.218.60.56/~jnz1568/getInfo.php?workbook=12_05.xlsx&amp;sheet=U0&amp;row=8398&amp;col=7&amp;number=0.00962&amp;sourceID=14","0.00962")</f>
        <v>0.00962</v>
      </c>
    </row>
    <row r="8399" spans="1:7">
      <c r="A8399" s="3"/>
      <c r="B8399" s="3"/>
      <c r="C8399" s="3"/>
      <c r="D8399" s="3"/>
      <c r="E8399" s="3">
        <v>16</v>
      </c>
      <c r="F8399" s="4" t="str">
        <f>HYPERLINK("http://141.218.60.56/~jnz1568/getInfo.php?workbook=12_05.xlsx&amp;sheet=U0&amp;row=8399&amp;col=6&amp;number=4.5&amp;sourceID=14","4.5")</f>
        <v>4.5</v>
      </c>
      <c r="G8399" s="4" t="str">
        <f>HYPERLINK("http://141.218.60.56/~jnz1568/getInfo.php?workbook=12_05.xlsx&amp;sheet=U0&amp;row=8399&amp;col=7&amp;number=0.00955&amp;sourceID=14","0.00955")</f>
        <v>0.00955</v>
      </c>
    </row>
    <row r="8400" spans="1:7">
      <c r="A8400" s="3"/>
      <c r="B8400" s="3"/>
      <c r="C8400" s="3"/>
      <c r="D8400" s="3"/>
      <c r="E8400" s="3">
        <v>17</v>
      </c>
      <c r="F8400" s="4" t="str">
        <f>HYPERLINK("http://141.218.60.56/~jnz1568/getInfo.php?workbook=12_05.xlsx&amp;sheet=U0&amp;row=8400&amp;col=6&amp;number=4.6&amp;sourceID=14","4.6")</f>
        <v>4.6</v>
      </c>
      <c r="G8400" s="4" t="str">
        <f>HYPERLINK("http://141.218.60.56/~jnz1568/getInfo.php?workbook=12_05.xlsx&amp;sheet=U0&amp;row=8400&amp;col=7&amp;number=0.00947&amp;sourceID=14","0.00947")</f>
        <v>0.00947</v>
      </c>
    </row>
    <row r="8401" spans="1:7">
      <c r="A8401" s="3"/>
      <c r="B8401" s="3"/>
      <c r="C8401" s="3"/>
      <c r="D8401" s="3"/>
      <c r="E8401" s="3">
        <v>18</v>
      </c>
      <c r="F8401" s="4" t="str">
        <f>HYPERLINK("http://141.218.60.56/~jnz1568/getInfo.php?workbook=12_05.xlsx&amp;sheet=U0&amp;row=8401&amp;col=6&amp;number=4.7&amp;sourceID=14","4.7")</f>
        <v>4.7</v>
      </c>
      <c r="G8401" s="4" t="str">
        <f>HYPERLINK("http://141.218.60.56/~jnz1568/getInfo.php?workbook=12_05.xlsx&amp;sheet=U0&amp;row=8401&amp;col=7&amp;number=0.00936&amp;sourceID=14","0.00936")</f>
        <v>0.00936</v>
      </c>
    </row>
    <row r="8402" spans="1:7">
      <c r="A8402" s="3"/>
      <c r="B8402" s="3"/>
      <c r="C8402" s="3"/>
      <c r="D8402" s="3"/>
      <c r="E8402" s="3">
        <v>19</v>
      </c>
      <c r="F8402" s="4" t="str">
        <f>HYPERLINK("http://141.218.60.56/~jnz1568/getInfo.php?workbook=12_05.xlsx&amp;sheet=U0&amp;row=8402&amp;col=6&amp;number=4.8&amp;sourceID=14","4.8")</f>
        <v>4.8</v>
      </c>
      <c r="G8402" s="4" t="str">
        <f>HYPERLINK("http://141.218.60.56/~jnz1568/getInfo.php?workbook=12_05.xlsx&amp;sheet=U0&amp;row=8402&amp;col=7&amp;number=0.00923&amp;sourceID=14","0.00923")</f>
        <v>0.00923</v>
      </c>
    </row>
    <row r="8403" spans="1:7">
      <c r="A8403" s="3"/>
      <c r="B8403" s="3"/>
      <c r="C8403" s="3"/>
      <c r="D8403" s="3"/>
      <c r="E8403" s="3">
        <v>20</v>
      </c>
      <c r="F8403" s="4" t="str">
        <f>HYPERLINK("http://141.218.60.56/~jnz1568/getInfo.php?workbook=12_05.xlsx&amp;sheet=U0&amp;row=8403&amp;col=6&amp;number=4.9&amp;sourceID=14","4.9")</f>
        <v>4.9</v>
      </c>
      <c r="G8403" s="4" t="str">
        <f>HYPERLINK("http://141.218.60.56/~jnz1568/getInfo.php?workbook=12_05.xlsx&amp;sheet=U0&amp;row=8403&amp;col=7&amp;number=0.00907&amp;sourceID=14","0.00907")</f>
        <v>0.00907</v>
      </c>
    </row>
    <row r="8404" spans="1:7">
      <c r="A8404" s="3">
        <v>12</v>
      </c>
      <c r="B8404" s="3">
        <v>5</v>
      </c>
      <c r="C8404" s="3">
        <v>3</v>
      </c>
      <c r="D8404" s="3">
        <v>91</v>
      </c>
      <c r="E8404" s="3">
        <v>1</v>
      </c>
      <c r="F8404" s="4" t="str">
        <f>HYPERLINK("http://141.218.60.56/~jnz1568/getInfo.php?workbook=12_05.xlsx&amp;sheet=U0&amp;row=8404&amp;col=6&amp;number=3&amp;sourceID=14","3")</f>
        <v>3</v>
      </c>
      <c r="G8404" s="4" t="str">
        <f>HYPERLINK("http://141.218.60.56/~jnz1568/getInfo.php?workbook=12_05.xlsx&amp;sheet=U0&amp;row=8404&amp;col=7&amp;number=0.184&amp;sourceID=14","0.184")</f>
        <v>0.184</v>
      </c>
    </row>
    <row r="8405" spans="1:7">
      <c r="A8405" s="3"/>
      <c r="B8405" s="3"/>
      <c r="C8405" s="3"/>
      <c r="D8405" s="3"/>
      <c r="E8405" s="3">
        <v>2</v>
      </c>
      <c r="F8405" s="4" t="str">
        <f>HYPERLINK("http://141.218.60.56/~jnz1568/getInfo.php?workbook=12_05.xlsx&amp;sheet=U0&amp;row=8405&amp;col=6&amp;number=3.1&amp;sourceID=14","3.1")</f>
        <v>3.1</v>
      </c>
      <c r="G8405" s="4" t="str">
        <f>HYPERLINK("http://141.218.60.56/~jnz1568/getInfo.php?workbook=12_05.xlsx&amp;sheet=U0&amp;row=8405&amp;col=7&amp;number=0.184&amp;sourceID=14","0.184")</f>
        <v>0.184</v>
      </c>
    </row>
    <row r="8406" spans="1:7">
      <c r="A8406" s="3"/>
      <c r="B8406" s="3"/>
      <c r="C8406" s="3"/>
      <c r="D8406" s="3"/>
      <c r="E8406" s="3">
        <v>3</v>
      </c>
      <c r="F8406" s="4" t="str">
        <f>HYPERLINK("http://141.218.60.56/~jnz1568/getInfo.php?workbook=12_05.xlsx&amp;sheet=U0&amp;row=8406&amp;col=6&amp;number=3.2&amp;sourceID=14","3.2")</f>
        <v>3.2</v>
      </c>
      <c r="G8406" s="4" t="str">
        <f>HYPERLINK("http://141.218.60.56/~jnz1568/getInfo.php?workbook=12_05.xlsx&amp;sheet=U0&amp;row=8406&amp;col=7&amp;number=0.184&amp;sourceID=14","0.184")</f>
        <v>0.184</v>
      </c>
    </row>
    <row r="8407" spans="1:7">
      <c r="A8407" s="3"/>
      <c r="B8407" s="3"/>
      <c r="C8407" s="3"/>
      <c r="D8407" s="3"/>
      <c r="E8407" s="3">
        <v>4</v>
      </c>
      <c r="F8407" s="4" t="str">
        <f>HYPERLINK("http://141.218.60.56/~jnz1568/getInfo.php?workbook=12_05.xlsx&amp;sheet=U0&amp;row=8407&amp;col=6&amp;number=3.3&amp;sourceID=14","3.3")</f>
        <v>3.3</v>
      </c>
      <c r="G8407" s="4" t="str">
        <f>HYPERLINK("http://141.218.60.56/~jnz1568/getInfo.php?workbook=12_05.xlsx&amp;sheet=U0&amp;row=8407&amp;col=7&amp;number=0.184&amp;sourceID=14","0.184")</f>
        <v>0.184</v>
      </c>
    </row>
    <row r="8408" spans="1:7">
      <c r="A8408" s="3"/>
      <c r="B8408" s="3"/>
      <c r="C8408" s="3"/>
      <c r="D8408" s="3"/>
      <c r="E8408" s="3">
        <v>5</v>
      </c>
      <c r="F8408" s="4" t="str">
        <f>HYPERLINK("http://141.218.60.56/~jnz1568/getInfo.php?workbook=12_05.xlsx&amp;sheet=U0&amp;row=8408&amp;col=6&amp;number=3.4&amp;sourceID=14","3.4")</f>
        <v>3.4</v>
      </c>
      <c r="G8408" s="4" t="str">
        <f>HYPERLINK("http://141.218.60.56/~jnz1568/getInfo.php?workbook=12_05.xlsx&amp;sheet=U0&amp;row=8408&amp;col=7&amp;number=0.184&amp;sourceID=14","0.184")</f>
        <v>0.184</v>
      </c>
    </row>
    <row r="8409" spans="1:7">
      <c r="A8409" s="3"/>
      <c r="B8409" s="3"/>
      <c r="C8409" s="3"/>
      <c r="D8409" s="3"/>
      <c r="E8409" s="3">
        <v>6</v>
      </c>
      <c r="F8409" s="4" t="str">
        <f>HYPERLINK("http://141.218.60.56/~jnz1568/getInfo.php?workbook=12_05.xlsx&amp;sheet=U0&amp;row=8409&amp;col=6&amp;number=3.5&amp;sourceID=14","3.5")</f>
        <v>3.5</v>
      </c>
      <c r="G8409" s="4" t="str">
        <f>HYPERLINK("http://141.218.60.56/~jnz1568/getInfo.php?workbook=12_05.xlsx&amp;sheet=U0&amp;row=8409&amp;col=7&amp;number=0.184&amp;sourceID=14","0.184")</f>
        <v>0.184</v>
      </c>
    </row>
    <row r="8410" spans="1:7">
      <c r="A8410" s="3"/>
      <c r="B8410" s="3"/>
      <c r="C8410" s="3"/>
      <c r="D8410" s="3"/>
      <c r="E8410" s="3">
        <v>7</v>
      </c>
      <c r="F8410" s="4" t="str">
        <f>HYPERLINK("http://141.218.60.56/~jnz1568/getInfo.php?workbook=12_05.xlsx&amp;sheet=U0&amp;row=8410&amp;col=6&amp;number=3.6&amp;sourceID=14","3.6")</f>
        <v>3.6</v>
      </c>
      <c r="G8410" s="4" t="str">
        <f>HYPERLINK("http://141.218.60.56/~jnz1568/getInfo.php?workbook=12_05.xlsx&amp;sheet=U0&amp;row=8410&amp;col=7&amp;number=0.184&amp;sourceID=14","0.184")</f>
        <v>0.184</v>
      </c>
    </row>
    <row r="8411" spans="1:7">
      <c r="A8411" s="3"/>
      <c r="B8411" s="3"/>
      <c r="C8411" s="3"/>
      <c r="D8411" s="3"/>
      <c r="E8411" s="3">
        <v>8</v>
      </c>
      <c r="F8411" s="4" t="str">
        <f>HYPERLINK("http://141.218.60.56/~jnz1568/getInfo.php?workbook=12_05.xlsx&amp;sheet=U0&amp;row=8411&amp;col=6&amp;number=3.7&amp;sourceID=14","3.7")</f>
        <v>3.7</v>
      </c>
      <c r="G8411" s="4" t="str">
        <f>HYPERLINK("http://141.218.60.56/~jnz1568/getInfo.php?workbook=12_05.xlsx&amp;sheet=U0&amp;row=8411&amp;col=7&amp;number=0.184&amp;sourceID=14","0.184")</f>
        <v>0.184</v>
      </c>
    </row>
    <row r="8412" spans="1:7">
      <c r="A8412" s="3"/>
      <c r="B8412" s="3"/>
      <c r="C8412" s="3"/>
      <c r="D8412" s="3"/>
      <c r="E8412" s="3">
        <v>9</v>
      </c>
      <c r="F8412" s="4" t="str">
        <f>HYPERLINK("http://141.218.60.56/~jnz1568/getInfo.php?workbook=12_05.xlsx&amp;sheet=U0&amp;row=8412&amp;col=6&amp;number=3.8&amp;sourceID=14","3.8")</f>
        <v>3.8</v>
      </c>
      <c r="G8412" s="4" t="str">
        <f>HYPERLINK("http://141.218.60.56/~jnz1568/getInfo.php?workbook=12_05.xlsx&amp;sheet=U0&amp;row=8412&amp;col=7&amp;number=0.185&amp;sourceID=14","0.185")</f>
        <v>0.185</v>
      </c>
    </row>
    <row r="8413" spans="1:7">
      <c r="A8413" s="3"/>
      <c r="B8413" s="3"/>
      <c r="C8413" s="3"/>
      <c r="D8413" s="3"/>
      <c r="E8413" s="3">
        <v>10</v>
      </c>
      <c r="F8413" s="4" t="str">
        <f>HYPERLINK("http://141.218.60.56/~jnz1568/getInfo.php?workbook=12_05.xlsx&amp;sheet=U0&amp;row=8413&amp;col=6&amp;number=3.9&amp;sourceID=14","3.9")</f>
        <v>3.9</v>
      </c>
      <c r="G8413" s="4" t="str">
        <f>HYPERLINK("http://141.218.60.56/~jnz1568/getInfo.php?workbook=12_05.xlsx&amp;sheet=U0&amp;row=8413&amp;col=7&amp;number=0.185&amp;sourceID=14","0.185")</f>
        <v>0.185</v>
      </c>
    </row>
    <row r="8414" spans="1:7">
      <c r="A8414" s="3"/>
      <c r="B8414" s="3"/>
      <c r="C8414" s="3"/>
      <c r="D8414" s="3"/>
      <c r="E8414" s="3">
        <v>11</v>
      </c>
      <c r="F8414" s="4" t="str">
        <f>HYPERLINK("http://141.218.60.56/~jnz1568/getInfo.php?workbook=12_05.xlsx&amp;sheet=U0&amp;row=8414&amp;col=6&amp;number=4&amp;sourceID=14","4")</f>
        <v>4</v>
      </c>
      <c r="G8414" s="4" t="str">
        <f>HYPERLINK("http://141.218.60.56/~jnz1568/getInfo.php?workbook=12_05.xlsx&amp;sheet=U0&amp;row=8414&amp;col=7&amp;number=0.185&amp;sourceID=14","0.185")</f>
        <v>0.185</v>
      </c>
    </row>
    <row r="8415" spans="1:7">
      <c r="A8415" s="3"/>
      <c r="B8415" s="3"/>
      <c r="C8415" s="3"/>
      <c r="D8415" s="3"/>
      <c r="E8415" s="3">
        <v>12</v>
      </c>
      <c r="F8415" s="4" t="str">
        <f>HYPERLINK("http://141.218.60.56/~jnz1568/getInfo.php?workbook=12_05.xlsx&amp;sheet=U0&amp;row=8415&amp;col=6&amp;number=4.1&amp;sourceID=14","4.1")</f>
        <v>4.1</v>
      </c>
      <c r="G8415" s="4" t="str">
        <f>HYPERLINK("http://141.218.60.56/~jnz1568/getInfo.php?workbook=12_05.xlsx&amp;sheet=U0&amp;row=8415&amp;col=7&amp;number=0.185&amp;sourceID=14","0.185")</f>
        <v>0.185</v>
      </c>
    </row>
    <row r="8416" spans="1:7">
      <c r="A8416" s="3"/>
      <c r="B8416" s="3"/>
      <c r="C8416" s="3"/>
      <c r="D8416" s="3"/>
      <c r="E8416" s="3">
        <v>13</v>
      </c>
      <c r="F8416" s="4" t="str">
        <f>HYPERLINK("http://141.218.60.56/~jnz1568/getInfo.php?workbook=12_05.xlsx&amp;sheet=U0&amp;row=8416&amp;col=6&amp;number=4.2&amp;sourceID=14","4.2")</f>
        <v>4.2</v>
      </c>
      <c r="G8416" s="4" t="str">
        <f>HYPERLINK("http://141.218.60.56/~jnz1568/getInfo.php?workbook=12_05.xlsx&amp;sheet=U0&amp;row=8416&amp;col=7&amp;number=0.186&amp;sourceID=14","0.186")</f>
        <v>0.186</v>
      </c>
    </row>
    <row r="8417" spans="1:7">
      <c r="A8417" s="3"/>
      <c r="B8417" s="3"/>
      <c r="C8417" s="3"/>
      <c r="D8417" s="3"/>
      <c r="E8417" s="3">
        <v>14</v>
      </c>
      <c r="F8417" s="4" t="str">
        <f>HYPERLINK("http://141.218.60.56/~jnz1568/getInfo.php?workbook=12_05.xlsx&amp;sheet=U0&amp;row=8417&amp;col=6&amp;number=4.3&amp;sourceID=14","4.3")</f>
        <v>4.3</v>
      </c>
      <c r="G8417" s="4" t="str">
        <f>HYPERLINK("http://141.218.60.56/~jnz1568/getInfo.php?workbook=12_05.xlsx&amp;sheet=U0&amp;row=8417&amp;col=7&amp;number=0.186&amp;sourceID=14","0.186")</f>
        <v>0.186</v>
      </c>
    </row>
    <row r="8418" spans="1:7">
      <c r="A8418" s="3"/>
      <c r="B8418" s="3"/>
      <c r="C8418" s="3"/>
      <c r="D8418" s="3"/>
      <c r="E8418" s="3">
        <v>15</v>
      </c>
      <c r="F8418" s="4" t="str">
        <f>HYPERLINK("http://141.218.60.56/~jnz1568/getInfo.php?workbook=12_05.xlsx&amp;sheet=U0&amp;row=8418&amp;col=6&amp;number=4.4&amp;sourceID=14","4.4")</f>
        <v>4.4</v>
      </c>
      <c r="G8418" s="4" t="str">
        <f>HYPERLINK("http://141.218.60.56/~jnz1568/getInfo.php?workbook=12_05.xlsx&amp;sheet=U0&amp;row=8418&amp;col=7&amp;number=0.187&amp;sourceID=14","0.187")</f>
        <v>0.187</v>
      </c>
    </row>
    <row r="8419" spans="1:7">
      <c r="A8419" s="3"/>
      <c r="B8419" s="3"/>
      <c r="C8419" s="3"/>
      <c r="D8419" s="3"/>
      <c r="E8419" s="3">
        <v>16</v>
      </c>
      <c r="F8419" s="4" t="str">
        <f>HYPERLINK("http://141.218.60.56/~jnz1568/getInfo.php?workbook=12_05.xlsx&amp;sheet=U0&amp;row=8419&amp;col=6&amp;number=4.5&amp;sourceID=14","4.5")</f>
        <v>4.5</v>
      </c>
      <c r="G8419" s="4" t="str">
        <f>HYPERLINK("http://141.218.60.56/~jnz1568/getInfo.php?workbook=12_05.xlsx&amp;sheet=U0&amp;row=8419&amp;col=7&amp;number=0.188&amp;sourceID=14","0.188")</f>
        <v>0.188</v>
      </c>
    </row>
    <row r="8420" spans="1:7">
      <c r="A8420" s="3"/>
      <c r="B8420" s="3"/>
      <c r="C8420" s="3"/>
      <c r="D8420" s="3"/>
      <c r="E8420" s="3">
        <v>17</v>
      </c>
      <c r="F8420" s="4" t="str">
        <f>HYPERLINK("http://141.218.60.56/~jnz1568/getInfo.php?workbook=12_05.xlsx&amp;sheet=U0&amp;row=8420&amp;col=6&amp;number=4.6&amp;sourceID=14","4.6")</f>
        <v>4.6</v>
      </c>
      <c r="G8420" s="4" t="str">
        <f>HYPERLINK("http://141.218.60.56/~jnz1568/getInfo.php?workbook=12_05.xlsx&amp;sheet=U0&amp;row=8420&amp;col=7&amp;number=0.189&amp;sourceID=14","0.189")</f>
        <v>0.189</v>
      </c>
    </row>
    <row r="8421" spans="1:7">
      <c r="A8421" s="3"/>
      <c r="B8421" s="3"/>
      <c r="C8421" s="3"/>
      <c r="D8421" s="3"/>
      <c r="E8421" s="3">
        <v>18</v>
      </c>
      <c r="F8421" s="4" t="str">
        <f>HYPERLINK("http://141.218.60.56/~jnz1568/getInfo.php?workbook=12_05.xlsx&amp;sheet=U0&amp;row=8421&amp;col=6&amp;number=4.7&amp;sourceID=14","4.7")</f>
        <v>4.7</v>
      </c>
      <c r="G8421" s="4" t="str">
        <f>HYPERLINK("http://141.218.60.56/~jnz1568/getInfo.php?workbook=12_05.xlsx&amp;sheet=U0&amp;row=8421&amp;col=7&amp;number=0.19&amp;sourceID=14","0.19")</f>
        <v>0.19</v>
      </c>
    </row>
    <row r="8422" spans="1:7">
      <c r="A8422" s="3"/>
      <c r="B8422" s="3"/>
      <c r="C8422" s="3"/>
      <c r="D8422" s="3"/>
      <c r="E8422" s="3">
        <v>19</v>
      </c>
      <c r="F8422" s="4" t="str">
        <f>HYPERLINK("http://141.218.60.56/~jnz1568/getInfo.php?workbook=12_05.xlsx&amp;sheet=U0&amp;row=8422&amp;col=6&amp;number=4.8&amp;sourceID=14","4.8")</f>
        <v>4.8</v>
      </c>
      <c r="G8422" s="4" t="str">
        <f>HYPERLINK("http://141.218.60.56/~jnz1568/getInfo.php?workbook=12_05.xlsx&amp;sheet=U0&amp;row=8422&amp;col=7&amp;number=0.192&amp;sourceID=14","0.192")</f>
        <v>0.192</v>
      </c>
    </row>
    <row r="8423" spans="1:7">
      <c r="A8423" s="3"/>
      <c r="B8423" s="3"/>
      <c r="C8423" s="3"/>
      <c r="D8423" s="3"/>
      <c r="E8423" s="3">
        <v>20</v>
      </c>
      <c r="F8423" s="4" t="str">
        <f>HYPERLINK("http://141.218.60.56/~jnz1568/getInfo.php?workbook=12_05.xlsx&amp;sheet=U0&amp;row=8423&amp;col=6&amp;number=4.9&amp;sourceID=14","4.9")</f>
        <v>4.9</v>
      </c>
      <c r="G8423" s="4" t="str">
        <f>HYPERLINK("http://141.218.60.56/~jnz1568/getInfo.php?workbook=12_05.xlsx&amp;sheet=U0&amp;row=8423&amp;col=7&amp;number=0.194&amp;sourceID=14","0.194")</f>
        <v>0.194</v>
      </c>
    </row>
    <row r="8424" spans="1:7">
      <c r="A8424" s="3">
        <v>12</v>
      </c>
      <c r="B8424" s="3">
        <v>5</v>
      </c>
      <c r="C8424" s="3">
        <v>3</v>
      </c>
      <c r="D8424" s="3">
        <v>92</v>
      </c>
      <c r="E8424" s="3">
        <v>1</v>
      </c>
      <c r="F8424" s="4" t="str">
        <f>HYPERLINK("http://141.218.60.56/~jnz1568/getInfo.php?workbook=12_05.xlsx&amp;sheet=U0&amp;row=8424&amp;col=6&amp;number=3&amp;sourceID=14","3")</f>
        <v>3</v>
      </c>
      <c r="G8424" s="4" t="str">
        <f>HYPERLINK("http://141.218.60.56/~jnz1568/getInfo.php?workbook=12_05.xlsx&amp;sheet=U0&amp;row=8424&amp;col=7&amp;number=0.184&amp;sourceID=14","0.184")</f>
        <v>0.184</v>
      </c>
    </row>
    <row r="8425" spans="1:7">
      <c r="A8425" s="3"/>
      <c r="B8425" s="3"/>
      <c r="C8425" s="3"/>
      <c r="D8425" s="3"/>
      <c r="E8425" s="3">
        <v>2</v>
      </c>
      <c r="F8425" s="4" t="str">
        <f>HYPERLINK("http://141.218.60.56/~jnz1568/getInfo.php?workbook=12_05.xlsx&amp;sheet=U0&amp;row=8425&amp;col=6&amp;number=3.1&amp;sourceID=14","3.1")</f>
        <v>3.1</v>
      </c>
      <c r="G8425" s="4" t="str">
        <f>HYPERLINK("http://141.218.60.56/~jnz1568/getInfo.php?workbook=12_05.xlsx&amp;sheet=U0&amp;row=8425&amp;col=7&amp;number=0.184&amp;sourceID=14","0.184")</f>
        <v>0.184</v>
      </c>
    </row>
    <row r="8426" spans="1:7">
      <c r="A8426" s="3"/>
      <c r="B8426" s="3"/>
      <c r="C8426" s="3"/>
      <c r="D8426" s="3"/>
      <c r="E8426" s="3">
        <v>3</v>
      </c>
      <c r="F8426" s="4" t="str">
        <f>HYPERLINK("http://141.218.60.56/~jnz1568/getInfo.php?workbook=12_05.xlsx&amp;sheet=U0&amp;row=8426&amp;col=6&amp;number=3.2&amp;sourceID=14","3.2")</f>
        <v>3.2</v>
      </c>
      <c r="G8426" s="4" t="str">
        <f>HYPERLINK("http://141.218.60.56/~jnz1568/getInfo.php?workbook=12_05.xlsx&amp;sheet=U0&amp;row=8426&amp;col=7&amp;number=0.184&amp;sourceID=14","0.184")</f>
        <v>0.184</v>
      </c>
    </row>
    <row r="8427" spans="1:7">
      <c r="A8427" s="3"/>
      <c r="B8427" s="3"/>
      <c r="C8427" s="3"/>
      <c r="D8427" s="3"/>
      <c r="E8427" s="3">
        <v>4</v>
      </c>
      <c r="F8427" s="4" t="str">
        <f>HYPERLINK("http://141.218.60.56/~jnz1568/getInfo.php?workbook=12_05.xlsx&amp;sheet=U0&amp;row=8427&amp;col=6&amp;number=3.3&amp;sourceID=14","3.3")</f>
        <v>3.3</v>
      </c>
      <c r="G8427" s="4" t="str">
        <f>HYPERLINK("http://141.218.60.56/~jnz1568/getInfo.php?workbook=12_05.xlsx&amp;sheet=U0&amp;row=8427&amp;col=7&amp;number=0.184&amp;sourceID=14","0.184")</f>
        <v>0.184</v>
      </c>
    </row>
    <row r="8428" spans="1:7">
      <c r="A8428" s="3"/>
      <c r="B8428" s="3"/>
      <c r="C8428" s="3"/>
      <c r="D8428" s="3"/>
      <c r="E8428" s="3">
        <v>5</v>
      </c>
      <c r="F8428" s="4" t="str">
        <f>HYPERLINK("http://141.218.60.56/~jnz1568/getInfo.php?workbook=12_05.xlsx&amp;sheet=U0&amp;row=8428&amp;col=6&amp;number=3.4&amp;sourceID=14","3.4")</f>
        <v>3.4</v>
      </c>
      <c r="G8428" s="4" t="str">
        <f>HYPERLINK("http://141.218.60.56/~jnz1568/getInfo.php?workbook=12_05.xlsx&amp;sheet=U0&amp;row=8428&amp;col=7&amp;number=0.184&amp;sourceID=14","0.184")</f>
        <v>0.184</v>
      </c>
    </row>
    <row r="8429" spans="1:7">
      <c r="A8429" s="3"/>
      <c r="B8429" s="3"/>
      <c r="C8429" s="3"/>
      <c r="D8429" s="3"/>
      <c r="E8429" s="3">
        <v>6</v>
      </c>
      <c r="F8429" s="4" t="str">
        <f>HYPERLINK("http://141.218.60.56/~jnz1568/getInfo.php?workbook=12_05.xlsx&amp;sheet=U0&amp;row=8429&amp;col=6&amp;number=3.5&amp;sourceID=14","3.5")</f>
        <v>3.5</v>
      </c>
      <c r="G8429" s="4" t="str">
        <f>HYPERLINK("http://141.218.60.56/~jnz1568/getInfo.php?workbook=12_05.xlsx&amp;sheet=U0&amp;row=8429&amp;col=7&amp;number=0.184&amp;sourceID=14","0.184")</f>
        <v>0.184</v>
      </c>
    </row>
    <row r="8430" spans="1:7">
      <c r="A8430" s="3"/>
      <c r="B8430" s="3"/>
      <c r="C8430" s="3"/>
      <c r="D8430" s="3"/>
      <c r="E8430" s="3">
        <v>7</v>
      </c>
      <c r="F8430" s="4" t="str">
        <f>HYPERLINK("http://141.218.60.56/~jnz1568/getInfo.php?workbook=12_05.xlsx&amp;sheet=U0&amp;row=8430&amp;col=6&amp;number=3.6&amp;sourceID=14","3.6")</f>
        <v>3.6</v>
      </c>
      <c r="G8430" s="4" t="str">
        <f>HYPERLINK("http://141.218.60.56/~jnz1568/getInfo.php?workbook=12_05.xlsx&amp;sheet=U0&amp;row=8430&amp;col=7&amp;number=0.184&amp;sourceID=14","0.184")</f>
        <v>0.184</v>
      </c>
    </row>
    <row r="8431" spans="1:7">
      <c r="A8431" s="3"/>
      <c r="B8431" s="3"/>
      <c r="C8431" s="3"/>
      <c r="D8431" s="3"/>
      <c r="E8431" s="3">
        <v>8</v>
      </c>
      <c r="F8431" s="4" t="str">
        <f>HYPERLINK("http://141.218.60.56/~jnz1568/getInfo.php?workbook=12_05.xlsx&amp;sheet=U0&amp;row=8431&amp;col=6&amp;number=3.7&amp;sourceID=14","3.7")</f>
        <v>3.7</v>
      </c>
      <c r="G8431" s="4" t="str">
        <f>HYPERLINK("http://141.218.60.56/~jnz1568/getInfo.php?workbook=12_05.xlsx&amp;sheet=U0&amp;row=8431&amp;col=7&amp;number=0.184&amp;sourceID=14","0.184")</f>
        <v>0.184</v>
      </c>
    </row>
    <row r="8432" spans="1:7">
      <c r="A8432" s="3"/>
      <c r="B8432" s="3"/>
      <c r="C8432" s="3"/>
      <c r="D8432" s="3"/>
      <c r="E8432" s="3">
        <v>9</v>
      </c>
      <c r="F8432" s="4" t="str">
        <f>HYPERLINK("http://141.218.60.56/~jnz1568/getInfo.php?workbook=12_05.xlsx&amp;sheet=U0&amp;row=8432&amp;col=6&amp;number=3.8&amp;sourceID=14","3.8")</f>
        <v>3.8</v>
      </c>
      <c r="G8432" s="4" t="str">
        <f>HYPERLINK("http://141.218.60.56/~jnz1568/getInfo.php?workbook=12_05.xlsx&amp;sheet=U0&amp;row=8432&amp;col=7&amp;number=0.184&amp;sourceID=14","0.184")</f>
        <v>0.184</v>
      </c>
    </row>
    <row r="8433" spans="1:7">
      <c r="A8433" s="3"/>
      <c r="B8433" s="3"/>
      <c r="C8433" s="3"/>
      <c r="D8433" s="3"/>
      <c r="E8433" s="3">
        <v>10</v>
      </c>
      <c r="F8433" s="4" t="str">
        <f>HYPERLINK("http://141.218.60.56/~jnz1568/getInfo.php?workbook=12_05.xlsx&amp;sheet=U0&amp;row=8433&amp;col=6&amp;number=3.9&amp;sourceID=14","3.9")</f>
        <v>3.9</v>
      </c>
      <c r="G8433" s="4" t="str">
        <f>HYPERLINK("http://141.218.60.56/~jnz1568/getInfo.php?workbook=12_05.xlsx&amp;sheet=U0&amp;row=8433&amp;col=7&amp;number=0.184&amp;sourceID=14","0.184")</f>
        <v>0.184</v>
      </c>
    </row>
    <row r="8434" spans="1:7">
      <c r="A8434" s="3"/>
      <c r="B8434" s="3"/>
      <c r="C8434" s="3"/>
      <c r="D8434" s="3"/>
      <c r="E8434" s="3">
        <v>11</v>
      </c>
      <c r="F8434" s="4" t="str">
        <f>HYPERLINK("http://141.218.60.56/~jnz1568/getInfo.php?workbook=12_05.xlsx&amp;sheet=U0&amp;row=8434&amp;col=6&amp;number=4&amp;sourceID=14","4")</f>
        <v>4</v>
      </c>
      <c r="G8434" s="4" t="str">
        <f>HYPERLINK("http://141.218.60.56/~jnz1568/getInfo.php?workbook=12_05.xlsx&amp;sheet=U0&amp;row=8434&amp;col=7&amp;number=0.184&amp;sourceID=14","0.184")</f>
        <v>0.184</v>
      </c>
    </row>
    <row r="8435" spans="1:7">
      <c r="A8435" s="3"/>
      <c r="B8435" s="3"/>
      <c r="C8435" s="3"/>
      <c r="D8435" s="3"/>
      <c r="E8435" s="3">
        <v>12</v>
      </c>
      <c r="F8435" s="4" t="str">
        <f>HYPERLINK("http://141.218.60.56/~jnz1568/getInfo.php?workbook=12_05.xlsx&amp;sheet=U0&amp;row=8435&amp;col=6&amp;number=4.1&amp;sourceID=14","4.1")</f>
        <v>4.1</v>
      </c>
      <c r="G8435" s="4" t="str">
        <f>HYPERLINK("http://141.218.60.56/~jnz1568/getInfo.php?workbook=12_05.xlsx&amp;sheet=U0&amp;row=8435&amp;col=7&amp;number=0.184&amp;sourceID=14","0.184")</f>
        <v>0.184</v>
      </c>
    </row>
    <row r="8436" spans="1:7">
      <c r="A8436" s="3"/>
      <c r="B8436" s="3"/>
      <c r="C8436" s="3"/>
      <c r="D8436" s="3"/>
      <c r="E8436" s="3">
        <v>13</v>
      </c>
      <c r="F8436" s="4" t="str">
        <f>HYPERLINK("http://141.218.60.56/~jnz1568/getInfo.php?workbook=12_05.xlsx&amp;sheet=U0&amp;row=8436&amp;col=6&amp;number=4.2&amp;sourceID=14","4.2")</f>
        <v>4.2</v>
      </c>
      <c r="G8436" s="4" t="str">
        <f>HYPERLINK("http://141.218.60.56/~jnz1568/getInfo.php?workbook=12_05.xlsx&amp;sheet=U0&amp;row=8436&amp;col=7&amp;number=0.184&amp;sourceID=14","0.184")</f>
        <v>0.184</v>
      </c>
    </row>
    <row r="8437" spans="1:7">
      <c r="A8437" s="3"/>
      <c r="B8437" s="3"/>
      <c r="C8437" s="3"/>
      <c r="D8437" s="3"/>
      <c r="E8437" s="3">
        <v>14</v>
      </c>
      <c r="F8437" s="4" t="str">
        <f>HYPERLINK("http://141.218.60.56/~jnz1568/getInfo.php?workbook=12_05.xlsx&amp;sheet=U0&amp;row=8437&amp;col=6&amp;number=4.3&amp;sourceID=14","4.3")</f>
        <v>4.3</v>
      </c>
      <c r="G8437" s="4" t="str">
        <f>HYPERLINK("http://141.218.60.56/~jnz1568/getInfo.php?workbook=12_05.xlsx&amp;sheet=U0&amp;row=8437&amp;col=7&amp;number=0.184&amp;sourceID=14","0.184")</f>
        <v>0.184</v>
      </c>
    </row>
    <row r="8438" spans="1:7">
      <c r="A8438" s="3"/>
      <c r="B8438" s="3"/>
      <c r="C8438" s="3"/>
      <c r="D8438" s="3"/>
      <c r="E8438" s="3">
        <v>15</v>
      </c>
      <c r="F8438" s="4" t="str">
        <f>HYPERLINK("http://141.218.60.56/~jnz1568/getInfo.php?workbook=12_05.xlsx&amp;sheet=U0&amp;row=8438&amp;col=6&amp;number=4.4&amp;sourceID=14","4.4")</f>
        <v>4.4</v>
      </c>
      <c r="G8438" s="4" t="str">
        <f>HYPERLINK("http://141.218.60.56/~jnz1568/getInfo.php?workbook=12_05.xlsx&amp;sheet=U0&amp;row=8438&amp;col=7&amp;number=0.184&amp;sourceID=14","0.184")</f>
        <v>0.184</v>
      </c>
    </row>
    <row r="8439" spans="1:7">
      <c r="A8439" s="3"/>
      <c r="B8439" s="3"/>
      <c r="C8439" s="3"/>
      <c r="D8439" s="3"/>
      <c r="E8439" s="3">
        <v>16</v>
      </c>
      <c r="F8439" s="4" t="str">
        <f>HYPERLINK("http://141.218.60.56/~jnz1568/getInfo.php?workbook=12_05.xlsx&amp;sheet=U0&amp;row=8439&amp;col=6&amp;number=4.5&amp;sourceID=14","4.5")</f>
        <v>4.5</v>
      </c>
      <c r="G8439" s="4" t="str">
        <f>HYPERLINK("http://141.218.60.56/~jnz1568/getInfo.php?workbook=12_05.xlsx&amp;sheet=U0&amp;row=8439&amp;col=7&amp;number=0.184&amp;sourceID=14","0.184")</f>
        <v>0.184</v>
      </c>
    </row>
    <row r="8440" spans="1:7">
      <c r="A8440" s="3"/>
      <c r="B8440" s="3"/>
      <c r="C8440" s="3"/>
      <c r="D8440" s="3"/>
      <c r="E8440" s="3">
        <v>17</v>
      </c>
      <c r="F8440" s="4" t="str">
        <f>HYPERLINK("http://141.218.60.56/~jnz1568/getInfo.php?workbook=12_05.xlsx&amp;sheet=U0&amp;row=8440&amp;col=6&amp;number=4.6&amp;sourceID=14","4.6")</f>
        <v>4.6</v>
      </c>
      <c r="G8440" s="4" t="str">
        <f>HYPERLINK("http://141.218.60.56/~jnz1568/getInfo.php?workbook=12_05.xlsx&amp;sheet=U0&amp;row=8440&amp;col=7&amp;number=0.184&amp;sourceID=14","0.184")</f>
        <v>0.184</v>
      </c>
    </row>
    <row r="8441" spans="1:7">
      <c r="A8441" s="3"/>
      <c r="B8441" s="3"/>
      <c r="C8441" s="3"/>
      <c r="D8441" s="3"/>
      <c r="E8441" s="3">
        <v>18</v>
      </c>
      <c r="F8441" s="4" t="str">
        <f>HYPERLINK("http://141.218.60.56/~jnz1568/getInfo.php?workbook=12_05.xlsx&amp;sheet=U0&amp;row=8441&amp;col=6&amp;number=4.7&amp;sourceID=14","4.7")</f>
        <v>4.7</v>
      </c>
      <c r="G8441" s="4" t="str">
        <f>HYPERLINK("http://141.218.60.56/~jnz1568/getInfo.php?workbook=12_05.xlsx&amp;sheet=U0&amp;row=8441&amp;col=7&amp;number=0.184&amp;sourceID=14","0.184")</f>
        <v>0.184</v>
      </c>
    </row>
    <row r="8442" spans="1:7">
      <c r="A8442" s="3"/>
      <c r="B8442" s="3"/>
      <c r="C8442" s="3"/>
      <c r="D8442" s="3"/>
      <c r="E8442" s="3">
        <v>19</v>
      </c>
      <c r="F8442" s="4" t="str">
        <f>HYPERLINK("http://141.218.60.56/~jnz1568/getInfo.php?workbook=12_05.xlsx&amp;sheet=U0&amp;row=8442&amp;col=6&amp;number=4.8&amp;sourceID=14","4.8")</f>
        <v>4.8</v>
      </c>
      <c r="G8442" s="4" t="str">
        <f>HYPERLINK("http://141.218.60.56/~jnz1568/getInfo.php?workbook=12_05.xlsx&amp;sheet=U0&amp;row=8442&amp;col=7&amp;number=0.184&amp;sourceID=14","0.184")</f>
        <v>0.184</v>
      </c>
    </row>
    <row r="8443" spans="1:7">
      <c r="A8443" s="3"/>
      <c r="B8443" s="3"/>
      <c r="C8443" s="3"/>
      <c r="D8443" s="3"/>
      <c r="E8443" s="3">
        <v>20</v>
      </c>
      <c r="F8443" s="4" t="str">
        <f>HYPERLINK("http://141.218.60.56/~jnz1568/getInfo.php?workbook=12_05.xlsx&amp;sheet=U0&amp;row=8443&amp;col=6&amp;number=4.9&amp;sourceID=14","4.9")</f>
        <v>4.9</v>
      </c>
      <c r="G8443" s="4" t="str">
        <f>HYPERLINK("http://141.218.60.56/~jnz1568/getInfo.php?workbook=12_05.xlsx&amp;sheet=U0&amp;row=8443&amp;col=7&amp;number=0.184&amp;sourceID=14","0.184")</f>
        <v>0.184</v>
      </c>
    </row>
    <row r="8444" spans="1:7">
      <c r="A8444" s="3">
        <v>12</v>
      </c>
      <c r="B8444" s="3">
        <v>5</v>
      </c>
      <c r="C8444" s="3">
        <v>3</v>
      </c>
      <c r="D8444" s="3">
        <v>93</v>
      </c>
      <c r="E8444" s="3">
        <v>1</v>
      </c>
      <c r="F8444" s="4" t="str">
        <f>HYPERLINK("http://141.218.60.56/~jnz1568/getInfo.php?workbook=12_05.xlsx&amp;sheet=U0&amp;row=8444&amp;col=6&amp;number=3&amp;sourceID=14","3")</f>
        <v>3</v>
      </c>
      <c r="G8444" s="4" t="str">
        <f>HYPERLINK("http://141.218.60.56/~jnz1568/getInfo.php?workbook=12_05.xlsx&amp;sheet=U0&amp;row=8444&amp;col=7&amp;number=0.0223&amp;sourceID=14","0.0223")</f>
        <v>0.0223</v>
      </c>
    </row>
    <row r="8445" spans="1:7">
      <c r="A8445" s="3"/>
      <c r="B8445" s="3"/>
      <c r="C8445" s="3"/>
      <c r="D8445" s="3"/>
      <c r="E8445" s="3">
        <v>2</v>
      </c>
      <c r="F8445" s="4" t="str">
        <f>HYPERLINK("http://141.218.60.56/~jnz1568/getInfo.php?workbook=12_05.xlsx&amp;sheet=U0&amp;row=8445&amp;col=6&amp;number=3.1&amp;sourceID=14","3.1")</f>
        <v>3.1</v>
      </c>
      <c r="G8445" s="4" t="str">
        <f>HYPERLINK("http://141.218.60.56/~jnz1568/getInfo.php?workbook=12_05.xlsx&amp;sheet=U0&amp;row=8445&amp;col=7&amp;number=0.0223&amp;sourceID=14","0.0223")</f>
        <v>0.0223</v>
      </c>
    </row>
    <row r="8446" spans="1:7">
      <c r="A8446" s="3"/>
      <c r="B8446" s="3"/>
      <c r="C8446" s="3"/>
      <c r="D8446" s="3"/>
      <c r="E8446" s="3">
        <v>3</v>
      </c>
      <c r="F8446" s="4" t="str">
        <f>HYPERLINK("http://141.218.60.56/~jnz1568/getInfo.php?workbook=12_05.xlsx&amp;sheet=U0&amp;row=8446&amp;col=6&amp;number=3.2&amp;sourceID=14","3.2")</f>
        <v>3.2</v>
      </c>
      <c r="G8446" s="4" t="str">
        <f>HYPERLINK("http://141.218.60.56/~jnz1568/getInfo.php?workbook=12_05.xlsx&amp;sheet=U0&amp;row=8446&amp;col=7&amp;number=0.0223&amp;sourceID=14","0.0223")</f>
        <v>0.0223</v>
      </c>
    </row>
    <row r="8447" spans="1:7">
      <c r="A8447" s="3"/>
      <c r="B8447" s="3"/>
      <c r="C8447" s="3"/>
      <c r="D8447" s="3"/>
      <c r="E8447" s="3">
        <v>4</v>
      </c>
      <c r="F8447" s="4" t="str">
        <f>HYPERLINK("http://141.218.60.56/~jnz1568/getInfo.php?workbook=12_05.xlsx&amp;sheet=U0&amp;row=8447&amp;col=6&amp;number=3.3&amp;sourceID=14","3.3")</f>
        <v>3.3</v>
      </c>
      <c r="G8447" s="4" t="str">
        <f>HYPERLINK("http://141.218.60.56/~jnz1568/getInfo.php?workbook=12_05.xlsx&amp;sheet=U0&amp;row=8447&amp;col=7&amp;number=0.0223&amp;sourceID=14","0.0223")</f>
        <v>0.0223</v>
      </c>
    </row>
    <row r="8448" spans="1:7">
      <c r="A8448" s="3"/>
      <c r="B8448" s="3"/>
      <c r="C8448" s="3"/>
      <c r="D8448" s="3"/>
      <c r="E8448" s="3">
        <v>5</v>
      </c>
      <c r="F8448" s="4" t="str">
        <f>HYPERLINK("http://141.218.60.56/~jnz1568/getInfo.php?workbook=12_05.xlsx&amp;sheet=U0&amp;row=8448&amp;col=6&amp;number=3.4&amp;sourceID=14","3.4")</f>
        <v>3.4</v>
      </c>
      <c r="G8448" s="4" t="str">
        <f>HYPERLINK("http://141.218.60.56/~jnz1568/getInfo.php?workbook=12_05.xlsx&amp;sheet=U0&amp;row=8448&amp;col=7&amp;number=0.0223&amp;sourceID=14","0.0223")</f>
        <v>0.0223</v>
      </c>
    </row>
    <row r="8449" spans="1:7">
      <c r="A8449" s="3"/>
      <c r="B8449" s="3"/>
      <c r="C8449" s="3"/>
      <c r="D8449" s="3"/>
      <c r="E8449" s="3">
        <v>6</v>
      </c>
      <c r="F8449" s="4" t="str">
        <f>HYPERLINK("http://141.218.60.56/~jnz1568/getInfo.php?workbook=12_05.xlsx&amp;sheet=U0&amp;row=8449&amp;col=6&amp;number=3.5&amp;sourceID=14","3.5")</f>
        <v>3.5</v>
      </c>
      <c r="G8449" s="4" t="str">
        <f>HYPERLINK("http://141.218.60.56/~jnz1568/getInfo.php?workbook=12_05.xlsx&amp;sheet=U0&amp;row=8449&amp;col=7&amp;number=0.0223&amp;sourceID=14","0.0223")</f>
        <v>0.0223</v>
      </c>
    </row>
    <row r="8450" spans="1:7">
      <c r="A8450" s="3"/>
      <c r="B8450" s="3"/>
      <c r="C8450" s="3"/>
      <c r="D8450" s="3"/>
      <c r="E8450" s="3">
        <v>7</v>
      </c>
      <c r="F8450" s="4" t="str">
        <f>HYPERLINK("http://141.218.60.56/~jnz1568/getInfo.php?workbook=12_05.xlsx&amp;sheet=U0&amp;row=8450&amp;col=6&amp;number=3.6&amp;sourceID=14","3.6")</f>
        <v>3.6</v>
      </c>
      <c r="G8450" s="4" t="str">
        <f>HYPERLINK("http://141.218.60.56/~jnz1568/getInfo.php?workbook=12_05.xlsx&amp;sheet=U0&amp;row=8450&amp;col=7&amp;number=0.0223&amp;sourceID=14","0.0223")</f>
        <v>0.0223</v>
      </c>
    </row>
    <row r="8451" spans="1:7">
      <c r="A8451" s="3"/>
      <c r="B8451" s="3"/>
      <c r="C8451" s="3"/>
      <c r="D8451" s="3"/>
      <c r="E8451" s="3">
        <v>8</v>
      </c>
      <c r="F8451" s="4" t="str">
        <f>HYPERLINK("http://141.218.60.56/~jnz1568/getInfo.php?workbook=12_05.xlsx&amp;sheet=U0&amp;row=8451&amp;col=6&amp;number=3.7&amp;sourceID=14","3.7")</f>
        <v>3.7</v>
      </c>
      <c r="G8451" s="4" t="str">
        <f>HYPERLINK("http://141.218.60.56/~jnz1568/getInfo.php?workbook=12_05.xlsx&amp;sheet=U0&amp;row=8451&amp;col=7&amp;number=0.0223&amp;sourceID=14","0.0223")</f>
        <v>0.0223</v>
      </c>
    </row>
    <row r="8452" spans="1:7">
      <c r="A8452" s="3"/>
      <c r="B8452" s="3"/>
      <c r="C8452" s="3"/>
      <c r="D8452" s="3"/>
      <c r="E8452" s="3">
        <v>9</v>
      </c>
      <c r="F8452" s="4" t="str">
        <f>HYPERLINK("http://141.218.60.56/~jnz1568/getInfo.php?workbook=12_05.xlsx&amp;sheet=U0&amp;row=8452&amp;col=6&amp;number=3.8&amp;sourceID=14","3.8")</f>
        <v>3.8</v>
      </c>
      <c r="G8452" s="4" t="str">
        <f>HYPERLINK("http://141.218.60.56/~jnz1568/getInfo.php?workbook=12_05.xlsx&amp;sheet=U0&amp;row=8452&amp;col=7&amp;number=0.0222&amp;sourceID=14","0.0222")</f>
        <v>0.0222</v>
      </c>
    </row>
    <row r="8453" spans="1:7">
      <c r="A8453" s="3"/>
      <c r="B8453" s="3"/>
      <c r="C8453" s="3"/>
      <c r="D8453" s="3"/>
      <c r="E8453" s="3">
        <v>10</v>
      </c>
      <c r="F8453" s="4" t="str">
        <f>HYPERLINK("http://141.218.60.56/~jnz1568/getInfo.php?workbook=12_05.xlsx&amp;sheet=U0&amp;row=8453&amp;col=6&amp;number=3.9&amp;sourceID=14","3.9")</f>
        <v>3.9</v>
      </c>
      <c r="G8453" s="4" t="str">
        <f>HYPERLINK("http://141.218.60.56/~jnz1568/getInfo.php?workbook=12_05.xlsx&amp;sheet=U0&amp;row=8453&amp;col=7&amp;number=0.0222&amp;sourceID=14","0.0222")</f>
        <v>0.0222</v>
      </c>
    </row>
    <row r="8454" spans="1:7">
      <c r="A8454" s="3"/>
      <c r="B8454" s="3"/>
      <c r="C8454" s="3"/>
      <c r="D8454" s="3"/>
      <c r="E8454" s="3">
        <v>11</v>
      </c>
      <c r="F8454" s="4" t="str">
        <f>HYPERLINK("http://141.218.60.56/~jnz1568/getInfo.php?workbook=12_05.xlsx&amp;sheet=U0&amp;row=8454&amp;col=6&amp;number=4&amp;sourceID=14","4")</f>
        <v>4</v>
      </c>
      <c r="G8454" s="4" t="str">
        <f>HYPERLINK("http://141.218.60.56/~jnz1568/getInfo.php?workbook=12_05.xlsx&amp;sheet=U0&amp;row=8454&amp;col=7&amp;number=0.0222&amp;sourceID=14","0.0222")</f>
        <v>0.0222</v>
      </c>
    </row>
    <row r="8455" spans="1:7">
      <c r="A8455" s="3"/>
      <c r="B8455" s="3"/>
      <c r="C8455" s="3"/>
      <c r="D8455" s="3"/>
      <c r="E8455" s="3">
        <v>12</v>
      </c>
      <c r="F8455" s="4" t="str">
        <f>HYPERLINK("http://141.218.60.56/~jnz1568/getInfo.php?workbook=12_05.xlsx&amp;sheet=U0&amp;row=8455&amp;col=6&amp;number=4.1&amp;sourceID=14","4.1")</f>
        <v>4.1</v>
      </c>
      <c r="G8455" s="4" t="str">
        <f>HYPERLINK("http://141.218.60.56/~jnz1568/getInfo.php?workbook=12_05.xlsx&amp;sheet=U0&amp;row=8455&amp;col=7&amp;number=0.0221&amp;sourceID=14","0.0221")</f>
        <v>0.0221</v>
      </c>
    </row>
    <row r="8456" spans="1:7">
      <c r="A8456" s="3"/>
      <c r="B8456" s="3"/>
      <c r="C8456" s="3"/>
      <c r="D8456" s="3"/>
      <c r="E8456" s="3">
        <v>13</v>
      </c>
      <c r="F8456" s="4" t="str">
        <f>HYPERLINK("http://141.218.60.56/~jnz1568/getInfo.php?workbook=12_05.xlsx&amp;sheet=U0&amp;row=8456&amp;col=6&amp;number=4.2&amp;sourceID=14","4.2")</f>
        <v>4.2</v>
      </c>
      <c r="G8456" s="4" t="str">
        <f>HYPERLINK("http://141.218.60.56/~jnz1568/getInfo.php?workbook=12_05.xlsx&amp;sheet=U0&amp;row=8456&amp;col=7&amp;number=0.0221&amp;sourceID=14","0.0221")</f>
        <v>0.0221</v>
      </c>
    </row>
    <row r="8457" spans="1:7">
      <c r="A8457" s="3"/>
      <c r="B8457" s="3"/>
      <c r="C8457" s="3"/>
      <c r="D8457" s="3"/>
      <c r="E8457" s="3">
        <v>14</v>
      </c>
      <c r="F8457" s="4" t="str">
        <f>HYPERLINK("http://141.218.60.56/~jnz1568/getInfo.php?workbook=12_05.xlsx&amp;sheet=U0&amp;row=8457&amp;col=6&amp;number=4.3&amp;sourceID=14","4.3")</f>
        <v>4.3</v>
      </c>
      <c r="G8457" s="4" t="str">
        <f>HYPERLINK("http://141.218.60.56/~jnz1568/getInfo.php?workbook=12_05.xlsx&amp;sheet=U0&amp;row=8457&amp;col=7&amp;number=0.022&amp;sourceID=14","0.022")</f>
        <v>0.022</v>
      </c>
    </row>
    <row r="8458" spans="1:7">
      <c r="A8458" s="3"/>
      <c r="B8458" s="3"/>
      <c r="C8458" s="3"/>
      <c r="D8458" s="3"/>
      <c r="E8458" s="3">
        <v>15</v>
      </c>
      <c r="F8458" s="4" t="str">
        <f>HYPERLINK("http://141.218.60.56/~jnz1568/getInfo.php?workbook=12_05.xlsx&amp;sheet=U0&amp;row=8458&amp;col=6&amp;number=4.4&amp;sourceID=14","4.4")</f>
        <v>4.4</v>
      </c>
      <c r="G8458" s="4" t="str">
        <f>HYPERLINK("http://141.218.60.56/~jnz1568/getInfo.php?workbook=12_05.xlsx&amp;sheet=U0&amp;row=8458&amp;col=7&amp;number=0.022&amp;sourceID=14","0.022")</f>
        <v>0.022</v>
      </c>
    </row>
    <row r="8459" spans="1:7">
      <c r="A8459" s="3"/>
      <c r="B8459" s="3"/>
      <c r="C8459" s="3"/>
      <c r="D8459" s="3"/>
      <c r="E8459" s="3">
        <v>16</v>
      </c>
      <c r="F8459" s="4" t="str">
        <f>HYPERLINK("http://141.218.60.56/~jnz1568/getInfo.php?workbook=12_05.xlsx&amp;sheet=U0&amp;row=8459&amp;col=6&amp;number=4.5&amp;sourceID=14","4.5")</f>
        <v>4.5</v>
      </c>
      <c r="G8459" s="4" t="str">
        <f>HYPERLINK("http://141.218.60.56/~jnz1568/getInfo.php?workbook=12_05.xlsx&amp;sheet=U0&amp;row=8459&amp;col=7&amp;number=0.0219&amp;sourceID=14","0.0219")</f>
        <v>0.0219</v>
      </c>
    </row>
    <row r="8460" spans="1:7">
      <c r="A8460" s="3"/>
      <c r="B8460" s="3"/>
      <c r="C8460" s="3"/>
      <c r="D8460" s="3"/>
      <c r="E8460" s="3">
        <v>17</v>
      </c>
      <c r="F8460" s="4" t="str">
        <f>HYPERLINK("http://141.218.60.56/~jnz1568/getInfo.php?workbook=12_05.xlsx&amp;sheet=U0&amp;row=8460&amp;col=6&amp;number=4.6&amp;sourceID=14","4.6")</f>
        <v>4.6</v>
      </c>
      <c r="G8460" s="4" t="str">
        <f>HYPERLINK("http://141.218.60.56/~jnz1568/getInfo.php?workbook=12_05.xlsx&amp;sheet=U0&amp;row=8460&amp;col=7&amp;number=0.0218&amp;sourceID=14","0.0218")</f>
        <v>0.0218</v>
      </c>
    </row>
    <row r="8461" spans="1:7">
      <c r="A8461" s="3"/>
      <c r="B8461" s="3"/>
      <c r="C8461" s="3"/>
      <c r="D8461" s="3"/>
      <c r="E8461" s="3">
        <v>18</v>
      </c>
      <c r="F8461" s="4" t="str">
        <f>HYPERLINK("http://141.218.60.56/~jnz1568/getInfo.php?workbook=12_05.xlsx&amp;sheet=U0&amp;row=8461&amp;col=6&amp;number=4.7&amp;sourceID=14","4.7")</f>
        <v>4.7</v>
      </c>
      <c r="G8461" s="4" t="str">
        <f>HYPERLINK("http://141.218.60.56/~jnz1568/getInfo.php?workbook=12_05.xlsx&amp;sheet=U0&amp;row=8461&amp;col=7&amp;number=0.0216&amp;sourceID=14","0.0216")</f>
        <v>0.0216</v>
      </c>
    </row>
    <row r="8462" spans="1:7">
      <c r="A8462" s="3"/>
      <c r="B8462" s="3"/>
      <c r="C8462" s="3"/>
      <c r="D8462" s="3"/>
      <c r="E8462" s="3">
        <v>19</v>
      </c>
      <c r="F8462" s="4" t="str">
        <f>HYPERLINK("http://141.218.60.56/~jnz1568/getInfo.php?workbook=12_05.xlsx&amp;sheet=U0&amp;row=8462&amp;col=6&amp;number=4.8&amp;sourceID=14","4.8")</f>
        <v>4.8</v>
      </c>
      <c r="G8462" s="4" t="str">
        <f>HYPERLINK("http://141.218.60.56/~jnz1568/getInfo.php?workbook=12_05.xlsx&amp;sheet=U0&amp;row=8462&amp;col=7&amp;number=0.0214&amp;sourceID=14","0.0214")</f>
        <v>0.0214</v>
      </c>
    </row>
    <row r="8463" spans="1:7">
      <c r="A8463" s="3"/>
      <c r="B8463" s="3"/>
      <c r="C8463" s="3"/>
      <c r="D8463" s="3"/>
      <c r="E8463" s="3">
        <v>20</v>
      </c>
      <c r="F8463" s="4" t="str">
        <f>HYPERLINK("http://141.218.60.56/~jnz1568/getInfo.php?workbook=12_05.xlsx&amp;sheet=U0&amp;row=8463&amp;col=6&amp;number=4.9&amp;sourceID=14","4.9")</f>
        <v>4.9</v>
      </c>
      <c r="G8463" s="4" t="str">
        <f>HYPERLINK("http://141.218.60.56/~jnz1568/getInfo.php?workbook=12_05.xlsx&amp;sheet=U0&amp;row=8463&amp;col=7&amp;number=0.0212&amp;sourceID=14","0.0212")</f>
        <v>0.0212</v>
      </c>
    </row>
    <row r="8464" spans="1:7">
      <c r="A8464" s="3">
        <v>12</v>
      </c>
      <c r="B8464" s="3">
        <v>5</v>
      </c>
      <c r="C8464" s="3">
        <v>3</v>
      </c>
      <c r="D8464" s="3">
        <v>94</v>
      </c>
      <c r="E8464" s="3">
        <v>1</v>
      </c>
      <c r="F8464" s="4" t="str">
        <f>HYPERLINK("http://141.218.60.56/~jnz1568/getInfo.php?workbook=12_05.xlsx&amp;sheet=U0&amp;row=8464&amp;col=6&amp;number=3&amp;sourceID=14","3")</f>
        <v>3</v>
      </c>
      <c r="G8464" s="4" t="str">
        <f>HYPERLINK("http://141.218.60.56/~jnz1568/getInfo.php?workbook=12_05.xlsx&amp;sheet=U0&amp;row=8464&amp;col=7&amp;number=0.000624&amp;sourceID=14","0.000624")</f>
        <v>0.000624</v>
      </c>
    </row>
    <row r="8465" spans="1:7">
      <c r="A8465" s="3"/>
      <c r="B8465" s="3"/>
      <c r="C8465" s="3"/>
      <c r="D8465" s="3"/>
      <c r="E8465" s="3">
        <v>2</v>
      </c>
      <c r="F8465" s="4" t="str">
        <f>HYPERLINK("http://141.218.60.56/~jnz1568/getInfo.php?workbook=12_05.xlsx&amp;sheet=U0&amp;row=8465&amp;col=6&amp;number=3.1&amp;sourceID=14","3.1")</f>
        <v>3.1</v>
      </c>
      <c r="G8465" s="4" t="str">
        <f>HYPERLINK("http://141.218.60.56/~jnz1568/getInfo.php?workbook=12_05.xlsx&amp;sheet=U0&amp;row=8465&amp;col=7&amp;number=0.000624&amp;sourceID=14","0.000624")</f>
        <v>0.000624</v>
      </c>
    </row>
    <row r="8466" spans="1:7">
      <c r="A8466" s="3"/>
      <c r="B8466" s="3"/>
      <c r="C8466" s="3"/>
      <c r="D8466" s="3"/>
      <c r="E8466" s="3">
        <v>3</v>
      </c>
      <c r="F8466" s="4" t="str">
        <f>HYPERLINK("http://141.218.60.56/~jnz1568/getInfo.php?workbook=12_05.xlsx&amp;sheet=U0&amp;row=8466&amp;col=6&amp;number=3.2&amp;sourceID=14","3.2")</f>
        <v>3.2</v>
      </c>
      <c r="G8466" s="4" t="str">
        <f>HYPERLINK("http://141.218.60.56/~jnz1568/getInfo.php?workbook=12_05.xlsx&amp;sheet=U0&amp;row=8466&amp;col=7&amp;number=0.000623&amp;sourceID=14","0.000623")</f>
        <v>0.000623</v>
      </c>
    </row>
    <row r="8467" spans="1:7">
      <c r="A8467" s="3"/>
      <c r="B8467" s="3"/>
      <c r="C8467" s="3"/>
      <c r="D8467" s="3"/>
      <c r="E8467" s="3">
        <v>4</v>
      </c>
      <c r="F8467" s="4" t="str">
        <f>HYPERLINK("http://141.218.60.56/~jnz1568/getInfo.php?workbook=12_05.xlsx&amp;sheet=U0&amp;row=8467&amp;col=6&amp;number=3.3&amp;sourceID=14","3.3")</f>
        <v>3.3</v>
      </c>
      <c r="G8467" s="4" t="str">
        <f>HYPERLINK("http://141.218.60.56/~jnz1568/getInfo.php?workbook=12_05.xlsx&amp;sheet=U0&amp;row=8467&amp;col=7&amp;number=0.000623&amp;sourceID=14","0.000623")</f>
        <v>0.000623</v>
      </c>
    </row>
    <row r="8468" spans="1:7">
      <c r="A8468" s="3"/>
      <c r="B8468" s="3"/>
      <c r="C8468" s="3"/>
      <c r="D8468" s="3"/>
      <c r="E8468" s="3">
        <v>5</v>
      </c>
      <c r="F8468" s="4" t="str">
        <f>HYPERLINK("http://141.218.60.56/~jnz1568/getInfo.php?workbook=12_05.xlsx&amp;sheet=U0&amp;row=8468&amp;col=6&amp;number=3.4&amp;sourceID=14","3.4")</f>
        <v>3.4</v>
      </c>
      <c r="G8468" s="4" t="str">
        <f>HYPERLINK("http://141.218.60.56/~jnz1568/getInfo.php?workbook=12_05.xlsx&amp;sheet=U0&amp;row=8468&amp;col=7&amp;number=0.000623&amp;sourceID=14","0.000623")</f>
        <v>0.000623</v>
      </c>
    </row>
    <row r="8469" spans="1:7">
      <c r="A8469" s="3"/>
      <c r="B8469" s="3"/>
      <c r="C8469" s="3"/>
      <c r="D8469" s="3"/>
      <c r="E8469" s="3">
        <v>6</v>
      </c>
      <c r="F8469" s="4" t="str">
        <f>HYPERLINK("http://141.218.60.56/~jnz1568/getInfo.php?workbook=12_05.xlsx&amp;sheet=U0&amp;row=8469&amp;col=6&amp;number=3.5&amp;sourceID=14","3.5")</f>
        <v>3.5</v>
      </c>
      <c r="G8469" s="4" t="str">
        <f>HYPERLINK("http://141.218.60.56/~jnz1568/getInfo.php?workbook=12_05.xlsx&amp;sheet=U0&amp;row=8469&amp;col=7&amp;number=0.000622&amp;sourceID=14","0.000622")</f>
        <v>0.000622</v>
      </c>
    </row>
    <row r="8470" spans="1:7">
      <c r="A8470" s="3"/>
      <c r="B8470" s="3"/>
      <c r="C8470" s="3"/>
      <c r="D8470" s="3"/>
      <c r="E8470" s="3">
        <v>7</v>
      </c>
      <c r="F8470" s="4" t="str">
        <f>HYPERLINK("http://141.218.60.56/~jnz1568/getInfo.php?workbook=12_05.xlsx&amp;sheet=U0&amp;row=8470&amp;col=6&amp;number=3.6&amp;sourceID=14","3.6")</f>
        <v>3.6</v>
      </c>
      <c r="G8470" s="4" t="str">
        <f>HYPERLINK("http://141.218.60.56/~jnz1568/getInfo.php?workbook=12_05.xlsx&amp;sheet=U0&amp;row=8470&amp;col=7&amp;number=0.000622&amp;sourceID=14","0.000622")</f>
        <v>0.000622</v>
      </c>
    </row>
    <row r="8471" spans="1:7">
      <c r="A8471" s="3"/>
      <c r="B8471" s="3"/>
      <c r="C8471" s="3"/>
      <c r="D8471" s="3"/>
      <c r="E8471" s="3">
        <v>8</v>
      </c>
      <c r="F8471" s="4" t="str">
        <f>HYPERLINK("http://141.218.60.56/~jnz1568/getInfo.php?workbook=12_05.xlsx&amp;sheet=U0&amp;row=8471&amp;col=6&amp;number=3.7&amp;sourceID=14","3.7")</f>
        <v>3.7</v>
      </c>
      <c r="G8471" s="4" t="str">
        <f>HYPERLINK("http://141.218.60.56/~jnz1568/getInfo.php?workbook=12_05.xlsx&amp;sheet=U0&amp;row=8471&amp;col=7&amp;number=0.000621&amp;sourceID=14","0.000621")</f>
        <v>0.000621</v>
      </c>
    </row>
    <row r="8472" spans="1:7">
      <c r="A8472" s="3"/>
      <c r="B8472" s="3"/>
      <c r="C8472" s="3"/>
      <c r="D8472" s="3"/>
      <c r="E8472" s="3">
        <v>9</v>
      </c>
      <c r="F8472" s="4" t="str">
        <f>HYPERLINK("http://141.218.60.56/~jnz1568/getInfo.php?workbook=12_05.xlsx&amp;sheet=U0&amp;row=8472&amp;col=6&amp;number=3.8&amp;sourceID=14","3.8")</f>
        <v>3.8</v>
      </c>
      <c r="G8472" s="4" t="str">
        <f>HYPERLINK("http://141.218.60.56/~jnz1568/getInfo.php?workbook=12_05.xlsx&amp;sheet=U0&amp;row=8472&amp;col=7&amp;number=0.00062&amp;sourceID=14","0.00062")</f>
        <v>0.00062</v>
      </c>
    </row>
    <row r="8473" spans="1:7">
      <c r="A8473" s="3"/>
      <c r="B8473" s="3"/>
      <c r="C8473" s="3"/>
      <c r="D8473" s="3"/>
      <c r="E8473" s="3">
        <v>10</v>
      </c>
      <c r="F8473" s="4" t="str">
        <f>HYPERLINK("http://141.218.60.56/~jnz1568/getInfo.php?workbook=12_05.xlsx&amp;sheet=U0&amp;row=8473&amp;col=6&amp;number=3.9&amp;sourceID=14","3.9")</f>
        <v>3.9</v>
      </c>
      <c r="G8473" s="4" t="str">
        <f>HYPERLINK("http://141.218.60.56/~jnz1568/getInfo.php?workbook=12_05.xlsx&amp;sheet=U0&amp;row=8473&amp;col=7&amp;number=0.000619&amp;sourceID=14","0.000619")</f>
        <v>0.000619</v>
      </c>
    </row>
    <row r="8474" spans="1:7">
      <c r="A8474" s="3"/>
      <c r="B8474" s="3"/>
      <c r="C8474" s="3"/>
      <c r="D8474" s="3"/>
      <c r="E8474" s="3">
        <v>11</v>
      </c>
      <c r="F8474" s="4" t="str">
        <f>HYPERLINK("http://141.218.60.56/~jnz1568/getInfo.php?workbook=12_05.xlsx&amp;sheet=U0&amp;row=8474&amp;col=6&amp;number=4&amp;sourceID=14","4")</f>
        <v>4</v>
      </c>
      <c r="G8474" s="4" t="str">
        <f>HYPERLINK("http://141.218.60.56/~jnz1568/getInfo.php?workbook=12_05.xlsx&amp;sheet=U0&amp;row=8474&amp;col=7&amp;number=0.000617&amp;sourceID=14","0.000617")</f>
        <v>0.000617</v>
      </c>
    </row>
    <row r="8475" spans="1:7">
      <c r="A8475" s="3"/>
      <c r="B8475" s="3"/>
      <c r="C8475" s="3"/>
      <c r="D8475" s="3"/>
      <c r="E8475" s="3">
        <v>12</v>
      </c>
      <c r="F8475" s="4" t="str">
        <f>HYPERLINK("http://141.218.60.56/~jnz1568/getInfo.php?workbook=12_05.xlsx&amp;sheet=U0&amp;row=8475&amp;col=6&amp;number=4.1&amp;sourceID=14","4.1")</f>
        <v>4.1</v>
      </c>
      <c r="G8475" s="4" t="str">
        <f>HYPERLINK("http://141.218.60.56/~jnz1568/getInfo.php?workbook=12_05.xlsx&amp;sheet=U0&amp;row=8475&amp;col=7&amp;number=0.000615&amp;sourceID=14","0.000615")</f>
        <v>0.000615</v>
      </c>
    </row>
    <row r="8476" spans="1:7">
      <c r="A8476" s="3"/>
      <c r="B8476" s="3"/>
      <c r="C8476" s="3"/>
      <c r="D8476" s="3"/>
      <c r="E8476" s="3">
        <v>13</v>
      </c>
      <c r="F8476" s="4" t="str">
        <f>HYPERLINK("http://141.218.60.56/~jnz1568/getInfo.php?workbook=12_05.xlsx&amp;sheet=U0&amp;row=8476&amp;col=6&amp;number=4.2&amp;sourceID=14","4.2")</f>
        <v>4.2</v>
      </c>
      <c r="G8476" s="4" t="str">
        <f>HYPERLINK("http://141.218.60.56/~jnz1568/getInfo.php?workbook=12_05.xlsx&amp;sheet=U0&amp;row=8476&amp;col=7&amp;number=0.000613&amp;sourceID=14","0.000613")</f>
        <v>0.000613</v>
      </c>
    </row>
    <row r="8477" spans="1:7">
      <c r="A8477" s="3"/>
      <c r="B8477" s="3"/>
      <c r="C8477" s="3"/>
      <c r="D8477" s="3"/>
      <c r="E8477" s="3">
        <v>14</v>
      </c>
      <c r="F8477" s="4" t="str">
        <f>HYPERLINK("http://141.218.60.56/~jnz1568/getInfo.php?workbook=12_05.xlsx&amp;sheet=U0&amp;row=8477&amp;col=6&amp;number=4.3&amp;sourceID=14","4.3")</f>
        <v>4.3</v>
      </c>
      <c r="G8477" s="4" t="str">
        <f>HYPERLINK("http://141.218.60.56/~jnz1568/getInfo.php?workbook=12_05.xlsx&amp;sheet=U0&amp;row=8477&amp;col=7&amp;number=0.00061&amp;sourceID=14","0.00061")</f>
        <v>0.00061</v>
      </c>
    </row>
    <row r="8478" spans="1:7">
      <c r="A8478" s="3"/>
      <c r="B8478" s="3"/>
      <c r="C8478" s="3"/>
      <c r="D8478" s="3"/>
      <c r="E8478" s="3">
        <v>15</v>
      </c>
      <c r="F8478" s="4" t="str">
        <f>HYPERLINK("http://141.218.60.56/~jnz1568/getInfo.php?workbook=12_05.xlsx&amp;sheet=U0&amp;row=8478&amp;col=6&amp;number=4.4&amp;sourceID=14","4.4")</f>
        <v>4.4</v>
      </c>
      <c r="G8478" s="4" t="str">
        <f>HYPERLINK("http://141.218.60.56/~jnz1568/getInfo.php?workbook=12_05.xlsx&amp;sheet=U0&amp;row=8478&amp;col=7&amp;number=0.000606&amp;sourceID=14","0.000606")</f>
        <v>0.000606</v>
      </c>
    </row>
    <row r="8479" spans="1:7">
      <c r="A8479" s="3"/>
      <c r="B8479" s="3"/>
      <c r="C8479" s="3"/>
      <c r="D8479" s="3"/>
      <c r="E8479" s="3">
        <v>16</v>
      </c>
      <c r="F8479" s="4" t="str">
        <f>HYPERLINK("http://141.218.60.56/~jnz1568/getInfo.php?workbook=12_05.xlsx&amp;sheet=U0&amp;row=8479&amp;col=6&amp;number=4.5&amp;sourceID=14","4.5")</f>
        <v>4.5</v>
      </c>
      <c r="G8479" s="4" t="str">
        <f>HYPERLINK("http://141.218.60.56/~jnz1568/getInfo.php?workbook=12_05.xlsx&amp;sheet=U0&amp;row=8479&amp;col=7&amp;number=0.000601&amp;sourceID=14","0.000601")</f>
        <v>0.000601</v>
      </c>
    </row>
    <row r="8480" spans="1:7">
      <c r="A8480" s="3"/>
      <c r="B8480" s="3"/>
      <c r="C8480" s="3"/>
      <c r="D8480" s="3"/>
      <c r="E8480" s="3">
        <v>17</v>
      </c>
      <c r="F8480" s="4" t="str">
        <f>HYPERLINK("http://141.218.60.56/~jnz1568/getInfo.php?workbook=12_05.xlsx&amp;sheet=U0&amp;row=8480&amp;col=6&amp;number=4.6&amp;sourceID=14","4.6")</f>
        <v>4.6</v>
      </c>
      <c r="G8480" s="4" t="str">
        <f>HYPERLINK("http://141.218.60.56/~jnz1568/getInfo.php?workbook=12_05.xlsx&amp;sheet=U0&amp;row=8480&amp;col=7&amp;number=0.000596&amp;sourceID=14","0.000596")</f>
        <v>0.000596</v>
      </c>
    </row>
    <row r="8481" spans="1:7">
      <c r="A8481" s="3"/>
      <c r="B8481" s="3"/>
      <c r="C8481" s="3"/>
      <c r="D8481" s="3"/>
      <c r="E8481" s="3">
        <v>18</v>
      </c>
      <c r="F8481" s="4" t="str">
        <f>HYPERLINK("http://141.218.60.56/~jnz1568/getInfo.php?workbook=12_05.xlsx&amp;sheet=U0&amp;row=8481&amp;col=6&amp;number=4.7&amp;sourceID=14","4.7")</f>
        <v>4.7</v>
      </c>
      <c r="G8481" s="4" t="str">
        <f>HYPERLINK("http://141.218.60.56/~jnz1568/getInfo.php?workbook=12_05.xlsx&amp;sheet=U0&amp;row=8481&amp;col=7&amp;number=0.000588&amp;sourceID=14","0.000588")</f>
        <v>0.000588</v>
      </c>
    </row>
    <row r="8482" spans="1:7">
      <c r="A8482" s="3"/>
      <c r="B8482" s="3"/>
      <c r="C8482" s="3"/>
      <c r="D8482" s="3"/>
      <c r="E8482" s="3">
        <v>19</v>
      </c>
      <c r="F8482" s="4" t="str">
        <f>HYPERLINK("http://141.218.60.56/~jnz1568/getInfo.php?workbook=12_05.xlsx&amp;sheet=U0&amp;row=8482&amp;col=6&amp;number=4.8&amp;sourceID=14","4.8")</f>
        <v>4.8</v>
      </c>
      <c r="G8482" s="4" t="str">
        <f>HYPERLINK("http://141.218.60.56/~jnz1568/getInfo.php?workbook=12_05.xlsx&amp;sheet=U0&amp;row=8482&amp;col=7&amp;number=0.00058&amp;sourceID=14","0.00058")</f>
        <v>0.00058</v>
      </c>
    </row>
    <row r="8483" spans="1:7">
      <c r="A8483" s="3"/>
      <c r="B8483" s="3"/>
      <c r="C8483" s="3"/>
      <c r="D8483" s="3"/>
      <c r="E8483" s="3">
        <v>20</v>
      </c>
      <c r="F8483" s="4" t="str">
        <f>HYPERLINK("http://141.218.60.56/~jnz1568/getInfo.php?workbook=12_05.xlsx&amp;sheet=U0&amp;row=8483&amp;col=6&amp;number=4.9&amp;sourceID=14","4.9")</f>
        <v>4.9</v>
      </c>
      <c r="G8483" s="4" t="str">
        <f>HYPERLINK("http://141.218.60.56/~jnz1568/getInfo.php?workbook=12_05.xlsx&amp;sheet=U0&amp;row=8483&amp;col=7&amp;number=0.000569&amp;sourceID=14","0.000569")</f>
        <v>0.000569</v>
      </c>
    </row>
    <row r="8484" spans="1:7">
      <c r="A8484" s="3">
        <v>12</v>
      </c>
      <c r="B8484" s="3">
        <v>5</v>
      </c>
      <c r="C8484" s="3">
        <v>3</v>
      </c>
      <c r="D8484" s="3">
        <v>95</v>
      </c>
      <c r="E8484" s="3">
        <v>1</v>
      </c>
      <c r="F8484" s="4" t="str">
        <f>HYPERLINK("http://141.218.60.56/~jnz1568/getInfo.php?workbook=12_05.xlsx&amp;sheet=U0&amp;row=8484&amp;col=6&amp;number=3&amp;sourceID=14","3")</f>
        <v>3</v>
      </c>
      <c r="G8484" s="4" t="str">
        <f>HYPERLINK("http://141.218.60.56/~jnz1568/getInfo.php?workbook=12_05.xlsx&amp;sheet=U0&amp;row=8484&amp;col=7&amp;number=0.00742&amp;sourceID=14","0.00742")</f>
        <v>0.00742</v>
      </c>
    </row>
    <row r="8485" spans="1:7">
      <c r="A8485" s="3"/>
      <c r="B8485" s="3"/>
      <c r="C8485" s="3"/>
      <c r="D8485" s="3"/>
      <c r="E8485" s="3">
        <v>2</v>
      </c>
      <c r="F8485" s="4" t="str">
        <f>HYPERLINK("http://141.218.60.56/~jnz1568/getInfo.php?workbook=12_05.xlsx&amp;sheet=U0&amp;row=8485&amp;col=6&amp;number=3.1&amp;sourceID=14","3.1")</f>
        <v>3.1</v>
      </c>
      <c r="G8485" s="4" t="str">
        <f>HYPERLINK("http://141.218.60.56/~jnz1568/getInfo.php?workbook=12_05.xlsx&amp;sheet=U0&amp;row=8485&amp;col=7&amp;number=0.00742&amp;sourceID=14","0.00742")</f>
        <v>0.00742</v>
      </c>
    </row>
    <row r="8486" spans="1:7">
      <c r="A8486" s="3"/>
      <c r="B8486" s="3"/>
      <c r="C8486" s="3"/>
      <c r="D8486" s="3"/>
      <c r="E8486" s="3">
        <v>3</v>
      </c>
      <c r="F8486" s="4" t="str">
        <f>HYPERLINK("http://141.218.60.56/~jnz1568/getInfo.php?workbook=12_05.xlsx&amp;sheet=U0&amp;row=8486&amp;col=6&amp;number=3.2&amp;sourceID=14","3.2")</f>
        <v>3.2</v>
      </c>
      <c r="G8486" s="4" t="str">
        <f>HYPERLINK("http://141.218.60.56/~jnz1568/getInfo.php?workbook=12_05.xlsx&amp;sheet=U0&amp;row=8486&amp;col=7&amp;number=0.00742&amp;sourceID=14","0.00742")</f>
        <v>0.00742</v>
      </c>
    </row>
    <row r="8487" spans="1:7">
      <c r="A8487" s="3"/>
      <c r="B8487" s="3"/>
      <c r="C8487" s="3"/>
      <c r="D8487" s="3"/>
      <c r="E8487" s="3">
        <v>4</v>
      </c>
      <c r="F8487" s="4" t="str">
        <f>HYPERLINK("http://141.218.60.56/~jnz1568/getInfo.php?workbook=12_05.xlsx&amp;sheet=U0&amp;row=8487&amp;col=6&amp;number=3.3&amp;sourceID=14","3.3")</f>
        <v>3.3</v>
      </c>
      <c r="G8487" s="4" t="str">
        <f>HYPERLINK("http://141.218.60.56/~jnz1568/getInfo.php?workbook=12_05.xlsx&amp;sheet=U0&amp;row=8487&amp;col=7&amp;number=0.00742&amp;sourceID=14","0.00742")</f>
        <v>0.00742</v>
      </c>
    </row>
    <row r="8488" spans="1:7">
      <c r="A8488" s="3"/>
      <c r="B8488" s="3"/>
      <c r="C8488" s="3"/>
      <c r="D8488" s="3"/>
      <c r="E8488" s="3">
        <v>5</v>
      </c>
      <c r="F8488" s="4" t="str">
        <f>HYPERLINK("http://141.218.60.56/~jnz1568/getInfo.php?workbook=12_05.xlsx&amp;sheet=U0&amp;row=8488&amp;col=6&amp;number=3.4&amp;sourceID=14","3.4")</f>
        <v>3.4</v>
      </c>
      <c r="G8488" s="4" t="str">
        <f>HYPERLINK("http://141.218.60.56/~jnz1568/getInfo.php?workbook=12_05.xlsx&amp;sheet=U0&amp;row=8488&amp;col=7&amp;number=0.00741&amp;sourceID=14","0.00741")</f>
        <v>0.00741</v>
      </c>
    </row>
    <row r="8489" spans="1:7">
      <c r="A8489" s="3"/>
      <c r="B8489" s="3"/>
      <c r="C8489" s="3"/>
      <c r="D8489" s="3"/>
      <c r="E8489" s="3">
        <v>6</v>
      </c>
      <c r="F8489" s="4" t="str">
        <f>HYPERLINK("http://141.218.60.56/~jnz1568/getInfo.php?workbook=12_05.xlsx&amp;sheet=U0&amp;row=8489&amp;col=6&amp;number=3.5&amp;sourceID=14","3.5")</f>
        <v>3.5</v>
      </c>
      <c r="G8489" s="4" t="str">
        <f>HYPERLINK("http://141.218.60.56/~jnz1568/getInfo.php?workbook=12_05.xlsx&amp;sheet=U0&amp;row=8489&amp;col=7&amp;number=0.00741&amp;sourceID=14","0.00741")</f>
        <v>0.00741</v>
      </c>
    </row>
    <row r="8490" spans="1:7">
      <c r="A8490" s="3"/>
      <c r="B8490" s="3"/>
      <c r="C8490" s="3"/>
      <c r="D8490" s="3"/>
      <c r="E8490" s="3">
        <v>7</v>
      </c>
      <c r="F8490" s="4" t="str">
        <f>HYPERLINK("http://141.218.60.56/~jnz1568/getInfo.php?workbook=12_05.xlsx&amp;sheet=U0&amp;row=8490&amp;col=6&amp;number=3.6&amp;sourceID=14","3.6")</f>
        <v>3.6</v>
      </c>
      <c r="G8490" s="4" t="str">
        <f>HYPERLINK("http://141.218.60.56/~jnz1568/getInfo.php?workbook=12_05.xlsx&amp;sheet=U0&amp;row=8490&amp;col=7&amp;number=0.0074&amp;sourceID=14","0.0074")</f>
        <v>0.0074</v>
      </c>
    </row>
    <row r="8491" spans="1:7">
      <c r="A8491" s="3"/>
      <c r="B8491" s="3"/>
      <c r="C8491" s="3"/>
      <c r="D8491" s="3"/>
      <c r="E8491" s="3">
        <v>8</v>
      </c>
      <c r="F8491" s="4" t="str">
        <f>HYPERLINK("http://141.218.60.56/~jnz1568/getInfo.php?workbook=12_05.xlsx&amp;sheet=U0&amp;row=8491&amp;col=6&amp;number=3.7&amp;sourceID=14","3.7")</f>
        <v>3.7</v>
      </c>
      <c r="G8491" s="4" t="str">
        <f>HYPERLINK("http://141.218.60.56/~jnz1568/getInfo.php?workbook=12_05.xlsx&amp;sheet=U0&amp;row=8491&amp;col=7&amp;number=0.00739&amp;sourceID=14","0.00739")</f>
        <v>0.00739</v>
      </c>
    </row>
    <row r="8492" spans="1:7">
      <c r="A8492" s="3"/>
      <c r="B8492" s="3"/>
      <c r="C8492" s="3"/>
      <c r="D8492" s="3"/>
      <c r="E8492" s="3">
        <v>9</v>
      </c>
      <c r="F8492" s="4" t="str">
        <f>HYPERLINK("http://141.218.60.56/~jnz1568/getInfo.php?workbook=12_05.xlsx&amp;sheet=U0&amp;row=8492&amp;col=6&amp;number=3.8&amp;sourceID=14","3.8")</f>
        <v>3.8</v>
      </c>
      <c r="G8492" s="4" t="str">
        <f>HYPERLINK("http://141.218.60.56/~jnz1568/getInfo.php?workbook=12_05.xlsx&amp;sheet=U0&amp;row=8492&amp;col=7&amp;number=0.00738&amp;sourceID=14","0.00738")</f>
        <v>0.00738</v>
      </c>
    </row>
    <row r="8493" spans="1:7">
      <c r="A8493" s="3"/>
      <c r="B8493" s="3"/>
      <c r="C8493" s="3"/>
      <c r="D8493" s="3"/>
      <c r="E8493" s="3">
        <v>10</v>
      </c>
      <c r="F8493" s="4" t="str">
        <f>HYPERLINK("http://141.218.60.56/~jnz1568/getInfo.php?workbook=12_05.xlsx&amp;sheet=U0&amp;row=8493&amp;col=6&amp;number=3.9&amp;sourceID=14","3.9")</f>
        <v>3.9</v>
      </c>
      <c r="G8493" s="4" t="str">
        <f>HYPERLINK("http://141.218.60.56/~jnz1568/getInfo.php?workbook=12_05.xlsx&amp;sheet=U0&amp;row=8493&amp;col=7&amp;number=0.00736&amp;sourceID=14","0.00736")</f>
        <v>0.00736</v>
      </c>
    </row>
    <row r="8494" spans="1:7">
      <c r="A8494" s="3"/>
      <c r="B8494" s="3"/>
      <c r="C8494" s="3"/>
      <c r="D8494" s="3"/>
      <c r="E8494" s="3">
        <v>11</v>
      </c>
      <c r="F8494" s="4" t="str">
        <f>HYPERLINK("http://141.218.60.56/~jnz1568/getInfo.php?workbook=12_05.xlsx&amp;sheet=U0&amp;row=8494&amp;col=6&amp;number=4&amp;sourceID=14","4")</f>
        <v>4</v>
      </c>
      <c r="G8494" s="4" t="str">
        <f>HYPERLINK("http://141.218.60.56/~jnz1568/getInfo.php?workbook=12_05.xlsx&amp;sheet=U0&amp;row=8494&amp;col=7&amp;number=0.00735&amp;sourceID=14","0.00735")</f>
        <v>0.00735</v>
      </c>
    </row>
    <row r="8495" spans="1:7">
      <c r="A8495" s="3"/>
      <c r="B8495" s="3"/>
      <c r="C8495" s="3"/>
      <c r="D8495" s="3"/>
      <c r="E8495" s="3">
        <v>12</v>
      </c>
      <c r="F8495" s="4" t="str">
        <f>HYPERLINK("http://141.218.60.56/~jnz1568/getInfo.php?workbook=12_05.xlsx&amp;sheet=U0&amp;row=8495&amp;col=6&amp;number=4.1&amp;sourceID=14","4.1")</f>
        <v>4.1</v>
      </c>
      <c r="G8495" s="4" t="str">
        <f>HYPERLINK("http://141.218.60.56/~jnz1568/getInfo.php?workbook=12_05.xlsx&amp;sheet=U0&amp;row=8495&amp;col=7&amp;number=0.00732&amp;sourceID=14","0.00732")</f>
        <v>0.00732</v>
      </c>
    </row>
    <row r="8496" spans="1:7">
      <c r="A8496" s="3"/>
      <c r="B8496" s="3"/>
      <c r="C8496" s="3"/>
      <c r="D8496" s="3"/>
      <c r="E8496" s="3">
        <v>13</v>
      </c>
      <c r="F8496" s="4" t="str">
        <f>HYPERLINK("http://141.218.60.56/~jnz1568/getInfo.php?workbook=12_05.xlsx&amp;sheet=U0&amp;row=8496&amp;col=6&amp;number=4.2&amp;sourceID=14","4.2")</f>
        <v>4.2</v>
      </c>
      <c r="G8496" s="4" t="str">
        <f>HYPERLINK("http://141.218.60.56/~jnz1568/getInfo.php?workbook=12_05.xlsx&amp;sheet=U0&amp;row=8496&amp;col=7&amp;number=0.0073&amp;sourceID=14","0.0073")</f>
        <v>0.0073</v>
      </c>
    </row>
    <row r="8497" spans="1:7">
      <c r="A8497" s="3"/>
      <c r="B8497" s="3"/>
      <c r="C8497" s="3"/>
      <c r="D8497" s="3"/>
      <c r="E8497" s="3">
        <v>14</v>
      </c>
      <c r="F8497" s="4" t="str">
        <f>HYPERLINK("http://141.218.60.56/~jnz1568/getInfo.php?workbook=12_05.xlsx&amp;sheet=U0&amp;row=8497&amp;col=6&amp;number=4.3&amp;sourceID=14","4.3")</f>
        <v>4.3</v>
      </c>
      <c r="G8497" s="4" t="str">
        <f>HYPERLINK("http://141.218.60.56/~jnz1568/getInfo.php?workbook=12_05.xlsx&amp;sheet=U0&amp;row=8497&amp;col=7&amp;number=0.00726&amp;sourceID=14","0.00726")</f>
        <v>0.00726</v>
      </c>
    </row>
    <row r="8498" spans="1:7">
      <c r="A8498" s="3"/>
      <c r="B8498" s="3"/>
      <c r="C8498" s="3"/>
      <c r="D8498" s="3"/>
      <c r="E8498" s="3">
        <v>15</v>
      </c>
      <c r="F8498" s="4" t="str">
        <f>HYPERLINK("http://141.218.60.56/~jnz1568/getInfo.php?workbook=12_05.xlsx&amp;sheet=U0&amp;row=8498&amp;col=6&amp;number=4.4&amp;sourceID=14","4.4")</f>
        <v>4.4</v>
      </c>
      <c r="G8498" s="4" t="str">
        <f>HYPERLINK("http://141.218.60.56/~jnz1568/getInfo.php?workbook=12_05.xlsx&amp;sheet=U0&amp;row=8498&amp;col=7&amp;number=0.00722&amp;sourceID=14","0.00722")</f>
        <v>0.00722</v>
      </c>
    </row>
    <row r="8499" spans="1:7">
      <c r="A8499" s="3"/>
      <c r="B8499" s="3"/>
      <c r="C8499" s="3"/>
      <c r="D8499" s="3"/>
      <c r="E8499" s="3">
        <v>16</v>
      </c>
      <c r="F8499" s="4" t="str">
        <f>HYPERLINK("http://141.218.60.56/~jnz1568/getInfo.php?workbook=12_05.xlsx&amp;sheet=U0&amp;row=8499&amp;col=6&amp;number=4.5&amp;sourceID=14","4.5")</f>
        <v>4.5</v>
      </c>
      <c r="G8499" s="4" t="str">
        <f>HYPERLINK("http://141.218.60.56/~jnz1568/getInfo.php?workbook=12_05.xlsx&amp;sheet=U0&amp;row=8499&amp;col=7&amp;number=0.00716&amp;sourceID=14","0.00716")</f>
        <v>0.00716</v>
      </c>
    </row>
    <row r="8500" spans="1:7">
      <c r="A8500" s="3"/>
      <c r="B8500" s="3"/>
      <c r="C8500" s="3"/>
      <c r="D8500" s="3"/>
      <c r="E8500" s="3">
        <v>17</v>
      </c>
      <c r="F8500" s="4" t="str">
        <f>HYPERLINK("http://141.218.60.56/~jnz1568/getInfo.php?workbook=12_05.xlsx&amp;sheet=U0&amp;row=8500&amp;col=6&amp;number=4.6&amp;sourceID=14","4.6")</f>
        <v>4.6</v>
      </c>
      <c r="G8500" s="4" t="str">
        <f>HYPERLINK("http://141.218.60.56/~jnz1568/getInfo.php?workbook=12_05.xlsx&amp;sheet=U0&amp;row=8500&amp;col=7&amp;number=0.00709&amp;sourceID=14","0.00709")</f>
        <v>0.00709</v>
      </c>
    </row>
    <row r="8501" spans="1:7">
      <c r="A8501" s="3"/>
      <c r="B8501" s="3"/>
      <c r="C8501" s="3"/>
      <c r="D8501" s="3"/>
      <c r="E8501" s="3">
        <v>18</v>
      </c>
      <c r="F8501" s="4" t="str">
        <f>HYPERLINK("http://141.218.60.56/~jnz1568/getInfo.php?workbook=12_05.xlsx&amp;sheet=U0&amp;row=8501&amp;col=6&amp;number=4.7&amp;sourceID=14","4.7")</f>
        <v>4.7</v>
      </c>
      <c r="G8501" s="4" t="str">
        <f>HYPERLINK("http://141.218.60.56/~jnz1568/getInfo.php?workbook=12_05.xlsx&amp;sheet=U0&amp;row=8501&amp;col=7&amp;number=0.00701&amp;sourceID=14","0.00701")</f>
        <v>0.00701</v>
      </c>
    </row>
    <row r="8502" spans="1:7">
      <c r="A8502" s="3"/>
      <c r="B8502" s="3"/>
      <c r="C8502" s="3"/>
      <c r="D8502" s="3"/>
      <c r="E8502" s="3">
        <v>19</v>
      </c>
      <c r="F8502" s="4" t="str">
        <f>HYPERLINK("http://141.218.60.56/~jnz1568/getInfo.php?workbook=12_05.xlsx&amp;sheet=U0&amp;row=8502&amp;col=6&amp;number=4.8&amp;sourceID=14","4.8")</f>
        <v>4.8</v>
      </c>
      <c r="G8502" s="4" t="str">
        <f>HYPERLINK("http://141.218.60.56/~jnz1568/getInfo.php?workbook=12_05.xlsx&amp;sheet=U0&amp;row=8502&amp;col=7&amp;number=0.0069&amp;sourceID=14","0.0069")</f>
        <v>0.0069</v>
      </c>
    </row>
    <row r="8503" spans="1:7">
      <c r="A8503" s="3"/>
      <c r="B8503" s="3"/>
      <c r="C8503" s="3"/>
      <c r="D8503" s="3"/>
      <c r="E8503" s="3">
        <v>20</v>
      </c>
      <c r="F8503" s="4" t="str">
        <f>HYPERLINK("http://141.218.60.56/~jnz1568/getInfo.php?workbook=12_05.xlsx&amp;sheet=U0&amp;row=8503&amp;col=6&amp;number=4.9&amp;sourceID=14","4.9")</f>
        <v>4.9</v>
      </c>
      <c r="G8503" s="4" t="str">
        <f>HYPERLINK("http://141.218.60.56/~jnz1568/getInfo.php?workbook=12_05.xlsx&amp;sheet=U0&amp;row=8503&amp;col=7&amp;number=0.00677&amp;sourceID=14","0.00677")</f>
        <v>0.00677</v>
      </c>
    </row>
    <row r="8504" spans="1:7">
      <c r="A8504" s="3">
        <v>12</v>
      </c>
      <c r="B8504" s="3">
        <v>5</v>
      </c>
      <c r="C8504" s="3">
        <v>3</v>
      </c>
      <c r="D8504" s="3">
        <v>96</v>
      </c>
      <c r="E8504" s="3">
        <v>1</v>
      </c>
      <c r="F8504" s="4" t="str">
        <f>HYPERLINK("http://141.218.60.56/~jnz1568/getInfo.php?workbook=12_05.xlsx&amp;sheet=U0&amp;row=8504&amp;col=6&amp;number=3&amp;sourceID=14","3")</f>
        <v>3</v>
      </c>
      <c r="G8504" s="4" t="str">
        <f>HYPERLINK("http://141.218.60.56/~jnz1568/getInfo.php?workbook=12_05.xlsx&amp;sheet=U0&amp;row=8504&amp;col=7&amp;number=0.000236&amp;sourceID=14","0.000236")</f>
        <v>0.000236</v>
      </c>
    </row>
    <row r="8505" spans="1:7">
      <c r="A8505" s="3"/>
      <c r="B8505" s="3"/>
      <c r="C8505" s="3"/>
      <c r="D8505" s="3"/>
      <c r="E8505" s="3">
        <v>2</v>
      </c>
      <c r="F8505" s="4" t="str">
        <f>HYPERLINK("http://141.218.60.56/~jnz1568/getInfo.php?workbook=12_05.xlsx&amp;sheet=U0&amp;row=8505&amp;col=6&amp;number=3.1&amp;sourceID=14","3.1")</f>
        <v>3.1</v>
      </c>
      <c r="G8505" s="4" t="str">
        <f>HYPERLINK("http://141.218.60.56/~jnz1568/getInfo.php?workbook=12_05.xlsx&amp;sheet=U0&amp;row=8505&amp;col=7&amp;number=0.000236&amp;sourceID=14","0.000236")</f>
        <v>0.000236</v>
      </c>
    </row>
    <row r="8506" spans="1:7">
      <c r="A8506" s="3"/>
      <c r="B8506" s="3"/>
      <c r="C8506" s="3"/>
      <c r="D8506" s="3"/>
      <c r="E8506" s="3">
        <v>3</v>
      </c>
      <c r="F8506" s="4" t="str">
        <f>HYPERLINK("http://141.218.60.56/~jnz1568/getInfo.php?workbook=12_05.xlsx&amp;sheet=U0&amp;row=8506&amp;col=6&amp;number=3.2&amp;sourceID=14","3.2")</f>
        <v>3.2</v>
      </c>
      <c r="G8506" s="4" t="str">
        <f>HYPERLINK("http://141.218.60.56/~jnz1568/getInfo.php?workbook=12_05.xlsx&amp;sheet=U0&amp;row=8506&amp;col=7&amp;number=0.000236&amp;sourceID=14","0.000236")</f>
        <v>0.000236</v>
      </c>
    </row>
    <row r="8507" spans="1:7">
      <c r="A8507" s="3"/>
      <c r="B8507" s="3"/>
      <c r="C8507" s="3"/>
      <c r="D8507" s="3"/>
      <c r="E8507" s="3">
        <v>4</v>
      </c>
      <c r="F8507" s="4" t="str">
        <f>HYPERLINK("http://141.218.60.56/~jnz1568/getInfo.php?workbook=12_05.xlsx&amp;sheet=U0&amp;row=8507&amp;col=6&amp;number=3.3&amp;sourceID=14","3.3")</f>
        <v>3.3</v>
      </c>
      <c r="G8507" s="4" t="str">
        <f>HYPERLINK("http://141.218.60.56/~jnz1568/getInfo.php?workbook=12_05.xlsx&amp;sheet=U0&amp;row=8507&amp;col=7&amp;number=0.000236&amp;sourceID=14","0.000236")</f>
        <v>0.000236</v>
      </c>
    </row>
    <row r="8508" spans="1:7">
      <c r="A8508" s="3"/>
      <c r="B8508" s="3"/>
      <c r="C8508" s="3"/>
      <c r="D8508" s="3"/>
      <c r="E8508" s="3">
        <v>5</v>
      </c>
      <c r="F8508" s="4" t="str">
        <f>HYPERLINK("http://141.218.60.56/~jnz1568/getInfo.php?workbook=12_05.xlsx&amp;sheet=U0&amp;row=8508&amp;col=6&amp;number=3.4&amp;sourceID=14","3.4")</f>
        <v>3.4</v>
      </c>
      <c r="G8508" s="4" t="str">
        <f>HYPERLINK("http://141.218.60.56/~jnz1568/getInfo.php?workbook=12_05.xlsx&amp;sheet=U0&amp;row=8508&amp;col=7&amp;number=0.000236&amp;sourceID=14","0.000236")</f>
        <v>0.000236</v>
      </c>
    </row>
    <row r="8509" spans="1:7">
      <c r="A8509" s="3"/>
      <c r="B8509" s="3"/>
      <c r="C8509" s="3"/>
      <c r="D8509" s="3"/>
      <c r="E8509" s="3">
        <v>6</v>
      </c>
      <c r="F8509" s="4" t="str">
        <f>HYPERLINK("http://141.218.60.56/~jnz1568/getInfo.php?workbook=12_05.xlsx&amp;sheet=U0&amp;row=8509&amp;col=6&amp;number=3.5&amp;sourceID=14","3.5")</f>
        <v>3.5</v>
      </c>
      <c r="G8509" s="4" t="str">
        <f>HYPERLINK("http://141.218.60.56/~jnz1568/getInfo.php?workbook=12_05.xlsx&amp;sheet=U0&amp;row=8509&amp;col=7&amp;number=0.000235&amp;sourceID=14","0.000235")</f>
        <v>0.000235</v>
      </c>
    </row>
    <row r="8510" spans="1:7">
      <c r="A8510" s="3"/>
      <c r="B8510" s="3"/>
      <c r="C8510" s="3"/>
      <c r="D8510" s="3"/>
      <c r="E8510" s="3">
        <v>7</v>
      </c>
      <c r="F8510" s="4" t="str">
        <f>HYPERLINK("http://141.218.60.56/~jnz1568/getInfo.php?workbook=12_05.xlsx&amp;sheet=U0&amp;row=8510&amp;col=6&amp;number=3.6&amp;sourceID=14","3.6")</f>
        <v>3.6</v>
      </c>
      <c r="G8510" s="4" t="str">
        <f>HYPERLINK("http://141.218.60.56/~jnz1568/getInfo.php?workbook=12_05.xlsx&amp;sheet=U0&amp;row=8510&amp;col=7&amp;number=0.000235&amp;sourceID=14","0.000235")</f>
        <v>0.000235</v>
      </c>
    </row>
    <row r="8511" spans="1:7">
      <c r="A8511" s="3"/>
      <c r="B8511" s="3"/>
      <c r="C8511" s="3"/>
      <c r="D8511" s="3"/>
      <c r="E8511" s="3">
        <v>8</v>
      </c>
      <c r="F8511" s="4" t="str">
        <f>HYPERLINK("http://141.218.60.56/~jnz1568/getInfo.php?workbook=12_05.xlsx&amp;sheet=U0&amp;row=8511&amp;col=6&amp;number=3.7&amp;sourceID=14","3.7")</f>
        <v>3.7</v>
      </c>
      <c r="G8511" s="4" t="str">
        <f>HYPERLINK("http://141.218.60.56/~jnz1568/getInfo.php?workbook=12_05.xlsx&amp;sheet=U0&amp;row=8511&amp;col=7&amp;number=0.000235&amp;sourceID=14","0.000235")</f>
        <v>0.000235</v>
      </c>
    </row>
    <row r="8512" spans="1:7">
      <c r="A8512" s="3"/>
      <c r="B8512" s="3"/>
      <c r="C8512" s="3"/>
      <c r="D8512" s="3"/>
      <c r="E8512" s="3">
        <v>9</v>
      </c>
      <c r="F8512" s="4" t="str">
        <f>HYPERLINK("http://141.218.60.56/~jnz1568/getInfo.php?workbook=12_05.xlsx&amp;sheet=U0&amp;row=8512&amp;col=6&amp;number=3.8&amp;sourceID=14","3.8")</f>
        <v>3.8</v>
      </c>
      <c r="G8512" s="4" t="str">
        <f>HYPERLINK("http://141.218.60.56/~jnz1568/getInfo.php?workbook=12_05.xlsx&amp;sheet=U0&amp;row=8512&amp;col=7&amp;number=0.000235&amp;sourceID=14","0.000235")</f>
        <v>0.000235</v>
      </c>
    </row>
    <row r="8513" spans="1:7">
      <c r="A8513" s="3"/>
      <c r="B8513" s="3"/>
      <c r="C8513" s="3"/>
      <c r="D8513" s="3"/>
      <c r="E8513" s="3">
        <v>10</v>
      </c>
      <c r="F8513" s="4" t="str">
        <f>HYPERLINK("http://141.218.60.56/~jnz1568/getInfo.php?workbook=12_05.xlsx&amp;sheet=U0&amp;row=8513&amp;col=6&amp;number=3.9&amp;sourceID=14","3.9")</f>
        <v>3.9</v>
      </c>
      <c r="G8513" s="4" t="str">
        <f>HYPERLINK("http://141.218.60.56/~jnz1568/getInfo.php?workbook=12_05.xlsx&amp;sheet=U0&amp;row=8513&amp;col=7&amp;number=0.000234&amp;sourceID=14","0.000234")</f>
        <v>0.000234</v>
      </c>
    </row>
    <row r="8514" spans="1:7">
      <c r="A8514" s="3"/>
      <c r="B8514" s="3"/>
      <c r="C8514" s="3"/>
      <c r="D8514" s="3"/>
      <c r="E8514" s="3">
        <v>11</v>
      </c>
      <c r="F8514" s="4" t="str">
        <f>HYPERLINK("http://141.218.60.56/~jnz1568/getInfo.php?workbook=12_05.xlsx&amp;sheet=U0&amp;row=8514&amp;col=6&amp;number=4&amp;sourceID=14","4")</f>
        <v>4</v>
      </c>
      <c r="G8514" s="4" t="str">
        <f>HYPERLINK("http://141.218.60.56/~jnz1568/getInfo.php?workbook=12_05.xlsx&amp;sheet=U0&amp;row=8514&amp;col=7&amp;number=0.000234&amp;sourceID=14","0.000234")</f>
        <v>0.000234</v>
      </c>
    </row>
    <row r="8515" spans="1:7">
      <c r="A8515" s="3"/>
      <c r="B8515" s="3"/>
      <c r="C8515" s="3"/>
      <c r="D8515" s="3"/>
      <c r="E8515" s="3">
        <v>12</v>
      </c>
      <c r="F8515" s="4" t="str">
        <f>HYPERLINK("http://141.218.60.56/~jnz1568/getInfo.php?workbook=12_05.xlsx&amp;sheet=U0&amp;row=8515&amp;col=6&amp;number=4.1&amp;sourceID=14","4.1")</f>
        <v>4.1</v>
      </c>
      <c r="G8515" s="4" t="str">
        <f>HYPERLINK("http://141.218.60.56/~jnz1568/getInfo.php?workbook=12_05.xlsx&amp;sheet=U0&amp;row=8515&amp;col=7&amp;number=0.000233&amp;sourceID=14","0.000233")</f>
        <v>0.000233</v>
      </c>
    </row>
    <row r="8516" spans="1:7">
      <c r="A8516" s="3"/>
      <c r="B8516" s="3"/>
      <c r="C8516" s="3"/>
      <c r="D8516" s="3"/>
      <c r="E8516" s="3">
        <v>13</v>
      </c>
      <c r="F8516" s="4" t="str">
        <f>HYPERLINK("http://141.218.60.56/~jnz1568/getInfo.php?workbook=12_05.xlsx&amp;sheet=U0&amp;row=8516&amp;col=6&amp;number=4.2&amp;sourceID=14","4.2")</f>
        <v>4.2</v>
      </c>
      <c r="G8516" s="4" t="str">
        <f>HYPERLINK("http://141.218.60.56/~jnz1568/getInfo.php?workbook=12_05.xlsx&amp;sheet=U0&amp;row=8516&amp;col=7&amp;number=0.000232&amp;sourceID=14","0.000232")</f>
        <v>0.000232</v>
      </c>
    </row>
    <row r="8517" spans="1:7">
      <c r="A8517" s="3"/>
      <c r="B8517" s="3"/>
      <c r="C8517" s="3"/>
      <c r="D8517" s="3"/>
      <c r="E8517" s="3">
        <v>14</v>
      </c>
      <c r="F8517" s="4" t="str">
        <f>HYPERLINK("http://141.218.60.56/~jnz1568/getInfo.php?workbook=12_05.xlsx&amp;sheet=U0&amp;row=8517&amp;col=6&amp;number=4.3&amp;sourceID=14","4.3")</f>
        <v>4.3</v>
      </c>
      <c r="G8517" s="4" t="str">
        <f>HYPERLINK("http://141.218.60.56/~jnz1568/getInfo.php?workbook=12_05.xlsx&amp;sheet=U0&amp;row=8517&amp;col=7&amp;number=0.000232&amp;sourceID=14","0.000232")</f>
        <v>0.000232</v>
      </c>
    </row>
    <row r="8518" spans="1:7">
      <c r="A8518" s="3"/>
      <c r="B8518" s="3"/>
      <c r="C8518" s="3"/>
      <c r="D8518" s="3"/>
      <c r="E8518" s="3">
        <v>15</v>
      </c>
      <c r="F8518" s="4" t="str">
        <f>HYPERLINK("http://141.218.60.56/~jnz1568/getInfo.php?workbook=12_05.xlsx&amp;sheet=U0&amp;row=8518&amp;col=6&amp;number=4.4&amp;sourceID=14","4.4")</f>
        <v>4.4</v>
      </c>
      <c r="G8518" s="4" t="str">
        <f>HYPERLINK("http://141.218.60.56/~jnz1568/getInfo.php?workbook=12_05.xlsx&amp;sheet=U0&amp;row=8518&amp;col=7&amp;number=0.00023&amp;sourceID=14","0.00023")</f>
        <v>0.00023</v>
      </c>
    </row>
    <row r="8519" spans="1:7">
      <c r="A8519" s="3"/>
      <c r="B8519" s="3"/>
      <c r="C8519" s="3"/>
      <c r="D8519" s="3"/>
      <c r="E8519" s="3">
        <v>16</v>
      </c>
      <c r="F8519" s="4" t="str">
        <f>HYPERLINK("http://141.218.60.56/~jnz1568/getInfo.php?workbook=12_05.xlsx&amp;sheet=U0&amp;row=8519&amp;col=6&amp;number=4.5&amp;sourceID=14","4.5")</f>
        <v>4.5</v>
      </c>
      <c r="G8519" s="4" t="str">
        <f>HYPERLINK("http://141.218.60.56/~jnz1568/getInfo.php?workbook=12_05.xlsx&amp;sheet=U0&amp;row=8519&amp;col=7&amp;number=0.000229&amp;sourceID=14","0.000229")</f>
        <v>0.000229</v>
      </c>
    </row>
    <row r="8520" spans="1:7">
      <c r="A8520" s="3"/>
      <c r="B8520" s="3"/>
      <c r="C8520" s="3"/>
      <c r="D8520" s="3"/>
      <c r="E8520" s="3">
        <v>17</v>
      </c>
      <c r="F8520" s="4" t="str">
        <f>HYPERLINK("http://141.218.60.56/~jnz1568/getInfo.php?workbook=12_05.xlsx&amp;sheet=U0&amp;row=8520&amp;col=6&amp;number=4.6&amp;sourceID=14","4.6")</f>
        <v>4.6</v>
      </c>
      <c r="G8520" s="4" t="str">
        <f>HYPERLINK("http://141.218.60.56/~jnz1568/getInfo.php?workbook=12_05.xlsx&amp;sheet=U0&amp;row=8520&amp;col=7&amp;number=0.000227&amp;sourceID=14","0.000227")</f>
        <v>0.000227</v>
      </c>
    </row>
    <row r="8521" spans="1:7">
      <c r="A8521" s="3"/>
      <c r="B8521" s="3"/>
      <c r="C8521" s="3"/>
      <c r="D8521" s="3"/>
      <c r="E8521" s="3">
        <v>18</v>
      </c>
      <c r="F8521" s="4" t="str">
        <f>HYPERLINK("http://141.218.60.56/~jnz1568/getInfo.php?workbook=12_05.xlsx&amp;sheet=U0&amp;row=8521&amp;col=6&amp;number=4.7&amp;sourceID=14","4.7")</f>
        <v>4.7</v>
      </c>
      <c r="G8521" s="4" t="str">
        <f>HYPERLINK("http://141.218.60.56/~jnz1568/getInfo.php?workbook=12_05.xlsx&amp;sheet=U0&amp;row=8521&amp;col=7&amp;number=0.000225&amp;sourceID=14","0.000225")</f>
        <v>0.000225</v>
      </c>
    </row>
    <row r="8522" spans="1:7">
      <c r="A8522" s="3"/>
      <c r="B8522" s="3"/>
      <c r="C8522" s="3"/>
      <c r="D8522" s="3"/>
      <c r="E8522" s="3">
        <v>19</v>
      </c>
      <c r="F8522" s="4" t="str">
        <f>HYPERLINK("http://141.218.60.56/~jnz1568/getInfo.php?workbook=12_05.xlsx&amp;sheet=U0&amp;row=8522&amp;col=6&amp;number=4.8&amp;sourceID=14","4.8")</f>
        <v>4.8</v>
      </c>
      <c r="G8522" s="4" t="str">
        <f>HYPERLINK("http://141.218.60.56/~jnz1568/getInfo.php?workbook=12_05.xlsx&amp;sheet=U0&amp;row=8522&amp;col=7&amp;number=0.000222&amp;sourceID=14","0.000222")</f>
        <v>0.000222</v>
      </c>
    </row>
    <row r="8523" spans="1:7">
      <c r="A8523" s="3"/>
      <c r="B8523" s="3"/>
      <c r="C8523" s="3"/>
      <c r="D8523" s="3"/>
      <c r="E8523" s="3">
        <v>20</v>
      </c>
      <c r="F8523" s="4" t="str">
        <f>HYPERLINK("http://141.218.60.56/~jnz1568/getInfo.php?workbook=12_05.xlsx&amp;sheet=U0&amp;row=8523&amp;col=6&amp;number=4.9&amp;sourceID=14","4.9")</f>
        <v>4.9</v>
      </c>
      <c r="G8523" s="4" t="str">
        <f>HYPERLINK("http://141.218.60.56/~jnz1568/getInfo.php?workbook=12_05.xlsx&amp;sheet=U0&amp;row=8523&amp;col=7&amp;number=0.000218&amp;sourceID=14","0.000218")</f>
        <v>0.000218</v>
      </c>
    </row>
    <row r="8524" spans="1:7">
      <c r="A8524" s="3">
        <v>12</v>
      </c>
      <c r="B8524" s="3">
        <v>5</v>
      </c>
      <c r="C8524" s="3">
        <v>3</v>
      </c>
      <c r="D8524" s="3">
        <v>98</v>
      </c>
      <c r="E8524" s="3">
        <v>1</v>
      </c>
      <c r="F8524" s="4" t="str">
        <f>HYPERLINK("http://141.218.60.56/~jnz1568/getInfo.php?workbook=12_05.xlsx&amp;sheet=U0&amp;row=8524&amp;col=6&amp;number=3&amp;sourceID=14","3")</f>
        <v>3</v>
      </c>
      <c r="G8524" s="4" t="str">
        <f>HYPERLINK("http://141.218.60.56/~jnz1568/getInfo.php?workbook=12_05.xlsx&amp;sheet=U0&amp;row=8524&amp;col=7&amp;number=0.00302&amp;sourceID=14","0.00302")</f>
        <v>0.00302</v>
      </c>
    </row>
    <row r="8525" spans="1:7">
      <c r="A8525" s="3"/>
      <c r="B8525" s="3"/>
      <c r="C8525" s="3"/>
      <c r="D8525" s="3"/>
      <c r="E8525" s="3">
        <v>2</v>
      </c>
      <c r="F8525" s="4" t="str">
        <f>HYPERLINK("http://141.218.60.56/~jnz1568/getInfo.php?workbook=12_05.xlsx&amp;sheet=U0&amp;row=8525&amp;col=6&amp;number=3.1&amp;sourceID=14","3.1")</f>
        <v>3.1</v>
      </c>
      <c r="G8525" s="4" t="str">
        <f>HYPERLINK("http://141.218.60.56/~jnz1568/getInfo.php?workbook=12_05.xlsx&amp;sheet=U0&amp;row=8525&amp;col=7&amp;number=0.00302&amp;sourceID=14","0.00302")</f>
        <v>0.00302</v>
      </c>
    </row>
    <row r="8526" spans="1:7">
      <c r="A8526" s="3"/>
      <c r="B8526" s="3"/>
      <c r="C8526" s="3"/>
      <c r="D8526" s="3"/>
      <c r="E8526" s="3">
        <v>3</v>
      </c>
      <c r="F8526" s="4" t="str">
        <f>HYPERLINK("http://141.218.60.56/~jnz1568/getInfo.php?workbook=12_05.xlsx&amp;sheet=U0&amp;row=8526&amp;col=6&amp;number=3.2&amp;sourceID=14","3.2")</f>
        <v>3.2</v>
      </c>
      <c r="G8526" s="4" t="str">
        <f>HYPERLINK("http://141.218.60.56/~jnz1568/getInfo.php?workbook=12_05.xlsx&amp;sheet=U0&amp;row=8526&amp;col=7&amp;number=0.00302&amp;sourceID=14","0.00302")</f>
        <v>0.00302</v>
      </c>
    </row>
    <row r="8527" spans="1:7">
      <c r="A8527" s="3"/>
      <c r="B8527" s="3"/>
      <c r="C8527" s="3"/>
      <c r="D8527" s="3"/>
      <c r="E8527" s="3">
        <v>4</v>
      </c>
      <c r="F8527" s="4" t="str">
        <f>HYPERLINK("http://141.218.60.56/~jnz1568/getInfo.php?workbook=12_05.xlsx&amp;sheet=U0&amp;row=8527&amp;col=6&amp;number=3.3&amp;sourceID=14","3.3")</f>
        <v>3.3</v>
      </c>
      <c r="G8527" s="4" t="str">
        <f>HYPERLINK("http://141.218.60.56/~jnz1568/getInfo.php?workbook=12_05.xlsx&amp;sheet=U0&amp;row=8527&amp;col=7&amp;number=0.00302&amp;sourceID=14","0.00302")</f>
        <v>0.00302</v>
      </c>
    </row>
    <row r="8528" spans="1:7">
      <c r="A8528" s="3"/>
      <c r="B8528" s="3"/>
      <c r="C8528" s="3"/>
      <c r="D8528" s="3"/>
      <c r="E8528" s="3">
        <v>5</v>
      </c>
      <c r="F8528" s="4" t="str">
        <f>HYPERLINK("http://141.218.60.56/~jnz1568/getInfo.php?workbook=12_05.xlsx&amp;sheet=U0&amp;row=8528&amp;col=6&amp;number=3.4&amp;sourceID=14","3.4")</f>
        <v>3.4</v>
      </c>
      <c r="G8528" s="4" t="str">
        <f>HYPERLINK("http://141.218.60.56/~jnz1568/getInfo.php?workbook=12_05.xlsx&amp;sheet=U0&amp;row=8528&amp;col=7&amp;number=0.00302&amp;sourceID=14","0.00302")</f>
        <v>0.00302</v>
      </c>
    </row>
    <row r="8529" spans="1:7">
      <c r="A8529" s="3"/>
      <c r="B8529" s="3"/>
      <c r="C8529" s="3"/>
      <c r="D8529" s="3"/>
      <c r="E8529" s="3">
        <v>6</v>
      </c>
      <c r="F8529" s="4" t="str">
        <f>HYPERLINK("http://141.218.60.56/~jnz1568/getInfo.php?workbook=12_05.xlsx&amp;sheet=U0&amp;row=8529&amp;col=6&amp;number=3.5&amp;sourceID=14","3.5")</f>
        <v>3.5</v>
      </c>
      <c r="G8529" s="4" t="str">
        <f>HYPERLINK("http://141.218.60.56/~jnz1568/getInfo.php?workbook=12_05.xlsx&amp;sheet=U0&amp;row=8529&amp;col=7&amp;number=0.00303&amp;sourceID=14","0.00303")</f>
        <v>0.00303</v>
      </c>
    </row>
    <row r="8530" spans="1:7">
      <c r="A8530" s="3"/>
      <c r="B8530" s="3"/>
      <c r="C8530" s="3"/>
      <c r="D8530" s="3"/>
      <c r="E8530" s="3">
        <v>7</v>
      </c>
      <c r="F8530" s="4" t="str">
        <f>HYPERLINK("http://141.218.60.56/~jnz1568/getInfo.php?workbook=12_05.xlsx&amp;sheet=U0&amp;row=8530&amp;col=6&amp;number=3.6&amp;sourceID=14","3.6")</f>
        <v>3.6</v>
      </c>
      <c r="G8530" s="4" t="str">
        <f>HYPERLINK("http://141.218.60.56/~jnz1568/getInfo.php?workbook=12_05.xlsx&amp;sheet=U0&amp;row=8530&amp;col=7&amp;number=0.00303&amp;sourceID=14","0.00303")</f>
        <v>0.00303</v>
      </c>
    </row>
    <row r="8531" spans="1:7">
      <c r="A8531" s="3"/>
      <c r="B8531" s="3"/>
      <c r="C8531" s="3"/>
      <c r="D8531" s="3"/>
      <c r="E8531" s="3">
        <v>8</v>
      </c>
      <c r="F8531" s="4" t="str">
        <f>HYPERLINK("http://141.218.60.56/~jnz1568/getInfo.php?workbook=12_05.xlsx&amp;sheet=U0&amp;row=8531&amp;col=6&amp;number=3.7&amp;sourceID=14","3.7")</f>
        <v>3.7</v>
      </c>
      <c r="G8531" s="4" t="str">
        <f>HYPERLINK("http://141.218.60.56/~jnz1568/getInfo.php?workbook=12_05.xlsx&amp;sheet=U0&amp;row=8531&amp;col=7&amp;number=0.00303&amp;sourceID=14","0.00303")</f>
        <v>0.00303</v>
      </c>
    </row>
    <row r="8532" spans="1:7">
      <c r="A8532" s="3"/>
      <c r="B8532" s="3"/>
      <c r="C8532" s="3"/>
      <c r="D8532" s="3"/>
      <c r="E8532" s="3">
        <v>9</v>
      </c>
      <c r="F8532" s="4" t="str">
        <f>HYPERLINK("http://141.218.60.56/~jnz1568/getInfo.php?workbook=12_05.xlsx&amp;sheet=U0&amp;row=8532&amp;col=6&amp;number=3.8&amp;sourceID=14","3.8")</f>
        <v>3.8</v>
      </c>
      <c r="G8532" s="4" t="str">
        <f>HYPERLINK("http://141.218.60.56/~jnz1568/getInfo.php?workbook=12_05.xlsx&amp;sheet=U0&amp;row=8532&amp;col=7&amp;number=0.00304&amp;sourceID=14","0.00304")</f>
        <v>0.00304</v>
      </c>
    </row>
    <row r="8533" spans="1:7">
      <c r="A8533" s="3"/>
      <c r="B8533" s="3"/>
      <c r="C8533" s="3"/>
      <c r="D8533" s="3"/>
      <c r="E8533" s="3">
        <v>10</v>
      </c>
      <c r="F8533" s="4" t="str">
        <f>HYPERLINK("http://141.218.60.56/~jnz1568/getInfo.php?workbook=12_05.xlsx&amp;sheet=U0&amp;row=8533&amp;col=6&amp;number=3.9&amp;sourceID=14","3.9")</f>
        <v>3.9</v>
      </c>
      <c r="G8533" s="4" t="str">
        <f>HYPERLINK("http://141.218.60.56/~jnz1568/getInfo.php?workbook=12_05.xlsx&amp;sheet=U0&amp;row=8533&amp;col=7&amp;number=0.00304&amp;sourceID=14","0.00304")</f>
        <v>0.00304</v>
      </c>
    </row>
    <row r="8534" spans="1:7">
      <c r="A8534" s="3"/>
      <c r="B8534" s="3"/>
      <c r="C8534" s="3"/>
      <c r="D8534" s="3"/>
      <c r="E8534" s="3">
        <v>11</v>
      </c>
      <c r="F8534" s="4" t="str">
        <f>HYPERLINK("http://141.218.60.56/~jnz1568/getInfo.php?workbook=12_05.xlsx&amp;sheet=U0&amp;row=8534&amp;col=6&amp;number=4&amp;sourceID=14","4")</f>
        <v>4</v>
      </c>
      <c r="G8534" s="4" t="str">
        <f>HYPERLINK("http://141.218.60.56/~jnz1568/getInfo.php?workbook=12_05.xlsx&amp;sheet=U0&amp;row=8534&amp;col=7&amp;number=0.00305&amp;sourceID=14","0.00305")</f>
        <v>0.00305</v>
      </c>
    </row>
    <row r="8535" spans="1:7">
      <c r="A8535" s="3"/>
      <c r="B8535" s="3"/>
      <c r="C8535" s="3"/>
      <c r="D8535" s="3"/>
      <c r="E8535" s="3">
        <v>12</v>
      </c>
      <c r="F8535" s="4" t="str">
        <f>HYPERLINK("http://141.218.60.56/~jnz1568/getInfo.php?workbook=12_05.xlsx&amp;sheet=U0&amp;row=8535&amp;col=6&amp;number=4.1&amp;sourceID=14","4.1")</f>
        <v>4.1</v>
      </c>
      <c r="G8535" s="4" t="str">
        <f>HYPERLINK("http://141.218.60.56/~jnz1568/getInfo.php?workbook=12_05.xlsx&amp;sheet=U0&amp;row=8535&amp;col=7&amp;number=0.00306&amp;sourceID=14","0.00306")</f>
        <v>0.00306</v>
      </c>
    </row>
    <row r="8536" spans="1:7">
      <c r="A8536" s="3"/>
      <c r="B8536" s="3"/>
      <c r="C8536" s="3"/>
      <c r="D8536" s="3"/>
      <c r="E8536" s="3">
        <v>13</v>
      </c>
      <c r="F8536" s="4" t="str">
        <f>HYPERLINK("http://141.218.60.56/~jnz1568/getInfo.php?workbook=12_05.xlsx&amp;sheet=U0&amp;row=8536&amp;col=6&amp;number=4.2&amp;sourceID=14","4.2")</f>
        <v>4.2</v>
      </c>
      <c r="G8536" s="4" t="str">
        <f>HYPERLINK("http://141.218.60.56/~jnz1568/getInfo.php?workbook=12_05.xlsx&amp;sheet=U0&amp;row=8536&amp;col=7&amp;number=0.00307&amp;sourceID=14","0.00307")</f>
        <v>0.00307</v>
      </c>
    </row>
    <row r="8537" spans="1:7">
      <c r="A8537" s="3"/>
      <c r="B8537" s="3"/>
      <c r="C8537" s="3"/>
      <c r="D8537" s="3"/>
      <c r="E8537" s="3">
        <v>14</v>
      </c>
      <c r="F8537" s="4" t="str">
        <f>HYPERLINK("http://141.218.60.56/~jnz1568/getInfo.php?workbook=12_05.xlsx&amp;sheet=U0&amp;row=8537&amp;col=6&amp;number=4.3&amp;sourceID=14","4.3")</f>
        <v>4.3</v>
      </c>
      <c r="G8537" s="4" t="str">
        <f>HYPERLINK("http://141.218.60.56/~jnz1568/getInfo.php?workbook=12_05.xlsx&amp;sheet=U0&amp;row=8537&amp;col=7&amp;number=0.00309&amp;sourceID=14","0.00309")</f>
        <v>0.00309</v>
      </c>
    </row>
    <row r="8538" spans="1:7">
      <c r="A8538" s="3"/>
      <c r="B8538" s="3"/>
      <c r="C8538" s="3"/>
      <c r="D8538" s="3"/>
      <c r="E8538" s="3">
        <v>15</v>
      </c>
      <c r="F8538" s="4" t="str">
        <f>HYPERLINK("http://141.218.60.56/~jnz1568/getInfo.php?workbook=12_05.xlsx&amp;sheet=U0&amp;row=8538&amp;col=6&amp;number=4.4&amp;sourceID=14","4.4")</f>
        <v>4.4</v>
      </c>
      <c r="G8538" s="4" t="str">
        <f>HYPERLINK("http://141.218.60.56/~jnz1568/getInfo.php?workbook=12_05.xlsx&amp;sheet=U0&amp;row=8538&amp;col=7&amp;number=0.00311&amp;sourceID=14","0.00311")</f>
        <v>0.00311</v>
      </c>
    </row>
    <row r="8539" spans="1:7">
      <c r="A8539" s="3"/>
      <c r="B8539" s="3"/>
      <c r="C8539" s="3"/>
      <c r="D8539" s="3"/>
      <c r="E8539" s="3">
        <v>16</v>
      </c>
      <c r="F8539" s="4" t="str">
        <f>HYPERLINK("http://141.218.60.56/~jnz1568/getInfo.php?workbook=12_05.xlsx&amp;sheet=U0&amp;row=8539&amp;col=6&amp;number=4.5&amp;sourceID=14","4.5")</f>
        <v>4.5</v>
      </c>
      <c r="G8539" s="4" t="str">
        <f>HYPERLINK("http://141.218.60.56/~jnz1568/getInfo.php?workbook=12_05.xlsx&amp;sheet=U0&amp;row=8539&amp;col=7&amp;number=0.00313&amp;sourceID=14","0.00313")</f>
        <v>0.00313</v>
      </c>
    </row>
    <row r="8540" spans="1:7">
      <c r="A8540" s="3"/>
      <c r="B8540" s="3"/>
      <c r="C8540" s="3"/>
      <c r="D8540" s="3"/>
      <c r="E8540" s="3">
        <v>17</v>
      </c>
      <c r="F8540" s="4" t="str">
        <f>HYPERLINK("http://141.218.60.56/~jnz1568/getInfo.php?workbook=12_05.xlsx&amp;sheet=U0&amp;row=8540&amp;col=6&amp;number=4.6&amp;sourceID=14","4.6")</f>
        <v>4.6</v>
      </c>
      <c r="G8540" s="4" t="str">
        <f>HYPERLINK("http://141.218.60.56/~jnz1568/getInfo.php?workbook=12_05.xlsx&amp;sheet=U0&amp;row=8540&amp;col=7&amp;number=0.00316&amp;sourceID=14","0.00316")</f>
        <v>0.00316</v>
      </c>
    </row>
    <row r="8541" spans="1:7">
      <c r="A8541" s="3"/>
      <c r="B8541" s="3"/>
      <c r="C8541" s="3"/>
      <c r="D8541" s="3"/>
      <c r="E8541" s="3">
        <v>18</v>
      </c>
      <c r="F8541" s="4" t="str">
        <f>HYPERLINK("http://141.218.60.56/~jnz1568/getInfo.php?workbook=12_05.xlsx&amp;sheet=U0&amp;row=8541&amp;col=6&amp;number=4.7&amp;sourceID=14","4.7")</f>
        <v>4.7</v>
      </c>
      <c r="G8541" s="4" t="str">
        <f>HYPERLINK("http://141.218.60.56/~jnz1568/getInfo.php?workbook=12_05.xlsx&amp;sheet=U0&amp;row=8541&amp;col=7&amp;number=0.0032&amp;sourceID=14","0.0032")</f>
        <v>0.0032</v>
      </c>
    </row>
    <row r="8542" spans="1:7">
      <c r="A8542" s="3"/>
      <c r="B8542" s="3"/>
      <c r="C8542" s="3"/>
      <c r="D8542" s="3"/>
      <c r="E8542" s="3">
        <v>19</v>
      </c>
      <c r="F8542" s="4" t="str">
        <f>HYPERLINK("http://141.218.60.56/~jnz1568/getInfo.php?workbook=12_05.xlsx&amp;sheet=U0&amp;row=8542&amp;col=6&amp;number=4.8&amp;sourceID=14","4.8")</f>
        <v>4.8</v>
      </c>
      <c r="G8542" s="4" t="str">
        <f>HYPERLINK("http://141.218.60.56/~jnz1568/getInfo.php?workbook=12_05.xlsx&amp;sheet=U0&amp;row=8542&amp;col=7&amp;number=0.00324&amp;sourceID=14","0.00324")</f>
        <v>0.00324</v>
      </c>
    </row>
    <row r="8543" spans="1:7">
      <c r="A8543" s="3"/>
      <c r="B8543" s="3"/>
      <c r="C8543" s="3"/>
      <c r="D8543" s="3"/>
      <c r="E8543" s="3">
        <v>20</v>
      </c>
      <c r="F8543" s="4" t="str">
        <f>HYPERLINK("http://141.218.60.56/~jnz1568/getInfo.php?workbook=12_05.xlsx&amp;sheet=U0&amp;row=8543&amp;col=6&amp;number=4.9&amp;sourceID=14","4.9")</f>
        <v>4.9</v>
      </c>
      <c r="G8543" s="4" t="str">
        <f>HYPERLINK("http://141.218.60.56/~jnz1568/getInfo.php?workbook=12_05.xlsx&amp;sheet=U0&amp;row=8543&amp;col=7&amp;number=0.0033&amp;sourceID=14","0.0033")</f>
        <v>0.0033</v>
      </c>
    </row>
    <row r="8544" spans="1:7">
      <c r="A8544" s="3">
        <v>12</v>
      </c>
      <c r="B8544" s="3">
        <v>5</v>
      </c>
      <c r="C8544" s="3">
        <v>3</v>
      </c>
      <c r="D8544" s="3">
        <v>99</v>
      </c>
      <c r="E8544" s="3">
        <v>1</v>
      </c>
      <c r="F8544" s="4" t="str">
        <f>HYPERLINK("http://141.218.60.56/~jnz1568/getInfo.php?workbook=12_05.xlsx&amp;sheet=U0&amp;row=8544&amp;col=6&amp;number=3&amp;sourceID=14","3")</f>
        <v>3</v>
      </c>
      <c r="G8544" s="4" t="str">
        <f>HYPERLINK("http://141.218.60.56/~jnz1568/getInfo.php?workbook=12_05.xlsx&amp;sheet=U0&amp;row=8544&amp;col=7&amp;number=0.0033&amp;sourceID=14","0.0033")</f>
        <v>0.0033</v>
      </c>
    </row>
    <row r="8545" spans="1:7">
      <c r="A8545" s="3"/>
      <c r="B8545" s="3"/>
      <c r="C8545" s="3"/>
      <c r="D8545" s="3"/>
      <c r="E8545" s="3">
        <v>2</v>
      </c>
      <c r="F8545" s="4" t="str">
        <f>HYPERLINK("http://141.218.60.56/~jnz1568/getInfo.php?workbook=12_05.xlsx&amp;sheet=U0&amp;row=8545&amp;col=6&amp;number=3.1&amp;sourceID=14","3.1")</f>
        <v>3.1</v>
      </c>
      <c r="G8545" s="4" t="str">
        <f>HYPERLINK("http://141.218.60.56/~jnz1568/getInfo.php?workbook=12_05.xlsx&amp;sheet=U0&amp;row=8545&amp;col=7&amp;number=0.0033&amp;sourceID=14","0.0033")</f>
        <v>0.0033</v>
      </c>
    </row>
    <row r="8546" spans="1:7">
      <c r="A8546" s="3"/>
      <c r="B8546" s="3"/>
      <c r="C8546" s="3"/>
      <c r="D8546" s="3"/>
      <c r="E8546" s="3">
        <v>3</v>
      </c>
      <c r="F8546" s="4" t="str">
        <f>HYPERLINK("http://141.218.60.56/~jnz1568/getInfo.php?workbook=12_05.xlsx&amp;sheet=U0&amp;row=8546&amp;col=6&amp;number=3.2&amp;sourceID=14","3.2")</f>
        <v>3.2</v>
      </c>
      <c r="G8546" s="4" t="str">
        <f>HYPERLINK("http://141.218.60.56/~jnz1568/getInfo.php?workbook=12_05.xlsx&amp;sheet=U0&amp;row=8546&amp;col=7&amp;number=0.0033&amp;sourceID=14","0.0033")</f>
        <v>0.0033</v>
      </c>
    </row>
    <row r="8547" spans="1:7">
      <c r="A8547" s="3"/>
      <c r="B8547" s="3"/>
      <c r="C8547" s="3"/>
      <c r="D8547" s="3"/>
      <c r="E8547" s="3">
        <v>4</v>
      </c>
      <c r="F8547" s="4" t="str">
        <f>HYPERLINK("http://141.218.60.56/~jnz1568/getInfo.php?workbook=12_05.xlsx&amp;sheet=U0&amp;row=8547&amp;col=6&amp;number=3.3&amp;sourceID=14","3.3")</f>
        <v>3.3</v>
      </c>
      <c r="G8547" s="4" t="str">
        <f>HYPERLINK("http://141.218.60.56/~jnz1568/getInfo.php?workbook=12_05.xlsx&amp;sheet=U0&amp;row=8547&amp;col=7&amp;number=0.0033&amp;sourceID=14","0.0033")</f>
        <v>0.0033</v>
      </c>
    </row>
    <row r="8548" spans="1:7">
      <c r="A8548" s="3"/>
      <c r="B8548" s="3"/>
      <c r="C8548" s="3"/>
      <c r="D8548" s="3"/>
      <c r="E8548" s="3">
        <v>5</v>
      </c>
      <c r="F8548" s="4" t="str">
        <f>HYPERLINK("http://141.218.60.56/~jnz1568/getInfo.php?workbook=12_05.xlsx&amp;sheet=U0&amp;row=8548&amp;col=6&amp;number=3.4&amp;sourceID=14","3.4")</f>
        <v>3.4</v>
      </c>
      <c r="G8548" s="4" t="str">
        <f>HYPERLINK("http://141.218.60.56/~jnz1568/getInfo.php?workbook=12_05.xlsx&amp;sheet=U0&amp;row=8548&amp;col=7&amp;number=0.00331&amp;sourceID=14","0.00331")</f>
        <v>0.00331</v>
      </c>
    </row>
    <row r="8549" spans="1:7">
      <c r="A8549" s="3"/>
      <c r="B8549" s="3"/>
      <c r="C8549" s="3"/>
      <c r="D8549" s="3"/>
      <c r="E8549" s="3">
        <v>6</v>
      </c>
      <c r="F8549" s="4" t="str">
        <f>HYPERLINK("http://141.218.60.56/~jnz1568/getInfo.php?workbook=12_05.xlsx&amp;sheet=U0&amp;row=8549&amp;col=6&amp;number=3.5&amp;sourceID=14","3.5")</f>
        <v>3.5</v>
      </c>
      <c r="G8549" s="4" t="str">
        <f>HYPERLINK("http://141.218.60.56/~jnz1568/getInfo.php?workbook=12_05.xlsx&amp;sheet=U0&amp;row=8549&amp;col=7&amp;number=0.00331&amp;sourceID=14","0.00331")</f>
        <v>0.00331</v>
      </c>
    </row>
    <row r="8550" spans="1:7">
      <c r="A8550" s="3"/>
      <c r="B8550" s="3"/>
      <c r="C8550" s="3"/>
      <c r="D8550" s="3"/>
      <c r="E8550" s="3">
        <v>7</v>
      </c>
      <c r="F8550" s="4" t="str">
        <f>HYPERLINK("http://141.218.60.56/~jnz1568/getInfo.php?workbook=12_05.xlsx&amp;sheet=U0&amp;row=8550&amp;col=6&amp;number=3.6&amp;sourceID=14","3.6")</f>
        <v>3.6</v>
      </c>
      <c r="G8550" s="4" t="str">
        <f>HYPERLINK("http://141.218.60.56/~jnz1568/getInfo.php?workbook=12_05.xlsx&amp;sheet=U0&amp;row=8550&amp;col=7&amp;number=0.00331&amp;sourceID=14","0.00331")</f>
        <v>0.00331</v>
      </c>
    </row>
    <row r="8551" spans="1:7">
      <c r="A8551" s="3"/>
      <c r="B8551" s="3"/>
      <c r="C8551" s="3"/>
      <c r="D8551" s="3"/>
      <c r="E8551" s="3">
        <v>8</v>
      </c>
      <c r="F8551" s="4" t="str">
        <f>HYPERLINK("http://141.218.60.56/~jnz1568/getInfo.php?workbook=12_05.xlsx&amp;sheet=U0&amp;row=8551&amp;col=6&amp;number=3.7&amp;sourceID=14","3.7")</f>
        <v>3.7</v>
      </c>
      <c r="G8551" s="4" t="str">
        <f>HYPERLINK("http://141.218.60.56/~jnz1568/getInfo.php?workbook=12_05.xlsx&amp;sheet=U0&amp;row=8551&amp;col=7&amp;number=0.00332&amp;sourceID=14","0.00332")</f>
        <v>0.00332</v>
      </c>
    </row>
    <row r="8552" spans="1:7">
      <c r="A8552" s="3"/>
      <c r="B8552" s="3"/>
      <c r="C8552" s="3"/>
      <c r="D8552" s="3"/>
      <c r="E8552" s="3">
        <v>9</v>
      </c>
      <c r="F8552" s="4" t="str">
        <f>HYPERLINK("http://141.218.60.56/~jnz1568/getInfo.php?workbook=12_05.xlsx&amp;sheet=U0&amp;row=8552&amp;col=6&amp;number=3.8&amp;sourceID=14","3.8")</f>
        <v>3.8</v>
      </c>
      <c r="G8552" s="4" t="str">
        <f>HYPERLINK("http://141.218.60.56/~jnz1568/getInfo.php?workbook=12_05.xlsx&amp;sheet=U0&amp;row=8552&amp;col=7&amp;number=0.00332&amp;sourceID=14","0.00332")</f>
        <v>0.00332</v>
      </c>
    </row>
    <row r="8553" spans="1:7">
      <c r="A8553" s="3"/>
      <c r="B8553" s="3"/>
      <c r="C8553" s="3"/>
      <c r="D8553" s="3"/>
      <c r="E8553" s="3">
        <v>10</v>
      </c>
      <c r="F8553" s="4" t="str">
        <f>HYPERLINK("http://141.218.60.56/~jnz1568/getInfo.php?workbook=12_05.xlsx&amp;sheet=U0&amp;row=8553&amp;col=6&amp;number=3.9&amp;sourceID=14","3.9")</f>
        <v>3.9</v>
      </c>
      <c r="G8553" s="4" t="str">
        <f>HYPERLINK("http://141.218.60.56/~jnz1568/getInfo.php?workbook=12_05.xlsx&amp;sheet=U0&amp;row=8553&amp;col=7&amp;number=0.00333&amp;sourceID=14","0.00333")</f>
        <v>0.00333</v>
      </c>
    </row>
    <row r="8554" spans="1:7">
      <c r="A8554" s="3"/>
      <c r="B8554" s="3"/>
      <c r="C8554" s="3"/>
      <c r="D8554" s="3"/>
      <c r="E8554" s="3">
        <v>11</v>
      </c>
      <c r="F8554" s="4" t="str">
        <f>HYPERLINK("http://141.218.60.56/~jnz1568/getInfo.php?workbook=12_05.xlsx&amp;sheet=U0&amp;row=8554&amp;col=6&amp;number=4&amp;sourceID=14","4")</f>
        <v>4</v>
      </c>
      <c r="G8554" s="4" t="str">
        <f>HYPERLINK("http://141.218.60.56/~jnz1568/getInfo.php?workbook=12_05.xlsx&amp;sheet=U0&amp;row=8554&amp;col=7&amp;number=0.00334&amp;sourceID=14","0.00334")</f>
        <v>0.00334</v>
      </c>
    </row>
    <row r="8555" spans="1:7">
      <c r="A8555" s="3"/>
      <c r="B8555" s="3"/>
      <c r="C8555" s="3"/>
      <c r="D8555" s="3"/>
      <c r="E8555" s="3">
        <v>12</v>
      </c>
      <c r="F8555" s="4" t="str">
        <f>HYPERLINK("http://141.218.60.56/~jnz1568/getInfo.php?workbook=12_05.xlsx&amp;sheet=U0&amp;row=8555&amp;col=6&amp;number=4.1&amp;sourceID=14","4.1")</f>
        <v>4.1</v>
      </c>
      <c r="G8555" s="4" t="str">
        <f>HYPERLINK("http://141.218.60.56/~jnz1568/getInfo.php?workbook=12_05.xlsx&amp;sheet=U0&amp;row=8555&amp;col=7&amp;number=0.00335&amp;sourceID=14","0.00335")</f>
        <v>0.00335</v>
      </c>
    </row>
    <row r="8556" spans="1:7">
      <c r="A8556" s="3"/>
      <c r="B8556" s="3"/>
      <c r="C8556" s="3"/>
      <c r="D8556" s="3"/>
      <c r="E8556" s="3">
        <v>13</v>
      </c>
      <c r="F8556" s="4" t="str">
        <f>HYPERLINK("http://141.218.60.56/~jnz1568/getInfo.php?workbook=12_05.xlsx&amp;sheet=U0&amp;row=8556&amp;col=6&amp;number=4.2&amp;sourceID=14","4.2")</f>
        <v>4.2</v>
      </c>
      <c r="G8556" s="4" t="str">
        <f>HYPERLINK("http://141.218.60.56/~jnz1568/getInfo.php?workbook=12_05.xlsx&amp;sheet=U0&amp;row=8556&amp;col=7&amp;number=0.00336&amp;sourceID=14","0.00336")</f>
        <v>0.00336</v>
      </c>
    </row>
    <row r="8557" spans="1:7">
      <c r="A8557" s="3"/>
      <c r="B8557" s="3"/>
      <c r="C8557" s="3"/>
      <c r="D8557" s="3"/>
      <c r="E8557" s="3">
        <v>14</v>
      </c>
      <c r="F8557" s="4" t="str">
        <f>HYPERLINK("http://141.218.60.56/~jnz1568/getInfo.php?workbook=12_05.xlsx&amp;sheet=U0&amp;row=8557&amp;col=6&amp;number=4.3&amp;sourceID=14","4.3")</f>
        <v>4.3</v>
      </c>
      <c r="G8557" s="4" t="str">
        <f>HYPERLINK("http://141.218.60.56/~jnz1568/getInfo.php?workbook=12_05.xlsx&amp;sheet=U0&amp;row=8557&amp;col=7&amp;number=0.00338&amp;sourceID=14","0.00338")</f>
        <v>0.00338</v>
      </c>
    </row>
    <row r="8558" spans="1:7">
      <c r="A8558" s="3"/>
      <c r="B8558" s="3"/>
      <c r="C8558" s="3"/>
      <c r="D8558" s="3"/>
      <c r="E8558" s="3">
        <v>15</v>
      </c>
      <c r="F8558" s="4" t="str">
        <f>HYPERLINK("http://141.218.60.56/~jnz1568/getInfo.php?workbook=12_05.xlsx&amp;sheet=U0&amp;row=8558&amp;col=6&amp;number=4.4&amp;sourceID=14","4.4")</f>
        <v>4.4</v>
      </c>
      <c r="G8558" s="4" t="str">
        <f>HYPERLINK("http://141.218.60.56/~jnz1568/getInfo.php?workbook=12_05.xlsx&amp;sheet=U0&amp;row=8558&amp;col=7&amp;number=0.00341&amp;sourceID=14","0.00341")</f>
        <v>0.00341</v>
      </c>
    </row>
    <row r="8559" spans="1:7">
      <c r="A8559" s="3"/>
      <c r="B8559" s="3"/>
      <c r="C8559" s="3"/>
      <c r="D8559" s="3"/>
      <c r="E8559" s="3">
        <v>16</v>
      </c>
      <c r="F8559" s="4" t="str">
        <f>HYPERLINK("http://141.218.60.56/~jnz1568/getInfo.php?workbook=12_05.xlsx&amp;sheet=U0&amp;row=8559&amp;col=6&amp;number=4.5&amp;sourceID=14","4.5")</f>
        <v>4.5</v>
      </c>
      <c r="G8559" s="4" t="str">
        <f>HYPERLINK("http://141.218.60.56/~jnz1568/getInfo.php?workbook=12_05.xlsx&amp;sheet=U0&amp;row=8559&amp;col=7&amp;number=0.00343&amp;sourceID=14","0.00343")</f>
        <v>0.00343</v>
      </c>
    </row>
    <row r="8560" spans="1:7">
      <c r="A8560" s="3"/>
      <c r="B8560" s="3"/>
      <c r="C8560" s="3"/>
      <c r="D8560" s="3"/>
      <c r="E8560" s="3">
        <v>17</v>
      </c>
      <c r="F8560" s="4" t="str">
        <f>HYPERLINK("http://141.218.60.56/~jnz1568/getInfo.php?workbook=12_05.xlsx&amp;sheet=U0&amp;row=8560&amp;col=6&amp;number=4.6&amp;sourceID=14","4.6")</f>
        <v>4.6</v>
      </c>
      <c r="G8560" s="4" t="str">
        <f>HYPERLINK("http://141.218.60.56/~jnz1568/getInfo.php?workbook=12_05.xlsx&amp;sheet=U0&amp;row=8560&amp;col=7&amp;number=0.00347&amp;sourceID=14","0.00347")</f>
        <v>0.00347</v>
      </c>
    </row>
    <row r="8561" spans="1:7">
      <c r="A8561" s="3"/>
      <c r="B8561" s="3"/>
      <c r="C8561" s="3"/>
      <c r="D8561" s="3"/>
      <c r="E8561" s="3">
        <v>18</v>
      </c>
      <c r="F8561" s="4" t="str">
        <f>HYPERLINK("http://141.218.60.56/~jnz1568/getInfo.php?workbook=12_05.xlsx&amp;sheet=U0&amp;row=8561&amp;col=6&amp;number=4.7&amp;sourceID=14","4.7")</f>
        <v>4.7</v>
      </c>
      <c r="G8561" s="4" t="str">
        <f>HYPERLINK("http://141.218.60.56/~jnz1568/getInfo.php?workbook=12_05.xlsx&amp;sheet=U0&amp;row=8561&amp;col=7&amp;number=0.00352&amp;sourceID=14","0.00352")</f>
        <v>0.00352</v>
      </c>
    </row>
    <row r="8562" spans="1:7">
      <c r="A8562" s="3"/>
      <c r="B8562" s="3"/>
      <c r="C8562" s="3"/>
      <c r="D8562" s="3"/>
      <c r="E8562" s="3">
        <v>19</v>
      </c>
      <c r="F8562" s="4" t="str">
        <f>HYPERLINK("http://141.218.60.56/~jnz1568/getInfo.php?workbook=12_05.xlsx&amp;sheet=U0&amp;row=8562&amp;col=6&amp;number=4.8&amp;sourceID=14","4.8")</f>
        <v>4.8</v>
      </c>
      <c r="G8562" s="4" t="str">
        <f>HYPERLINK("http://141.218.60.56/~jnz1568/getInfo.php?workbook=12_05.xlsx&amp;sheet=U0&amp;row=8562&amp;col=7&amp;number=0.00357&amp;sourceID=14","0.00357")</f>
        <v>0.00357</v>
      </c>
    </row>
    <row r="8563" spans="1:7">
      <c r="A8563" s="3"/>
      <c r="B8563" s="3"/>
      <c r="C8563" s="3"/>
      <c r="D8563" s="3"/>
      <c r="E8563" s="3">
        <v>20</v>
      </c>
      <c r="F8563" s="4" t="str">
        <f>HYPERLINK("http://141.218.60.56/~jnz1568/getInfo.php?workbook=12_05.xlsx&amp;sheet=U0&amp;row=8563&amp;col=6&amp;number=4.9&amp;sourceID=14","4.9")</f>
        <v>4.9</v>
      </c>
      <c r="G8563" s="4" t="str">
        <f>HYPERLINK("http://141.218.60.56/~jnz1568/getInfo.php?workbook=12_05.xlsx&amp;sheet=U0&amp;row=8563&amp;col=7&amp;number=0.00364&amp;sourceID=14","0.00364")</f>
        <v>0.00364</v>
      </c>
    </row>
    <row r="8564" spans="1:7">
      <c r="A8564" s="3">
        <v>12</v>
      </c>
      <c r="B8564" s="3">
        <v>5</v>
      </c>
      <c r="C8564" s="3">
        <v>3</v>
      </c>
      <c r="D8564" s="3">
        <v>100</v>
      </c>
      <c r="E8564" s="3">
        <v>1</v>
      </c>
      <c r="F8564" s="4" t="str">
        <f>HYPERLINK("http://141.218.60.56/~jnz1568/getInfo.php?workbook=12_05.xlsx&amp;sheet=U0&amp;row=8564&amp;col=6&amp;number=3&amp;sourceID=14","3")</f>
        <v>3</v>
      </c>
      <c r="G8564" s="4" t="str">
        <f>HYPERLINK("http://141.218.60.56/~jnz1568/getInfo.php?workbook=12_05.xlsx&amp;sheet=U0&amp;row=8564&amp;col=7&amp;number=0.00182&amp;sourceID=14","0.00182")</f>
        <v>0.00182</v>
      </c>
    </row>
    <row r="8565" spans="1:7">
      <c r="A8565" s="3"/>
      <c r="B8565" s="3"/>
      <c r="C8565" s="3"/>
      <c r="D8565" s="3"/>
      <c r="E8565" s="3">
        <v>2</v>
      </c>
      <c r="F8565" s="4" t="str">
        <f>HYPERLINK("http://141.218.60.56/~jnz1568/getInfo.php?workbook=12_05.xlsx&amp;sheet=U0&amp;row=8565&amp;col=6&amp;number=3.1&amp;sourceID=14","3.1")</f>
        <v>3.1</v>
      </c>
      <c r="G8565" s="4" t="str">
        <f>HYPERLINK("http://141.218.60.56/~jnz1568/getInfo.php?workbook=12_05.xlsx&amp;sheet=U0&amp;row=8565&amp;col=7&amp;number=0.00182&amp;sourceID=14","0.00182")</f>
        <v>0.00182</v>
      </c>
    </row>
    <row r="8566" spans="1:7">
      <c r="A8566" s="3"/>
      <c r="B8566" s="3"/>
      <c r="C8566" s="3"/>
      <c r="D8566" s="3"/>
      <c r="E8566" s="3">
        <v>3</v>
      </c>
      <c r="F8566" s="4" t="str">
        <f>HYPERLINK("http://141.218.60.56/~jnz1568/getInfo.php?workbook=12_05.xlsx&amp;sheet=U0&amp;row=8566&amp;col=6&amp;number=3.2&amp;sourceID=14","3.2")</f>
        <v>3.2</v>
      </c>
      <c r="G8566" s="4" t="str">
        <f>HYPERLINK("http://141.218.60.56/~jnz1568/getInfo.php?workbook=12_05.xlsx&amp;sheet=U0&amp;row=8566&amp;col=7&amp;number=0.00182&amp;sourceID=14","0.00182")</f>
        <v>0.00182</v>
      </c>
    </row>
    <row r="8567" spans="1:7">
      <c r="A8567" s="3"/>
      <c r="B8567" s="3"/>
      <c r="C8567" s="3"/>
      <c r="D8567" s="3"/>
      <c r="E8567" s="3">
        <v>4</v>
      </c>
      <c r="F8567" s="4" t="str">
        <f>HYPERLINK("http://141.218.60.56/~jnz1568/getInfo.php?workbook=12_05.xlsx&amp;sheet=U0&amp;row=8567&amp;col=6&amp;number=3.3&amp;sourceID=14","3.3")</f>
        <v>3.3</v>
      </c>
      <c r="G8567" s="4" t="str">
        <f>HYPERLINK("http://141.218.60.56/~jnz1568/getInfo.php?workbook=12_05.xlsx&amp;sheet=U0&amp;row=8567&amp;col=7&amp;number=0.00182&amp;sourceID=14","0.00182")</f>
        <v>0.00182</v>
      </c>
    </row>
    <row r="8568" spans="1:7">
      <c r="A8568" s="3"/>
      <c r="B8568" s="3"/>
      <c r="C8568" s="3"/>
      <c r="D8568" s="3"/>
      <c r="E8568" s="3">
        <v>5</v>
      </c>
      <c r="F8568" s="4" t="str">
        <f>HYPERLINK("http://141.218.60.56/~jnz1568/getInfo.php?workbook=12_05.xlsx&amp;sheet=U0&amp;row=8568&amp;col=6&amp;number=3.4&amp;sourceID=14","3.4")</f>
        <v>3.4</v>
      </c>
      <c r="G8568" s="4" t="str">
        <f>HYPERLINK("http://141.218.60.56/~jnz1568/getInfo.php?workbook=12_05.xlsx&amp;sheet=U0&amp;row=8568&amp;col=7&amp;number=0.00182&amp;sourceID=14","0.00182")</f>
        <v>0.00182</v>
      </c>
    </row>
    <row r="8569" spans="1:7">
      <c r="A8569" s="3"/>
      <c r="B8569" s="3"/>
      <c r="C8569" s="3"/>
      <c r="D8569" s="3"/>
      <c r="E8569" s="3">
        <v>6</v>
      </c>
      <c r="F8569" s="4" t="str">
        <f>HYPERLINK("http://141.218.60.56/~jnz1568/getInfo.php?workbook=12_05.xlsx&amp;sheet=U0&amp;row=8569&amp;col=6&amp;number=3.5&amp;sourceID=14","3.5")</f>
        <v>3.5</v>
      </c>
      <c r="G8569" s="4" t="str">
        <f>HYPERLINK("http://141.218.60.56/~jnz1568/getInfo.php?workbook=12_05.xlsx&amp;sheet=U0&amp;row=8569&amp;col=7&amp;number=0.00182&amp;sourceID=14","0.00182")</f>
        <v>0.00182</v>
      </c>
    </row>
    <row r="8570" spans="1:7">
      <c r="A8570" s="3"/>
      <c r="B8570" s="3"/>
      <c r="C8570" s="3"/>
      <c r="D8570" s="3"/>
      <c r="E8570" s="3">
        <v>7</v>
      </c>
      <c r="F8570" s="4" t="str">
        <f>HYPERLINK("http://141.218.60.56/~jnz1568/getInfo.php?workbook=12_05.xlsx&amp;sheet=U0&amp;row=8570&amp;col=6&amp;number=3.6&amp;sourceID=14","3.6")</f>
        <v>3.6</v>
      </c>
      <c r="G8570" s="4" t="str">
        <f>HYPERLINK("http://141.218.60.56/~jnz1568/getInfo.php?workbook=12_05.xlsx&amp;sheet=U0&amp;row=8570&amp;col=7&amp;number=0.00181&amp;sourceID=14","0.00181")</f>
        <v>0.00181</v>
      </c>
    </row>
    <row r="8571" spans="1:7">
      <c r="A8571" s="3"/>
      <c r="B8571" s="3"/>
      <c r="C8571" s="3"/>
      <c r="D8571" s="3"/>
      <c r="E8571" s="3">
        <v>8</v>
      </c>
      <c r="F8571" s="4" t="str">
        <f>HYPERLINK("http://141.218.60.56/~jnz1568/getInfo.php?workbook=12_05.xlsx&amp;sheet=U0&amp;row=8571&amp;col=6&amp;number=3.7&amp;sourceID=14","3.7")</f>
        <v>3.7</v>
      </c>
      <c r="G8571" s="4" t="str">
        <f>HYPERLINK("http://141.218.60.56/~jnz1568/getInfo.php?workbook=12_05.xlsx&amp;sheet=U0&amp;row=8571&amp;col=7&amp;number=0.00181&amp;sourceID=14","0.00181")</f>
        <v>0.00181</v>
      </c>
    </row>
    <row r="8572" spans="1:7">
      <c r="A8572" s="3"/>
      <c r="B8572" s="3"/>
      <c r="C8572" s="3"/>
      <c r="D8572" s="3"/>
      <c r="E8572" s="3">
        <v>9</v>
      </c>
      <c r="F8572" s="4" t="str">
        <f>HYPERLINK("http://141.218.60.56/~jnz1568/getInfo.php?workbook=12_05.xlsx&amp;sheet=U0&amp;row=8572&amp;col=6&amp;number=3.8&amp;sourceID=14","3.8")</f>
        <v>3.8</v>
      </c>
      <c r="G8572" s="4" t="str">
        <f>HYPERLINK("http://141.218.60.56/~jnz1568/getInfo.php?workbook=12_05.xlsx&amp;sheet=U0&amp;row=8572&amp;col=7&amp;number=0.00181&amp;sourceID=14","0.00181")</f>
        <v>0.00181</v>
      </c>
    </row>
    <row r="8573" spans="1:7">
      <c r="A8573" s="3"/>
      <c r="B8573" s="3"/>
      <c r="C8573" s="3"/>
      <c r="D8573" s="3"/>
      <c r="E8573" s="3">
        <v>10</v>
      </c>
      <c r="F8573" s="4" t="str">
        <f>HYPERLINK("http://141.218.60.56/~jnz1568/getInfo.php?workbook=12_05.xlsx&amp;sheet=U0&amp;row=8573&amp;col=6&amp;number=3.9&amp;sourceID=14","3.9")</f>
        <v>3.9</v>
      </c>
      <c r="G8573" s="4" t="str">
        <f>HYPERLINK("http://141.218.60.56/~jnz1568/getInfo.php?workbook=12_05.xlsx&amp;sheet=U0&amp;row=8573&amp;col=7&amp;number=0.00181&amp;sourceID=14","0.00181")</f>
        <v>0.00181</v>
      </c>
    </row>
    <row r="8574" spans="1:7">
      <c r="A8574" s="3"/>
      <c r="B8574" s="3"/>
      <c r="C8574" s="3"/>
      <c r="D8574" s="3"/>
      <c r="E8574" s="3">
        <v>11</v>
      </c>
      <c r="F8574" s="4" t="str">
        <f>HYPERLINK("http://141.218.60.56/~jnz1568/getInfo.php?workbook=12_05.xlsx&amp;sheet=U0&amp;row=8574&amp;col=6&amp;number=4&amp;sourceID=14","4")</f>
        <v>4</v>
      </c>
      <c r="G8574" s="4" t="str">
        <f>HYPERLINK("http://141.218.60.56/~jnz1568/getInfo.php?workbook=12_05.xlsx&amp;sheet=U0&amp;row=8574&amp;col=7&amp;number=0.00181&amp;sourceID=14","0.00181")</f>
        <v>0.00181</v>
      </c>
    </row>
    <row r="8575" spans="1:7">
      <c r="A8575" s="3"/>
      <c r="B8575" s="3"/>
      <c r="C8575" s="3"/>
      <c r="D8575" s="3"/>
      <c r="E8575" s="3">
        <v>12</v>
      </c>
      <c r="F8575" s="4" t="str">
        <f>HYPERLINK("http://141.218.60.56/~jnz1568/getInfo.php?workbook=12_05.xlsx&amp;sheet=U0&amp;row=8575&amp;col=6&amp;number=4.1&amp;sourceID=14","4.1")</f>
        <v>4.1</v>
      </c>
      <c r="G8575" s="4" t="str">
        <f>HYPERLINK("http://141.218.60.56/~jnz1568/getInfo.php?workbook=12_05.xlsx&amp;sheet=U0&amp;row=8575&amp;col=7&amp;number=0.0018&amp;sourceID=14","0.0018")</f>
        <v>0.0018</v>
      </c>
    </row>
    <row r="8576" spans="1:7">
      <c r="A8576" s="3"/>
      <c r="B8576" s="3"/>
      <c r="C8576" s="3"/>
      <c r="D8576" s="3"/>
      <c r="E8576" s="3">
        <v>13</v>
      </c>
      <c r="F8576" s="4" t="str">
        <f>HYPERLINK("http://141.218.60.56/~jnz1568/getInfo.php?workbook=12_05.xlsx&amp;sheet=U0&amp;row=8576&amp;col=6&amp;number=4.2&amp;sourceID=14","4.2")</f>
        <v>4.2</v>
      </c>
      <c r="G8576" s="4" t="str">
        <f>HYPERLINK("http://141.218.60.56/~jnz1568/getInfo.php?workbook=12_05.xlsx&amp;sheet=U0&amp;row=8576&amp;col=7&amp;number=0.0018&amp;sourceID=14","0.0018")</f>
        <v>0.0018</v>
      </c>
    </row>
    <row r="8577" spans="1:7">
      <c r="A8577" s="3"/>
      <c r="B8577" s="3"/>
      <c r="C8577" s="3"/>
      <c r="D8577" s="3"/>
      <c r="E8577" s="3">
        <v>14</v>
      </c>
      <c r="F8577" s="4" t="str">
        <f>HYPERLINK("http://141.218.60.56/~jnz1568/getInfo.php?workbook=12_05.xlsx&amp;sheet=U0&amp;row=8577&amp;col=6&amp;number=4.3&amp;sourceID=14","4.3")</f>
        <v>4.3</v>
      </c>
      <c r="G8577" s="4" t="str">
        <f>HYPERLINK("http://141.218.60.56/~jnz1568/getInfo.php?workbook=12_05.xlsx&amp;sheet=U0&amp;row=8577&amp;col=7&amp;number=0.00179&amp;sourceID=14","0.00179")</f>
        <v>0.00179</v>
      </c>
    </row>
    <row r="8578" spans="1:7">
      <c r="A8578" s="3"/>
      <c r="B8578" s="3"/>
      <c r="C8578" s="3"/>
      <c r="D8578" s="3"/>
      <c r="E8578" s="3">
        <v>15</v>
      </c>
      <c r="F8578" s="4" t="str">
        <f>HYPERLINK("http://141.218.60.56/~jnz1568/getInfo.php?workbook=12_05.xlsx&amp;sheet=U0&amp;row=8578&amp;col=6&amp;number=4.4&amp;sourceID=14","4.4")</f>
        <v>4.4</v>
      </c>
      <c r="G8578" s="4" t="str">
        <f>HYPERLINK("http://141.218.60.56/~jnz1568/getInfo.php?workbook=12_05.xlsx&amp;sheet=U0&amp;row=8578&amp;col=7&amp;number=0.00179&amp;sourceID=14","0.00179")</f>
        <v>0.00179</v>
      </c>
    </row>
    <row r="8579" spans="1:7">
      <c r="A8579" s="3"/>
      <c r="B8579" s="3"/>
      <c r="C8579" s="3"/>
      <c r="D8579" s="3"/>
      <c r="E8579" s="3">
        <v>16</v>
      </c>
      <c r="F8579" s="4" t="str">
        <f>HYPERLINK("http://141.218.60.56/~jnz1568/getInfo.php?workbook=12_05.xlsx&amp;sheet=U0&amp;row=8579&amp;col=6&amp;number=4.5&amp;sourceID=14","4.5")</f>
        <v>4.5</v>
      </c>
      <c r="G8579" s="4" t="str">
        <f>HYPERLINK("http://141.218.60.56/~jnz1568/getInfo.php?workbook=12_05.xlsx&amp;sheet=U0&amp;row=8579&amp;col=7&amp;number=0.00178&amp;sourceID=14","0.00178")</f>
        <v>0.00178</v>
      </c>
    </row>
    <row r="8580" spans="1:7">
      <c r="A8580" s="3"/>
      <c r="B8580" s="3"/>
      <c r="C8580" s="3"/>
      <c r="D8580" s="3"/>
      <c r="E8580" s="3">
        <v>17</v>
      </c>
      <c r="F8580" s="4" t="str">
        <f>HYPERLINK("http://141.218.60.56/~jnz1568/getInfo.php?workbook=12_05.xlsx&amp;sheet=U0&amp;row=8580&amp;col=6&amp;number=4.6&amp;sourceID=14","4.6")</f>
        <v>4.6</v>
      </c>
      <c r="G8580" s="4" t="str">
        <f>HYPERLINK("http://141.218.60.56/~jnz1568/getInfo.php?workbook=12_05.xlsx&amp;sheet=U0&amp;row=8580&amp;col=7&amp;number=0.00177&amp;sourceID=14","0.00177")</f>
        <v>0.00177</v>
      </c>
    </row>
    <row r="8581" spans="1:7">
      <c r="A8581" s="3"/>
      <c r="B8581" s="3"/>
      <c r="C8581" s="3"/>
      <c r="D8581" s="3"/>
      <c r="E8581" s="3">
        <v>18</v>
      </c>
      <c r="F8581" s="4" t="str">
        <f>HYPERLINK("http://141.218.60.56/~jnz1568/getInfo.php?workbook=12_05.xlsx&amp;sheet=U0&amp;row=8581&amp;col=6&amp;number=4.7&amp;sourceID=14","4.7")</f>
        <v>4.7</v>
      </c>
      <c r="G8581" s="4" t="str">
        <f>HYPERLINK("http://141.218.60.56/~jnz1568/getInfo.php?workbook=12_05.xlsx&amp;sheet=U0&amp;row=8581&amp;col=7&amp;number=0.00176&amp;sourceID=14","0.00176")</f>
        <v>0.00176</v>
      </c>
    </row>
    <row r="8582" spans="1:7">
      <c r="A8582" s="3"/>
      <c r="B8582" s="3"/>
      <c r="C8582" s="3"/>
      <c r="D8582" s="3"/>
      <c r="E8582" s="3">
        <v>19</v>
      </c>
      <c r="F8582" s="4" t="str">
        <f>HYPERLINK("http://141.218.60.56/~jnz1568/getInfo.php?workbook=12_05.xlsx&amp;sheet=U0&amp;row=8582&amp;col=6&amp;number=4.8&amp;sourceID=14","4.8")</f>
        <v>4.8</v>
      </c>
      <c r="G8582" s="4" t="str">
        <f>HYPERLINK("http://141.218.60.56/~jnz1568/getInfo.php?workbook=12_05.xlsx&amp;sheet=U0&amp;row=8582&amp;col=7&amp;number=0.00174&amp;sourceID=14","0.00174")</f>
        <v>0.00174</v>
      </c>
    </row>
    <row r="8583" spans="1:7">
      <c r="A8583" s="3"/>
      <c r="B8583" s="3"/>
      <c r="C8583" s="3"/>
      <c r="D8583" s="3"/>
      <c r="E8583" s="3">
        <v>20</v>
      </c>
      <c r="F8583" s="4" t="str">
        <f>HYPERLINK("http://141.218.60.56/~jnz1568/getInfo.php?workbook=12_05.xlsx&amp;sheet=U0&amp;row=8583&amp;col=6&amp;number=4.9&amp;sourceID=14","4.9")</f>
        <v>4.9</v>
      </c>
      <c r="G8583" s="4" t="str">
        <f>HYPERLINK("http://141.218.60.56/~jnz1568/getInfo.php?workbook=12_05.xlsx&amp;sheet=U0&amp;row=8583&amp;col=7&amp;number=0.00172&amp;sourceID=14","0.00172")</f>
        <v>0.00172</v>
      </c>
    </row>
    <row r="8584" spans="1:7">
      <c r="A8584" s="3">
        <v>12</v>
      </c>
      <c r="B8584" s="3">
        <v>5</v>
      </c>
      <c r="C8584" s="3">
        <v>3</v>
      </c>
      <c r="D8584" s="3">
        <v>101</v>
      </c>
      <c r="E8584" s="3">
        <v>1</v>
      </c>
      <c r="F8584" s="4" t="str">
        <f>HYPERLINK("http://141.218.60.56/~jnz1568/getInfo.php?workbook=12_05.xlsx&amp;sheet=U0&amp;row=8584&amp;col=6&amp;number=3&amp;sourceID=14","3")</f>
        <v>3</v>
      </c>
      <c r="G8584" s="4" t="str">
        <f>HYPERLINK("http://141.218.60.56/~jnz1568/getInfo.php?workbook=12_05.xlsx&amp;sheet=U0&amp;row=8584&amp;col=7&amp;number=0.00222&amp;sourceID=14","0.00222")</f>
        <v>0.00222</v>
      </c>
    </row>
    <row r="8585" spans="1:7">
      <c r="A8585" s="3"/>
      <c r="B8585" s="3"/>
      <c r="C8585" s="3"/>
      <c r="D8585" s="3"/>
      <c r="E8585" s="3">
        <v>2</v>
      </c>
      <c r="F8585" s="4" t="str">
        <f>HYPERLINK("http://141.218.60.56/~jnz1568/getInfo.php?workbook=12_05.xlsx&amp;sheet=U0&amp;row=8585&amp;col=6&amp;number=3.1&amp;sourceID=14","3.1")</f>
        <v>3.1</v>
      </c>
      <c r="G8585" s="4" t="str">
        <f>HYPERLINK("http://141.218.60.56/~jnz1568/getInfo.php?workbook=12_05.xlsx&amp;sheet=U0&amp;row=8585&amp;col=7&amp;number=0.00222&amp;sourceID=14","0.00222")</f>
        <v>0.00222</v>
      </c>
    </row>
    <row r="8586" spans="1:7">
      <c r="A8586" s="3"/>
      <c r="B8586" s="3"/>
      <c r="C8586" s="3"/>
      <c r="D8586" s="3"/>
      <c r="E8586" s="3">
        <v>3</v>
      </c>
      <c r="F8586" s="4" t="str">
        <f>HYPERLINK("http://141.218.60.56/~jnz1568/getInfo.php?workbook=12_05.xlsx&amp;sheet=U0&amp;row=8586&amp;col=6&amp;number=3.2&amp;sourceID=14","3.2")</f>
        <v>3.2</v>
      </c>
      <c r="G8586" s="4" t="str">
        <f>HYPERLINK("http://141.218.60.56/~jnz1568/getInfo.php?workbook=12_05.xlsx&amp;sheet=U0&amp;row=8586&amp;col=7&amp;number=0.00222&amp;sourceID=14","0.00222")</f>
        <v>0.00222</v>
      </c>
    </row>
    <row r="8587" spans="1:7">
      <c r="A8587" s="3"/>
      <c r="B8587" s="3"/>
      <c r="C8587" s="3"/>
      <c r="D8587" s="3"/>
      <c r="E8587" s="3">
        <v>4</v>
      </c>
      <c r="F8587" s="4" t="str">
        <f>HYPERLINK("http://141.218.60.56/~jnz1568/getInfo.php?workbook=12_05.xlsx&amp;sheet=U0&amp;row=8587&amp;col=6&amp;number=3.3&amp;sourceID=14","3.3")</f>
        <v>3.3</v>
      </c>
      <c r="G8587" s="4" t="str">
        <f>HYPERLINK("http://141.218.60.56/~jnz1568/getInfo.php?workbook=12_05.xlsx&amp;sheet=U0&amp;row=8587&amp;col=7&amp;number=0.00222&amp;sourceID=14","0.00222")</f>
        <v>0.00222</v>
      </c>
    </row>
    <row r="8588" spans="1:7">
      <c r="A8588" s="3"/>
      <c r="B8588" s="3"/>
      <c r="C8588" s="3"/>
      <c r="D8588" s="3"/>
      <c r="E8588" s="3">
        <v>5</v>
      </c>
      <c r="F8588" s="4" t="str">
        <f>HYPERLINK("http://141.218.60.56/~jnz1568/getInfo.php?workbook=12_05.xlsx&amp;sheet=U0&amp;row=8588&amp;col=6&amp;number=3.4&amp;sourceID=14","3.4")</f>
        <v>3.4</v>
      </c>
      <c r="G8588" s="4" t="str">
        <f>HYPERLINK("http://141.218.60.56/~jnz1568/getInfo.php?workbook=12_05.xlsx&amp;sheet=U0&amp;row=8588&amp;col=7&amp;number=0.00222&amp;sourceID=14","0.00222")</f>
        <v>0.00222</v>
      </c>
    </row>
    <row r="8589" spans="1:7">
      <c r="A8589" s="3"/>
      <c r="B8589" s="3"/>
      <c r="C8589" s="3"/>
      <c r="D8589" s="3"/>
      <c r="E8589" s="3">
        <v>6</v>
      </c>
      <c r="F8589" s="4" t="str">
        <f>HYPERLINK("http://141.218.60.56/~jnz1568/getInfo.php?workbook=12_05.xlsx&amp;sheet=U0&amp;row=8589&amp;col=6&amp;number=3.5&amp;sourceID=14","3.5")</f>
        <v>3.5</v>
      </c>
      <c r="G8589" s="4" t="str">
        <f>HYPERLINK("http://141.218.60.56/~jnz1568/getInfo.php?workbook=12_05.xlsx&amp;sheet=U0&amp;row=8589&amp;col=7&amp;number=0.00222&amp;sourceID=14","0.00222")</f>
        <v>0.00222</v>
      </c>
    </row>
    <row r="8590" spans="1:7">
      <c r="A8590" s="3"/>
      <c r="B8590" s="3"/>
      <c r="C8590" s="3"/>
      <c r="D8590" s="3"/>
      <c r="E8590" s="3">
        <v>7</v>
      </c>
      <c r="F8590" s="4" t="str">
        <f>HYPERLINK("http://141.218.60.56/~jnz1568/getInfo.php?workbook=12_05.xlsx&amp;sheet=U0&amp;row=8590&amp;col=6&amp;number=3.6&amp;sourceID=14","3.6")</f>
        <v>3.6</v>
      </c>
      <c r="G8590" s="4" t="str">
        <f>HYPERLINK("http://141.218.60.56/~jnz1568/getInfo.php?workbook=12_05.xlsx&amp;sheet=U0&amp;row=8590&amp;col=7&amp;number=0.00223&amp;sourceID=14","0.00223")</f>
        <v>0.00223</v>
      </c>
    </row>
    <row r="8591" spans="1:7">
      <c r="A8591" s="3"/>
      <c r="B8591" s="3"/>
      <c r="C8591" s="3"/>
      <c r="D8591" s="3"/>
      <c r="E8591" s="3">
        <v>8</v>
      </c>
      <c r="F8591" s="4" t="str">
        <f>HYPERLINK("http://141.218.60.56/~jnz1568/getInfo.php?workbook=12_05.xlsx&amp;sheet=U0&amp;row=8591&amp;col=6&amp;number=3.7&amp;sourceID=14","3.7")</f>
        <v>3.7</v>
      </c>
      <c r="G8591" s="4" t="str">
        <f>HYPERLINK("http://141.218.60.56/~jnz1568/getInfo.php?workbook=12_05.xlsx&amp;sheet=U0&amp;row=8591&amp;col=7&amp;number=0.00223&amp;sourceID=14","0.00223")</f>
        <v>0.00223</v>
      </c>
    </row>
    <row r="8592" spans="1:7">
      <c r="A8592" s="3"/>
      <c r="B8592" s="3"/>
      <c r="C8592" s="3"/>
      <c r="D8592" s="3"/>
      <c r="E8592" s="3">
        <v>9</v>
      </c>
      <c r="F8592" s="4" t="str">
        <f>HYPERLINK("http://141.218.60.56/~jnz1568/getInfo.php?workbook=12_05.xlsx&amp;sheet=U0&amp;row=8592&amp;col=6&amp;number=3.8&amp;sourceID=14","3.8")</f>
        <v>3.8</v>
      </c>
      <c r="G8592" s="4" t="str">
        <f>HYPERLINK("http://141.218.60.56/~jnz1568/getInfo.php?workbook=12_05.xlsx&amp;sheet=U0&amp;row=8592&amp;col=7&amp;number=0.00223&amp;sourceID=14","0.00223")</f>
        <v>0.00223</v>
      </c>
    </row>
    <row r="8593" spans="1:7">
      <c r="A8593" s="3"/>
      <c r="B8593" s="3"/>
      <c r="C8593" s="3"/>
      <c r="D8593" s="3"/>
      <c r="E8593" s="3">
        <v>10</v>
      </c>
      <c r="F8593" s="4" t="str">
        <f>HYPERLINK("http://141.218.60.56/~jnz1568/getInfo.php?workbook=12_05.xlsx&amp;sheet=U0&amp;row=8593&amp;col=6&amp;number=3.9&amp;sourceID=14","3.9")</f>
        <v>3.9</v>
      </c>
      <c r="G8593" s="4" t="str">
        <f>HYPERLINK("http://141.218.60.56/~jnz1568/getInfo.php?workbook=12_05.xlsx&amp;sheet=U0&amp;row=8593&amp;col=7&amp;number=0.00224&amp;sourceID=14","0.00224")</f>
        <v>0.00224</v>
      </c>
    </row>
    <row r="8594" spans="1:7">
      <c r="A8594" s="3"/>
      <c r="B8594" s="3"/>
      <c r="C8594" s="3"/>
      <c r="D8594" s="3"/>
      <c r="E8594" s="3">
        <v>11</v>
      </c>
      <c r="F8594" s="4" t="str">
        <f>HYPERLINK("http://141.218.60.56/~jnz1568/getInfo.php?workbook=12_05.xlsx&amp;sheet=U0&amp;row=8594&amp;col=6&amp;number=4&amp;sourceID=14","4")</f>
        <v>4</v>
      </c>
      <c r="G8594" s="4" t="str">
        <f>HYPERLINK("http://141.218.60.56/~jnz1568/getInfo.php?workbook=12_05.xlsx&amp;sheet=U0&amp;row=8594&amp;col=7&amp;number=0.00225&amp;sourceID=14","0.00225")</f>
        <v>0.00225</v>
      </c>
    </row>
    <row r="8595" spans="1:7">
      <c r="A8595" s="3"/>
      <c r="B8595" s="3"/>
      <c r="C8595" s="3"/>
      <c r="D8595" s="3"/>
      <c r="E8595" s="3">
        <v>12</v>
      </c>
      <c r="F8595" s="4" t="str">
        <f>HYPERLINK("http://141.218.60.56/~jnz1568/getInfo.php?workbook=12_05.xlsx&amp;sheet=U0&amp;row=8595&amp;col=6&amp;number=4.1&amp;sourceID=14","4.1")</f>
        <v>4.1</v>
      </c>
      <c r="G8595" s="4" t="str">
        <f>HYPERLINK("http://141.218.60.56/~jnz1568/getInfo.php?workbook=12_05.xlsx&amp;sheet=U0&amp;row=8595&amp;col=7&amp;number=0.00225&amp;sourceID=14","0.00225")</f>
        <v>0.00225</v>
      </c>
    </row>
    <row r="8596" spans="1:7">
      <c r="A8596" s="3"/>
      <c r="B8596" s="3"/>
      <c r="C8596" s="3"/>
      <c r="D8596" s="3"/>
      <c r="E8596" s="3">
        <v>13</v>
      </c>
      <c r="F8596" s="4" t="str">
        <f>HYPERLINK("http://141.218.60.56/~jnz1568/getInfo.php?workbook=12_05.xlsx&amp;sheet=U0&amp;row=8596&amp;col=6&amp;number=4.2&amp;sourceID=14","4.2")</f>
        <v>4.2</v>
      </c>
      <c r="G8596" s="4" t="str">
        <f>HYPERLINK("http://141.218.60.56/~jnz1568/getInfo.php?workbook=12_05.xlsx&amp;sheet=U0&amp;row=8596&amp;col=7&amp;number=0.00226&amp;sourceID=14","0.00226")</f>
        <v>0.00226</v>
      </c>
    </row>
    <row r="8597" spans="1:7">
      <c r="A8597" s="3"/>
      <c r="B8597" s="3"/>
      <c r="C8597" s="3"/>
      <c r="D8597" s="3"/>
      <c r="E8597" s="3">
        <v>14</v>
      </c>
      <c r="F8597" s="4" t="str">
        <f>HYPERLINK("http://141.218.60.56/~jnz1568/getInfo.php?workbook=12_05.xlsx&amp;sheet=U0&amp;row=8597&amp;col=6&amp;number=4.3&amp;sourceID=14","4.3")</f>
        <v>4.3</v>
      </c>
      <c r="G8597" s="4" t="str">
        <f>HYPERLINK("http://141.218.60.56/~jnz1568/getInfo.php?workbook=12_05.xlsx&amp;sheet=U0&amp;row=8597&amp;col=7&amp;number=0.00228&amp;sourceID=14","0.00228")</f>
        <v>0.00228</v>
      </c>
    </row>
    <row r="8598" spans="1:7">
      <c r="A8598" s="3"/>
      <c r="B8598" s="3"/>
      <c r="C8598" s="3"/>
      <c r="D8598" s="3"/>
      <c r="E8598" s="3">
        <v>15</v>
      </c>
      <c r="F8598" s="4" t="str">
        <f>HYPERLINK("http://141.218.60.56/~jnz1568/getInfo.php?workbook=12_05.xlsx&amp;sheet=U0&amp;row=8598&amp;col=6&amp;number=4.4&amp;sourceID=14","4.4")</f>
        <v>4.4</v>
      </c>
      <c r="G8598" s="4" t="str">
        <f>HYPERLINK("http://141.218.60.56/~jnz1568/getInfo.php?workbook=12_05.xlsx&amp;sheet=U0&amp;row=8598&amp;col=7&amp;number=0.00229&amp;sourceID=14","0.00229")</f>
        <v>0.00229</v>
      </c>
    </row>
    <row r="8599" spans="1:7">
      <c r="A8599" s="3"/>
      <c r="B8599" s="3"/>
      <c r="C8599" s="3"/>
      <c r="D8599" s="3"/>
      <c r="E8599" s="3">
        <v>16</v>
      </c>
      <c r="F8599" s="4" t="str">
        <f>HYPERLINK("http://141.218.60.56/~jnz1568/getInfo.php?workbook=12_05.xlsx&amp;sheet=U0&amp;row=8599&amp;col=6&amp;number=4.5&amp;sourceID=14","4.5")</f>
        <v>4.5</v>
      </c>
      <c r="G8599" s="4" t="str">
        <f>HYPERLINK("http://141.218.60.56/~jnz1568/getInfo.php?workbook=12_05.xlsx&amp;sheet=U0&amp;row=8599&amp;col=7&amp;number=0.00231&amp;sourceID=14","0.00231")</f>
        <v>0.00231</v>
      </c>
    </row>
    <row r="8600" spans="1:7">
      <c r="A8600" s="3"/>
      <c r="B8600" s="3"/>
      <c r="C8600" s="3"/>
      <c r="D8600" s="3"/>
      <c r="E8600" s="3">
        <v>17</v>
      </c>
      <c r="F8600" s="4" t="str">
        <f>HYPERLINK("http://141.218.60.56/~jnz1568/getInfo.php?workbook=12_05.xlsx&amp;sheet=U0&amp;row=8600&amp;col=6&amp;number=4.6&amp;sourceID=14","4.6")</f>
        <v>4.6</v>
      </c>
      <c r="G8600" s="4" t="str">
        <f>HYPERLINK("http://141.218.60.56/~jnz1568/getInfo.php?workbook=12_05.xlsx&amp;sheet=U0&amp;row=8600&amp;col=7&amp;number=0.00234&amp;sourceID=14","0.00234")</f>
        <v>0.00234</v>
      </c>
    </row>
    <row r="8601" spans="1:7">
      <c r="A8601" s="3"/>
      <c r="B8601" s="3"/>
      <c r="C8601" s="3"/>
      <c r="D8601" s="3"/>
      <c r="E8601" s="3">
        <v>18</v>
      </c>
      <c r="F8601" s="4" t="str">
        <f>HYPERLINK("http://141.218.60.56/~jnz1568/getInfo.php?workbook=12_05.xlsx&amp;sheet=U0&amp;row=8601&amp;col=6&amp;number=4.7&amp;sourceID=14","4.7")</f>
        <v>4.7</v>
      </c>
      <c r="G8601" s="4" t="str">
        <f>HYPERLINK("http://141.218.60.56/~jnz1568/getInfo.php?workbook=12_05.xlsx&amp;sheet=U0&amp;row=8601&amp;col=7&amp;number=0.00237&amp;sourceID=14","0.00237")</f>
        <v>0.00237</v>
      </c>
    </row>
    <row r="8602" spans="1:7">
      <c r="A8602" s="3"/>
      <c r="B8602" s="3"/>
      <c r="C8602" s="3"/>
      <c r="D8602" s="3"/>
      <c r="E8602" s="3">
        <v>19</v>
      </c>
      <c r="F8602" s="4" t="str">
        <f>HYPERLINK("http://141.218.60.56/~jnz1568/getInfo.php?workbook=12_05.xlsx&amp;sheet=U0&amp;row=8602&amp;col=6&amp;number=4.8&amp;sourceID=14","4.8")</f>
        <v>4.8</v>
      </c>
      <c r="G8602" s="4" t="str">
        <f>HYPERLINK("http://141.218.60.56/~jnz1568/getInfo.php?workbook=12_05.xlsx&amp;sheet=U0&amp;row=8602&amp;col=7&amp;number=0.00241&amp;sourceID=14","0.00241")</f>
        <v>0.00241</v>
      </c>
    </row>
    <row r="8603" spans="1:7">
      <c r="A8603" s="3"/>
      <c r="B8603" s="3"/>
      <c r="C8603" s="3"/>
      <c r="D8603" s="3"/>
      <c r="E8603" s="3">
        <v>20</v>
      </c>
      <c r="F8603" s="4" t="str">
        <f>HYPERLINK("http://141.218.60.56/~jnz1568/getInfo.php?workbook=12_05.xlsx&amp;sheet=U0&amp;row=8603&amp;col=6&amp;number=4.9&amp;sourceID=14","4.9")</f>
        <v>4.9</v>
      </c>
      <c r="G8603" s="4" t="str">
        <f>HYPERLINK("http://141.218.60.56/~jnz1568/getInfo.php?workbook=12_05.xlsx&amp;sheet=U0&amp;row=8603&amp;col=7&amp;number=0.00245&amp;sourceID=14","0.00245")</f>
        <v>0.00245</v>
      </c>
    </row>
    <row r="8604" spans="1:7">
      <c r="A8604" s="3">
        <v>12</v>
      </c>
      <c r="B8604" s="3">
        <v>5</v>
      </c>
      <c r="C8604" s="3">
        <v>3</v>
      </c>
      <c r="D8604" s="3">
        <v>102</v>
      </c>
      <c r="E8604" s="3">
        <v>1</v>
      </c>
      <c r="F8604" s="4" t="str">
        <f>HYPERLINK("http://141.218.60.56/~jnz1568/getInfo.php?workbook=12_05.xlsx&amp;sheet=U0&amp;row=8604&amp;col=6&amp;number=3&amp;sourceID=14","3")</f>
        <v>3</v>
      </c>
      <c r="G8604" s="4" t="str">
        <f>HYPERLINK("http://141.218.60.56/~jnz1568/getInfo.php?workbook=12_05.xlsx&amp;sheet=U0&amp;row=8604&amp;col=7&amp;number=0.000508&amp;sourceID=14","0.000508")</f>
        <v>0.000508</v>
      </c>
    </row>
    <row r="8605" spans="1:7">
      <c r="A8605" s="3"/>
      <c r="B8605" s="3"/>
      <c r="C8605" s="3"/>
      <c r="D8605" s="3"/>
      <c r="E8605" s="3">
        <v>2</v>
      </c>
      <c r="F8605" s="4" t="str">
        <f>HYPERLINK("http://141.218.60.56/~jnz1568/getInfo.php?workbook=12_05.xlsx&amp;sheet=U0&amp;row=8605&amp;col=6&amp;number=3.1&amp;sourceID=14","3.1")</f>
        <v>3.1</v>
      </c>
      <c r="G8605" s="4" t="str">
        <f>HYPERLINK("http://141.218.60.56/~jnz1568/getInfo.php?workbook=12_05.xlsx&amp;sheet=U0&amp;row=8605&amp;col=7&amp;number=0.000508&amp;sourceID=14","0.000508")</f>
        <v>0.000508</v>
      </c>
    </row>
    <row r="8606" spans="1:7">
      <c r="A8606" s="3"/>
      <c r="B8606" s="3"/>
      <c r="C8606" s="3"/>
      <c r="D8606" s="3"/>
      <c r="E8606" s="3">
        <v>3</v>
      </c>
      <c r="F8606" s="4" t="str">
        <f>HYPERLINK("http://141.218.60.56/~jnz1568/getInfo.php?workbook=12_05.xlsx&amp;sheet=U0&amp;row=8606&amp;col=6&amp;number=3.2&amp;sourceID=14","3.2")</f>
        <v>3.2</v>
      </c>
      <c r="G8606" s="4" t="str">
        <f>HYPERLINK("http://141.218.60.56/~jnz1568/getInfo.php?workbook=12_05.xlsx&amp;sheet=U0&amp;row=8606&amp;col=7&amp;number=0.000507&amp;sourceID=14","0.000507")</f>
        <v>0.000507</v>
      </c>
    </row>
    <row r="8607" spans="1:7">
      <c r="A8607" s="3"/>
      <c r="B8607" s="3"/>
      <c r="C8607" s="3"/>
      <c r="D8607" s="3"/>
      <c r="E8607" s="3">
        <v>4</v>
      </c>
      <c r="F8607" s="4" t="str">
        <f>HYPERLINK("http://141.218.60.56/~jnz1568/getInfo.php?workbook=12_05.xlsx&amp;sheet=U0&amp;row=8607&amp;col=6&amp;number=3.3&amp;sourceID=14","3.3")</f>
        <v>3.3</v>
      </c>
      <c r="G8607" s="4" t="str">
        <f>HYPERLINK("http://141.218.60.56/~jnz1568/getInfo.php?workbook=12_05.xlsx&amp;sheet=U0&amp;row=8607&amp;col=7&amp;number=0.000507&amp;sourceID=14","0.000507")</f>
        <v>0.000507</v>
      </c>
    </row>
    <row r="8608" spans="1:7">
      <c r="A8608" s="3"/>
      <c r="B8608" s="3"/>
      <c r="C8608" s="3"/>
      <c r="D8608" s="3"/>
      <c r="E8608" s="3">
        <v>5</v>
      </c>
      <c r="F8608" s="4" t="str">
        <f>HYPERLINK("http://141.218.60.56/~jnz1568/getInfo.php?workbook=12_05.xlsx&amp;sheet=U0&amp;row=8608&amp;col=6&amp;number=3.4&amp;sourceID=14","3.4")</f>
        <v>3.4</v>
      </c>
      <c r="G8608" s="4" t="str">
        <f>HYPERLINK("http://141.218.60.56/~jnz1568/getInfo.php?workbook=12_05.xlsx&amp;sheet=U0&amp;row=8608&amp;col=7&amp;number=0.000507&amp;sourceID=14","0.000507")</f>
        <v>0.000507</v>
      </c>
    </row>
    <row r="8609" spans="1:7">
      <c r="A8609" s="3"/>
      <c r="B8609" s="3"/>
      <c r="C8609" s="3"/>
      <c r="D8609" s="3"/>
      <c r="E8609" s="3">
        <v>6</v>
      </c>
      <c r="F8609" s="4" t="str">
        <f>HYPERLINK("http://141.218.60.56/~jnz1568/getInfo.php?workbook=12_05.xlsx&amp;sheet=U0&amp;row=8609&amp;col=6&amp;number=3.5&amp;sourceID=14","3.5")</f>
        <v>3.5</v>
      </c>
      <c r="G8609" s="4" t="str">
        <f>HYPERLINK("http://141.218.60.56/~jnz1568/getInfo.php?workbook=12_05.xlsx&amp;sheet=U0&amp;row=8609&amp;col=7&amp;number=0.000507&amp;sourceID=14","0.000507")</f>
        <v>0.000507</v>
      </c>
    </row>
    <row r="8610" spans="1:7">
      <c r="A8610" s="3"/>
      <c r="B8610" s="3"/>
      <c r="C8610" s="3"/>
      <c r="D8610" s="3"/>
      <c r="E8610" s="3">
        <v>7</v>
      </c>
      <c r="F8610" s="4" t="str">
        <f>HYPERLINK("http://141.218.60.56/~jnz1568/getInfo.php?workbook=12_05.xlsx&amp;sheet=U0&amp;row=8610&amp;col=6&amp;number=3.6&amp;sourceID=14","3.6")</f>
        <v>3.6</v>
      </c>
      <c r="G8610" s="4" t="str">
        <f>HYPERLINK("http://141.218.60.56/~jnz1568/getInfo.php?workbook=12_05.xlsx&amp;sheet=U0&amp;row=8610&amp;col=7&amp;number=0.000506&amp;sourceID=14","0.000506")</f>
        <v>0.000506</v>
      </c>
    </row>
    <row r="8611" spans="1:7">
      <c r="A8611" s="3"/>
      <c r="B8611" s="3"/>
      <c r="C8611" s="3"/>
      <c r="D8611" s="3"/>
      <c r="E8611" s="3">
        <v>8</v>
      </c>
      <c r="F8611" s="4" t="str">
        <f>HYPERLINK("http://141.218.60.56/~jnz1568/getInfo.php?workbook=12_05.xlsx&amp;sheet=U0&amp;row=8611&amp;col=6&amp;number=3.7&amp;sourceID=14","3.7")</f>
        <v>3.7</v>
      </c>
      <c r="G8611" s="4" t="str">
        <f>HYPERLINK("http://141.218.60.56/~jnz1568/getInfo.php?workbook=12_05.xlsx&amp;sheet=U0&amp;row=8611&amp;col=7&amp;number=0.000506&amp;sourceID=14","0.000506")</f>
        <v>0.000506</v>
      </c>
    </row>
    <row r="8612" spans="1:7">
      <c r="A8612" s="3"/>
      <c r="B8612" s="3"/>
      <c r="C8612" s="3"/>
      <c r="D8612" s="3"/>
      <c r="E8612" s="3">
        <v>9</v>
      </c>
      <c r="F8612" s="4" t="str">
        <f>HYPERLINK("http://141.218.60.56/~jnz1568/getInfo.php?workbook=12_05.xlsx&amp;sheet=U0&amp;row=8612&amp;col=6&amp;number=3.8&amp;sourceID=14","3.8")</f>
        <v>3.8</v>
      </c>
      <c r="G8612" s="4" t="str">
        <f>HYPERLINK("http://141.218.60.56/~jnz1568/getInfo.php?workbook=12_05.xlsx&amp;sheet=U0&amp;row=8612&amp;col=7&amp;number=0.000506&amp;sourceID=14","0.000506")</f>
        <v>0.000506</v>
      </c>
    </row>
    <row r="8613" spans="1:7">
      <c r="A8613" s="3"/>
      <c r="B8613" s="3"/>
      <c r="C8613" s="3"/>
      <c r="D8613" s="3"/>
      <c r="E8613" s="3">
        <v>10</v>
      </c>
      <c r="F8613" s="4" t="str">
        <f>HYPERLINK("http://141.218.60.56/~jnz1568/getInfo.php?workbook=12_05.xlsx&amp;sheet=U0&amp;row=8613&amp;col=6&amp;number=3.9&amp;sourceID=14","3.9")</f>
        <v>3.9</v>
      </c>
      <c r="G8613" s="4" t="str">
        <f>HYPERLINK("http://141.218.60.56/~jnz1568/getInfo.php?workbook=12_05.xlsx&amp;sheet=U0&amp;row=8613&amp;col=7&amp;number=0.000505&amp;sourceID=14","0.000505")</f>
        <v>0.000505</v>
      </c>
    </row>
    <row r="8614" spans="1:7">
      <c r="A8614" s="3"/>
      <c r="B8614" s="3"/>
      <c r="C8614" s="3"/>
      <c r="D8614" s="3"/>
      <c r="E8614" s="3">
        <v>11</v>
      </c>
      <c r="F8614" s="4" t="str">
        <f>HYPERLINK("http://141.218.60.56/~jnz1568/getInfo.php?workbook=12_05.xlsx&amp;sheet=U0&amp;row=8614&amp;col=6&amp;number=4&amp;sourceID=14","4")</f>
        <v>4</v>
      </c>
      <c r="G8614" s="4" t="str">
        <f>HYPERLINK("http://141.218.60.56/~jnz1568/getInfo.php?workbook=12_05.xlsx&amp;sheet=U0&amp;row=8614&amp;col=7&amp;number=0.000504&amp;sourceID=14","0.000504")</f>
        <v>0.000504</v>
      </c>
    </row>
    <row r="8615" spans="1:7">
      <c r="A8615" s="3"/>
      <c r="B8615" s="3"/>
      <c r="C8615" s="3"/>
      <c r="D8615" s="3"/>
      <c r="E8615" s="3">
        <v>12</v>
      </c>
      <c r="F8615" s="4" t="str">
        <f>HYPERLINK("http://141.218.60.56/~jnz1568/getInfo.php?workbook=12_05.xlsx&amp;sheet=U0&amp;row=8615&amp;col=6&amp;number=4.1&amp;sourceID=14","4.1")</f>
        <v>4.1</v>
      </c>
      <c r="G8615" s="4" t="str">
        <f>HYPERLINK("http://141.218.60.56/~jnz1568/getInfo.php?workbook=12_05.xlsx&amp;sheet=U0&amp;row=8615&amp;col=7&amp;number=0.000503&amp;sourceID=14","0.000503")</f>
        <v>0.000503</v>
      </c>
    </row>
    <row r="8616" spans="1:7">
      <c r="A8616" s="3"/>
      <c r="B8616" s="3"/>
      <c r="C8616" s="3"/>
      <c r="D8616" s="3"/>
      <c r="E8616" s="3">
        <v>13</v>
      </c>
      <c r="F8616" s="4" t="str">
        <f>HYPERLINK("http://141.218.60.56/~jnz1568/getInfo.php?workbook=12_05.xlsx&amp;sheet=U0&amp;row=8616&amp;col=6&amp;number=4.2&amp;sourceID=14","4.2")</f>
        <v>4.2</v>
      </c>
      <c r="G8616" s="4" t="str">
        <f>HYPERLINK("http://141.218.60.56/~jnz1568/getInfo.php?workbook=12_05.xlsx&amp;sheet=U0&amp;row=8616&amp;col=7&amp;number=0.000502&amp;sourceID=14","0.000502")</f>
        <v>0.000502</v>
      </c>
    </row>
    <row r="8617" spans="1:7">
      <c r="A8617" s="3"/>
      <c r="B8617" s="3"/>
      <c r="C8617" s="3"/>
      <c r="D8617" s="3"/>
      <c r="E8617" s="3">
        <v>14</v>
      </c>
      <c r="F8617" s="4" t="str">
        <f>HYPERLINK("http://141.218.60.56/~jnz1568/getInfo.php?workbook=12_05.xlsx&amp;sheet=U0&amp;row=8617&amp;col=6&amp;number=4.3&amp;sourceID=14","4.3")</f>
        <v>4.3</v>
      </c>
      <c r="G8617" s="4" t="str">
        <f>HYPERLINK("http://141.218.60.56/~jnz1568/getInfo.php?workbook=12_05.xlsx&amp;sheet=U0&amp;row=8617&amp;col=7&amp;number=0.0005&amp;sourceID=14","0.0005")</f>
        <v>0.0005</v>
      </c>
    </row>
    <row r="8618" spans="1:7">
      <c r="A8618" s="3"/>
      <c r="B8618" s="3"/>
      <c r="C8618" s="3"/>
      <c r="D8618" s="3"/>
      <c r="E8618" s="3">
        <v>15</v>
      </c>
      <c r="F8618" s="4" t="str">
        <f>HYPERLINK("http://141.218.60.56/~jnz1568/getInfo.php?workbook=12_05.xlsx&amp;sheet=U0&amp;row=8618&amp;col=6&amp;number=4.4&amp;sourceID=14","4.4")</f>
        <v>4.4</v>
      </c>
      <c r="G8618" s="4" t="str">
        <f>HYPERLINK("http://141.218.60.56/~jnz1568/getInfo.php?workbook=12_05.xlsx&amp;sheet=U0&amp;row=8618&amp;col=7&amp;number=0.000498&amp;sourceID=14","0.000498")</f>
        <v>0.000498</v>
      </c>
    </row>
    <row r="8619" spans="1:7">
      <c r="A8619" s="3"/>
      <c r="B8619" s="3"/>
      <c r="C8619" s="3"/>
      <c r="D8619" s="3"/>
      <c r="E8619" s="3">
        <v>16</v>
      </c>
      <c r="F8619" s="4" t="str">
        <f>HYPERLINK("http://141.218.60.56/~jnz1568/getInfo.php?workbook=12_05.xlsx&amp;sheet=U0&amp;row=8619&amp;col=6&amp;number=4.5&amp;sourceID=14","4.5")</f>
        <v>4.5</v>
      </c>
      <c r="G8619" s="4" t="str">
        <f>HYPERLINK("http://141.218.60.56/~jnz1568/getInfo.php?workbook=12_05.xlsx&amp;sheet=U0&amp;row=8619&amp;col=7&amp;number=0.000496&amp;sourceID=14","0.000496")</f>
        <v>0.000496</v>
      </c>
    </row>
    <row r="8620" spans="1:7">
      <c r="A8620" s="3"/>
      <c r="B8620" s="3"/>
      <c r="C8620" s="3"/>
      <c r="D8620" s="3"/>
      <c r="E8620" s="3">
        <v>17</v>
      </c>
      <c r="F8620" s="4" t="str">
        <f>HYPERLINK("http://141.218.60.56/~jnz1568/getInfo.php?workbook=12_05.xlsx&amp;sheet=U0&amp;row=8620&amp;col=6&amp;number=4.6&amp;sourceID=14","4.6")</f>
        <v>4.6</v>
      </c>
      <c r="G8620" s="4" t="str">
        <f>HYPERLINK("http://141.218.60.56/~jnz1568/getInfo.php?workbook=12_05.xlsx&amp;sheet=U0&amp;row=8620&amp;col=7&amp;number=0.000492&amp;sourceID=14","0.000492")</f>
        <v>0.000492</v>
      </c>
    </row>
    <row r="8621" spans="1:7">
      <c r="A8621" s="3"/>
      <c r="B8621" s="3"/>
      <c r="C8621" s="3"/>
      <c r="D8621" s="3"/>
      <c r="E8621" s="3">
        <v>18</v>
      </c>
      <c r="F8621" s="4" t="str">
        <f>HYPERLINK("http://141.218.60.56/~jnz1568/getInfo.php?workbook=12_05.xlsx&amp;sheet=U0&amp;row=8621&amp;col=6&amp;number=4.7&amp;sourceID=14","4.7")</f>
        <v>4.7</v>
      </c>
      <c r="G8621" s="4" t="str">
        <f>HYPERLINK("http://141.218.60.56/~jnz1568/getInfo.php?workbook=12_05.xlsx&amp;sheet=U0&amp;row=8621&amp;col=7&amp;number=0.000488&amp;sourceID=14","0.000488")</f>
        <v>0.000488</v>
      </c>
    </row>
    <row r="8622" spans="1:7">
      <c r="A8622" s="3"/>
      <c r="B8622" s="3"/>
      <c r="C8622" s="3"/>
      <c r="D8622" s="3"/>
      <c r="E8622" s="3">
        <v>19</v>
      </c>
      <c r="F8622" s="4" t="str">
        <f>HYPERLINK("http://141.218.60.56/~jnz1568/getInfo.php?workbook=12_05.xlsx&amp;sheet=U0&amp;row=8622&amp;col=6&amp;number=4.8&amp;sourceID=14","4.8")</f>
        <v>4.8</v>
      </c>
      <c r="G8622" s="4" t="str">
        <f>HYPERLINK("http://141.218.60.56/~jnz1568/getInfo.php?workbook=12_05.xlsx&amp;sheet=U0&amp;row=8622&amp;col=7&amp;number=0.000484&amp;sourceID=14","0.000484")</f>
        <v>0.000484</v>
      </c>
    </row>
    <row r="8623" spans="1:7">
      <c r="A8623" s="3"/>
      <c r="B8623" s="3"/>
      <c r="C8623" s="3"/>
      <c r="D8623" s="3"/>
      <c r="E8623" s="3">
        <v>20</v>
      </c>
      <c r="F8623" s="4" t="str">
        <f>HYPERLINK("http://141.218.60.56/~jnz1568/getInfo.php?workbook=12_05.xlsx&amp;sheet=U0&amp;row=8623&amp;col=6&amp;number=4.9&amp;sourceID=14","4.9")</f>
        <v>4.9</v>
      </c>
      <c r="G8623" s="4" t="str">
        <f>HYPERLINK("http://141.218.60.56/~jnz1568/getInfo.php?workbook=12_05.xlsx&amp;sheet=U0&amp;row=8623&amp;col=7&amp;number=0.000477&amp;sourceID=14","0.000477")</f>
        <v>0.000477</v>
      </c>
    </row>
    <row r="8624" spans="1:7">
      <c r="A8624" s="3">
        <v>12</v>
      </c>
      <c r="B8624" s="3">
        <v>5</v>
      </c>
      <c r="C8624" s="3">
        <v>3</v>
      </c>
      <c r="D8624" s="3">
        <v>103</v>
      </c>
      <c r="E8624" s="3">
        <v>1</v>
      </c>
      <c r="F8624" s="4" t="str">
        <f>HYPERLINK("http://141.218.60.56/~jnz1568/getInfo.php?workbook=12_05.xlsx&amp;sheet=U0&amp;row=8624&amp;col=6&amp;number=3&amp;sourceID=14","3")</f>
        <v>3</v>
      </c>
      <c r="G8624" s="4" t="str">
        <f>HYPERLINK("http://141.218.60.56/~jnz1568/getInfo.php?workbook=12_05.xlsx&amp;sheet=U0&amp;row=8624&amp;col=7&amp;number=0.000565&amp;sourceID=14","0.000565")</f>
        <v>0.000565</v>
      </c>
    </row>
    <row r="8625" spans="1:7">
      <c r="A8625" s="3"/>
      <c r="B8625" s="3"/>
      <c r="C8625" s="3"/>
      <c r="D8625" s="3"/>
      <c r="E8625" s="3">
        <v>2</v>
      </c>
      <c r="F8625" s="4" t="str">
        <f>HYPERLINK("http://141.218.60.56/~jnz1568/getInfo.php?workbook=12_05.xlsx&amp;sheet=U0&amp;row=8625&amp;col=6&amp;number=3.1&amp;sourceID=14","3.1")</f>
        <v>3.1</v>
      </c>
      <c r="G8625" s="4" t="str">
        <f>HYPERLINK("http://141.218.60.56/~jnz1568/getInfo.php?workbook=12_05.xlsx&amp;sheet=U0&amp;row=8625&amp;col=7&amp;number=0.000565&amp;sourceID=14","0.000565")</f>
        <v>0.000565</v>
      </c>
    </row>
    <row r="8626" spans="1:7">
      <c r="A8626" s="3"/>
      <c r="B8626" s="3"/>
      <c r="C8626" s="3"/>
      <c r="D8626" s="3"/>
      <c r="E8626" s="3">
        <v>3</v>
      </c>
      <c r="F8626" s="4" t="str">
        <f>HYPERLINK("http://141.218.60.56/~jnz1568/getInfo.php?workbook=12_05.xlsx&amp;sheet=U0&amp;row=8626&amp;col=6&amp;number=3.2&amp;sourceID=14","3.2")</f>
        <v>3.2</v>
      </c>
      <c r="G8626" s="4" t="str">
        <f>HYPERLINK("http://141.218.60.56/~jnz1568/getInfo.php?workbook=12_05.xlsx&amp;sheet=U0&amp;row=8626&amp;col=7&amp;number=0.000565&amp;sourceID=14","0.000565")</f>
        <v>0.000565</v>
      </c>
    </row>
    <row r="8627" spans="1:7">
      <c r="A8627" s="3"/>
      <c r="B8627" s="3"/>
      <c r="C8627" s="3"/>
      <c r="D8627" s="3"/>
      <c r="E8627" s="3">
        <v>4</v>
      </c>
      <c r="F8627" s="4" t="str">
        <f>HYPERLINK("http://141.218.60.56/~jnz1568/getInfo.php?workbook=12_05.xlsx&amp;sheet=U0&amp;row=8627&amp;col=6&amp;number=3.3&amp;sourceID=14","3.3")</f>
        <v>3.3</v>
      </c>
      <c r="G8627" s="4" t="str">
        <f>HYPERLINK("http://141.218.60.56/~jnz1568/getInfo.php?workbook=12_05.xlsx&amp;sheet=U0&amp;row=8627&amp;col=7&amp;number=0.000565&amp;sourceID=14","0.000565")</f>
        <v>0.000565</v>
      </c>
    </row>
    <row r="8628" spans="1:7">
      <c r="A8628" s="3"/>
      <c r="B8628" s="3"/>
      <c r="C8628" s="3"/>
      <c r="D8628" s="3"/>
      <c r="E8628" s="3">
        <v>5</v>
      </c>
      <c r="F8628" s="4" t="str">
        <f>HYPERLINK("http://141.218.60.56/~jnz1568/getInfo.php?workbook=12_05.xlsx&amp;sheet=U0&amp;row=8628&amp;col=6&amp;number=3.4&amp;sourceID=14","3.4")</f>
        <v>3.4</v>
      </c>
      <c r="G8628" s="4" t="str">
        <f>HYPERLINK("http://141.218.60.56/~jnz1568/getInfo.php?workbook=12_05.xlsx&amp;sheet=U0&amp;row=8628&amp;col=7&amp;number=0.000565&amp;sourceID=14","0.000565")</f>
        <v>0.000565</v>
      </c>
    </row>
    <row r="8629" spans="1:7">
      <c r="A8629" s="3"/>
      <c r="B8629" s="3"/>
      <c r="C8629" s="3"/>
      <c r="D8629" s="3"/>
      <c r="E8629" s="3">
        <v>6</v>
      </c>
      <c r="F8629" s="4" t="str">
        <f>HYPERLINK("http://141.218.60.56/~jnz1568/getInfo.php?workbook=12_05.xlsx&amp;sheet=U0&amp;row=8629&amp;col=6&amp;number=3.5&amp;sourceID=14","3.5")</f>
        <v>3.5</v>
      </c>
      <c r="G8629" s="4" t="str">
        <f>HYPERLINK("http://141.218.60.56/~jnz1568/getInfo.php?workbook=12_05.xlsx&amp;sheet=U0&amp;row=8629&amp;col=7&amp;number=0.000564&amp;sourceID=14","0.000564")</f>
        <v>0.000564</v>
      </c>
    </row>
    <row r="8630" spans="1:7">
      <c r="A8630" s="3"/>
      <c r="B8630" s="3"/>
      <c r="C8630" s="3"/>
      <c r="D8630" s="3"/>
      <c r="E8630" s="3">
        <v>7</v>
      </c>
      <c r="F8630" s="4" t="str">
        <f>HYPERLINK("http://141.218.60.56/~jnz1568/getInfo.php?workbook=12_05.xlsx&amp;sheet=U0&amp;row=8630&amp;col=6&amp;number=3.6&amp;sourceID=14","3.6")</f>
        <v>3.6</v>
      </c>
      <c r="G8630" s="4" t="str">
        <f>HYPERLINK("http://141.218.60.56/~jnz1568/getInfo.php?workbook=12_05.xlsx&amp;sheet=U0&amp;row=8630&amp;col=7&amp;number=0.000564&amp;sourceID=14","0.000564")</f>
        <v>0.000564</v>
      </c>
    </row>
    <row r="8631" spans="1:7">
      <c r="A8631" s="3"/>
      <c r="B8631" s="3"/>
      <c r="C8631" s="3"/>
      <c r="D8631" s="3"/>
      <c r="E8631" s="3">
        <v>8</v>
      </c>
      <c r="F8631" s="4" t="str">
        <f>HYPERLINK("http://141.218.60.56/~jnz1568/getInfo.php?workbook=12_05.xlsx&amp;sheet=U0&amp;row=8631&amp;col=6&amp;number=3.7&amp;sourceID=14","3.7")</f>
        <v>3.7</v>
      </c>
      <c r="G8631" s="4" t="str">
        <f>HYPERLINK("http://141.218.60.56/~jnz1568/getInfo.php?workbook=12_05.xlsx&amp;sheet=U0&amp;row=8631&amp;col=7&amp;number=0.000564&amp;sourceID=14","0.000564")</f>
        <v>0.000564</v>
      </c>
    </row>
    <row r="8632" spans="1:7">
      <c r="A8632" s="3"/>
      <c r="B8632" s="3"/>
      <c r="C8632" s="3"/>
      <c r="D8632" s="3"/>
      <c r="E8632" s="3">
        <v>9</v>
      </c>
      <c r="F8632" s="4" t="str">
        <f>HYPERLINK("http://141.218.60.56/~jnz1568/getInfo.php?workbook=12_05.xlsx&amp;sheet=U0&amp;row=8632&amp;col=6&amp;number=3.8&amp;sourceID=14","3.8")</f>
        <v>3.8</v>
      </c>
      <c r="G8632" s="4" t="str">
        <f>HYPERLINK("http://141.218.60.56/~jnz1568/getInfo.php?workbook=12_05.xlsx&amp;sheet=U0&amp;row=8632&amp;col=7&amp;number=0.000563&amp;sourceID=14","0.000563")</f>
        <v>0.000563</v>
      </c>
    </row>
    <row r="8633" spans="1:7">
      <c r="A8633" s="3"/>
      <c r="B8633" s="3"/>
      <c r="C8633" s="3"/>
      <c r="D8633" s="3"/>
      <c r="E8633" s="3">
        <v>10</v>
      </c>
      <c r="F8633" s="4" t="str">
        <f>HYPERLINK("http://141.218.60.56/~jnz1568/getInfo.php?workbook=12_05.xlsx&amp;sheet=U0&amp;row=8633&amp;col=6&amp;number=3.9&amp;sourceID=14","3.9")</f>
        <v>3.9</v>
      </c>
      <c r="G8633" s="4" t="str">
        <f>HYPERLINK("http://141.218.60.56/~jnz1568/getInfo.php?workbook=12_05.xlsx&amp;sheet=U0&amp;row=8633&amp;col=7&amp;number=0.000562&amp;sourceID=14","0.000562")</f>
        <v>0.000562</v>
      </c>
    </row>
    <row r="8634" spans="1:7">
      <c r="A8634" s="3"/>
      <c r="B8634" s="3"/>
      <c r="C8634" s="3"/>
      <c r="D8634" s="3"/>
      <c r="E8634" s="3">
        <v>11</v>
      </c>
      <c r="F8634" s="4" t="str">
        <f>HYPERLINK("http://141.218.60.56/~jnz1568/getInfo.php?workbook=12_05.xlsx&amp;sheet=U0&amp;row=8634&amp;col=6&amp;number=4&amp;sourceID=14","4")</f>
        <v>4</v>
      </c>
      <c r="G8634" s="4" t="str">
        <f>HYPERLINK("http://141.218.60.56/~jnz1568/getInfo.php?workbook=12_05.xlsx&amp;sheet=U0&amp;row=8634&amp;col=7&amp;number=0.000562&amp;sourceID=14","0.000562")</f>
        <v>0.000562</v>
      </c>
    </row>
    <row r="8635" spans="1:7">
      <c r="A8635" s="3"/>
      <c r="B8635" s="3"/>
      <c r="C8635" s="3"/>
      <c r="D8635" s="3"/>
      <c r="E8635" s="3">
        <v>12</v>
      </c>
      <c r="F8635" s="4" t="str">
        <f>HYPERLINK("http://141.218.60.56/~jnz1568/getInfo.php?workbook=12_05.xlsx&amp;sheet=U0&amp;row=8635&amp;col=6&amp;number=4.1&amp;sourceID=14","4.1")</f>
        <v>4.1</v>
      </c>
      <c r="G8635" s="4" t="str">
        <f>HYPERLINK("http://141.218.60.56/~jnz1568/getInfo.php?workbook=12_05.xlsx&amp;sheet=U0&amp;row=8635&amp;col=7&amp;number=0.000561&amp;sourceID=14","0.000561")</f>
        <v>0.000561</v>
      </c>
    </row>
    <row r="8636" spans="1:7">
      <c r="A8636" s="3"/>
      <c r="B8636" s="3"/>
      <c r="C8636" s="3"/>
      <c r="D8636" s="3"/>
      <c r="E8636" s="3">
        <v>13</v>
      </c>
      <c r="F8636" s="4" t="str">
        <f>HYPERLINK("http://141.218.60.56/~jnz1568/getInfo.php?workbook=12_05.xlsx&amp;sheet=U0&amp;row=8636&amp;col=6&amp;number=4.2&amp;sourceID=14","4.2")</f>
        <v>4.2</v>
      </c>
      <c r="G8636" s="4" t="str">
        <f>HYPERLINK("http://141.218.60.56/~jnz1568/getInfo.php?workbook=12_05.xlsx&amp;sheet=U0&amp;row=8636&amp;col=7&amp;number=0.000559&amp;sourceID=14","0.000559")</f>
        <v>0.000559</v>
      </c>
    </row>
    <row r="8637" spans="1:7">
      <c r="A8637" s="3"/>
      <c r="B8637" s="3"/>
      <c r="C8637" s="3"/>
      <c r="D8637" s="3"/>
      <c r="E8637" s="3">
        <v>14</v>
      </c>
      <c r="F8637" s="4" t="str">
        <f>HYPERLINK("http://141.218.60.56/~jnz1568/getInfo.php?workbook=12_05.xlsx&amp;sheet=U0&amp;row=8637&amp;col=6&amp;number=4.3&amp;sourceID=14","4.3")</f>
        <v>4.3</v>
      </c>
      <c r="G8637" s="4" t="str">
        <f>HYPERLINK("http://141.218.60.56/~jnz1568/getInfo.php?workbook=12_05.xlsx&amp;sheet=U0&amp;row=8637&amp;col=7&amp;number=0.000558&amp;sourceID=14","0.000558")</f>
        <v>0.000558</v>
      </c>
    </row>
    <row r="8638" spans="1:7">
      <c r="A8638" s="3"/>
      <c r="B8638" s="3"/>
      <c r="C8638" s="3"/>
      <c r="D8638" s="3"/>
      <c r="E8638" s="3">
        <v>15</v>
      </c>
      <c r="F8638" s="4" t="str">
        <f>HYPERLINK("http://141.218.60.56/~jnz1568/getInfo.php?workbook=12_05.xlsx&amp;sheet=U0&amp;row=8638&amp;col=6&amp;number=4.4&amp;sourceID=14","4.4")</f>
        <v>4.4</v>
      </c>
      <c r="G8638" s="4" t="str">
        <f>HYPERLINK("http://141.218.60.56/~jnz1568/getInfo.php?workbook=12_05.xlsx&amp;sheet=U0&amp;row=8638&amp;col=7&amp;number=0.000555&amp;sourceID=14","0.000555")</f>
        <v>0.000555</v>
      </c>
    </row>
    <row r="8639" spans="1:7">
      <c r="A8639" s="3"/>
      <c r="B8639" s="3"/>
      <c r="C8639" s="3"/>
      <c r="D8639" s="3"/>
      <c r="E8639" s="3">
        <v>16</v>
      </c>
      <c r="F8639" s="4" t="str">
        <f>HYPERLINK("http://141.218.60.56/~jnz1568/getInfo.php?workbook=12_05.xlsx&amp;sheet=U0&amp;row=8639&amp;col=6&amp;number=4.5&amp;sourceID=14","4.5")</f>
        <v>4.5</v>
      </c>
      <c r="G8639" s="4" t="str">
        <f>HYPERLINK("http://141.218.60.56/~jnz1568/getInfo.php?workbook=12_05.xlsx&amp;sheet=U0&amp;row=8639&amp;col=7&amp;number=0.000553&amp;sourceID=14","0.000553")</f>
        <v>0.000553</v>
      </c>
    </row>
    <row r="8640" spans="1:7">
      <c r="A8640" s="3"/>
      <c r="B8640" s="3"/>
      <c r="C8640" s="3"/>
      <c r="D8640" s="3"/>
      <c r="E8640" s="3">
        <v>17</v>
      </c>
      <c r="F8640" s="4" t="str">
        <f>HYPERLINK("http://141.218.60.56/~jnz1568/getInfo.php?workbook=12_05.xlsx&amp;sheet=U0&amp;row=8640&amp;col=6&amp;number=4.6&amp;sourceID=14","4.6")</f>
        <v>4.6</v>
      </c>
      <c r="G8640" s="4" t="str">
        <f>HYPERLINK("http://141.218.60.56/~jnz1568/getInfo.php?workbook=12_05.xlsx&amp;sheet=U0&amp;row=8640&amp;col=7&amp;number=0.00055&amp;sourceID=14","0.00055")</f>
        <v>0.00055</v>
      </c>
    </row>
    <row r="8641" spans="1:7">
      <c r="A8641" s="3"/>
      <c r="B8641" s="3"/>
      <c r="C8641" s="3"/>
      <c r="D8641" s="3"/>
      <c r="E8641" s="3">
        <v>18</v>
      </c>
      <c r="F8641" s="4" t="str">
        <f>HYPERLINK("http://141.218.60.56/~jnz1568/getInfo.php?workbook=12_05.xlsx&amp;sheet=U0&amp;row=8641&amp;col=6&amp;number=4.7&amp;sourceID=14","4.7")</f>
        <v>4.7</v>
      </c>
      <c r="G8641" s="4" t="str">
        <f>HYPERLINK("http://141.218.60.56/~jnz1568/getInfo.php?workbook=12_05.xlsx&amp;sheet=U0&amp;row=8641&amp;col=7&amp;number=0.000546&amp;sourceID=14","0.000546")</f>
        <v>0.000546</v>
      </c>
    </row>
    <row r="8642" spans="1:7">
      <c r="A8642" s="3"/>
      <c r="B8642" s="3"/>
      <c r="C8642" s="3"/>
      <c r="D8642" s="3"/>
      <c r="E8642" s="3">
        <v>19</v>
      </c>
      <c r="F8642" s="4" t="str">
        <f>HYPERLINK("http://141.218.60.56/~jnz1568/getInfo.php?workbook=12_05.xlsx&amp;sheet=U0&amp;row=8642&amp;col=6&amp;number=4.8&amp;sourceID=14","4.8")</f>
        <v>4.8</v>
      </c>
      <c r="G8642" s="4" t="str">
        <f>HYPERLINK("http://141.218.60.56/~jnz1568/getInfo.php?workbook=12_05.xlsx&amp;sheet=U0&amp;row=8642&amp;col=7&amp;number=0.00054&amp;sourceID=14","0.00054")</f>
        <v>0.00054</v>
      </c>
    </row>
    <row r="8643" spans="1:7">
      <c r="A8643" s="3"/>
      <c r="B8643" s="3"/>
      <c r="C8643" s="3"/>
      <c r="D8643" s="3"/>
      <c r="E8643" s="3">
        <v>20</v>
      </c>
      <c r="F8643" s="4" t="str">
        <f>HYPERLINK("http://141.218.60.56/~jnz1568/getInfo.php?workbook=12_05.xlsx&amp;sheet=U0&amp;row=8643&amp;col=6&amp;number=4.9&amp;sourceID=14","4.9")</f>
        <v>4.9</v>
      </c>
      <c r="G8643" s="4" t="str">
        <f>HYPERLINK("http://141.218.60.56/~jnz1568/getInfo.php?workbook=12_05.xlsx&amp;sheet=U0&amp;row=8643&amp;col=7&amp;number=0.000534&amp;sourceID=14","0.000534")</f>
        <v>0.000534</v>
      </c>
    </row>
    <row r="8644" spans="1:7">
      <c r="A8644" s="3">
        <v>12</v>
      </c>
      <c r="B8644" s="3">
        <v>5</v>
      </c>
      <c r="C8644" s="3">
        <v>3</v>
      </c>
      <c r="D8644" s="3">
        <v>104</v>
      </c>
      <c r="E8644" s="3">
        <v>1</v>
      </c>
      <c r="F8644" s="4" t="str">
        <f>HYPERLINK("http://141.218.60.56/~jnz1568/getInfo.php?workbook=12_05.xlsx&amp;sheet=U0&amp;row=8644&amp;col=6&amp;number=3&amp;sourceID=14","3")</f>
        <v>3</v>
      </c>
      <c r="G8644" s="4" t="str">
        <f>HYPERLINK("http://141.218.60.56/~jnz1568/getInfo.php?workbook=12_05.xlsx&amp;sheet=U0&amp;row=8644&amp;col=7&amp;number=0.000107&amp;sourceID=14","0.000107")</f>
        <v>0.000107</v>
      </c>
    </row>
    <row r="8645" spans="1:7">
      <c r="A8645" s="3"/>
      <c r="B8645" s="3"/>
      <c r="C8645" s="3"/>
      <c r="D8645" s="3"/>
      <c r="E8645" s="3">
        <v>2</v>
      </c>
      <c r="F8645" s="4" t="str">
        <f>HYPERLINK("http://141.218.60.56/~jnz1568/getInfo.php?workbook=12_05.xlsx&amp;sheet=U0&amp;row=8645&amp;col=6&amp;number=3.1&amp;sourceID=14","3.1")</f>
        <v>3.1</v>
      </c>
      <c r="G8645" s="4" t="str">
        <f>HYPERLINK("http://141.218.60.56/~jnz1568/getInfo.php?workbook=12_05.xlsx&amp;sheet=U0&amp;row=8645&amp;col=7&amp;number=0.000107&amp;sourceID=14","0.000107")</f>
        <v>0.000107</v>
      </c>
    </row>
    <row r="8646" spans="1:7">
      <c r="A8646" s="3"/>
      <c r="B8646" s="3"/>
      <c r="C8646" s="3"/>
      <c r="D8646" s="3"/>
      <c r="E8646" s="3">
        <v>3</v>
      </c>
      <c r="F8646" s="4" t="str">
        <f>HYPERLINK("http://141.218.60.56/~jnz1568/getInfo.php?workbook=12_05.xlsx&amp;sheet=U0&amp;row=8646&amp;col=6&amp;number=3.2&amp;sourceID=14","3.2")</f>
        <v>3.2</v>
      </c>
      <c r="G8646" s="4" t="str">
        <f>HYPERLINK("http://141.218.60.56/~jnz1568/getInfo.php?workbook=12_05.xlsx&amp;sheet=U0&amp;row=8646&amp;col=7&amp;number=0.000107&amp;sourceID=14","0.000107")</f>
        <v>0.000107</v>
      </c>
    </row>
    <row r="8647" spans="1:7">
      <c r="A8647" s="3"/>
      <c r="B8647" s="3"/>
      <c r="C8647" s="3"/>
      <c r="D8647" s="3"/>
      <c r="E8647" s="3">
        <v>4</v>
      </c>
      <c r="F8647" s="4" t="str">
        <f>HYPERLINK("http://141.218.60.56/~jnz1568/getInfo.php?workbook=12_05.xlsx&amp;sheet=U0&amp;row=8647&amp;col=6&amp;number=3.3&amp;sourceID=14","3.3")</f>
        <v>3.3</v>
      </c>
      <c r="G8647" s="4" t="str">
        <f>HYPERLINK("http://141.218.60.56/~jnz1568/getInfo.php?workbook=12_05.xlsx&amp;sheet=U0&amp;row=8647&amp;col=7&amp;number=0.000107&amp;sourceID=14","0.000107")</f>
        <v>0.000107</v>
      </c>
    </row>
    <row r="8648" spans="1:7">
      <c r="A8648" s="3"/>
      <c r="B8648" s="3"/>
      <c r="C8648" s="3"/>
      <c r="D8648" s="3"/>
      <c r="E8648" s="3">
        <v>5</v>
      </c>
      <c r="F8648" s="4" t="str">
        <f>HYPERLINK("http://141.218.60.56/~jnz1568/getInfo.php?workbook=12_05.xlsx&amp;sheet=U0&amp;row=8648&amp;col=6&amp;number=3.4&amp;sourceID=14","3.4")</f>
        <v>3.4</v>
      </c>
      <c r="G8648" s="4" t="str">
        <f>HYPERLINK("http://141.218.60.56/~jnz1568/getInfo.php?workbook=12_05.xlsx&amp;sheet=U0&amp;row=8648&amp;col=7&amp;number=0.000106&amp;sourceID=14","0.000106")</f>
        <v>0.000106</v>
      </c>
    </row>
    <row r="8649" spans="1:7">
      <c r="A8649" s="3"/>
      <c r="B8649" s="3"/>
      <c r="C8649" s="3"/>
      <c r="D8649" s="3"/>
      <c r="E8649" s="3">
        <v>6</v>
      </c>
      <c r="F8649" s="4" t="str">
        <f>HYPERLINK("http://141.218.60.56/~jnz1568/getInfo.php?workbook=12_05.xlsx&amp;sheet=U0&amp;row=8649&amp;col=6&amp;number=3.5&amp;sourceID=14","3.5")</f>
        <v>3.5</v>
      </c>
      <c r="G8649" s="4" t="str">
        <f>HYPERLINK("http://141.218.60.56/~jnz1568/getInfo.php?workbook=12_05.xlsx&amp;sheet=U0&amp;row=8649&amp;col=7&amp;number=0.000106&amp;sourceID=14","0.000106")</f>
        <v>0.000106</v>
      </c>
    </row>
    <row r="8650" spans="1:7">
      <c r="A8650" s="3"/>
      <c r="B8650" s="3"/>
      <c r="C8650" s="3"/>
      <c r="D8650" s="3"/>
      <c r="E8650" s="3">
        <v>7</v>
      </c>
      <c r="F8650" s="4" t="str">
        <f>HYPERLINK("http://141.218.60.56/~jnz1568/getInfo.php?workbook=12_05.xlsx&amp;sheet=U0&amp;row=8650&amp;col=6&amp;number=3.6&amp;sourceID=14","3.6")</f>
        <v>3.6</v>
      </c>
      <c r="G8650" s="4" t="str">
        <f>HYPERLINK("http://141.218.60.56/~jnz1568/getInfo.php?workbook=12_05.xlsx&amp;sheet=U0&amp;row=8650&amp;col=7&amp;number=0.000106&amp;sourceID=14","0.000106")</f>
        <v>0.000106</v>
      </c>
    </row>
    <row r="8651" spans="1:7">
      <c r="A8651" s="3"/>
      <c r="B8651" s="3"/>
      <c r="C8651" s="3"/>
      <c r="D8651" s="3"/>
      <c r="E8651" s="3">
        <v>8</v>
      </c>
      <c r="F8651" s="4" t="str">
        <f>HYPERLINK("http://141.218.60.56/~jnz1568/getInfo.php?workbook=12_05.xlsx&amp;sheet=U0&amp;row=8651&amp;col=6&amp;number=3.7&amp;sourceID=14","3.7")</f>
        <v>3.7</v>
      </c>
      <c r="G8651" s="4" t="str">
        <f>HYPERLINK("http://141.218.60.56/~jnz1568/getInfo.php?workbook=12_05.xlsx&amp;sheet=U0&amp;row=8651&amp;col=7&amp;number=0.000106&amp;sourceID=14","0.000106")</f>
        <v>0.000106</v>
      </c>
    </row>
    <row r="8652" spans="1:7">
      <c r="A8652" s="3"/>
      <c r="B8652" s="3"/>
      <c r="C8652" s="3"/>
      <c r="D8652" s="3"/>
      <c r="E8652" s="3">
        <v>9</v>
      </c>
      <c r="F8652" s="4" t="str">
        <f>HYPERLINK("http://141.218.60.56/~jnz1568/getInfo.php?workbook=12_05.xlsx&amp;sheet=U0&amp;row=8652&amp;col=6&amp;number=3.8&amp;sourceID=14","3.8")</f>
        <v>3.8</v>
      </c>
      <c r="G8652" s="4" t="str">
        <f>HYPERLINK("http://141.218.60.56/~jnz1568/getInfo.php?workbook=12_05.xlsx&amp;sheet=U0&amp;row=8652&amp;col=7&amp;number=0.000106&amp;sourceID=14","0.000106")</f>
        <v>0.000106</v>
      </c>
    </row>
    <row r="8653" spans="1:7">
      <c r="A8653" s="3"/>
      <c r="B8653" s="3"/>
      <c r="C8653" s="3"/>
      <c r="D8653" s="3"/>
      <c r="E8653" s="3">
        <v>10</v>
      </c>
      <c r="F8653" s="4" t="str">
        <f>HYPERLINK("http://141.218.60.56/~jnz1568/getInfo.php?workbook=12_05.xlsx&amp;sheet=U0&amp;row=8653&amp;col=6&amp;number=3.9&amp;sourceID=14","3.9")</f>
        <v>3.9</v>
      </c>
      <c r="G8653" s="4" t="str">
        <f>HYPERLINK("http://141.218.60.56/~jnz1568/getInfo.php?workbook=12_05.xlsx&amp;sheet=U0&amp;row=8653&amp;col=7&amp;number=0.000106&amp;sourceID=14","0.000106")</f>
        <v>0.000106</v>
      </c>
    </row>
    <row r="8654" spans="1:7">
      <c r="A8654" s="3"/>
      <c r="B8654" s="3"/>
      <c r="C8654" s="3"/>
      <c r="D8654" s="3"/>
      <c r="E8654" s="3">
        <v>11</v>
      </c>
      <c r="F8654" s="4" t="str">
        <f>HYPERLINK("http://141.218.60.56/~jnz1568/getInfo.php?workbook=12_05.xlsx&amp;sheet=U0&amp;row=8654&amp;col=6&amp;number=4&amp;sourceID=14","4")</f>
        <v>4</v>
      </c>
      <c r="G8654" s="4" t="str">
        <f>HYPERLINK("http://141.218.60.56/~jnz1568/getInfo.php?workbook=12_05.xlsx&amp;sheet=U0&amp;row=8654&amp;col=7&amp;number=0.000106&amp;sourceID=14","0.000106")</f>
        <v>0.000106</v>
      </c>
    </row>
    <row r="8655" spans="1:7">
      <c r="A8655" s="3"/>
      <c r="B8655" s="3"/>
      <c r="C8655" s="3"/>
      <c r="D8655" s="3"/>
      <c r="E8655" s="3">
        <v>12</v>
      </c>
      <c r="F8655" s="4" t="str">
        <f>HYPERLINK("http://141.218.60.56/~jnz1568/getInfo.php?workbook=12_05.xlsx&amp;sheet=U0&amp;row=8655&amp;col=6&amp;number=4.1&amp;sourceID=14","4.1")</f>
        <v>4.1</v>
      </c>
      <c r="G8655" s="4" t="str">
        <f>HYPERLINK("http://141.218.60.56/~jnz1568/getInfo.php?workbook=12_05.xlsx&amp;sheet=U0&amp;row=8655&amp;col=7&amp;number=0.000106&amp;sourceID=14","0.000106")</f>
        <v>0.000106</v>
      </c>
    </row>
    <row r="8656" spans="1:7">
      <c r="A8656" s="3"/>
      <c r="B8656" s="3"/>
      <c r="C8656" s="3"/>
      <c r="D8656" s="3"/>
      <c r="E8656" s="3">
        <v>13</v>
      </c>
      <c r="F8656" s="4" t="str">
        <f>HYPERLINK("http://141.218.60.56/~jnz1568/getInfo.php?workbook=12_05.xlsx&amp;sheet=U0&amp;row=8656&amp;col=6&amp;number=4.2&amp;sourceID=14","4.2")</f>
        <v>4.2</v>
      </c>
      <c r="G8656" s="4" t="str">
        <f>HYPERLINK("http://141.218.60.56/~jnz1568/getInfo.php?workbook=12_05.xlsx&amp;sheet=U0&amp;row=8656&amp;col=7&amp;number=0.000105&amp;sourceID=14","0.000105")</f>
        <v>0.000105</v>
      </c>
    </row>
    <row r="8657" spans="1:7">
      <c r="A8657" s="3"/>
      <c r="B8657" s="3"/>
      <c r="C8657" s="3"/>
      <c r="D8657" s="3"/>
      <c r="E8657" s="3">
        <v>14</v>
      </c>
      <c r="F8657" s="4" t="str">
        <f>HYPERLINK("http://141.218.60.56/~jnz1568/getInfo.php?workbook=12_05.xlsx&amp;sheet=U0&amp;row=8657&amp;col=6&amp;number=4.3&amp;sourceID=14","4.3")</f>
        <v>4.3</v>
      </c>
      <c r="G8657" s="4" t="str">
        <f>HYPERLINK("http://141.218.60.56/~jnz1568/getInfo.php?workbook=12_05.xlsx&amp;sheet=U0&amp;row=8657&amp;col=7&amp;number=0.000105&amp;sourceID=14","0.000105")</f>
        <v>0.000105</v>
      </c>
    </row>
    <row r="8658" spans="1:7">
      <c r="A8658" s="3"/>
      <c r="B8658" s="3"/>
      <c r="C8658" s="3"/>
      <c r="D8658" s="3"/>
      <c r="E8658" s="3">
        <v>15</v>
      </c>
      <c r="F8658" s="4" t="str">
        <f>HYPERLINK("http://141.218.60.56/~jnz1568/getInfo.php?workbook=12_05.xlsx&amp;sheet=U0&amp;row=8658&amp;col=6&amp;number=4.4&amp;sourceID=14","4.4")</f>
        <v>4.4</v>
      </c>
      <c r="G8658" s="4" t="str">
        <f>HYPERLINK("http://141.218.60.56/~jnz1568/getInfo.php?workbook=12_05.xlsx&amp;sheet=U0&amp;row=8658&amp;col=7&amp;number=0.000105&amp;sourceID=14","0.000105")</f>
        <v>0.000105</v>
      </c>
    </row>
    <row r="8659" spans="1:7">
      <c r="A8659" s="3"/>
      <c r="B8659" s="3"/>
      <c r="C8659" s="3"/>
      <c r="D8659" s="3"/>
      <c r="E8659" s="3">
        <v>16</v>
      </c>
      <c r="F8659" s="4" t="str">
        <f>HYPERLINK("http://141.218.60.56/~jnz1568/getInfo.php?workbook=12_05.xlsx&amp;sheet=U0&amp;row=8659&amp;col=6&amp;number=4.5&amp;sourceID=14","4.5")</f>
        <v>4.5</v>
      </c>
      <c r="G8659" s="4" t="str">
        <f>HYPERLINK("http://141.218.60.56/~jnz1568/getInfo.php?workbook=12_05.xlsx&amp;sheet=U0&amp;row=8659&amp;col=7&amp;number=0.000104&amp;sourceID=14","0.000104")</f>
        <v>0.000104</v>
      </c>
    </row>
    <row r="8660" spans="1:7">
      <c r="A8660" s="3"/>
      <c r="B8660" s="3"/>
      <c r="C8660" s="3"/>
      <c r="D8660" s="3"/>
      <c r="E8660" s="3">
        <v>17</v>
      </c>
      <c r="F8660" s="4" t="str">
        <f>HYPERLINK("http://141.218.60.56/~jnz1568/getInfo.php?workbook=12_05.xlsx&amp;sheet=U0&amp;row=8660&amp;col=6&amp;number=4.6&amp;sourceID=14","4.6")</f>
        <v>4.6</v>
      </c>
      <c r="G8660" s="4" t="str">
        <f>HYPERLINK("http://141.218.60.56/~jnz1568/getInfo.php?workbook=12_05.xlsx&amp;sheet=U0&amp;row=8660&amp;col=7&amp;number=0.000103&amp;sourceID=14","0.000103")</f>
        <v>0.000103</v>
      </c>
    </row>
    <row r="8661" spans="1:7">
      <c r="A8661" s="3"/>
      <c r="B8661" s="3"/>
      <c r="C8661" s="3"/>
      <c r="D8661" s="3"/>
      <c r="E8661" s="3">
        <v>18</v>
      </c>
      <c r="F8661" s="4" t="str">
        <f>HYPERLINK("http://141.218.60.56/~jnz1568/getInfo.php?workbook=12_05.xlsx&amp;sheet=U0&amp;row=8661&amp;col=6&amp;number=4.7&amp;sourceID=14","4.7")</f>
        <v>4.7</v>
      </c>
      <c r="G8661" s="4" t="str">
        <f>HYPERLINK("http://141.218.60.56/~jnz1568/getInfo.php?workbook=12_05.xlsx&amp;sheet=U0&amp;row=8661&amp;col=7&amp;number=0.000102&amp;sourceID=14","0.000102")</f>
        <v>0.000102</v>
      </c>
    </row>
    <row r="8662" spans="1:7">
      <c r="A8662" s="3"/>
      <c r="B8662" s="3"/>
      <c r="C8662" s="3"/>
      <c r="D8662" s="3"/>
      <c r="E8662" s="3">
        <v>19</v>
      </c>
      <c r="F8662" s="4" t="str">
        <f>HYPERLINK("http://141.218.60.56/~jnz1568/getInfo.php?workbook=12_05.xlsx&amp;sheet=U0&amp;row=8662&amp;col=6&amp;number=4.8&amp;sourceID=14","4.8")</f>
        <v>4.8</v>
      </c>
      <c r="G8662" s="4" t="str">
        <f>HYPERLINK("http://141.218.60.56/~jnz1568/getInfo.php?workbook=12_05.xlsx&amp;sheet=U0&amp;row=8662&amp;col=7&amp;number=0.000101&amp;sourceID=14","0.000101")</f>
        <v>0.000101</v>
      </c>
    </row>
    <row r="8663" spans="1:7">
      <c r="A8663" s="3"/>
      <c r="B8663" s="3"/>
      <c r="C8663" s="3"/>
      <c r="D8663" s="3"/>
      <c r="E8663" s="3">
        <v>20</v>
      </c>
      <c r="F8663" s="4" t="str">
        <f>HYPERLINK("http://141.218.60.56/~jnz1568/getInfo.php?workbook=12_05.xlsx&amp;sheet=U0&amp;row=8663&amp;col=6&amp;number=4.9&amp;sourceID=14","4.9")</f>
        <v>4.9</v>
      </c>
      <c r="G8663" s="4" t="str">
        <f>HYPERLINK("http://141.218.60.56/~jnz1568/getInfo.php?workbook=12_05.xlsx&amp;sheet=U0&amp;row=8663&amp;col=7&amp;number=0.0001&amp;sourceID=14","0.0001")</f>
        <v>0.0001</v>
      </c>
    </row>
    <row r="8664" spans="1:7">
      <c r="A8664" s="3">
        <v>12</v>
      </c>
      <c r="B8664" s="3">
        <v>5</v>
      </c>
      <c r="C8664" s="3">
        <v>3</v>
      </c>
      <c r="D8664" s="3">
        <v>106</v>
      </c>
      <c r="E8664" s="3">
        <v>1</v>
      </c>
      <c r="F8664" s="4" t="str">
        <f>HYPERLINK("http://141.218.60.56/~jnz1568/getInfo.php?workbook=12_05.xlsx&amp;sheet=U0&amp;row=8664&amp;col=6&amp;number=3&amp;sourceID=14","3")</f>
        <v>3</v>
      </c>
      <c r="G8664" s="4" t="str">
        <f>HYPERLINK("http://141.218.60.56/~jnz1568/getInfo.php?workbook=12_05.xlsx&amp;sheet=U0&amp;row=8664&amp;col=7&amp;number=0.0013&amp;sourceID=14","0.0013")</f>
        <v>0.0013</v>
      </c>
    </row>
    <row r="8665" spans="1:7">
      <c r="A8665" s="3"/>
      <c r="B8665" s="3"/>
      <c r="C8665" s="3"/>
      <c r="D8665" s="3"/>
      <c r="E8665" s="3">
        <v>2</v>
      </c>
      <c r="F8665" s="4" t="str">
        <f>HYPERLINK("http://141.218.60.56/~jnz1568/getInfo.php?workbook=12_05.xlsx&amp;sheet=U0&amp;row=8665&amp;col=6&amp;number=3.1&amp;sourceID=14","3.1")</f>
        <v>3.1</v>
      </c>
      <c r="G8665" s="4" t="str">
        <f>HYPERLINK("http://141.218.60.56/~jnz1568/getInfo.php?workbook=12_05.xlsx&amp;sheet=U0&amp;row=8665&amp;col=7&amp;number=0.0013&amp;sourceID=14","0.0013")</f>
        <v>0.0013</v>
      </c>
    </row>
    <row r="8666" spans="1:7">
      <c r="A8666" s="3"/>
      <c r="B8666" s="3"/>
      <c r="C8666" s="3"/>
      <c r="D8666" s="3"/>
      <c r="E8666" s="3">
        <v>3</v>
      </c>
      <c r="F8666" s="4" t="str">
        <f>HYPERLINK("http://141.218.60.56/~jnz1568/getInfo.php?workbook=12_05.xlsx&amp;sheet=U0&amp;row=8666&amp;col=6&amp;number=3.2&amp;sourceID=14","3.2")</f>
        <v>3.2</v>
      </c>
      <c r="G8666" s="4" t="str">
        <f>HYPERLINK("http://141.218.60.56/~jnz1568/getInfo.php?workbook=12_05.xlsx&amp;sheet=U0&amp;row=8666&amp;col=7&amp;number=0.0013&amp;sourceID=14","0.0013")</f>
        <v>0.0013</v>
      </c>
    </row>
    <row r="8667" spans="1:7">
      <c r="A8667" s="3"/>
      <c r="B8667" s="3"/>
      <c r="C8667" s="3"/>
      <c r="D8667" s="3"/>
      <c r="E8667" s="3">
        <v>4</v>
      </c>
      <c r="F8667" s="4" t="str">
        <f>HYPERLINK("http://141.218.60.56/~jnz1568/getInfo.php?workbook=12_05.xlsx&amp;sheet=U0&amp;row=8667&amp;col=6&amp;number=3.3&amp;sourceID=14","3.3")</f>
        <v>3.3</v>
      </c>
      <c r="G8667" s="4" t="str">
        <f>HYPERLINK("http://141.218.60.56/~jnz1568/getInfo.php?workbook=12_05.xlsx&amp;sheet=U0&amp;row=8667&amp;col=7&amp;number=0.0013&amp;sourceID=14","0.0013")</f>
        <v>0.0013</v>
      </c>
    </row>
    <row r="8668" spans="1:7">
      <c r="A8668" s="3"/>
      <c r="B8668" s="3"/>
      <c r="C8668" s="3"/>
      <c r="D8668" s="3"/>
      <c r="E8668" s="3">
        <v>5</v>
      </c>
      <c r="F8668" s="4" t="str">
        <f>HYPERLINK("http://141.218.60.56/~jnz1568/getInfo.php?workbook=12_05.xlsx&amp;sheet=U0&amp;row=8668&amp;col=6&amp;number=3.4&amp;sourceID=14","3.4")</f>
        <v>3.4</v>
      </c>
      <c r="G8668" s="4" t="str">
        <f>HYPERLINK("http://141.218.60.56/~jnz1568/getInfo.php?workbook=12_05.xlsx&amp;sheet=U0&amp;row=8668&amp;col=7&amp;number=0.0013&amp;sourceID=14","0.0013")</f>
        <v>0.0013</v>
      </c>
    </row>
    <row r="8669" spans="1:7">
      <c r="A8669" s="3"/>
      <c r="B8669" s="3"/>
      <c r="C8669" s="3"/>
      <c r="D8669" s="3"/>
      <c r="E8669" s="3">
        <v>6</v>
      </c>
      <c r="F8669" s="4" t="str">
        <f>HYPERLINK("http://141.218.60.56/~jnz1568/getInfo.php?workbook=12_05.xlsx&amp;sheet=U0&amp;row=8669&amp;col=6&amp;number=3.5&amp;sourceID=14","3.5")</f>
        <v>3.5</v>
      </c>
      <c r="G8669" s="4" t="str">
        <f>HYPERLINK("http://141.218.60.56/~jnz1568/getInfo.php?workbook=12_05.xlsx&amp;sheet=U0&amp;row=8669&amp;col=7&amp;number=0.0013&amp;sourceID=14","0.0013")</f>
        <v>0.0013</v>
      </c>
    </row>
    <row r="8670" spans="1:7">
      <c r="A8670" s="3"/>
      <c r="B8670" s="3"/>
      <c r="C8670" s="3"/>
      <c r="D8670" s="3"/>
      <c r="E8670" s="3">
        <v>7</v>
      </c>
      <c r="F8670" s="4" t="str">
        <f>HYPERLINK("http://141.218.60.56/~jnz1568/getInfo.php?workbook=12_05.xlsx&amp;sheet=U0&amp;row=8670&amp;col=6&amp;number=3.6&amp;sourceID=14","3.6")</f>
        <v>3.6</v>
      </c>
      <c r="G8670" s="4" t="str">
        <f>HYPERLINK("http://141.218.60.56/~jnz1568/getInfo.php?workbook=12_05.xlsx&amp;sheet=U0&amp;row=8670&amp;col=7&amp;number=0.0013&amp;sourceID=14","0.0013")</f>
        <v>0.0013</v>
      </c>
    </row>
    <row r="8671" spans="1:7">
      <c r="A8671" s="3"/>
      <c r="B8671" s="3"/>
      <c r="C8671" s="3"/>
      <c r="D8671" s="3"/>
      <c r="E8671" s="3">
        <v>8</v>
      </c>
      <c r="F8671" s="4" t="str">
        <f>HYPERLINK("http://141.218.60.56/~jnz1568/getInfo.php?workbook=12_05.xlsx&amp;sheet=U0&amp;row=8671&amp;col=6&amp;number=3.7&amp;sourceID=14","3.7")</f>
        <v>3.7</v>
      </c>
      <c r="G8671" s="4" t="str">
        <f>HYPERLINK("http://141.218.60.56/~jnz1568/getInfo.php?workbook=12_05.xlsx&amp;sheet=U0&amp;row=8671&amp;col=7&amp;number=0.00129&amp;sourceID=14","0.00129")</f>
        <v>0.00129</v>
      </c>
    </row>
    <row r="8672" spans="1:7">
      <c r="A8672" s="3"/>
      <c r="B8672" s="3"/>
      <c r="C8672" s="3"/>
      <c r="D8672" s="3"/>
      <c r="E8672" s="3">
        <v>9</v>
      </c>
      <c r="F8672" s="4" t="str">
        <f>HYPERLINK("http://141.218.60.56/~jnz1568/getInfo.php?workbook=12_05.xlsx&amp;sheet=U0&amp;row=8672&amp;col=6&amp;number=3.8&amp;sourceID=14","3.8")</f>
        <v>3.8</v>
      </c>
      <c r="G8672" s="4" t="str">
        <f>HYPERLINK("http://141.218.60.56/~jnz1568/getInfo.php?workbook=12_05.xlsx&amp;sheet=U0&amp;row=8672&amp;col=7&amp;number=0.00129&amp;sourceID=14","0.00129")</f>
        <v>0.00129</v>
      </c>
    </row>
    <row r="8673" spans="1:7">
      <c r="A8673" s="3"/>
      <c r="B8673" s="3"/>
      <c r="C8673" s="3"/>
      <c r="D8673" s="3"/>
      <c r="E8673" s="3">
        <v>10</v>
      </c>
      <c r="F8673" s="4" t="str">
        <f>HYPERLINK("http://141.218.60.56/~jnz1568/getInfo.php?workbook=12_05.xlsx&amp;sheet=U0&amp;row=8673&amp;col=6&amp;number=3.9&amp;sourceID=14","3.9")</f>
        <v>3.9</v>
      </c>
      <c r="G8673" s="4" t="str">
        <f>HYPERLINK("http://141.218.60.56/~jnz1568/getInfo.php?workbook=12_05.xlsx&amp;sheet=U0&amp;row=8673&amp;col=7&amp;number=0.00129&amp;sourceID=14","0.00129")</f>
        <v>0.00129</v>
      </c>
    </row>
    <row r="8674" spans="1:7">
      <c r="A8674" s="3"/>
      <c r="B8674" s="3"/>
      <c r="C8674" s="3"/>
      <c r="D8674" s="3"/>
      <c r="E8674" s="3">
        <v>11</v>
      </c>
      <c r="F8674" s="4" t="str">
        <f>HYPERLINK("http://141.218.60.56/~jnz1568/getInfo.php?workbook=12_05.xlsx&amp;sheet=U0&amp;row=8674&amp;col=6&amp;number=4&amp;sourceID=14","4")</f>
        <v>4</v>
      </c>
      <c r="G8674" s="4" t="str">
        <f>HYPERLINK("http://141.218.60.56/~jnz1568/getInfo.php?workbook=12_05.xlsx&amp;sheet=U0&amp;row=8674&amp;col=7&amp;number=0.00129&amp;sourceID=14","0.00129")</f>
        <v>0.00129</v>
      </c>
    </row>
    <row r="8675" spans="1:7">
      <c r="A8675" s="3"/>
      <c r="B8675" s="3"/>
      <c r="C8675" s="3"/>
      <c r="D8675" s="3"/>
      <c r="E8675" s="3">
        <v>12</v>
      </c>
      <c r="F8675" s="4" t="str">
        <f>HYPERLINK("http://141.218.60.56/~jnz1568/getInfo.php?workbook=12_05.xlsx&amp;sheet=U0&amp;row=8675&amp;col=6&amp;number=4.1&amp;sourceID=14","4.1")</f>
        <v>4.1</v>
      </c>
      <c r="G8675" s="4" t="str">
        <f>HYPERLINK("http://141.218.60.56/~jnz1568/getInfo.php?workbook=12_05.xlsx&amp;sheet=U0&amp;row=8675&amp;col=7&amp;number=0.00129&amp;sourceID=14","0.00129")</f>
        <v>0.00129</v>
      </c>
    </row>
    <row r="8676" spans="1:7">
      <c r="A8676" s="3"/>
      <c r="B8676" s="3"/>
      <c r="C8676" s="3"/>
      <c r="D8676" s="3"/>
      <c r="E8676" s="3">
        <v>13</v>
      </c>
      <c r="F8676" s="4" t="str">
        <f>HYPERLINK("http://141.218.60.56/~jnz1568/getInfo.php?workbook=12_05.xlsx&amp;sheet=U0&amp;row=8676&amp;col=6&amp;number=4.2&amp;sourceID=14","4.2")</f>
        <v>4.2</v>
      </c>
      <c r="G8676" s="4" t="str">
        <f>HYPERLINK("http://141.218.60.56/~jnz1568/getInfo.php?workbook=12_05.xlsx&amp;sheet=U0&amp;row=8676&amp;col=7&amp;number=0.00128&amp;sourceID=14","0.00128")</f>
        <v>0.00128</v>
      </c>
    </row>
    <row r="8677" spans="1:7">
      <c r="A8677" s="3"/>
      <c r="B8677" s="3"/>
      <c r="C8677" s="3"/>
      <c r="D8677" s="3"/>
      <c r="E8677" s="3">
        <v>14</v>
      </c>
      <c r="F8677" s="4" t="str">
        <f>HYPERLINK("http://141.218.60.56/~jnz1568/getInfo.php?workbook=12_05.xlsx&amp;sheet=U0&amp;row=8677&amp;col=6&amp;number=4.3&amp;sourceID=14","4.3")</f>
        <v>4.3</v>
      </c>
      <c r="G8677" s="4" t="str">
        <f>HYPERLINK("http://141.218.60.56/~jnz1568/getInfo.php?workbook=12_05.xlsx&amp;sheet=U0&amp;row=8677&amp;col=7&amp;number=0.00128&amp;sourceID=14","0.00128")</f>
        <v>0.00128</v>
      </c>
    </row>
    <row r="8678" spans="1:7">
      <c r="A8678" s="3"/>
      <c r="B8678" s="3"/>
      <c r="C8678" s="3"/>
      <c r="D8678" s="3"/>
      <c r="E8678" s="3">
        <v>15</v>
      </c>
      <c r="F8678" s="4" t="str">
        <f>HYPERLINK("http://141.218.60.56/~jnz1568/getInfo.php?workbook=12_05.xlsx&amp;sheet=U0&amp;row=8678&amp;col=6&amp;number=4.4&amp;sourceID=14","4.4")</f>
        <v>4.4</v>
      </c>
      <c r="G8678" s="4" t="str">
        <f>HYPERLINK("http://141.218.60.56/~jnz1568/getInfo.php?workbook=12_05.xlsx&amp;sheet=U0&amp;row=8678&amp;col=7&amp;number=0.00127&amp;sourceID=14","0.00127")</f>
        <v>0.00127</v>
      </c>
    </row>
    <row r="8679" spans="1:7">
      <c r="A8679" s="3"/>
      <c r="B8679" s="3"/>
      <c r="C8679" s="3"/>
      <c r="D8679" s="3"/>
      <c r="E8679" s="3">
        <v>16</v>
      </c>
      <c r="F8679" s="4" t="str">
        <f>HYPERLINK("http://141.218.60.56/~jnz1568/getInfo.php?workbook=12_05.xlsx&amp;sheet=U0&amp;row=8679&amp;col=6&amp;number=4.5&amp;sourceID=14","4.5")</f>
        <v>4.5</v>
      </c>
      <c r="G8679" s="4" t="str">
        <f>HYPERLINK("http://141.218.60.56/~jnz1568/getInfo.php?workbook=12_05.xlsx&amp;sheet=U0&amp;row=8679&amp;col=7&amp;number=0.00126&amp;sourceID=14","0.00126")</f>
        <v>0.00126</v>
      </c>
    </row>
    <row r="8680" spans="1:7">
      <c r="A8680" s="3"/>
      <c r="B8680" s="3"/>
      <c r="C8680" s="3"/>
      <c r="D8680" s="3"/>
      <c r="E8680" s="3">
        <v>17</v>
      </c>
      <c r="F8680" s="4" t="str">
        <f>HYPERLINK("http://141.218.60.56/~jnz1568/getInfo.php?workbook=12_05.xlsx&amp;sheet=U0&amp;row=8680&amp;col=6&amp;number=4.6&amp;sourceID=14","4.6")</f>
        <v>4.6</v>
      </c>
      <c r="G8680" s="4" t="str">
        <f>HYPERLINK("http://141.218.60.56/~jnz1568/getInfo.php?workbook=12_05.xlsx&amp;sheet=U0&amp;row=8680&amp;col=7&amp;number=0.00126&amp;sourceID=14","0.00126")</f>
        <v>0.00126</v>
      </c>
    </row>
    <row r="8681" spans="1:7">
      <c r="A8681" s="3"/>
      <c r="B8681" s="3"/>
      <c r="C8681" s="3"/>
      <c r="D8681" s="3"/>
      <c r="E8681" s="3">
        <v>18</v>
      </c>
      <c r="F8681" s="4" t="str">
        <f>HYPERLINK("http://141.218.60.56/~jnz1568/getInfo.php?workbook=12_05.xlsx&amp;sheet=U0&amp;row=8681&amp;col=6&amp;number=4.7&amp;sourceID=14","4.7")</f>
        <v>4.7</v>
      </c>
      <c r="G8681" s="4" t="str">
        <f>HYPERLINK("http://141.218.60.56/~jnz1568/getInfo.php?workbook=12_05.xlsx&amp;sheet=U0&amp;row=8681&amp;col=7&amp;number=0.00124&amp;sourceID=14","0.00124")</f>
        <v>0.00124</v>
      </c>
    </row>
    <row r="8682" spans="1:7">
      <c r="A8682" s="3"/>
      <c r="B8682" s="3"/>
      <c r="C8682" s="3"/>
      <c r="D8682" s="3"/>
      <c r="E8682" s="3">
        <v>19</v>
      </c>
      <c r="F8682" s="4" t="str">
        <f>HYPERLINK("http://141.218.60.56/~jnz1568/getInfo.php?workbook=12_05.xlsx&amp;sheet=U0&amp;row=8682&amp;col=6&amp;number=4.8&amp;sourceID=14","4.8")</f>
        <v>4.8</v>
      </c>
      <c r="G8682" s="4" t="str">
        <f>HYPERLINK("http://141.218.60.56/~jnz1568/getInfo.php?workbook=12_05.xlsx&amp;sheet=U0&amp;row=8682&amp;col=7&amp;number=0.00123&amp;sourceID=14","0.00123")</f>
        <v>0.00123</v>
      </c>
    </row>
    <row r="8683" spans="1:7">
      <c r="A8683" s="3"/>
      <c r="B8683" s="3"/>
      <c r="C8683" s="3"/>
      <c r="D8683" s="3"/>
      <c r="E8683" s="3">
        <v>20</v>
      </c>
      <c r="F8683" s="4" t="str">
        <f>HYPERLINK("http://141.218.60.56/~jnz1568/getInfo.php?workbook=12_05.xlsx&amp;sheet=U0&amp;row=8683&amp;col=6&amp;number=4.9&amp;sourceID=14","4.9")</f>
        <v>4.9</v>
      </c>
      <c r="G8683" s="4" t="str">
        <f>HYPERLINK("http://141.218.60.56/~jnz1568/getInfo.php?workbook=12_05.xlsx&amp;sheet=U0&amp;row=8683&amp;col=7&amp;number=0.00121&amp;sourceID=14","0.00121")</f>
        <v>0.00121</v>
      </c>
    </row>
    <row r="8684" spans="1:7">
      <c r="A8684" s="3">
        <v>12</v>
      </c>
      <c r="B8684" s="3">
        <v>5</v>
      </c>
      <c r="C8684" s="3">
        <v>3</v>
      </c>
      <c r="D8684" s="3">
        <v>107</v>
      </c>
      <c r="E8684" s="3">
        <v>1</v>
      </c>
      <c r="F8684" s="4" t="str">
        <f>HYPERLINK("http://141.218.60.56/~jnz1568/getInfo.php?workbook=12_05.xlsx&amp;sheet=U0&amp;row=8684&amp;col=6&amp;number=3&amp;sourceID=14","3")</f>
        <v>3</v>
      </c>
      <c r="G8684" s="4" t="str">
        <f>HYPERLINK("http://141.218.60.56/~jnz1568/getInfo.php?workbook=12_05.xlsx&amp;sheet=U0&amp;row=8684&amp;col=7&amp;number=0.0157&amp;sourceID=14","0.0157")</f>
        <v>0.0157</v>
      </c>
    </row>
    <row r="8685" spans="1:7">
      <c r="A8685" s="3"/>
      <c r="B8685" s="3"/>
      <c r="C8685" s="3"/>
      <c r="D8685" s="3"/>
      <c r="E8685" s="3">
        <v>2</v>
      </c>
      <c r="F8685" s="4" t="str">
        <f>HYPERLINK("http://141.218.60.56/~jnz1568/getInfo.php?workbook=12_05.xlsx&amp;sheet=U0&amp;row=8685&amp;col=6&amp;number=3.1&amp;sourceID=14","3.1")</f>
        <v>3.1</v>
      </c>
      <c r="G8685" s="4" t="str">
        <f>HYPERLINK("http://141.218.60.56/~jnz1568/getInfo.php?workbook=12_05.xlsx&amp;sheet=U0&amp;row=8685&amp;col=7&amp;number=0.0157&amp;sourceID=14","0.0157")</f>
        <v>0.0157</v>
      </c>
    </row>
    <row r="8686" spans="1:7">
      <c r="A8686" s="3"/>
      <c r="B8686" s="3"/>
      <c r="C8686" s="3"/>
      <c r="D8686" s="3"/>
      <c r="E8686" s="3">
        <v>3</v>
      </c>
      <c r="F8686" s="4" t="str">
        <f>HYPERLINK("http://141.218.60.56/~jnz1568/getInfo.php?workbook=12_05.xlsx&amp;sheet=U0&amp;row=8686&amp;col=6&amp;number=3.2&amp;sourceID=14","3.2")</f>
        <v>3.2</v>
      </c>
      <c r="G8686" s="4" t="str">
        <f>HYPERLINK("http://141.218.60.56/~jnz1568/getInfo.php?workbook=12_05.xlsx&amp;sheet=U0&amp;row=8686&amp;col=7&amp;number=0.0157&amp;sourceID=14","0.0157")</f>
        <v>0.0157</v>
      </c>
    </row>
    <row r="8687" spans="1:7">
      <c r="A8687" s="3"/>
      <c r="B8687" s="3"/>
      <c r="C8687" s="3"/>
      <c r="D8687" s="3"/>
      <c r="E8687" s="3">
        <v>4</v>
      </c>
      <c r="F8687" s="4" t="str">
        <f>HYPERLINK("http://141.218.60.56/~jnz1568/getInfo.php?workbook=12_05.xlsx&amp;sheet=U0&amp;row=8687&amp;col=6&amp;number=3.3&amp;sourceID=14","3.3")</f>
        <v>3.3</v>
      </c>
      <c r="G8687" s="4" t="str">
        <f>HYPERLINK("http://141.218.60.56/~jnz1568/getInfo.php?workbook=12_05.xlsx&amp;sheet=U0&amp;row=8687&amp;col=7&amp;number=0.0157&amp;sourceID=14","0.0157")</f>
        <v>0.0157</v>
      </c>
    </row>
    <row r="8688" spans="1:7">
      <c r="A8688" s="3"/>
      <c r="B8688" s="3"/>
      <c r="C8688" s="3"/>
      <c r="D8688" s="3"/>
      <c r="E8688" s="3">
        <v>5</v>
      </c>
      <c r="F8688" s="4" t="str">
        <f>HYPERLINK("http://141.218.60.56/~jnz1568/getInfo.php?workbook=12_05.xlsx&amp;sheet=U0&amp;row=8688&amp;col=6&amp;number=3.4&amp;sourceID=14","3.4")</f>
        <v>3.4</v>
      </c>
      <c r="G8688" s="4" t="str">
        <f>HYPERLINK("http://141.218.60.56/~jnz1568/getInfo.php?workbook=12_05.xlsx&amp;sheet=U0&amp;row=8688&amp;col=7&amp;number=0.0156&amp;sourceID=14","0.0156")</f>
        <v>0.0156</v>
      </c>
    </row>
    <row r="8689" spans="1:7">
      <c r="A8689" s="3"/>
      <c r="B8689" s="3"/>
      <c r="C8689" s="3"/>
      <c r="D8689" s="3"/>
      <c r="E8689" s="3">
        <v>6</v>
      </c>
      <c r="F8689" s="4" t="str">
        <f>HYPERLINK("http://141.218.60.56/~jnz1568/getInfo.php?workbook=12_05.xlsx&amp;sheet=U0&amp;row=8689&amp;col=6&amp;number=3.5&amp;sourceID=14","3.5")</f>
        <v>3.5</v>
      </c>
      <c r="G8689" s="4" t="str">
        <f>HYPERLINK("http://141.218.60.56/~jnz1568/getInfo.php?workbook=12_05.xlsx&amp;sheet=U0&amp;row=8689&amp;col=7&amp;number=0.0156&amp;sourceID=14","0.0156")</f>
        <v>0.0156</v>
      </c>
    </row>
    <row r="8690" spans="1:7">
      <c r="A8690" s="3"/>
      <c r="B8690" s="3"/>
      <c r="C8690" s="3"/>
      <c r="D8690" s="3"/>
      <c r="E8690" s="3">
        <v>7</v>
      </c>
      <c r="F8690" s="4" t="str">
        <f>HYPERLINK("http://141.218.60.56/~jnz1568/getInfo.php?workbook=12_05.xlsx&amp;sheet=U0&amp;row=8690&amp;col=6&amp;number=3.6&amp;sourceID=14","3.6")</f>
        <v>3.6</v>
      </c>
      <c r="G8690" s="4" t="str">
        <f>HYPERLINK("http://141.218.60.56/~jnz1568/getInfo.php?workbook=12_05.xlsx&amp;sheet=U0&amp;row=8690&amp;col=7&amp;number=0.0156&amp;sourceID=14","0.0156")</f>
        <v>0.0156</v>
      </c>
    </row>
    <row r="8691" spans="1:7">
      <c r="A8691" s="3"/>
      <c r="B8691" s="3"/>
      <c r="C8691" s="3"/>
      <c r="D8691" s="3"/>
      <c r="E8691" s="3">
        <v>8</v>
      </c>
      <c r="F8691" s="4" t="str">
        <f>HYPERLINK("http://141.218.60.56/~jnz1568/getInfo.php?workbook=12_05.xlsx&amp;sheet=U0&amp;row=8691&amp;col=6&amp;number=3.7&amp;sourceID=14","3.7")</f>
        <v>3.7</v>
      </c>
      <c r="G8691" s="4" t="str">
        <f>HYPERLINK("http://141.218.60.56/~jnz1568/getInfo.php?workbook=12_05.xlsx&amp;sheet=U0&amp;row=8691&amp;col=7&amp;number=0.0156&amp;sourceID=14","0.0156")</f>
        <v>0.0156</v>
      </c>
    </row>
    <row r="8692" spans="1:7">
      <c r="A8692" s="3"/>
      <c r="B8692" s="3"/>
      <c r="C8692" s="3"/>
      <c r="D8692" s="3"/>
      <c r="E8692" s="3">
        <v>9</v>
      </c>
      <c r="F8692" s="4" t="str">
        <f>HYPERLINK("http://141.218.60.56/~jnz1568/getInfo.php?workbook=12_05.xlsx&amp;sheet=U0&amp;row=8692&amp;col=6&amp;number=3.8&amp;sourceID=14","3.8")</f>
        <v>3.8</v>
      </c>
      <c r="G8692" s="4" t="str">
        <f>HYPERLINK("http://141.218.60.56/~jnz1568/getInfo.php?workbook=12_05.xlsx&amp;sheet=U0&amp;row=8692&amp;col=7&amp;number=0.0156&amp;sourceID=14","0.0156")</f>
        <v>0.0156</v>
      </c>
    </row>
    <row r="8693" spans="1:7">
      <c r="A8693" s="3"/>
      <c r="B8693" s="3"/>
      <c r="C8693" s="3"/>
      <c r="D8693" s="3"/>
      <c r="E8693" s="3">
        <v>10</v>
      </c>
      <c r="F8693" s="4" t="str">
        <f>HYPERLINK("http://141.218.60.56/~jnz1568/getInfo.php?workbook=12_05.xlsx&amp;sheet=U0&amp;row=8693&amp;col=6&amp;number=3.9&amp;sourceID=14","3.9")</f>
        <v>3.9</v>
      </c>
      <c r="G8693" s="4" t="str">
        <f>HYPERLINK("http://141.218.60.56/~jnz1568/getInfo.php?workbook=12_05.xlsx&amp;sheet=U0&amp;row=8693&amp;col=7&amp;number=0.0156&amp;sourceID=14","0.0156")</f>
        <v>0.0156</v>
      </c>
    </row>
    <row r="8694" spans="1:7">
      <c r="A8694" s="3"/>
      <c r="B8694" s="3"/>
      <c r="C8694" s="3"/>
      <c r="D8694" s="3"/>
      <c r="E8694" s="3">
        <v>11</v>
      </c>
      <c r="F8694" s="4" t="str">
        <f>HYPERLINK("http://141.218.60.56/~jnz1568/getInfo.php?workbook=12_05.xlsx&amp;sheet=U0&amp;row=8694&amp;col=6&amp;number=4&amp;sourceID=14","4")</f>
        <v>4</v>
      </c>
      <c r="G8694" s="4" t="str">
        <f>HYPERLINK("http://141.218.60.56/~jnz1568/getInfo.php?workbook=12_05.xlsx&amp;sheet=U0&amp;row=8694&amp;col=7&amp;number=0.0156&amp;sourceID=14","0.0156")</f>
        <v>0.0156</v>
      </c>
    </row>
    <row r="8695" spans="1:7">
      <c r="A8695" s="3"/>
      <c r="B8695" s="3"/>
      <c r="C8695" s="3"/>
      <c r="D8695" s="3"/>
      <c r="E8695" s="3">
        <v>12</v>
      </c>
      <c r="F8695" s="4" t="str">
        <f>HYPERLINK("http://141.218.60.56/~jnz1568/getInfo.php?workbook=12_05.xlsx&amp;sheet=U0&amp;row=8695&amp;col=6&amp;number=4.1&amp;sourceID=14","4.1")</f>
        <v>4.1</v>
      </c>
      <c r="G8695" s="4" t="str">
        <f>HYPERLINK("http://141.218.60.56/~jnz1568/getInfo.php?workbook=12_05.xlsx&amp;sheet=U0&amp;row=8695&amp;col=7&amp;number=0.0155&amp;sourceID=14","0.0155")</f>
        <v>0.0155</v>
      </c>
    </row>
    <row r="8696" spans="1:7">
      <c r="A8696" s="3"/>
      <c r="B8696" s="3"/>
      <c r="C8696" s="3"/>
      <c r="D8696" s="3"/>
      <c r="E8696" s="3">
        <v>13</v>
      </c>
      <c r="F8696" s="4" t="str">
        <f>HYPERLINK("http://141.218.60.56/~jnz1568/getInfo.php?workbook=12_05.xlsx&amp;sheet=U0&amp;row=8696&amp;col=6&amp;number=4.2&amp;sourceID=14","4.2")</f>
        <v>4.2</v>
      </c>
      <c r="G8696" s="4" t="str">
        <f>HYPERLINK("http://141.218.60.56/~jnz1568/getInfo.php?workbook=12_05.xlsx&amp;sheet=U0&amp;row=8696&amp;col=7&amp;number=0.0155&amp;sourceID=14","0.0155")</f>
        <v>0.0155</v>
      </c>
    </row>
    <row r="8697" spans="1:7">
      <c r="A8697" s="3"/>
      <c r="B8697" s="3"/>
      <c r="C8697" s="3"/>
      <c r="D8697" s="3"/>
      <c r="E8697" s="3">
        <v>14</v>
      </c>
      <c r="F8697" s="4" t="str">
        <f>HYPERLINK("http://141.218.60.56/~jnz1568/getInfo.php?workbook=12_05.xlsx&amp;sheet=U0&amp;row=8697&amp;col=6&amp;number=4.3&amp;sourceID=14","4.3")</f>
        <v>4.3</v>
      </c>
      <c r="G8697" s="4" t="str">
        <f>HYPERLINK("http://141.218.60.56/~jnz1568/getInfo.php?workbook=12_05.xlsx&amp;sheet=U0&amp;row=8697&amp;col=7&amp;number=0.0154&amp;sourceID=14","0.0154")</f>
        <v>0.0154</v>
      </c>
    </row>
    <row r="8698" spans="1:7">
      <c r="A8698" s="3"/>
      <c r="B8698" s="3"/>
      <c r="C8698" s="3"/>
      <c r="D8698" s="3"/>
      <c r="E8698" s="3">
        <v>15</v>
      </c>
      <c r="F8698" s="4" t="str">
        <f>HYPERLINK("http://141.218.60.56/~jnz1568/getInfo.php?workbook=12_05.xlsx&amp;sheet=U0&amp;row=8698&amp;col=6&amp;number=4.4&amp;sourceID=14","4.4")</f>
        <v>4.4</v>
      </c>
      <c r="G8698" s="4" t="str">
        <f>HYPERLINK("http://141.218.60.56/~jnz1568/getInfo.php?workbook=12_05.xlsx&amp;sheet=U0&amp;row=8698&amp;col=7&amp;number=0.0154&amp;sourceID=14","0.0154")</f>
        <v>0.0154</v>
      </c>
    </row>
    <row r="8699" spans="1:7">
      <c r="A8699" s="3"/>
      <c r="B8699" s="3"/>
      <c r="C8699" s="3"/>
      <c r="D8699" s="3"/>
      <c r="E8699" s="3">
        <v>16</v>
      </c>
      <c r="F8699" s="4" t="str">
        <f>HYPERLINK("http://141.218.60.56/~jnz1568/getInfo.php?workbook=12_05.xlsx&amp;sheet=U0&amp;row=8699&amp;col=6&amp;number=4.5&amp;sourceID=14","4.5")</f>
        <v>4.5</v>
      </c>
      <c r="G8699" s="4" t="str">
        <f>HYPERLINK("http://141.218.60.56/~jnz1568/getInfo.php?workbook=12_05.xlsx&amp;sheet=U0&amp;row=8699&amp;col=7&amp;number=0.0153&amp;sourceID=14","0.0153")</f>
        <v>0.0153</v>
      </c>
    </row>
    <row r="8700" spans="1:7">
      <c r="A8700" s="3"/>
      <c r="B8700" s="3"/>
      <c r="C8700" s="3"/>
      <c r="D8700" s="3"/>
      <c r="E8700" s="3">
        <v>17</v>
      </c>
      <c r="F8700" s="4" t="str">
        <f>HYPERLINK("http://141.218.60.56/~jnz1568/getInfo.php?workbook=12_05.xlsx&amp;sheet=U0&amp;row=8700&amp;col=6&amp;number=4.6&amp;sourceID=14","4.6")</f>
        <v>4.6</v>
      </c>
      <c r="G8700" s="4" t="str">
        <f>HYPERLINK("http://141.218.60.56/~jnz1568/getInfo.php?workbook=12_05.xlsx&amp;sheet=U0&amp;row=8700&amp;col=7&amp;number=0.0152&amp;sourceID=14","0.0152")</f>
        <v>0.0152</v>
      </c>
    </row>
    <row r="8701" spans="1:7">
      <c r="A8701" s="3"/>
      <c r="B8701" s="3"/>
      <c r="C8701" s="3"/>
      <c r="D8701" s="3"/>
      <c r="E8701" s="3">
        <v>18</v>
      </c>
      <c r="F8701" s="4" t="str">
        <f>HYPERLINK("http://141.218.60.56/~jnz1568/getInfo.php?workbook=12_05.xlsx&amp;sheet=U0&amp;row=8701&amp;col=6&amp;number=4.7&amp;sourceID=14","4.7")</f>
        <v>4.7</v>
      </c>
      <c r="G8701" s="4" t="str">
        <f>HYPERLINK("http://141.218.60.56/~jnz1568/getInfo.php?workbook=12_05.xlsx&amp;sheet=U0&amp;row=8701&amp;col=7&amp;number=0.0151&amp;sourceID=14","0.0151")</f>
        <v>0.0151</v>
      </c>
    </row>
    <row r="8702" spans="1:7">
      <c r="A8702" s="3"/>
      <c r="B8702" s="3"/>
      <c r="C8702" s="3"/>
      <c r="D8702" s="3"/>
      <c r="E8702" s="3">
        <v>19</v>
      </c>
      <c r="F8702" s="4" t="str">
        <f>HYPERLINK("http://141.218.60.56/~jnz1568/getInfo.php?workbook=12_05.xlsx&amp;sheet=U0&amp;row=8702&amp;col=6&amp;number=4.8&amp;sourceID=14","4.8")</f>
        <v>4.8</v>
      </c>
      <c r="G8702" s="4" t="str">
        <f>HYPERLINK("http://141.218.60.56/~jnz1568/getInfo.php?workbook=12_05.xlsx&amp;sheet=U0&amp;row=8702&amp;col=7&amp;number=0.0149&amp;sourceID=14","0.0149")</f>
        <v>0.0149</v>
      </c>
    </row>
    <row r="8703" spans="1:7">
      <c r="A8703" s="3"/>
      <c r="B8703" s="3"/>
      <c r="C8703" s="3"/>
      <c r="D8703" s="3"/>
      <c r="E8703" s="3">
        <v>20</v>
      </c>
      <c r="F8703" s="4" t="str">
        <f>HYPERLINK("http://141.218.60.56/~jnz1568/getInfo.php?workbook=12_05.xlsx&amp;sheet=U0&amp;row=8703&amp;col=6&amp;number=4.9&amp;sourceID=14","4.9")</f>
        <v>4.9</v>
      </c>
      <c r="G8703" s="4" t="str">
        <f>HYPERLINK("http://141.218.60.56/~jnz1568/getInfo.php?workbook=12_05.xlsx&amp;sheet=U0&amp;row=8703&amp;col=7&amp;number=0.0147&amp;sourceID=14","0.0147")</f>
        <v>0.0147</v>
      </c>
    </row>
    <row r="8704" spans="1:7">
      <c r="A8704" s="3">
        <v>12</v>
      </c>
      <c r="B8704" s="3">
        <v>5</v>
      </c>
      <c r="C8704" s="3">
        <v>3</v>
      </c>
      <c r="D8704" s="3">
        <v>108</v>
      </c>
      <c r="E8704" s="3">
        <v>1</v>
      </c>
      <c r="F8704" s="4" t="str">
        <f>HYPERLINK("http://141.218.60.56/~jnz1568/getInfo.php?workbook=12_05.xlsx&amp;sheet=U0&amp;row=8704&amp;col=6&amp;number=3&amp;sourceID=14","3")</f>
        <v>3</v>
      </c>
      <c r="G8704" s="4" t="str">
        <f>HYPERLINK("http://141.218.60.56/~jnz1568/getInfo.php?workbook=12_05.xlsx&amp;sheet=U0&amp;row=8704&amp;col=7&amp;number=0.017&amp;sourceID=14","0.017")</f>
        <v>0.017</v>
      </c>
    </row>
    <row r="8705" spans="1:7">
      <c r="A8705" s="3"/>
      <c r="B8705" s="3"/>
      <c r="C8705" s="3"/>
      <c r="D8705" s="3"/>
      <c r="E8705" s="3">
        <v>2</v>
      </c>
      <c r="F8705" s="4" t="str">
        <f>HYPERLINK("http://141.218.60.56/~jnz1568/getInfo.php?workbook=12_05.xlsx&amp;sheet=U0&amp;row=8705&amp;col=6&amp;number=3.1&amp;sourceID=14","3.1")</f>
        <v>3.1</v>
      </c>
      <c r="G8705" s="4" t="str">
        <f>HYPERLINK("http://141.218.60.56/~jnz1568/getInfo.php?workbook=12_05.xlsx&amp;sheet=U0&amp;row=8705&amp;col=7&amp;number=0.017&amp;sourceID=14","0.017")</f>
        <v>0.017</v>
      </c>
    </row>
    <row r="8706" spans="1:7">
      <c r="A8706" s="3"/>
      <c r="B8706" s="3"/>
      <c r="C8706" s="3"/>
      <c r="D8706" s="3"/>
      <c r="E8706" s="3">
        <v>3</v>
      </c>
      <c r="F8706" s="4" t="str">
        <f>HYPERLINK("http://141.218.60.56/~jnz1568/getInfo.php?workbook=12_05.xlsx&amp;sheet=U0&amp;row=8706&amp;col=6&amp;number=3.2&amp;sourceID=14","3.2")</f>
        <v>3.2</v>
      </c>
      <c r="G8706" s="4" t="str">
        <f>HYPERLINK("http://141.218.60.56/~jnz1568/getInfo.php?workbook=12_05.xlsx&amp;sheet=U0&amp;row=8706&amp;col=7&amp;number=0.017&amp;sourceID=14","0.017")</f>
        <v>0.017</v>
      </c>
    </row>
    <row r="8707" spans="1:7">
      <c r="A8707" s="3"/>
      <c r="B8707" s="3"/>
      <c r="C8707" s="3"/>
      <c r="D8707" s="3"/>
      <c r="E8707" s="3">
        <v>4</v>
      </c>
      <c r="F8707" s="4" t="str">
        <f>HYPERLINK("http://141.218.60.56/~jnz1568/getInfo.php?workbook=12_05.xlsx&amp;sheet=U0&amp;row=8707&amp;col=6&amp;number=3.3&amp;sourceID=14","3.3")</f>
        <v>3.3</v>
      </c>
      <c r="G8707" s="4" t="str">
        <f>HYPERLINK("http://141.218.60.56/~jnz1568/getInfo.php?workbook=12_05.xlsx&amp;sheet=U0&amp;row=8707&amp;col=7&amp;number=0.017&amp;sourceID=14","0.017")</f>
        <v>0.017</v>
      </c>
    </row>
    <row r="8708" spans="1:7">
      <c r="A8708" s="3"/>
      <c r="B8708" s="3"/>
      <c r="C8708" s="3"/>
      <c r="D8708" s="3"/>
      <c r="E8708" s="3">
        <v>5</v>
      </c>
      <c r="F8708" s="4" t="str">
        <f>HYPERLINK("http://141.218.60.56/~jnz1568/getInfo.php?workbook=12_05.xlsx&amp;sheet=U0&amp;row=8708&amp;col=6&amp;number=3.4&amp;sourceID=14","3.4")</f>
        <v>3.4</v>
      </c>
      <c r="G8708" s="4" t="str">
        <f>HYPERLINK("http://141.218.60.56/~jnz1568/getInfo.php?workbook=12_05.xlsx&amp;sheet=U0&amp;row=8708&amp;col=7&amp;number=0.017&amp;sourceID=14","0.017")</f>
        <v>0.017</v>
      </c>
    </row>
    <row r="8709" spans="1:7">
      <c r="A8709" s="3"/>
      <c r="B8709" s="3"/>
      <c r="C8709" s="3"/>
      <c r="D8709" s="3"/>
      <c r="E8709" s="3">
        <v>6</v>
      </c>
      <c r="F8709" s="4" t="str">
        <f>HYPERLINK("http://141.218.60.56/~jnz1568/getInfo.php?workbook=12_05.xlsx&amp;sheet=U0&amp;row=8709&amp;col=6&amp;number=3.5&amp;sourceID=14","3.5")</f>
        <v>3.5</v>
      </c>
      <c r="G8709" s="4" t="str">
        <f>HYPERLINK("http://141.218.60.56/~jnz1568/getInfo.php?workbook=12_05.xlsx&amp;sheet=U0&amp;row=8709&amp;col=7&amp;number=0.017&amp;sourceID=14","0.017")</f>
        <v>0.017</v>
      </c>
    </row>
    <row r="8710" spans="1:7">
      <c r="A8710" s="3"/>
      <c r="B8710" s="3"/>
      <c r="C8710" s="3"/>
      <c r="D8710" s="3"/>
      <c r="E8710" s="3">
        <v>7</v>
      </c>
      <c r="F8710" s="4" t="str">
        <f>HYPERLINK("http://141.218.60.56/~jnz1568/getInfo.php?workbook=12_05.xlsx&amp;sheet=U0&amp;row=8710&amp;col=6&amp;number=3.6&amp;sourceID=14","3.6")</f>
        <v>3.6</v>
      </c>
      <c r="G8710" s="4" t="str">
        <f>HYPERLINK("http://141.218.60.56/~jnz1568/getInfo.php?workbook=12_05.xlsx&amp;sheet=U0&amp;row=8710&amp;col=7&amp;number=0.017&amp;sourceID=14","0.017")</f>
        <v>0.017</v>
      </c>
    </row>
    <row r="8711" spans="1:7">
      <c r="A8711" s="3"/>
      <c r="B8711" s="3"/>
      <c r="C8711" s="3"/>
      <c r="D8711" s="3"/>
      <c r="E8711" s="3">
        <v>8</v>
      </c>
      <c r="F8711" s="4" t="str">
        <f>HYPERLINK("http://141.218.60.56/~jnz1568/getInfo.php?workbook=12_05.xlsx&amp;sheet=U0&amp;row=8711&amp;col=6&amp;number=3.7&amp;sourceID=14","3.7")</f>
        <v>3.7</v>
      </c>
      <c r="G8711" s="4" t="str">
        <f>HYPERLINK("http://141.218.60.56/~jnz1568/getInfo.php?workbook=12_05.xlsx&amp;sheet=U0&amp;row=8711&amp;col=7&amp;number=0.017&amp;sourceID=14","0.017")</f>
        <v>0.017</v>
      </c>
    </row>
    <row r="8712" spans="1:7">
      <c r="A8712" s="3"/>
      <c r="B8712" s="3"/>
      <c r="C8712" s="3"/>
      <c r="D8712" s="3"/>
      <c r="E8712" s="3">
        <v>9</v>
      </c>
      <c r="F8712" s="4" t="str">
        <f>HYPERLINK("http://141.218.60.56/~jnz1568/getInfo.php?workbook=12_05.xlsx&amp;sheet=U0&amp;row=8712&amp;col=6&amp;number=3.8&amp;sourceID=14","3.8")</f>
        <v>3.8</v>
      </c>
      <c r="G8712" s="4" t="str">
        <f>HYPERLINK("http://141.218.60.56/~jnz1568/getInfo.php?workbook=12_05.xlsx&amp;sheet=U0&amp;row=8712&amp;col=7&amp;number=0.0169&amp;sourceID=14","0.0169")</f>
        <v>0.0169</v>
      </c>
    </row>
    <row r="8713" spans="1:7">
      <c r="A8713" s="3"/>
      <c r="B8713" s="3"/>
      <c r="C8713" s="3"/>
      <c r="D8713" s="3"/>
      <c r="E8713" s="3">
        <v>10</v>
      </c>
      <c r="F8713" s="4" t="str">
        <f>HYPERLINK("http://141.218.60.56/~jnz1568/getInfo.php?workbook=12_05.xlsx&amp;sheet=U0&amp;row=8713&amp;col=6&amp;number=3.9&amp;sourceID=14","3.9")</f>
        <v>3.9</v>
      </c>
      <c r="G8713" s="4" t="str">
        <f>HYPERLINK("http://141.218.60.56/~jnz1568/getInfo.php?workbook=12_05.xlsx&amp;sheet=U0&amp;row=8713&amp;col=7&amp;number=0.0169&amp;sourceID=14","0.0169")</f>
        <v>0.0169</v>
      </c>
    </row>
    <row r="8714" spans="1:7">
      <c r="A8714" s="3"/>
      <c r="B8714" s="3"/>
      <c r="C8714" s="3"/>
      <c r="D8714" s="3"/>
      <c r="E8714" s="3">
        <v>11</v>
      </c>
      <c r="F8714" s="4" t="str">
        <f>HYPERLINK("http://141.218.60.56/~jnz1568/getInfo.php?workbook=12_05.xlsx&amp;sheet=U0&amp;row=8714&amp;col=6&amp;number=4&amp;sourceID=14","4")</f>
        <v>4</v>
      </c>
      <c r="G8714" s="4" t="str">
        <f>HYPERLINK("http://141.218.60.56/~jnz1568/getInfo.php?workbook=12_05.xlsx&amp;sheet=U0&amp;row=8714&amp;col=7&amp;number=0.0169&amp;sourceID=14","0.0169")</f>
        <v>0.0169</v>
      </c>
    </row>
    <row r="8715" spans="1:7">
      <c r="A8715" s="3"/>
      <c r="B8715" s="3"/>
      <c r="C8715" s="3"/>
      <c r="D8715" s="3"/>
      <c r="E8715" s="3">
        <v>12</v>
      </c>
      <c r="F8715" s="4" t="str">
        <f>HYPERLINK("http://141.218.60.56/~jnz1568/getInfo.php?workbook=12_05.xlsx&amp;sheet=U0&amp;row=8715&amp;col=6&amp;number=4.1&amp;sourceID=14","4.1")</f>
        <v>4.1</v>
      </c>
      <c r="G8715" s="4" t="str">
        <f>HYPERLINK("http://141.218.60.56/~jnz1568/getInfo.php?workbook=12_05.xlsx&amp;sheet=U0&amp;row=8715&amp;col=7&amp;number=0.0168&amp;sourceID=14","0.0168")</f>
        <v>0.0168</v>
      </c>
    </row>
    <row r="8716" spans="1:7">
      <c r="A8716" s="3"/>
      <c r="B8716" s="3"/>
      <c r="C8716" s="3"/>
      <c r="D8716" s="3"/>
      <c r="E8716" s="3">
        <v>13</v>
      </c>
      <c r="F8716" s="4" t="str">
        <f>HYPERLINK("http://141.218.60.56/~jnz1568/getInfo.php?workbook=12_05.xlsx&amp;sheet=U0&amp;row=8716&amp;col=6&amp;number=4.2&amp;sourceID=14","4.2")</f>
        <v>4.2</v>
      </c>
      <c r="G8716" s="4" t="str">
        <f>HYPERLINK("http://141.218.60.56/~jnz1568/getInfo.php?workbook=12_05.xlsx&amp;sheet=U0&amp;row=8716&amp;col=7&amp;number=0.0167&amp;sourceID=14","0.0167")</f>
        <v>0.0167</v>
      </c>
    </row>
    <row r="8717" spans="1:7">
      <c r="A8717" s="3"/>
      <c r="B8717" s="3"/>
      <c r="C8717" s="3"/>
      <c r="D8717" s="3"/>
      <c r="E8717" s="3">
        <v>14</v>
      </c>
      <c r="F8717" s="4" t="str">
        <f>HYPERLINK("http://141.218.60.56/~jnz1568/getInfo.php?workbook=12_05.xlsx&amp;sheet=U0&amp;row=8717&amp;col=6&amp;number=4.3&amp;sourceID=14","4.3")</f>
        <v>4.3</v>
      </c>
      <c r="G8717" s="4" t="str">
        <f>HYPERLINK("http://141.218.60.56/~jnz1568/getInfo.php?workbook=12_05.xlsx&amp;sheet=U0&amp;row=8717&amp;col=7&amp;number=0.0167&amp;sourceID=14","0.0167")</f>
        <v>0.0167</v>
      </c>
    </row>
    <row r="8718" spans="1:7">
      <c r="A8718" s="3"/>
      <c r="B8718" s="3"/>
      <c r="C8718" s="3"/>
      <c r="D8718" s="3"/>
      <c r="E8718" s="3">
        <v>15</v>
      </c>
      <c r="F8718" s="4" t="str">
        <f>HYPERLINK("http://141.218.60.56/~jnz1568/getInfo.php?workbook=12_05.xlsx&amp;sheet=U0&amp;row=8718&amp;col=6&amp;number=4.4&amp;sourceID=14","4.4")</f>
        <v>4.4</v>
      </c>
      <c r="G8718" s="4" t="str">
        <f>HYPERLINK("http://141.218.60.56/~jnz1568/getInfo.php?workbook=12_05.xlsx&amp;sheet=U0&amp;row=8718&amp;col=7&amp;number=0.0166&amp;sourceID=14","0.0166")</f>
        <v>0.0166</v>
      </c>
    </row>
    <row r="8719" spans="1:7">
      <c r="A8719" s="3"/>
      <c r="B8719" s="3"/>
      <c r="C8719" s="3"/>
      <c r="D8719" s="3"/>
      <c r="E8719" s="3">
        <v>16</v>
      </c>
      <c r="F8719" s="4" t="str">
        <f>HYPERLINK("http://141.218.60.56/~jnz1568/getInfo.php?workbook=12_05.xlsx&amp;sheet=U0&amp;row=8719&amp;col=6&amp;number=4.5&amp;sourceID=14","4.5")</f>
        <v>4.5</v>
      </c>
      <c r="G8719" s="4" t="str">
        <f>HYPERLINK("http://141.218.60.56/~jnz1568/getInfo.php?workbook=12_05.xlsx&amp;sheet=U0&amp;row=8719&amp;col=7&amp;number=0.0165&amp;sourceID=14","0.0165")</f>
        <v>0.0165</v>
      </c>
    </row>
    <row r="8720" spans="1:7">
      <c r="A8720" s="3"/>
      <c r="B8720" s="3"/>
      <c r="C8720" s="3"/>
      <c r="D8720" s="3"/>
      <c r="E8720" s="3">
        <v>17</v>
      </c>
      <c r="F8720" s="4" t="str">
        <f>HYPERLINK("http://141.218.60.56/~jnz1568/getInfo.php?workbook=12_05.xlsx&amp;sheet=U0&amp;row=8720&amp;col=6&amp;number=4.6&amp;sourceID=14","4.6")</f>
        <v>4.6</v>
      </c>
      <c r="G8720" s="4" t="str">
        <f>HYPERLINK("http://141.218.60.56/~jnz1568/getInfo.php?workbook=12_05.xlsx&amp;sheet=U0&amp;row=8720&amp;col=7&amp;number=0.0163&amp;sourceID=14","0.0163")</f>
        <v>0.0163</v>
      </c>
    </row>
    <row r="8721" spans="1:7">
      <c r="A8721" s="3"/>
      <c r="B8721" s="3"/>
      <c r="C8721" s="3"/>
      <c r="D8721" s="3"/>
      <c r="E8721" s="3">
        <v>18</v>
      </c>
      <c r="F8721" s="4" t="str">
        <f>HYPERLINK("http://141.218.60.56/~jnz1568/getInfo.php?workbook=12_05.xlsx&amp;sheet=U0&amp;row=8721&amp;col=6&amp;number=4.7&amp;sourceID=14","4.7")</f>
        <v>4.7</v>
      </c>
      <c r="G8721" s="4" t="str">
        <f>HYPERLINK("http://141.218.60.56/~jnz1568/getInfo.php?workbook=12_05.xlsx&amp;sheet=U0&amp;row=8721&amp;col=7&amp;number=0.0161&amp;sourceID=14","0.0161")</f>
        <v>0.0161</v>
      </c>
    </row>
    <row r="8722" spans="1:7">
      <c r="A8722" s="3"/>
      <c r="B8722" s="3"/>
      <c r="C8722" s="3"/>
      <c r="D8722" s="3"/>
      <c r="E8722" s="3">
        <v>19</v>
      </c>
      <c r="F8722" s="4" t="str">
        <f>HYPERLINK("http://141.218.60.56/~jnz1568/getInfo.php?workbook=12_05.xlsx&amp;sheet=U0&amp;row=8722&amp;col=6&amp;number=4.8&amp;sourceID=14","4.8")</f>
        <v>4.8</v>
      </c>
      <c r="G8722" s="4" t="str">
        <f>HYPERLINK("http://141.218.60.56/~jnz1568/getInfo.php?workbook=12_05.xlsx&amp;sheet=U0&amp;row=8722&amp;col=7&amp;number=0.0159&amp;sourceID=14","0.0159")</f>
        <v>0.0159</v>
      </c>
    </row>
    <row r="8723" spans="1:7">
      <c r="A8723" s="3"/>
      <c r="B8723" s="3"/>
      <c r="C8723" s="3"/>
      <c r="D8723" s="3"/>
      <c r="E8723" s="3">
        <v>20</v>
      </c>
      <c r="F8723" s="4" t="str">
        <f>HYPERLINK("http://141.218.60.56/~jnz1568/getInfo.php?workbook=12_05.xlsx&amp;sheet=U0&amp;row=8723&amp;col=6&amp;number=4.9&amp;sourceID=14","4.9")</f>
        <v>4.9</v>
      </c>
      <c r="G8723" s="4" t="str">
        <f>HYPERLINK("http://141.218.60.56/~jnz1568/getInfo.php?workbook=12_05.xlsx&amp;sheet=U0&amp;row=8723&amp;col=7&amp;number=0.0156&amp;sourceID=14","0.0156")</f>
        <v>0.0156</v>
      </c>
    </row>
    <row r="8724" spans="1:7">
      <c r="A8724" s="3">
        <v>12</v>
      </c>
      <c r="B8724" s="3">
        <v>5</v>
      </c>
      <c r="C8724" s="3">
        <v>3</v>
      </c>
      <c r="D8724" s="3">
        <v>109</v>
      </c>
      <c r="E8724" s="3">
        <v>1</v>
      </c>
      <c r="F8724" s="4" t="str">
        <f>HYPERLINK("http://141.218.60.56/~jnz1568/getInfo.php?workbook=12_05.xlsx&amp;sheet=U0&amp;row=8724&amp;col=6&amp;number=3&amp;sourceID=14","3")</f>
        <v>3</v>
      </c>
      <c r="G8724" s="4" t="str">
        <f>HYPERLINK("http://141.218.60.56/~jnz1568/getInfo.php?workbook=12_05.xlsx&amp;sheet=U0&amp;row=8724&amp;col=7&amp;number=0.0112&amp;sourceID=14","0.0112")</f>
        <v>0.0112</v>
      </c>
    </row>
    <row r="8725" spans="1:7">
      <c r="A8725" s="3"/>
      <c r="B8725" s="3"/>
      <c r="C8725" s="3"/>
      <c r="D8725" s="3"/>
      <c r="E8725" s="3">
        <v>2</v>
      </c>
      <c r="F8725" s="4" t="str">
        <f>HYPERLINK("http://141.218.60.56/~jnz1568/getInfo.php?workbook=12_05.xlsx&amp;sheet=U0&amp;row=8725&amp;col=6&amp;number=3.1&amp;sourceID=14","3.1")</f>
        <v>3.1</v>
      </c>
      <c r="G8725" s="4" t="str">
        <f>HYPERLINK("http://141.218.60.56/~jnz1568/getInfo.php?workbook=12_05.xlsx&amp;sheet=U0&amp;row=8725&amp;col=7&amp;number=0.0112&amp;sourceID=14","0.0112")</f>
        <v>0.0112</v>
      </c>
    </row>
    <row r="8726" spans="1:7">
      <c r="A8726" s="3"/>
      <c r="B8726" s="3"/>
      <c r="C8726" s="3"/>
      <c r="D8726" s="3"/>
      <c r="E8726" s="3">
        <v>3</v>
      </c>
      <c r="F8726" s="4" t="str">
        <f>HYPERLINK("http://141.218.60.56/~jnz1568/getInfo.php?workbook=12_05.xlsx&amp;sheet=U0&amp;row=8726&amp;col=6&amp;number=3.2&amp;sourceID=14","3.2")</f>
        <v>3.2</v>
      </c>
      <c r="G8726" s="4" t="str">
        <f>HYPERLINK("http://141.218.60.56/~jnz1568/getInfo.php?workbook=12_05.xlsx&amp;sheet=U0&amp;row=8726&amp;col=7&amp;number=0.0112&amp;sourceID=14","0.0112")</f>
        <v>0.0112</v>
      </c>
    </row>
    <row r="8727" spans="1:7">
      <c r="A8727" s="3"/>
      <c r="B8727" s="3"/>
      <c r="C8727" s="3"/>
      <c r="D8727" s="3"/>
      <c r="E8727" s="3">
        <v>4</v>
      </c>
      <c r="F8727" s="4" t="str">
        <f>HYPERLINK("http://141.218.60.56/~jnz1568/getInfo.php?workbook=12_05.xlsx&amp;sheet=U0&amp;row=8727&amp;col=6&amp;number=3.3&amp;sourceID=14","3.3")</f>
        <v>3.3</v>
      </c>
      <c r="G8727" s="4" t="str">
        <f>HYPERLINK("http://141.218.60.56/~jnz1568/getInfo.php?workbook=12_05.xlsx&amp;sheet=U0&amp;row=8727&amp;col=7&amp;number=0.0112&amp;sourceID=14","0.0112")</f>
        <v>0.0112</v>
      </c>
    </row>
    <row r="8728" spans="1:7">
      <c r="A8728" s="3"/>
      <c r="B8728" s="3"/>
      <c r="C8728" s="3"/>
      <c r="D8728" s="3"/>
      <c r="E8728" s="3">
        <v>5</v>
      </c>
      <c r="F8728" s="4" t="str">
        <f>HYPERLINK("http://141.218.60.56/~jnz1568/getInfo.php?workbook=12_05.xlsx&amp;sheet=U0&amp;row=8728&amp;col=6&amp;number=3.4&amp;sourceID=14","3.4")</f>
        <v>3.4</v>
      </c>
      <c r="G8728" s="4" t="str">
        <f>HYPERLINK("http://141.218.60.56/~jnz1568/getInfo.php?workbook=12_05.xlsx&amp;sheet=U0&amp;row=8728&amp;col=7&amp;number=0.0112&amp;sourceID=14","0.0112")</f>
        <v>0.0112</v>
      </c>
    </row>
    <row r="8729" spans="1:7">
      <c r="A8729" s="3"/>
      <c r="B8729" s="3"/>
      <c r="C8729" s="3"/>
      <c r="D8729" s="3"/>
      <c r="E8729" s="3">
        <v>6</v>
      </c>
      <c r="F8729" s="4" t="str">
        <f>HYPERLINK("http://141.218.60.56/~jnz1568/getInfo.php?workbook=12_05.xlsx&amp;sheet=U0&amp;row=8729&amp;col=6&amp;number=3.5&amp;sourceID=14","3.5")</f>
        <v>3.5</v>
      </c>
      <c r="G8729" s="4" t="str">
        <f>HYPERLINK("http://141.218.60.56/~jnz1568/getInfo.php?workbook=12_05.xlsx&amp;sheet=U0&amp;row=8729&amp;col=7&amp;number=0.0112&amp;sourceID=14","0.0112")</f>
        <v>0.0112</v>
      </c>
    </row>
    <row r="8730" spans="1:7">
      <c r="A8730" s="3"/>
      <c r="B8730" s="3"/>
      <c r="C8730" s="3"/>
      <c r="D8730" s="3"/>
      <c r="E8730" s="3">
        <v>7</v>
      </c>
      <c r="F8730" s="4" t="str">
        <f>HYPERLINK("http://141.218.60.56/~jnz1568/getInfo.php?workbook=12_05.xlsx&amp;sheet=U0&amp;row=8730&amp;col=6&amp;number=3.6&amp;sourceID=14","3.6")</f>
        <v>3.6</v>
      </c>
      <c r="G8730" s="4" t="str">
        <f>HYPERLINK("http://141.218.60.56/~jnz1568/getInfo.php?workbook=12_05.xlsx&amp;sheet=U0&amp;row=8730&amp;col=7&amp;number=0.0112&amp;sourceID=14","0.0112")</f>
        <v>0.0112</v>
      </c>
    </row>
    <row r="8731" spans="1:7">
      <c r="A8731" s="3"/>
      <c r="B8731" s="3"/>
      <c r="C8731" s="3"/>
      <c r="D8731" s="3"/>
      <c r="E8731" s="3">
        <v>8</v>
      </c>
      <c r="F8731" s="4" t="str">
        <f>HYPERLINK("http://141.218.60.56/~jnz1568/getInfo.php?workbook=12_05.xlsx&amp;sheet=U0&amp;row=8731&amp;col=6&amp;number=3.7&amp;sourceID=14","3.7")</f>
        <v>3.7</v>
      </c>
      <c r="G8731" s="4" t="str">
        <f>HYPERLINK("http://141.218.60.56/~jnz1568/getInfo.php?workbook=12_05.xlsx&amp;sheet=U0&amp;row=8731&amp;col=7&amp;number=0.0111&amp;sourceID=14","0.0111")</f>
        <v>0.0111</v>
      </c>
    </row>
    <row r="8732" spans="1:7">
      <c r="A8732" s="3"/>
      <c r="B8732" s="3"/>
      <c r="C8732" s="3"/>
      <c r="D8732" s="3"/>
      <c r="E8732" s="3">
        <v>9</v>
      </c>
      <c r="F8732" s="4" t="str">
        <f>HYPERLINK("http://141.218.60.56/~jnz1568/getInfo.php?workbook=12_05.xlsx&amp;sheet=U0&amp;row=8732&amp;col=6&amp;number=3.8&amp;sourceID=14","3.8")</f>
        <v>3.8</v>
      </c>
      <c r="G8732" s="4" t="str">
        <f>HYPERLINK("http://141.218.60.56/~jnz1568/getInfo.php?workbook=12_05.xlsx&amp;sheet=U0&amp;row=8732&amp;col=7&amp;number=0.0111&amp;sourceID=14","0.0111")</f>
        <v>0.0111</v>
      </c>
    </row>
    <row r="8733" spans="1:7">
      <c r="A8733" s="3"/>
      <c r="B8733" s="3"/>
      <c r="C8733" s="3"/>
      <c r="D8733" s="3"/>
      <c r="E8733" s="3">
        <v>10</v>
      </c>
      <c r="F8733" s="4" t="str">
        <f>HYPERLINK("http://141.218.60.56/~jnz1568/getInfo.php?workbook=12_05.xlsx&amp;sheet=U0&amp;row=8733&amp;col=6&amp;number=3.9&amp;sourceID=14","3.9")</f>
        <v>3.9</v>
      </c>
      <c r="G8733" s="4" t="str">
        <f>HYPERLINK("http://141.218.60.56/~jnz1568/getInfo.php?workbook=12_05.xlsx&amp;sheet=U0&amp;row=8733&amp;col=7&amp;number=0.0111&amp;sourceID=14","0.0111")</f>
        <v>0.0111</v>
      </c>
    </row>
    <row r="8734" spans="1:7">
      <c r="A8734" s="3"/>
      <c r="B8734" s="3"/>
      <c r="C8734" s="3"/>
      <c r="D8734" s="3"/>
      <c r="E8734" s="3">
        <v>11</v>
      </c>
      <c r="F8734" s="4" t="str">
        <f>HYPERLINK("http://141.218.60.56/~jnz1568/getInfo.php?workbook=12_05.xlsx&amp;sheet=U0&amp;row=8734&amp;col=6&amp;number=4&amp;sourceID=14","4")</f>
        <v>4</v>
      </c>
      <c r="G8734" s="4" t="str">
        <f>HYPERLINK("http://141.218.60.56/~jnz1568/getInfo.php?workbook=12_05.xlsx&amp;sheet=U0&amp;row=8734&amp;col=7&amp;number=0.0111&amp;sourceID=14","0.0111")</f>
        <v>0.0111</v>
      </c>
    </row>
    <row r="8735" spans="1:7">
      <c r="A8735" s="3"/>
      <c r="B8735" s="3"/>
      <c r="C8735" s="3"/>
      <c r="D8735" s="3"/>
      <c r="E8735" s="3">
        <v>12</v>
      </c>
      <c r="F8735" s="4" t="str">
        <f>HYPERLINK("http://141.218.60.56/~jnz1568/getInfo.php?workbook=12_05.xlsx&amp;sheet=U0&amp;row=8735&amp;col=6&amp;number=4.1&amp;sourceID=14","4.1")</f>
        <v>4.1</v>
      </c>
      <c r="G8735" s="4" t="str">
        <f>HYPERLINK("http://141.218.60.56/~jnz1568/getInfo.php?workbook=12_05.xlsx&amp;sheet=U0&amp;row=8735&amp;col=7&amp;number=0.011&amp;sourceID=14","0.011")</f>
        <v>0.011</v>
      </c>
    </row>
    <row r="8736" spans="1:7">
      <c r="A8736" s="3"/>
      <c r="B8736" s="3"/>
      <c r="C8736" s="3"/>
      <c r="D8736" s="3"/>
      <c r="E8736" s="3">
        <v>13</v>
      </c>
      <c r="F8736" s="4" t="str">
        <f>HYPERLINK("http://141.218.60.56/~jnz1568/getInfo.php?workbook=12_05.xlsx&amp;sheet=U0&amp;row=8736&amp;col=6&amp;number=4.2&amp;sourceID=14","4.2")</f>
        <v>4.2</v>
      </c>
      <c r="G8736" s="4" t="str">
        <f>HYPERLINK("http://141.218.60.56/~jnz1568/getInfo.php?workbook=12_05.xlsx&amp;sheet=U0&amp;row=8736&amp;col=7&amp;number=0.011&amp;sourceID=14","0.011")</f>
        <v>0.011</v>
      </c>
    </row>
    <row r="8737" spans="1:7">
      <c r="A8737" s="3"/>
      <c r="B8737" s="3"/>
      <c r="C8737" s="3"/>
      <c r="D8737" s="3"/>
      <c r="E8737" s="3">
        <v>14</v>
      </c>
      <c r="F8737" s="4" t="str">
        <f>HYPERLINK("http://141.218.60.56/~jnz1568/getInfo.php?workbook=12_05.xlsx&amp;sheet=U0&amp;row=8737&amp;col=6&amp;number=4.3&amp;sourceID=14","4.3")</f>
        <v>4.3</v>
      </c>
      <c r="G8737" s="4" t="str">
        <f>HYPERLINK("http://141.218.60.56/~jnz1568/getInfo.php?workbook=12_05.xlsx&amp;sheet=U0&amp;row=8737&amp;col=7&amp;number=0.0109&amp;sourceID=14","0.0109")</f>
        <v>0.0109</v>
      </c>
    </row>
    <row r="8738" spans="1:7">
      <c r="A8738" s="3"/>
      <c r="B8738" s="3"/>
      <c r="C8738" s="3"/>
      <c r="D8738" s="3"/>
      <c r="E8738" s="3">
        <v>15</v>
      </c>
      <c r="F8738" s="4" t="str">
        <f>HYPERLINK("http://141.218.60.56/~jnz1568/getInfo.php?workbook=12_05.xlsx&amp;sheet=U0&amp;row=8738&amp;col=6&amp;number=4.4&amp;sourceID=14","4.4")</f>
        <v>4.4</v>
      </c>
      <c r="G8738" s="4" t="str">
        <f>HYPERLINK("http://141.218.60.56/~jnz1568/getInfo.php?workbook=12_05.xlsx&amp;sheet=U0&amp;row=8738&amp;col=7&amp;number=0.0109&amp;sourceID=14","0.0109")</f>
        <v>0.0109</v>
      </c>
    </row>
    <row r="8739" spans="1:7">
      <c r="A8739" s="3"/>
      <c r="B8739" s="3"/>
      <c r="C8739" s="3"/>
      <c r="D8739" s="3"/>
      <c r="E8739" s="3">
        <v>16</v>
      </c>
      <c r="F8739" s="4" t="str">
        <f>HYPERLINK("http://141.218.60.56/~jnz1568/getInfo.php?workbook=12_05.xlsx&amp;sheet=U0&amp;row=8739&amp;col=6&amp;number=4.5&amp;sourceID=14","4.5")</f>
        <v>4.5</v>
      </c>
      <c r="G8739" s="4" t="str">
        <f>HYPERLINK("http://141.218.60.56/~jnz1568/getInfo.php?workbook=12_05.xlsx&amp;sheet=U0&amp;row=8739&amp;col=7&amp;number=0.0108&amp;sourceID=14","0.0108")</f>
        <v>0.0108</v>
      </c>
    </row>
    <row r="8740" spans="1:7">
      <c r="A8740" s="3"/>
      <c r="B8740" s="3"/>
      <c r="C8740" s="3"/>
      <c r="D8740" s="3"/>
      <c r="E8740" s="3">
        <v>17</v>
      </c>
      <c r="F8740" s="4" t="str">
        <f>HYPERLINK("http://141.218.60.56/~jnz1568/getInfo.php?workbook=12_05.xlsx&amp;sheet=U0&amp;row=8740&amp;col=6&amp;number=4.6&amp;sourceID=14","4.6")</f>
        <v>4.6</v>
      </c>
      <c r="G8740" s="4" t="str">
        <f>HYPERLINK("http://141.218.60.56/~jnz1568/getInfo.php?workbook=12_05.xlsx&amp;sheet=U0&amp;row=8740&amp;col=7&amp;number=0.0107&amp;sourceID=14","0.0107")</f>
        <v>0.0107</v>
      </c>
    </row>
    <row r="8741" spans="1:7">
      <c r="A8741" s="3"/>
      <c r="B8741" s="3"/>
      <c r="C8741" s="3"/>
      <c r="D8741" s="3"/>
      <c r="E8741" s="3">
        <v>18</v>
      </c>
      <c r="F8741" s="4" t="str">
        <f>HYPERLINK("http://141.218.60.56/~jnz1568/getInfo.php?workbook=12_05.xlsx&amp;sheet=U0&amp;row=8741&amp;col=6&amp;number=4.7&amp;sourceID=14","4.7")</f>
        <v>4.7</v>
      </c>
      <c r="G8741" s="4" t="str">
        <f>HYPERLINK("http://141.218.60.56/~jnz1568/getInfo.php?workbook=12_05.xlsx&amp;sheet=U0&amp;row=8741&amp;col=7&amp;number=0.0106&amp;sourceID=14","0.0106")</f>
        <v>0.0106</v>
      </c>
    </row>
    <row r="8742" spans="1:7">
      <c r="A8742" s="3"/>
      <c r="B8742" s="3"/>
      <c r="C8742" s="3"/>
      <c r="D8742" s="3"/>
      <c r="E8742" s="3">
        <v>19</v>
      </c>
      <c r="F8742" s="4" t="str">
        <f>HYPERLINK("http://141.218.60.56/~jnz1568/getInfo.php?workbook=12_05.xlsx&amp;sheet=U0&amp;row=8742&amp;col=6&amp;number=4.8&amp;sourceID=14","4.8")</f>
        <v>4.8</v>
      </c>
      <c r="G8742" s="4" t="str">
        <f>HYPERLINK("http://141.218.60.56/~jnz1568/getInfo.php?workbook=12_05.xlsx&amp;sheet=U0&amp;row=8742&amp;col=7&amp;number=0.0104&amp;sourceID=14","0.0104")</f>
        <v>0.0104</v>
      </c>
    </row>
    <row r="8743" spans="1:7">
      <c r="A8743" s="3"/>
      <c r="B8743" s="3"/>
      <c r="C8743" s="3"/>
      <c r="D8743" s="3"/>
      <c r="E8743" s="3">
        <v>20</v>
      </c>
      <c r="F8743" s="4" t="str">
        <f>HYPERLINK("http://141.218.60.56/~jnz1568/getInfo.php?workbook=12_05.xlsx&amp;sheet=U0&amp;row=8743&amp;col=6&amp;number=4.9&amp;sourceID=14","4.9")</f>
        <v>4.9</v>
      </c>
      <c r="G8743" s="4" t="str">
        <f>HYPERLINK("http://141.218.60.56/~jnz1568/getInfo.php?workbook=12_05.xlsx&amp;sheet=U0&amp;row=8743&amp;col=7&amp;number=0.0102&amp;sourceID=14","0.0102")</f>
        <v>0.0102</v>
      </c>
    </row>
    <row r="8744" spans="1:7">
      <c r="A8744" s="3">
        <v>12</v>
      </c>
      <c r="B8744" s="3">
        <v>5</v>
      </c>
      <c r="C8744" s="3">
        <v>3</v>
      </c>
      <c r="D8744" s="3">
        <v>110</v>
      </c>
      <c r="E8744" s="3">
        <v>1</v>
      </c>
      <c r="F8744" s="4" t="str">
        <f>HYPERLINK("http://141.218.60.56/~jnz1568/getInfo.php?workbook=12_05.xlsx&amp;sheet=U0&amp;row=8744&amp;col=6&amp;number=3&amp;sourceID=14","3")</f>
        <v>3</v>
      </c>
      <c r="G8744" s="4" t="str">
        <f>HYPERLINK("http://141.218.60.56/~jnz1568/getInfo.php?workbook=12_05.xlsx&amp;sheet=U0&amp;row=8744&amp;col=7&amp;number=0.00794&amp;sourceID=14","0.00794")</f>
        <v>0.00794</v>
      </c>
    </row>
    <row r="8745" spans="1:7">
      <c r="A8745" s="3"/>
      <c r="B8745" s="3"/>
      <c r="C8745" s="3"/>
      <c r="D8745" s="3"/>
      <c r="E8745" s="3">
        <v>2</v>
      </c>
      <c r="F8745" s="4" t="str">
        <f>HYPERLINK("http://141.218.60.56/~jnz1568/getInfo.php?workbook=12_05.xlsx&amp;sheet=U0&amp;row=8745&amp;col=6&amp;number=3.1&amp;sourceID=14","3.1")</f>
        <v>3.1</v>
      </c>
      <c r="G8745" s="4" t="str">
        <f>HYPERLINK("http://141.218.60.56/~jnz1568/getInfo.php?workbook=12_05.xlsx&amp;sheet=U0&amp;row=8745&amp;col=7&amp;number=0.00794&amp;sourceID=14","0.00794")</f>
        <v>0.00794</v>
      </c>
    </row>
    <row r="8746" spans="1:7">
      <c r="A8746" s="3"/>
      <c r="B8746" s="3"/>
      <c r="C8746" s="3"/>
      <c r="D8746" s="3"/>
      <c r="E8746" s="3">
        <v>3</v>
      </c>
      <c r="F8746" s="4" t="str">
        <f>HYPERLINK("http://141.218.60.56/~jnz1568/getInfo.php?workbook=12_05.xlsx&amp;sheet=U0&amp;row=8746&amp;col=6&amp;number=3.2&amp;sourceID=14","3.2")</f>
        <v>3.2</v>
      </c>
      <c r="G8746" s="4" t="str">
        <f>HYPERLINK("http://141.218.60.56/~jnz1568/getInfo.php?workbook=12_05.xlsx&amp;sheet=U0&amp;row=8746&amp;col=7&amp;number=0.00793&amp;sourceID=14","0.00793")</f>
        <v>0.00793</v>
      </c>
    </row>
    <row r="8747" spans="1:7">
      <c r="A8747" s="3"/>
      <c r="B8747" s="3"/>
      <c r="C8747" s="3"/>
      <c r="D8747" s="3"/>
      <c r="E8747" s="3">
        <v>4</v>
      </c>
      <c r="F8747" s="4" t="str">
        <f>HYPERLINK("http://141.218.60.56/~jnz1568/getInfo.php?workbook=12_05.xlsx&amp;sheet=U0&amp;row=8747&amp;col=6&amp;number=3.3&amp;sourceID=14","3.3")</f>
        <v>3.3</v>
      </c>
      <c r="G8747" s="4" t="str">
        <f>HYPERLINK("http://141.218.60.56/~jnz1568/getInfo.php?workbook=12_05.xlsx&amp;sheet=U0&amp;row=8747&amp;col=7&amp;number=0.00793&amp;sourceID=14","0.00793")</f>
        <v>0.00793</v>
      </c>
    </row>
    <row r="8748" spans="1:7">
      <c r="A8748" s="3"/>
      <c r="B8748" s="3"/>
      <c r="C8748" s="3"/>
      <c r="D8748" s="3"/>
      <c r="E8748" s="3">
        <v>5</v>
      </c>
      <c r="F8748" s="4" t="str">
        <f>HYPERLINK("http://141.218.60.56/~jnz1568/getInfo.php?workbook=12_05.xlsx&amp;sheet=U0&amp;row=8748&amp;col=6&amp;number=3.4&amp;sourceID=14","3.4")</f>
        <v>3.4</v>
      </c>
      <c r="G8748" s="4" t="str">
        <f>HYPERLINK("http://141.218.60.56/~jnz1568/getInfo.php?workbook=12_05.xlsx&amp;sheet=U0&amp;row=8748&amp;col=7&amp;number=0.00792&amp;sourceID=14","0.00792")</f>
        <v>0.00792</v>
      </c>
    </row>
    <row r="8749" spans="1:7">
      <c r="A8749" s="3"/>
      <c r="B8749" s="3"/>
      <c r="C8749" s="3"/>
      <c r="D8749" s="3"/>
      <c r="E8749" s="3">
        <v>6</v>
      </c>
      <c r="F8749" s="4" t="str">
        <f>HYPERLINK("http://141.218.60.56/~jnz1568/getInfo.php?workbook=12_05.xlsx&amp;sheet=U0&amp;row=8749&amp;col=6&amp;number=3.5&amp;sourceID=14","3.5")</f>
        <v>3.5</v>
      </c>
      <c r="G8749" s="4" t="str">
        <f>HYPERLINK("http://141.218.60.56/~jnz1568/getInfo.php?workbook=12_05.xlsx&amp;sheet=U0&amp;row=8749&amp;col=7&amp;number=0.00792&amp;sourceID=14","0.00792")</f>
        <v>0.00792</v>
      </c>
    </row>
    <row r="8750" spans="1:7">
      <c r="A8750" s="3"/>
      <c r="B8750" s="3"/>
      <c r="C8750" s="3"/>
      <c r="D8750" s="3"/>
      <c r="E8750" s="3">
        <v>7</v>
      </c>
      <c r="F8750" s="4" t="str">
        <f>HYPERLINK("http://141.218.60.56/~jnz1568/getInfo.php?workbook=12_05.xlsx&amp;sheet=U0&amp;row=8750&amp;col=6&amp;number=3.6&amp;sourceID=14","3.6")</f>
        <v>3.6</v>
      </c>
      <c r="G8750" s="4" t="str">
        <f>HYPERLINK("http://141.218.60.56/~jnz1568/getInfo.php?workbook=12_05.xlsx&amp;sheet=U0&amp;row=8750&amp;col=7&amp;number=0.00791&amp;sourceID=14","0.00791")</f>
        <v>0.00791</v>
      </c>
    </row>
    <row r="8751" spans="1:7">
      <c r="A8751" s="3"/>
      <c r="B8751" s="3"/>
      <c r="C8751" s="3"/>
      <c r="D8751" s="3"/>
      <c r="E8751" s="3">
        <v>8</v>
      </c>
      <c r="F8751" s="4" t="str">
        <f>HYPERLINK("http://141.218.60.56/~jnz1568/getInfo.php?workbook=12_05.xlsx&amp;sheet=U0&amp;row=8751&amp;col=6&amp;number=3.7&amp;sourceID=14","3.7")</f>
        <v>3.7</v>
      </c>
      <c r="G8751" s="4" t="str">
        <f>HYPERLINK("http://141.218.60.56/~jnz1568/getInfo.php?workbook=12_05.xlsx&amp;sheet=U0&amp;row=8751&amp;col=7&amp;number=0.0079&amp;sourceID=14","0.0079")</f>
        <v>0.0079</v>
      </c>
    </row>
    <row r="8752" spans="1:7">
      <c r="A8752" s="3"/>
      <c r="B8752" s="3"/>
      <c r="C8752" s="3"/>
      <c r="D8752" s="3"/>
      <c r="E8752" s="3">
        <v>9</v>
      </c>
      <c r="F8752" s="4" t="str">
        <f>HYPERLINK("http://141.218.60.56/~jnz1568/getInfo.php?workbook=12_05.xlsx&amp;sheet=U0&amp;row=8752&amp;col=6&amp;number=3.8&amp;sourceID=14","3.8")</f>
        <v>3.8</v>
      </c>
      <c r="G8752" s="4" t="str">
        <f>HYPERLINK("http://141.218.60.56/~jnz1568/getInfo.php?workbook=12_05.xlsx&amp;sheet=U0&amp;row=8752&amp;col=7&amp;number=0.00788&amp;sourceID=14","0.00788")</f>
        <v>0.00788</v>
      </c>
    </row>
    <row r="8753" spans="1:7">
      <c r="A8753" s="3"/>
      <c r="B8753" s="3"/>
      <c r="C8753" s="3"/>
      <c r="D8753" s="3"/>
      <c r="E8753" s="3">
        <v>10</v>
      </c>
      <c r="F8753" s="4" t="str">
        <f>HYPERLINK("http://141.218.60.56/~jnz1568/getInfo.php?workbook=12_05.xlsx&amp;sheet=U0&amp;row=8753&amp;col=6&amp;number=3.9&amp;sourceID=14","3.9")</f>
        <v>3.9</v>
      </c>
      <c r="G8753" s="4" t="str">
        <f>HYPERLINK("http://141.218.60.56/~jnz1568/getInfo.php?workbook=12_05.xlsx&amp;sheet=U0&amp;row=8753&amp;col=7&amp;number=0.00786&amp;sourceID=14","0.00786")</f>
        <v>0.00786</v>
      </c>
    </row>
    <row r="8754" spans="1:7">
      <c r="A8754" s="3"/>
      <c r="B8754" s="3"/>
      <c r="C8754" s="3"/>
      <c r="D8754" s="3"/>
      <c r="E8754" s="3">
        <v>11</v>
      </c>
      <c r="F8754" s="4" t="str">
        <f>HYPERLINK("http://141.218.60.56/~jnz1568/getInfo.php?workbook=12_05.xlsx&amp;sheet=U0&amp;row=8754&amp;col=6&amp;number=4&amp;sourceID=14","4")</f>
        <v>4</v>
      </c>
      <c r="G8754" s="4" t="str">
        <f>HYPERLINK("http://141.218.60.56/~jnz1568/getInfo.php?workbook=12_05.xlsx&amp;sheet=U0&amp;row=8754&amp;col=7&amp;number=0.00784&amp;sourceID=14","0.00784")</f>
        <v>0.00784</v>
      </c>
    </row>
    <row r="8755" spans="1:7">
      <c r="A8755" s="3"/>
      <c r="B8755" s="3"/>
      <c r="C8755" s="3"/>
      <c r="D8755" s="3"/>
      <c r="E8755" s="3">
        <v>12</v>
      </c>
      <c r="F8755" s="4" t="str">
        <f>HYPERLINK("http://141.218.60.56/~jnz1568/getInfo.php?workbook=12_05.xlsx&amp;sheet=U0&amp;row=8755&amp;col=6&amp;number=4.1&amp;sourceID=14","4.1")</f>
        <v>4.1</v>
      </c>
      <c r="G8755" s="4" t="str">
        <f>HYPERLINK("http://141.218.60.56/~jnz1568/getInfo.php?workbook=12_05.xlsx&amp;sheet=U0&amp;row=8755&amp;col=7&amp;number=0.00781&amp;sourceID=14","0.00781")</f>
        <v>0.00781</v>
      </c>
    </row>
    <row r="8756" spans="1:7">
      <c r="A8756" s="3"/>
      <c r="B8756" s="3"/>
      <c r="C8756" s="3"/>
      <c r="D8756" s="3"/>
      <c r="E8756" s="3">
        <v>13</v>
      </c>
      <c r="F8756" s="4" t="str">
        <f>HYPERLINK("http://141.218.60.56/~jnz1568/getInfo.php?workbook=12_05.xlsx&amp;sheet=U0&amp;row=8756&amp;col=6&amp;number=4.2&amp;sourceID=14","4.2")</f>
        <v>4.2</v>
      </c>
      <c r="G8756" s="4" t="str">
        <f>HYPERLINK("http://141.218.60.56/~jnz1568/getInfo.php?workbook=12_05.xlsx&amp;sheet=U0&amp;row=8756&amp;col=7&amp;number=0.00778&amp;sourceID=14","0.00778")</f>
        <v>0.00778</v>
      </c>
    </row>
    <row r="8757" spans="1:7">
      <c r="A8757" s="3"/>
      <c r="B8757" s="3"/>
      <c r="C8757" s="3"/>
      <c r="D8757" s="3"/>
      <c r="E8757" s="3">
        <v>14</v>
      </c>
      <c r="F8757" s="4" t="str">
        <f>HYPERLINK("http://141.218.60.56/~jnz1568/getInfo.php?workbook=12_05.xlsx&amp;sheet=U0&amp;row=8757&amp;col=6&amp;number=4.3&amp;sourceID=14","4.3")</f>
        <v>4.3</v>
      </c>
      <c r="G8757" s="4" t="str">
        <f>HYPERLINK("http://141.218.60.56/~jnz1568/getInfo.php?workbook=12_05.xlsx&amp;sheet=U0&amp;row=8757&amp;col=7&amp;number=0.00774&amp;sourceID=14","0.00774")</f>
        <v>0.00774</v>
      </c>
    </row>
    <row r="8758" spans="1:7">
      <c r="A8758" s="3"/>
      <c r="B8758" s="3"/>
      <c r="C8758" s="3"/>
      <c r="D8758" s="3"/>
      <c r="E8758" s="3">
        <v>15</v>
      </c>
      <c r="F8758" s="4" t="str">
        <f>HYPERLINK("http://141.218.60.56/~jnz1568/getInfo.php?workbook=12_05.xlsx&amp;sheet=U0&amp;row=8758&amp;col=6&amp;number=4.4&amp;sourceID=14","4.4")</f>
        <v>4.4</v>
      </c>
      <c r="G8758" s="4" t="str">
        <f>HYPERLINK("http://141.218.60.56/~jnz1568/getInfo.php?workbook=12_05.xlsx&amp;sheet=U0&amp;row=8758&amp;col=7&amp;number=0.00768&amp;sourceID=14","0.00768")</f>
        <v>0.00768</v>
      </c>
    </row>
    <row r="8759" spans="1:7">
      <c r="A8759" s="3"/>
      <c r="B8759" s="3"/>
      <c r="C8759" s="3"/>
      <c r="D8759" s="3"/>
      <c r="E8759" s="3">
        <v>16</v>
      </c>
      <c r="F8759" s="4" t="str">
        <f>HYPERLINK("http://141.218.60.56/~jnz1568/getInfo.php?workbook=12_05.xlsx&amp;sheet=U0&amp;row=8759&amp;col=6&amp;number=4.5&amp;sourceID=14","4.5")</f>
        <v>4.5</v>
      </c>
      <c r="G8759" s="4" t="str">
        <f>HYPERLINK("http://141.218.60.56/~jnz1568/getInfo.php?workbook=12_05.xlsx&amp;sheet=U0&amp;row=8759&amp;col=7&amp;number=0.00762&amp;sourceID=14","0.00762")</f>
        <v>0.00762</v>
      </c>
    </row>
    <row r="8760" spans="1:7">
      <c r="A8760" s="3"/>
      <c r="B8760" s="3"/>
      <c r="C8760" s="3"/>
      <c r="D8760" s="3"/>
      <c r="E8760" s="3">
        <v>17</v>
      </c>
      <c r="F8760" s="4" t="str">
        <f>HYPERLINK("http://141.218.60.56/~jnz1568/getInfo.php?workbook=12_05.xlsx&amp;sheet=U0&amp;row=8760&amp;col=6&amp;number=4.6&amp;sourceID=14","4.6")</f>
        <v>4.6</v>
      </c>
      <c r="G8760" s="4" t="str">
        <f>HYPERLINK("http://141.218.60.56/~jnz1568/getInfo.php?workbook=12_05.xlsx&amp;sheet=U0&amp;row=8760&amp;col=7&amp;number=0.00753&amp;sourceID=14","0.00753")</f>
        <v>0.00753</v>
      </c>
    </row>
    <row r="8761" spans="1:7">
      <c r="A8761" s="3"/>
      <c r="B8761" s="3"/>
      <c r="C8761" s="3"/>
      <c r="D8761" s="3"/>
      <c r="E8761" s="3">
        <v>18</v>
      </c>
      <c r="F8761" s="4" t="str">
        <f>HYPERLINK("http://141.218.60.56/~jnz1568/getInfo.php?workbook=12_05.xlsx&amp;sheet=U0&amp;row=8761&amp;col=6&amp;number=4.7&amp;sourceID=14","4.7")</f>
        <v>4.7</v>
      </c>
      <c r="G8761" s="4" t="str">
        <f>HYPERLINK("http://141.218.60.56/~jnz1568/getInfo.php?workbook=12_05.xlsx&amp;sheet=U0&amp;row=8761&amp;col=7&amp;number=0.00743&amp;sourceID=14","0.00743")</f>
        <v>0.00743</v>
      </c>
    </row>
    <row r="8762" spans="1:7">
      <c r="A8762" s="3"/>
      <c r="B8762" s="3"/>
      <c r="C8762" s="3"/>
      <c r="D8762" s="3"/>
      <c r="E8762" s="3">
        <v>19</v>
      </c>
      <c r="F8762" s="4" t="str">
        <f>HYPERLINK("http://141.218.60.56/~jnz1568/getInfo.php?workbook=12_05.xlsx&amp;sheet=U0&amp;row=8762&amp;col=6&amp;number=4.8&amp;sourceID=14","4.8")</f>
        <v>4.8</v>
      </c>
      <c r="G8762" s="4" t="str">
        <f>HYPERLINK("http://141.218.60.56/~jnz1568/getInfo.php?workbook=12_05.xlsx&amp;sheet=U0&amp;row=8762&amp;col=7&amp;number=0.0073&amp;sourceID=14","0.0073")</f>
        <v>0.0073</v>
      </c>
    </row>
    <row r="8763" spans="1:7">
      <c r="A8763" s="3"/>
      <c r="B8763" s="3"/>
      <c r="C8763" s="3"/>
      <c r="D8763" s="3"/>
      <c r="E8763" s="3">
        <v>20</v>
      </c>
      <c r="F8763" s="4" t="str">
        <f>HYPERLINK("http://141.218.60.56/~jnz1568/getInfo.php?workbook=12_05.xlsx&amp;sheet=U0&amp;row=8763&amp;col=6&amp;number=4.9&amp;sourceID=14","4.9")</f>
        <v>4.9</v>
      </c>
      <c r="G8763" s="4" t="str">
        <f>HYPERLINK("http://141.218.60.56/~jnz1568/getInfo.php?workbook=12_05.xlsx&amp;sheet=U0&amp;row=8763&amp;col=7&amp;number=0.00715&amp;sourceID=14","0.00715")</f>
        <v>0.00715</v>
      </c>
    </row>
    <row r="8764" spans="1:7">
      <c r="A8764" s="3">
        <v>12</v>
      </c>
      <c r="B8764" s="3">
        <v>5</v>
      </c>
      <c r="C8764" s="3">
        <v>3</v>
      </c>
      <c r="D8764" s="3">
        <v>111</v>
      </c>
      <c r="E8764" s="3">
        <v>1</v>
      </c>
      <c r="F8764" s="4" t="str">
        <f>HYPERLINK("http://141.218.60.56/~jnz1568/getInfo.php?workbook=12_05.xlsx&amp;sheet=U0&amp;row=8764&amp;col=6&amp;number=3&amp;sourceID=14","3")</f>
        <v>3</v>
      </c>
      <c r="G8764" s="4" t="str">
        <f>HYPERLINK("http://141.218.60.56/~jnz1568/getInfo.php?workbook=12_05.xlsx&amp;sheet=U0&amp;row=8764&amp;col=7&amp;number=0.0155&amp;sourceID=14","0.0155")</f>
        <v>0.0155</v>
      </c>
    </row>
    <row r="8765" spans="1:7">
      <c r="A8765" s="3"/>
      <c r="B8765" s="3"/>
      <c r="C8765" s="3"/>
      <c r="D8765" s="3"/>
      <c r="E8765" s="3">
        <v>2</v>
      </c>
      <c r="F8765" s="4" t="str">
        <f>HYPERLINK("http://141.218.60.56/~jnz1568/getInfo.php?workbook=12_05.xlsx&amp;sheet=U0&amp;row=8765&amp;col=6&amp;number=3.1&amp;sourceID=14","3.1")</f>
        <v>3.1</v>
      </c>
      <c r="G8765" s="4" t="str">
        <f>HYPERLINK("http://141.218.60.56/~jnz1568/getInfo.php?workbook=12_05.xlsx&amp;sheet=U0&amp;row=8765&amp;col=7&amp;number=0.0155&amp;sourceID=14","0.0155")</f>
        <v>0.0155</v>
      </c>
    </row>
    <row r="8766" spans="1:7">
      <c r="A8766" s="3"/>
      <c r="B8766" s="3"/>
      <c r="C8766" s="3"/>
      <c r="D8766" s="3"/>
      <c r="E8766" s="3">
        <v>3</v>
      </c>
      <c r="F8766" s="4" t="str">
        <f>HYPERLINK("http://141.218.60.56/~jnz1568/getInfo.php?workbook=12_05.xlsx&amp;sheet=U0&amp;row=8766&amp;col=6&amp;number=3.2&amp;sourceID=14","3.2")</f>
        <v>3.2</v>
      </c>
      <c r="G8766" s="4" t="str">
        <f>HYPERLINK("http://141.218.60.56/~jnz1568/getInfo.php?workbook=12_05.xlsx&amp;sheet=U0&amp;row=8766&amp;col=7&amp;number=0.0155&amp;sourceID=14","0.0155")</f>
        <v>0.0155</v>
      </c>
    </row>
    <row r="8767" spans="1:7">
      <c r="A8767" s="3"/>
      <c r="B8767" s="3"/>
      <c r="C8767" s="3"/>
      <c r="D8767" s="3"/>
      <c r="E8767" s="3">
        <v>4</v>
      </c>
      <c r="F8767" s="4" t="str">
        <f>HYPERLINK("http://141.218.60.56/~jnz1568/getInfo.php?workbook=12_05.xlsx&amp;sheet=U0&amp;row=8767&amp;col=6&amp;number=3.3&amp;sourceID=14","3.3")</f>
        <v>3.3</v>
      </c>
      <c r="G8767" s="4" t="str">
        <f>HYPERLINK("http://141.218.60.56/~jnz1568/getInfo.php?workbook=12_05.xlsx&amp;sheet=U0&amp;row=8767&amp;col=7&amp;number=0.0155&amp;sourceID=14","0.0155")</f>
        <v>0.0155</v>
      </c>
    </row>
    <row r="8768" spans="1:7">
      <c r="A8768" s="3"/>
      <c r="B8768" s="3"/>
      <c r="C8768" s="3"/>
      <c r="D8768" s="3"/>
      <c r="E8768" s="3">
        <v>5</v>
      </c>
      <c r="F8768" s="4" t="str">
        <f>HYPERLINK("http://141.218.60.56/~jnz1568/getInfo.php?workbook=12_05.xlsx&amp;sheet=U0&amp;row=8768&amp;col=6&amp;number=3.4&amp;sourceID=14","3.4")</f>
        <v>3.4</v>
      </c>
      <c r="G8768" s="4" t="str">
        <f>HYPERLINK("http://141.218.60.56/~jnz1568/getInfo.php?workbook=12_05.xlsx&amp;sheet=U0&amp;row=8768&amp;col=7&amp;number=0.0155&amp;sourceID=14","0.0155")</f>
        <v>0.0155</v>
      </c>
    </row>
    <row r="8769" spans="1:7">
      <c r="A8769" s="3"/>
      <c r="B8769" s="3"/>
      <c r="C8769" s="3"/>
      <c r="D8769" s="3"/>
      <c r="E8769" s="3">
        <v>6</v>
      </c>
      <c r="F8769" s="4" t="str">
        <f>HYPERLINK("http://141.218.60.56/~jnz1568/getInfo.php?workbook=12_05.xlsx&amp;sheet=U0&amp;row=8769&amp;col=6&amp;number=3.5&amp;sourceID=14","3.5")</f>
        <v>3.5</v>
      </c>
      <c r="G8769" s="4" t="str">
        <f>HYPERLINK("http://141.218.60.56/~jnz1568/getInfo.php?workbook=12_05.xlsx&amp;sheet=U0&amp;row=8769&amp;col=7&amp;number=0.0155&amp;sourceID=14","0.0155")</f>
        <v>0.0155</v>
      </c>
    </row>
    <row r="8770" spans="1:7">
      <c r="A8770" s="3"/>
      <c r="B8770" s="3"/>
      <c r="C8770" s="3"/>
      <c r="D8770" s="3"/>
      <c r="E8770" s="3">
        <v>7</v>
      </c>
      <c r="F8770" s="4" t="str">
        <f>HYPERLINK("http://141.218.60.56/~jnz1568/getInfo.php?workbook=12_05.xlsx&amp;sheet=U0&amp;row=8770&amp;col=6&amp;number=3.6&amp;sourceID=14","3.6")</f>
        <v>3.6</v>
      </c>
      <c r="G8770" s="4" t="str">
        <f>HYPERLINK("http://141.218.60.56/~jnz1568/getInfo.php?workbook=12_05.xlsx&amp;sheet=U0&amp;row=8770&amp;col=7&amp;number=0.0155&amp;sourceID=14","0.0155")</f>
        <v>0.0155</v>
      </c>
    </row>
    <row r="8771" spans="1:7">
      <c r="A8771" s="3"/>
      <c r="B8771" s="3"/>
      <c r="C8771" s="3"/>
      <c r="D8771" s="3"/>
      <c r="E8771" s="3">
        <v>8</v>
      </c>
      <c r="F8771" s="4" t="str">
        <f>HYPERLINK("http://141.218.60.56/~jnz1568/getInfo.php?workbook=12_05.xlsx&amp;sheet=U0&amp;row=8771&amp;col=6&amp;number=3.7&amp;sourceID=14","3.7")</f>
        <v>3.7</v>
      </c>
      <c r="G8771" s="4" t="str">
        <f>HYPERLINK("http://141.218.60.56/~jnz1568/getInfo.php?workbook=12_05.xlsx&amp;sheet=U0&amp;row=8771&amp;col=7&amp;number=0.0154&amp;sourceID=14","0.0154")</f>
        <v>0.0154</v>
      </c>
    </row>
    <row r="8772" spans="1:7">
      <c r="A8772" s="3"/>
      <c r="B8772" s="3"/>
      <c r="C8772" s="3"/>
      <c r="D8772" s="3"/>
      <c r="E8772" s="3">
        <v>9</v>
      </c>
      <c r="F8772" s="4" t="str">
        <f>HYPERLINK("http://141.218.60.56/~jnz1568/getInfo.php?workbook=12_05.xlsx&amp;sheet=U0&amp;row=8772&amp;col=6&amp;number=3.8&amp;sourceID=14","3.8")</f>
        <v>3.8</v>
      </c>
      <c r="G8772" s="4" t="str">
        <f>HYPERLINK("http://141.218.60.56/~jnz1568/getInfo.php?workbook=12_05.xlsx&amp;sheet=U0&amp;row=8772&amp;col=7&amp;number=0.0154&amp;sourceID=14","0.0154")</f>
        <v>0.0154</v>
      </c>
    </row>
    <row r="8773" spans="1:7">
      <c r="A8773" s="3"/>
      <c r="B8773" s="3"/>
      <c r="C8773" s="3"/>
      <c r="D8773" s="3"/>
      <c r="E8773" s="3">
        <v>10</v>
      </c>
      <c r="F8773" s="4" t="str">
        <f>HYPERLINK("http://141.218.60.56/~jnz1568/getInfo.php?workbook=12_05.xlsx&amp;sheet=U0&amp;row=8773&amp;col=6&amp;number=3.9&amp;sourceID=14","3.9")</f>
        <v>3.9</v>
      </c>
      <c r="G8773" s="4" t="str">
        <f>HYPERLINK("http://141.218.60.56/~jnz1568/getInfo.php?workbook=12_05.xlsx&amp;sheet=U0&amp;row=8773&amp;col=7&amp;number=0.0154&amp;sourceID=14","0.0154")</f>
        <v>0.0154</v>
      </c>
    </row>
    <row r="8774" spans="1:7">
      <c r="A8774" s="3"/>
      <c r="B8774" s="3"/>
      <c r="C8774" s="3"/>
      <c r="D8774" s="3"/>
      <c r="E8774" s="3">
        <v>11</v>
      </c>
      <c r="F8774" s="4" t="str">
        <f>HYPERLINK("http://141.218.60.56/~jnz1568/getInfo.php?workbook=12_05.xlsx&amp;sheet=U0&amp;row=8774&amp;col=6&amp;number=4&amp;sourceID=14","4")</f>
        <v>4</v>
      </c>
      <c r="G8774" s="4" t="str">
        <f>HYPERLINK("http://141.218.60.56/~jnz1568/getInfo.php?workbook=12_05.xlsx&amp;sheet=U0&amp;row=8774&amp;col=7&amp;number=0.0153&amp;sourceID=14","0.0153")</f>
        <v>0.0153</v>
      </c>
    </row>
    <row r="8775" spans="1:7">
      <c r="A8775" s="3"/>
      <c r="B8775" s="3"/>
      <c r="C8775" s="3"/>
      <c r="D8775" s="3"/>
      <c r="E8775" s="3">
        <v>12</v>
      </c>
      <c r="F8775" s="4" t="str">
        <f>HYPERLINK("http://141.218.60.56/~jnz1568/getInfo.php?workbook=12_05.xlsx&amp;sheet=U0&amp;row=8775&amp;col=6&amp;number=4.1&amp;sourceID=14","4.1")</f>
        <v>4.1</v>
      </c>
      <c r="G8775" s="4" t="str">
        <f>HYPERLINK("http://141.218.60.56/~jnz1568/getInfo.php?workbook=12_05.xlsx&amp;sheet=U0&amp;row=8775&amp;col=7&amp;number=0.0153&amp;sourceID=14","0.0153")</f>
        <v>0.0153</v>
      </c>
    </row>
    <row r="8776" spans="1:7">
      <c r="A8776" s="3"/>
      <c r="B8776" s="3"/>
      <c r="C8776" s="3"/>
      <c r="D8776" s="3"/>
      <c r="E8776" s="3">
        <v>13</v>
      </c>
      <c r="F8776" s="4" t="str">
        <f>HYPERLINK("http://141.218.60.56/~jnz1568/getInfo.php?workbook=12_05.xlsx&amp;sheet=U0&amp;row=8776&amp;col=6&amp;number=4.2&amp;sourceID=14","4.2")</f>
        <v>4.2</v>
      </c>
      <c r="G8776" s="4" t="str">
        <f>HYPERLINK("http://141.218.60.56/~jnz1568/getInfo.php?workbook=12_05.xlsx&amp;sheet=U0&amp;row=8776&amp;col=7&amp;number=0.0152&amp;sourceID=14","0.0152")</f>
        <v>0.0152</v>
      </c>
    </row>
    <row r="8777" spans="1:7">
      <c r="A8777" s="3"/>
      <c r="B8777" s="3"/>
      <c r="C8777" s="3"/>
      <c r="D8777" s="3"/>
      <c r="E8777" s="3">
        <v>14</v>
      </c>
      <c r="F8777" s="4" t="str">
        <f>HYPERLINK("http://141.218.60.56/~jnz1568/getInfo.php?workbook=12_05.xlsx&amp;sheet=U0&amp;row=8777&amp;col=6&amp;number=4.3&amp;sourceID=14","4.3")</f>
        <v>4.3</v>
      </c>
      <c r="G8777" s="4" t="str">
        <f>HYPERLINK("http://141.218.60.56/~jnz1568/getInfo.php?workbook=12_05.xlsx&amp;sheet=U0&amp;row=8777&amp;col=7&amp;number=0.0152&amp;sourceID=14","0.0152")</f>
        <v>0.0152</v>
      </c>
    </row>
    <row r="8778" spans="1:7">
      <c r="A8778" s="3"/>
      <c r="B8778" s="3"/>
      <c r="C8778" s="3"/>
      <c r="D8778" s="3"/>
      <c r="E8778" s="3">
        <v>15</v>
      </c>
      <c r="F8778" s="4" t="str">
        <f>HYPERLINK("http://141.218.60.56/~jnz1568/getInfo.php?workbook=12_05.xlsx&amp;sheet=U0&amp;row=8778&amp;col=6&amp;number=4.4&amp;sourceID=14","4.4")</f>
        <v>4.4</v>
      </c>
      <c r="G8778" s="4" t="str">
        <f>HYPERLINK("http://141.218.60.56/~jnz1568/getInfo.php?workbook=12_05.xlsx&amp;sheet=U0&amp;row=8778&amp;col=7&amp;number=0.0151&amp;sourceID=14","0.0151")</f>
        <v>0.0151</v>
      </c>
    </row>
    <row r="8779" spans="1:7">
      <c r="A8779" s="3"/>
      <c r="B8779" s="3"/>
      <c r="C8779" s="3"/>
      <c r="D8779" s="3"/>
      <c r="E8779" s="3">
        <v>16</v>
      </c>
      <c r="F8779" s="4" t="str">
        <f>HYPERLINK("http://141.218.60.56/~jnz1568/getInfo.php?workbook=12_05.xlsx&amp;sheet=U0&amp;row=8779&amp;col=6&amp;number=4.5&amp;sourceID=14","4.5")</f>
        <v>4.5</v>
      </c>
      <c r="G8779" s="4" t="str">
        <f>HYPERLINK("http://141.218.60.56/~jnz1568/getInfo.php?workbook=12_05.xlsx&amp;sheet=U0&amp;row=8779&amp;col=7&amp;number=0.0149&amp;sourceID=14","0.0149")</f>
        <v>0.0149</v>
      </c>
    </row>
    <row r="8780" spans="1:7">
      <c r="A8780" s="3"/>
      <c r="B8780" s="3"/>
      <c r="C8780" s="3"/>
      <c r="D8780" s="3"/>
      <c r="E8780" s="3">
        <v>17</v>
      </c>
      <c r="F8780" s="4" t="str">
        <f>HYPERLINK("http://141.218.60.56/~jnz1568/getInfo.php?workbook=12_05.xlsx&amp;sheet=U0&amp;row=8780&amp;col=6&amp;number=4.6&amp;sourceID=14","4.6")</f>
        <v>4.6</v>
      </c>
      <c r="G8780" s="4" t="str">
        <f>HYPERLINK("http://141.218.60.56/~jnz1568/getInfo.php?workbook=12_05.xlsx&amp;sheet=U0&amp;row=8780&amp;col=7&amp;number=0.0148&amp;sourceID=14","0.0148")</f>
        <v>0.0148</v>
      </c>
    </row>
    <row r="8781" spans="1:7">
      <c r="A8781" s="3"/>
      <c r="B8781" s="3"/>
      <c r="C8781" s="3"/>
      <c r="D8781" s="3"/>
      <c r="E8781" s="3">
        <v>18</v>
      </c>
      <c r="F8781" s="4" t="str">
        <f>HYPERLINK("http://141.218.60.56/~jnz1568/getInfo.php?workbook=12_05.xlsx&amp;sheet=U0&amp;row=8781&amp;col=6&amp;number=4.7&amp;sourceID=14","4.7")</f>
        <v>4.7</v>
      </c>
      <c r="G8781" s="4" t="str">
        <f>HYPERLINK("http://141.218.60.56/~jnz1568/getInfo.php?workbook=12_05.xlsx&amp;sheet=U0&amp;row=8781&amp;col=7&amp;number=0.0146&amp;sourceID=14","0.0146")</f>
        <v>0.0146</v>
      </c>
    </row>
    <row r="8782" spans="1:7">
      <c r="A8782" s="3"/>
      <c r="B8782" s="3"/>
      <c r="C8782" s="3"/>
      <c r="D8782" s="3"/>
      <c r="E8782" s="3">
        <v>19</v>
      </c>
      <c r="F8782" s="4" t="str">
        <f>HYPERLINK("http://141.218.60.56/~jnz1568/getInfo.php?workbook=12_05.xlsx&amp;sheet=U0&amp;row=8782&amp;col=6&amp;number=4.8&amp;sourceID=14","4.8")</f>
        <v>4.8</v>
      </c>
      <c r="G8782" s="4" t="str">
        <f>HYPERLINK("http://141.218.60.56/~jnz1568/getInfo.php?workbook=12_05.xlsx&amp;sheet=U0&amp;row=8782&amp;col=7&amp;number=0.0144&amp;sourceID=14","0.0144")</f>
        <v>0.0144</v>
      </c>
    </row>
    <row r="8783" spans="1:7">
      <c r="A8783" s="3"/>
      <c r="B8783" s="3"/>
      <c r="C8783" s="3"/>
      <c r="D8783" s="3"/>
      <c r="E8783" s="3">
        <v>20</v>
      </c>
      <c r="F8783" s="4" t="str">
        <f>HYPERLINK("http://141.218.60.56/~jnz1568/getInfo.php?workbook=12_05.xlsx&amp;sheet=U0&amp;row=8783&amp;col=6&amp;number=4.9&amp;sourceID=14","4.9")</f>
        <v>4.9</v>
      </c>
      <c r="G8783" s="4" t="str">
        <f>HYPERLINK("http://141.218.60.56/~jnz1568/getInfo.php?workbook=12_05.xlsx&amp;sheet=U0&amp;row=8783&amp;col=7&amp;number=0.0141&amp;sourceID=14","0.0141")</f>
        <v>0.0141</v>
      </c>
    </row>
    <row r="8784" spans="1:7">
      <c r="A8784" s="3">
        <v>12</v>
      </c>
      <c r="B8784" s="3">
        <v>5</v>
      </c>
      <c r="C8784" s="3">
        <v>3</v>
      </c>
      <c r="D8784" s="3">
        <v>112</v>
      </c>
      <c r="E8784" s="3">
        <v>1</v>
      </c>
      <c r="F8784" s="4" t="str">
        <f>HYPERLINK("http://141.218.60.56/~jnz1568/getInfo.php?workbook=12_05.xlsx&amp;sheet=U0&amp;row=8784&amp;col=6&amp;number=3&amp;sourceID=14","3")</f>
        <v>3</v>
      </c>
      <c r="G8784" s="4" t="str">
        <f>HYPERLINK("http://141.218.60.56/~jnz1568/getInfo.php?workbook=12_05.xlsx&amp;sheet=U0&amp;row=8784&amp;col=7&amp;number=0.000164&amp;sourceID=14","0.000164")</f>
        <v>0.000164</v>
      </c>
    </row>
    <row r="8785" spans="1:7">
      <c r="A8785" s="3"/>
      <c r="B8785" s="3"/>
      <c r="C8785" s="3"/>
      <c r="D8785" s="3"/>
      <c r="E8785" s="3">
        <v>2</v>
      </c>
      <c r="F8785" s="4" t="str">
        <f>HYPERLINK("http://141.218.60.56/~jnz1568/getInfo.php?workbook=12_05.xlsx&amp;sheet=U0&amp;row=8785&amp;col=6&amp;number=3.1&amp;sourceID=14","3.1")</f>
        <v>3.1</v>
      </c>
      <c r="G8785" s="4" t="str">
        <f>HYPERLINK("http://141.218.60.56/~jnz1568/getInfo.php?workbook=12_05.xlsx&amp;sheet=U0&amp;row=8785&amp;col=7&amp;number=0.000164&amp;sourceID=14","0.000164")</f>
        <v>0.000164</v>
      </c>
    </row>
    <row r="8786" spans="1:7">
      <c r="A8786" s="3"/>
      <c r="B8786" s="3"/>
      <c r="C8786" s="3"/>
      <c r="D8786" s="3"/>
      <c r="E8786" s="3">
        <v>3</v>
      </c>
      <c r="F8786" s="4" t="str">
        <f>HYPERLINK("http://141.218.60.56/~jnz1568/getInfo.php?workbook=12_05.xlsx&amp;sheet=U0&amp;row=8786&amp;col=6&amp;number=3.2&amp;sourceID=14","3.2")</f>
        <v>3.2</v>
      </c>
      <c r="G8786" s="4" t="str">
        <f>HYPERLINK("http://141.218.60.56/~jnz1568/getInfo.php?workbook=12_05.xlsx&amp;sheet=U0&amp;row=8786&amp;col=7&amp;number=0.000164&amp;sourceID=14","0.000164")</f>
        <v>0.000164</v>
      </c>
    </row>
    <row r="8787" spans="1:7">
      <c r="A8787" s="3"/>
      <c r="B8787" s="3"/>
      <c r="C8787" s="3"/>
      <c r="D8787" s="3"/>
      <c r="E8787" s="3">
        <v>4</v>
      </c>
      <c r="F8787" s="4" t="str">
        <f>HYPERLINK("http://141.218.60.56/~jnz1568/getInfo.php?workbook=12_05.xlsx&amp;sheet=U0&amp;row=8787&amp;col=6&amp;number=3.3&amp;sourceID=14","3.3")</f>
        <v>3.3</v>
      </c>
      <c r="G8787" s="4" t="str">
        <f>HYPERLINK("http://141.218.60.56/~jnz1568/getInfo.php?workbook=12_05.xlsx&amp;sheet=U0&amp;row=8787&amp;col=7&amp;number=0.000164&amp;sourceID=14","0.000164")</f>
        <v>0.000164</v>
      </c>
    </row>
    <row r="8788" spans="1:7">
      <c r="A8788" s="3"/>
      <c r="B8788" s="3"/>
      <c r="C8788" s="3"/>
      <c r="D8788" s="3"/>
      <c r="E8788" s="3">
        <v>5</v>
      </c>
      <c r="F8788" s="4" t="str">
        <f>HYPERLINK("http://141.218.60.56/~jnz1568/getInfo.php?workbook=12_05.xlsx&amp;sheet=U0&amp;row=8788&amp;col=6&amp;number=3.4&amp;sourceID=14","3.4")</f>
        <v>3.4</v>
      </c>
      <c r="G8788" s="4" t="str">
        <f>HYPERLINK("http://141.218.60.56/~jnz1568/getInfo.php?workbook=12_05.xlsx&amp;sheet=U0&amp;row=8788&amp;col=7&amp;number=0.000164&amp;sourceID=14","0.000164")</f>
        <v>0.000164</v>
      </c>
    </row>
    <row r="8789" spans="1:7">
      <c r="A8789" s="3"/>
      <c r="B8789" s="3"/>
      <c r="C8789" s="3"/>
      <c r="D8789" s="3"/>
      <c r="E8789" s="3">
        <v>6</v>
      </c>
      <c r="F8789" s="4" t="str">
        <f>HYPERLINK("http://141.218.60.56/~jnz1568/getInfo.php?workbook=12_05.xlsx&amp;sheet=U0&amp;row=8789&amp;col=6&amp;number=3.5&amp;sourceID=14","3.5")</f>
        <v>3.5</v>
      </c>
      <c r="G8789" s="4" t="str">
        <f>HYPERLINK("http://141.218.60.56/~jnz1568/getInfo.php?workbook=12_05.xlsx&amp;sheet=U0&amp;row=8789&amp;col=7&amp;number=0.000164&amp;sourceID=14","0.000164")</f>
        <v>0.000164</v>
      </c>
    </row>
    <row r="8790" spans="1:7">
      <c r="A8790" s="3"/>
      <c r="B8790" s="3"/>
      <c r="C8790" s="3"/>
      <c r="D8790" s="3"/>
      <c r="E8790" s="3">
        <v>7</v>
      </c>
      <c r="F8790" s="4" t="str">
        <f>HYPERLINK("http://141.218.60.56/~jnz1568/getInfo.php?workbook=12_05.xlsx&amp;sheet=U0&amp;row=8790&amp;col=6&amp;number=3.6&amp;sourceID=14","3.6")</f>
        <v>3.6</v>
      </c>
      <c r="G8790" s="4" t="str">
        <f>HYPERLINK("http://141.218.60.56/~jnz1568/getInfo.php?workbook=12_05.xlsx&amp;sheet=U0&amp;row=8790&amp;col=7&amp;number=0.000164&amp;sourceID=14","0.000164")</f>
        <v>0.000164</v>
      </c>
    </row>
    <row r="8791" spans="1:7">
      <c r="A8791" s="3"/>
      <c r="B8791" s="3"/>
      <c r="C8791" s="3"/>
      <c r="D8791" s="3"/>
      <c r="E8791" s="3">
        <v>8</v>
      </c>
      <c r="F8791" s="4" t="str">
        <f>HYPERLINK("http://141.218.60.56/~jnz1568/getInfo.php?workbook=12_05.xlsx&amp;sheet=U0&amp;row=8791&amp;col=6&amp;number=3.7&amp;sourceID=14","3.7")</f>
        <v>3.7</v>
      </c>
      <c r="G8791" s="4" t="str">
        <f>HYPERLINK("http://141.218.60.56/~jnz1568/getInfo.php?workbook=12_05.xlsx&amp;sheet=U0&amp;row=8791&amp;col=7&amp;number=0.000163&amp;sourceID=14","0.000163")</f>
        <v>0.000163</v>
      </c>
    </row>
    <row r="8792" spans="1:7">
      <c r="A8792" s="3"/>
      <c r="B8792" s="3"/>
      <c r="C8792" s="3"/>
      <c r="D8792" s="3"/>
      <c r="E8792" s="3">
        <v>9</v>
      </c>
      <c r="F8792" s="4" t="str">
        <f>HYPERLINK("http://141.218.60.56/~jnz1568/getInfo.php?workbook=12_05.xlsx&amp;sheet=U0&amp;row=8792&amp;col=6&amp;number=3.8&amp;sourceID=14","3.8")</f>
        <v>3.8</v>
      </c>
      <c r="G8792" s="4" t="str">
        <f>HYPERLINK("http://141.218.60.56/~jnz1568/getInfo.php?workbook=12_05.xlsx&amp;sheet=U0&amp;row=8792&amp;col=7&amp;number=0.000163&amp;sourceID=14","0.000163")</f>
        <v>0.000163</v>
      </c>
    </row>
    <row r="8793" spans="1:7">
      <c r="A8793" s="3"/>
      <c r="B8793" s="3"/>
      <c r="C8793" s="3"/>
      <c r="D8793" s="3"/>
      <c r="E8793" s="3">
        <v>10</v>
      </c>
      <c r="F8793" s="4" t="str">
        <f>HYPERLINK("http://141.218.60.56/~jnz1568/getInfo.php?workbook=12_05.xlsx&amp;sheet=U0&amp;row=8793&amp;col=6&amp;number=3.9&amp;sourceID=14","3.9")</f>
        <v>3.9</v>
      </c>
      <c r="G8793" s="4" t="str">
        <f>HYPERLINK("http://141.218.60.56/~jnz1568/getInfo.php?workbook=12_05.xlsx&amp;sheet=U0&amp;row=8793&amp;col=7&amp;number=0.000163&amp;sourceID=14","0.000163")</f>
        <v>0.000163</v>
      </c>
    </row>
    <row r="8794" spans="1:7">
      <c r="A8794" s="3"/>
      <c r="B8794" s="3"/>
      <c r="C8794" s="3"/>
      <c r="D8794" s="3"/>
      <c r="E8794" s="3">
        <v>11</v>
      </c>
      <c r="F8794" s="4" t="str">
        <f>HYPERLINK("http://141.218.60.56/~jnz1568/getInfo.php?workbook=12_05.xlsx&amp;sheet=U0&amp;row=8794&amp;col=6&amp;number=4&amp;sourceID=14","4")</f>
        <v>4</v>
      </c>
      <c r="G8794" s="4" t="str">
        <f>HYPERLINK("http://141.218.60.56/~jnz1568/getInfo.php?workbook=12_05.xlsx&amp;sheet=U0&amp;row=8794&amp;col=7&amp;number=0.000162&amp;sourceID=14","0.000162")</f>
        <v>0.000162</v>
      </c>
    </row>
    <row r="8795" spans="1:7">
      <c r="A8795" s="3"/>
      <c r="B8795" s="3"/>
      <c r="C8795" s="3"/>
      <c r="D8795" s="3"/>
      <c r="E8795" s="3">
        <v>12</v>
      </c>
      <c r="F8795" s="4" t="str">
        <f>HYPERLINK("http://141.218.60.56/~jnz1568/getInfo.php?workbook=12_05.xlsx&amp;sheet=U0&amp;row=8795&amp;col=6&amp;number=4.1&amp;sourceID=14","4.1")</f>
        <v>4.1</v>
      </c>
      <c r="G8795" s="4" t="str">
        <f>HYPERLINK("http://141.218.60.56/~jnz1568/getInfo.php?workbook=12_05.xlsx&amp;sheet=U0&amp;row=8795&amp;col=7&amp;number=0.000162&amp;sourceID=14","0.000162")</f>
        <v>0.000162</v>
      </c>
    </row>
    <row r="8796" spans="1:7">
      <c r="A8796" s="3"/>
      <c r="B8796" s="3"/>
      <c r="C8796" s="3"/>
      <c r="D8796" s="3"/>
      <c r="E8796" s="3">
        <v>13</v>
      </c>
      <c r="F8796" s="4" t="str">
        <f>HYPERLINK("http://141.218.60.56/~jnz1568/getInfo.php?workbook=12_05.xlsx&amp;sheet=U0&amp;row=8796&amp;col=6&amp;number=4.2&amp;sourceID=14","4.2")</f>
        <v>4.2</v>
      </c>
      <c r="G8796" s="4" t="str">
        <f>HYPERLINK("http://141.218.60.56/~jnz1568/getInfo.php?workbook=12_05.xlsx&amp;sheet=U0&amp;row=8796&amp;col=7&amp;number=0.000161&amp;sourceID=14","0.000161")</f>
        <v>0.000161</v>
      </c>
    </row>
    <row r="8797" spans="1:7">
      <c r="A8797" s="3"/>
      <c r="B8797" s="3"/>
      <c r="C8797" s="3"/>
      <c r="D8797" s="3"/>
      <c r="E8797" s="3">
        <v>14</v>
      </c>
      <c r="F8797" s="4" t="str">
        <f>HYPERLINK("http://141.218.60.56/~jnz1568/getInfo.php?workbook=12_05.xlsx&amp;sheet=U0&amp;row=8797&amp;col=6&amp;number=4.3&amp;sourceID=14","4.3")</f>
        <v>4.3</v>
      </c>
      <c r="G8797" s="4" t="str">
        <f>HYPERLINK("http://141.218.60.56/~jnz1568/getInfo.php?workbook=12_05.xlsx&amp;sheet=U0&amp;row=8797&amp;col=7&amp;number=0.000161&amp;sourceID=14","0.000161")</f>
        <v>0.000161</v>
      </c>
    </row>
    <row r="8798" spans="1:7">
      <c r="A8798" s="3"/>
      <c r="B8798" s="3"/>
      <c r="C8798" s="3"/>
      <c r="D8798" s="3"/>
      <c r="E8798" s="3">
        <v>15</v>
      </c>
      <c r="F8798" s="4" t="str">
        <f>HYPERLINK("http://141.218.60.56/~jnz1568/getInfo.php?workbook=12_05.xlsx&amp;sheet=U0&amp;row=8798&amp;col=6&amp;number=4.4&amp;sourceID=14","4.4")</f>
        <v>4.4</v>
      </c>
      <c r="G8798" s="4" t="str">
        <f>HYPERLINK("http://141.218.60.56/~jnz1568/getInfo.php?workbook=12_05.xlsx&amp;sheet=U0&amp;row=8798&amp;col=7&amp;number=0.00016&amp;sourceID=14","0.00016")</f>
        <v>0.00016</v>
      </c>
    </row>
    <row r="8799" spans="1:7">
      <c r="A8799" s="3"/>
      <c r="B8799" s="3"/>
      <c r="C8799" s="3"/>
      <c r="D8799" s="3"/>
      <c r="E8799" s="3">
        <v>16</v>
      </c>
      <c r="F8799" s="4" t="str">
        <f>HYPERLINK("http://141.218.60.56/~jnz1568/getInfo.php?workbook=12_05.xlsx&amp;sheet=U0&amp;row=8799&amp;col=6&amp;number=4.5&amp;sourceID=14","4.5")</f>
        <v>4.5</v>
      </c>
      <c r="G8799" s="4" t="str">
        <f>HYPERLINK("http://141.218.60.56/~jnz1568/getInfo.php?workbook=12_05.xlsx&amp;sheet=U0&amp;row=8799&amp;col=7&amp;number=0.000158&amp;sourceID=14","0.000158")</f>
        <v>0.000158</v>
      </c>
    </row>
    <row r="8800" spans="1:7">
      <c r="A8800" s="3"/>
      <c r="B8800" s="3"/>
      <c r="C8800" s="3"/>
      <c r="D8800" s="3"/>
      <c r="E8800" s="3">
        <v>17</v>
      </c>
      <c r="F8800" s="4" t="str">
        <f>HYPERLINK("http://141.218.60.56/~jnz1568/getInfo.php?workbook=12_05.xlsx&amp;sheet=U0&amp;row=8800&amp;col=6&amp;number=4.6&amp;sourceID=14","4.6")</f>
        <v>4.6</v>
      </c>
      <c r="G8800" s="4" t="str">
        <f>HYPERLINK("http://141.218.60.56/~jnz1568/getInfo.php?workbook=12_05.xlsx&amp;sheet=U0&amp;row=8800&amp;col=7&amp;number=0.000157&amp;sourceID=14","0.000157")</f>
        <v>0.000157</v>
      </c>
    </row>
    <row r="8801" spans="1:7">
      <c r="A8801" s="3"/>
      <c r="B8801" s="3"/>
      <c r="C8801" s="3"/>
      <c r="D8801" s="3"/>
      <c r="E8801" s="3">
        <v>18</v>
      </c>
      <c r="F8801" s="4" t="str">
        <f>HYPERLINK("http://141.218.60.56/~jnz1568/getInfo.php?workbook=12_05.xlsx&amp;sheet=U0&amp;row=8801&amp;col=6&amp;number=4.7&amp;sourceID=14","4.7")</f>
        <v>4.7</v>
      </c>
      <c r="G8801" s="4" t="str">
        <f>HYPERLINK("http://141.218.60.56/~jnz1568/getInfo.php?workbook=12_05.xlsx&amp;sheet=U0&amp;row=8801&amp;col=7&amp;number=0.000155&amp;sourceID=14","0.000155")</f>
        <v>0.000155</v>
      </c>
    </row>
    <row r="8802" spans="1:7">
      <c r="A8802" s="3"/>
      <c r="B8802" s="3"/>
      <c r="C8802" s="3"/>
      <c r="D8802" s="3"/>
      <c r="E8802" s="3">
        <v>19</v>
      </c>
      <c r="F8802" s="4" t="str">
        <f>HYPERLINK("http://141.218.60.56/~jnz1568/getInfo.php?workbook=12_05.xlsx&amp;sheet=U0&amp;row=8802&amp;col=6&amp;number=4.8&amp;sourceID=14","4.8")</f>
        <v>4.8</v>
      </c>
      <c r="G8802" s="4" t="str">
        <f>HYPERLINK("http://141.218.60.56/~jnz1568/getInfo.php?workbook=12_05.xlsx&amp;sheet=U0&amp;row=8802&amp;col=7&amp;number=0.000152&amp;sourceID=14","0.000152")</f>
        <v>0.000152</v>
      </c>
    </row>
    <row r="8803" spans="1:7">
      <c r="A8803" s="3"/>
      <c r="B8803" s="3"/>
      <c r="C8803" s="3"/>
      <c r="D8803" s="3"/>
      <c r="E8803" s="3">
        <v>20</v>
      </c>
      <c r="F8803" s="4" t="str">
        <f>HYPERLINK("http://141.218.60.56/~jnz1568/getInfo.php?workbook=12_05.xlsx&amp;sheet=U0&amp;row=8803&amp;col=6&amp;number=4.9&amp;sourceID=14","4.9")</f>
        <v>4.9</v>
      </c>
      <c r="G8803" s="4" t="str">
        <f>HYPERLINK("http://141.218.60.56/~jnz1568/getInfo.php?workbook=12_05.xlsx&amp;sheet=U0&amp;row=8803&amp;col=7&amp;number=0.00015&amp;sourceID=14","0.00015")</f>
        <v>0.00015</v>
      </c>
    </row>
    <row r="8804" spans="1:7">
      <c r="A8804" s="3">
        <v>12</v>
      </c>
      <c r="B8804" s="3">
        <v>5</v>
      </c>
      <c r="C8804" s="3">
        <v>3</v>
      </c>
      <c r="D8804" s="3">
        <v>113</v>
      </c>
      <c r="E8804" s="3">
        <v>1</v>
      </c>
      <c r="F8804" s="4" t="str">
        <f>HYPERLINK("http://141.218.60.56/~jnz1568/getInfo.php?workbook=12_05.xlsx&amp;sheet=U0&amp;row=8804&amp;col=6&amp;number=3&amp;sourceID=14","3")</f>
        <v>3</v>
      </c>
      <c r="G8804" s="4" t="str">
        <f>HYPERLINK("http://141.218.60.56/~jnz1568/getInfo.php?workbook=12_05.xlsx&amp;sheet=U0&amp;row=8804&amp;col=7&amp;number=0.00013&amp;sourceID=14","0.00013")</f>
        <v>0.00013</v>
      </c>
    </row>
    <row r="8805" spans="1:7">
      <c r="A8805" s="3"/>
      <c r="B8805" s="3"/>
      <c r="C8805" s="3"/>
      <c r="D8805" s="3"/>
      <c r="E8805" s="3">
        <v>2</v>
      </c>
      <c r="F8805" s="4" t="str">
        <f>HYPERLINK("http://141.218.60.56/~jnz1568/getInfo.php?workbook=12_05.xlsx&amp;sheet=U0&amp;row=8805&amp;col=6&amp;number=3.1&amp;sourceID=14","3.1")</f>
        <v>3.1</v>
      </c>
      <c r="G8805" s="4" t="str">
        <f>HYPERLINK("http://141.218.60.56/~jnz1568/getInfo.php?workbook=12_05.xlsx&amp;sheet=U0&amp;row=8805&amp;col=7&amp;number=0.00013&amp;sourceID=14","0.00013")</f>
        <v>0.00013</v>
      </c>
    </row>
    <row r="8806" spans="1:7">
      <c r="A8806" s="3"/>
      <c r="B8806" s="3"/>
      <c r="C8806" s="3"/>
      <c r="D8806" s="3"/>
      <c r="E8806" s="3">
        <v>3</v>
      </c>
      <c r="F8806" s="4" t="str">
        <f>HYPERLINK("http://141.218.60.56/~jnz1568/getInfo.php?workbook=12_05.xlsx&amp;sheet=U0&amp;row=8806&amp;col=6&amp;number=3.2&amp;sourceID=14","3.2")</f>
        <v>3.2</v>
      </c>
      <c r="G8806" s="4" t="str">
        <f>HYPERLINK("http://141.218.60.56/~jnz1568/getInfo.php?workbook=12_05.xlsx&amp;sheet=U0&amp;row=8806&amp;col=7&amp;number=0.00013&amp;sourceID=14","0.00013")</f>
        <v>0.00013</v>
      </c>
    </row>
    <row r="8807" spans="1:7">
      <c r="A8807" s="3"/>
      <c r="B8807" s="3"/>
      <c r="C8807" s="3"/>
      <c r="D8807" s="3"/>
      <c r="E8807" s="3">
        <v>4</v>
      </c>
      <c r="F8807" s="4" t="str">
        <f>HYPERLINK("http://141.218.60.56/~jnz1568/getInfo.php?workbook=12_05.xlsx&amp;sheet=U0&amp;row=8807&amp;col=6&amp;number=3.3&amp;sourceID=14","3.3")</f>
        <v>3.3</v>
      </c>
      <c r="G8807" s="4" t="str">
        <f>HYPERLINK("http://141.218.60.56/~jnz1568/getInfo.php?workbook=12_05.xlsx&amp;sheet=U0&amp;row=8807&amp;col=7&amp;number=0.00013&amp;sourceID=14","0.00013")</f>
        <v>0.00013</v>
      </c>
    </row>
    <row r="8808" spans="1:7">
      <c r="A8808" s="3"/>
      <c r="B8808" s="3"/>
      <c r="C8808" s="3"/>
      <c r="D8808" s="3"/>
      <c r="E8808" s="3">
        <v>5</v>
      </c>
      <c r="F8808" s="4" t="str">
        <f>HYPERLINK("http://141.218.60.56/~jnz1568/getInfo.php?workbook=12_05.xlsx&amp;sheet=U0&amp;row=8808&amp;col=6&amp;number=3.4&amp;sourceID=14","3.4")</f>
        <v>3.4</v>
      </c>
      <c r="G8808" s="4" t="str">
        <f>HYPERLINK("http://141.218.60.56/~jnz1568/getInfo.php?workbook=12_05.xlsx&amp;sheet=U0&amp;row=8808&amp;col=7&amp;number=0.00013&amp;sourceID=14","0.00013")</f>
        <v>0.00013</v>
      </c>
    </row>
    <row r="8809" spans="1:7">
      <c r="A8809" s="3"/>
      <c r="B8809" s="3"/>
      <c r="C8809" s="3"/>
      <c r="D8809" s="3"/>
      <c r="E8809" s="3">
        <v>6</v>
      </c>
      <c r="F8809" s="4" t="str">
        <f>HYPERLINK("http://141.218.60.56/~jnz1568/getInfo.php?workbook=12_05.xlsx&amp;sheet=U0&amp;row=8809&amp;col=6&amp;number=3.5&amp;sourceID=14","3.5")</f>
        <v>3.5</v>
      </c>
      <c r="G8809" s="4" t="str">
        <f>HYPERLINK("http://141.218.60.56/~jnz1568/getInfo.php?workbook=12_05.xlsx&amp;sheet=U0&amp;row=8809&amp;col=7&amp;number=0.00013&amp;sourceID=14","0.00013")</f>
        <v>0.00013</v>
      </c>
    </row>
    <row r="8810" spans="1:7">
      <c r="A8810" s="3"/>
      <c r="B8810" s="3"/>
      <c r="C8810" s="3"/>
      <c r="D8810" s="3"/>
      <c r="E8810" s="3">
        <v>7</v>
      </c>
      <c r="F8810" s="4" t="str">
        <f>HYPERLINK("http://141.218.60.56/~jnz1568/getInfo.php?workbook=12_05.xlsx&amp;sheet=U0&amp;row=8810&amp;col=6&amp;number=3.6&amp;sourceID=14","3.6")</f>
        <v>3.6</v>
      </c>
      <c r="G8810" s="4" t="str">
        <f>HYPERLINK("http://141.218.60.56/~jnz1568/getInfo.php?workbook=12_05.xlsx&amp;sheet=U0&amp;row=8810&amp;col=7&amp;number=0.00013&amp;sourceID=14","0.00013")</f>
        <v>0.00013</v>
      </c>
    </row>
    <row r="8811" spans="1:7">
      <c r="A8811" s="3"/>
      <c r="B8811" s="3"/>
      <c r="C8811" s="3"/>
      <c r="D8811" s="3"/>
      <c r="E8811" s="3">
        <v>8</v>
      </c>
      <c r="F8811" s="4" t="str">
        <f>HYPERLINK("http://141.218.60.56/~jnz1568/getInfo.php?workbook=12_05.xlsx&amp;sheet=U0&amp;row=8811&amp;col=6&amp;number=3.7&amp;sourceID=14","3.7")</f>
        <v>3.7</v>
      </c>
      <c r="G8811" s="4" t="str">
        <f>HYPERLINK("http://141.218.60.56/~jnz1568/getInfo.php?workbook=12_05.xlsx&amp;sheet=U0&amp;row=8811&amp;col=7&amp;number=0.00013&amp;sourceID=14","0.00013")</f>
        <v>0.00013</v>
      </c>
    </row>
    <row r="8812" spans="1:7">
      <c r="A8812" s="3"/>
      <c r="B8812" s="3"/>
      <c r="C8812" s="3"/>
      <c r="D8812" s="3"/>
      <c r="E8812" s="3">
        <v>9</v>
      </c>
      <c r="F8812" s="4" t="str">
        <f>HYPERLINK("http://141.218.60.56/~jnz1568/getInfo.php?workbook=12_05.xlsx&amp;sheet=U0&amp;row=8812&amp;col=6&amp;number=3.8&amp;sourceID=14","3.8")</f>
        <v>3.8</v>
      </c>
      <c r="G8812" s="4" t="str">
        <f>HYPERLINK("http://141.218.60.56/~jnz1568/getInfo.php?workbook=12_05.xlsx&amp;sheet=U0&amp;row=8812&amp;col=7&amp;number=0.000129&amp;sourceID=14","0.000129")</f>
        <v>0.000129</v>
      </c>
    </row>
    <row r="8813" spans="1:7">
      <c r="A8813" s="3"/>
      <c r="B8813" s="3"/>
      <c r="C8813" s="3"/>
      <c r="D8813" s="3"/>
      <c r="E8813" s="3">
        <v>10</v>
      </c>
      <c r="F8813" s="4" t="str">
        <f>HYPERLINK("http://141.218.60.56/~jnz1568/getInfo.php?workbook=12_05.xlsx&amp;sheet=U0&amp;row=8813&amp;col=6&amp;number=3.9&amp;sourceID=14","3.9")</f>
        <v>3.9</v>
      </c>
      <c r="G8813" s="4" t="str">
        <f>HYPERLINK("http://141.218.60.56/~jnz1568/getInfo.php?workbook=12_05.xlsx&amp;sheet=U0&amp;row=8813&amp;col=7&amp;number=0.000129&amp;sourceID=14","0.000129")</f>
        <v>0.000129</v>
      </c>
    </row>
    <row r="8814" spans="1:7">
      <c r="A8814" s="3"/>
      <c r="B8814" s="3"/>
      <c r="C8814" s="3"/>
      <c r="D8814" s="3"/>
      <c r="E8814" s="3">
        <v>11</v>
      </c>
      <c r="F8814" s="4" t="str">
        <f>HYPERLINK("http://141.218.60.56/~jnz1568/getInfo.php?workbook=12_05.xlsx&amp;sheet=U0&amp;row=8814&amp;col=6&amp;number=4&amp;sourceID=14","4")</f>
        <v>4</v>
      </c>
      <c r="G8814" s="4" t="str">
        <f>HYPERLINK("http://141.218.60.56/~jnz1568/getInfo.php?workbook=12_05.xlsx&amp;sheet=U0&amp;row=8814&amp;col=7&amp;number=0.000129&amp;sourceID=14","0.000129")</f>
        <v>0.000129</v>
      </c>
    </row>
    <row r="8815" spans="1:7">
      <c r="A8815" s="3"/>
      <c r="B8815" s="3"/>
      <c r="C8815" s="3"/>
      <c r="D8815" s="3"/>
      <c r="E8815" s="3">
        <v>12</v>
      </c>
      <c r="F8815" s="4" t="str">
        <f>HYPERLINK("http://141.218.60.56/~jnz1568/getInfo.php?workbook=12_05.xlsx&amp;sheet=U0&amp;row=8815&amp;col=6&amp;number=4.1&amp;sourceID=14","4.1")</f>
        <v>4.1</v>
      </c>
      <c r="G8815" s="4" t="str">
        <f>HYPERLINK("http://141.218.60.56/~jnz1568/getInfo.php?workbook=12_05.xlsx&amp;sheet=U0&amp;row=8815&amp;col=7&amp;number=0.000128&amp;sourceID=14","0.000128")</f>
        <v>0.000128</v>
      </c>
    </row>
    <row r="8816" spans="1:7">
      <c r="A8816" s="3"/>
      <c r="B8816" s="3"/>
      <c r="C8816" s="3"/>
      <c r="D8816" s="3"/>
      <c r="E8816" s="3">
        <v>13</v>
      </c>
      <c r="F8816" s="4" t="str">
        <f>HYPERLINK("http://141.218.60.56/~jnz1568/getInfo.php?workbook=12_05.xlsx&amp;sheet=U0&amp;row=8816&amp;col=6&amp;number=4.2&amp;sourceID=14","4.2")</f>
        <v>4.2</v>
      </c>
      <c r="G8816" s="4" t="str">
        <f>HYPERLINK("http://141.218.60.56/~jnz1568/getInfo.php?workbook=12_05.xlsx&amp;sheet=U0&amp;row=8816&amp;col=7&amp;number=0.000128&amp;sourceID=14","0.000128")</f>
        <v>0.000128</v>
      </c>
    </row>
    <row r="8817" spans="1:7">
      <c r="A8817" s="3"/>
      <c r="B8817" s="3"/>
      <c r="C8817" s="3"/>
      <c r="D8817" s="3"/>
      <c r="E8817" s="3">
        <v>14</v>
      </c>
      <c r="F8817" s="4" t="str">
        <f>HYPERLINK("http://141.218.60.56/~jnz1568/getInfo.php?workbook=12_05.xlsx&amp;sheet=U0&amp;row=8817&amp;col=6&amp;number=4.3&amp;sourceID=14","4.3")</f>
        <v>4.3</v>
      </c>
      <c r="G8817" s="4" t="str">
        <f>HYPERLINK("http://141.218.60.56/~jnz1568/getInfo.php?workbook=12_05.xlsx&amp;sheet=U0&amp;row=8817&amp;col=7&amp;number=0.000127&amp;sourceID=14","0.000127")</f>
        <v>0.000127</v>
      </c>
    </row>
    <row r="8818" spans="1:7">
      <c r="A8818" s="3"/>
      <c r="B8818" s="3"/>
      <c r="C8818" s="3"/>
      <c r="D8818" s="3"/>
      <c r="E8818" s="3">
        <v>15</v>
      </c>
      <c r="F8818" s="4" t="str">
        <f>HYPERLINK("http://141.218.60.56/~jnz1568/getInfo.php?workbook=12_05.xlsx&amp;sheet=U0&amp;row=8818&amp;col=6&amp;number=4.4&amp;sourceID=14","4.4")</f>
        <v>4.4</v>
      </c>
      <c r="G8818" s="4" t="str">
        <f>HYPERLINK("http://141.218.60.56/~jnz1568/getInfo.php?workbook=12_05.xlsx&amp;sheet=U0&amp;row=8818&amp;col=7&amp;number=0.000127&amp;sourceID=14","0.000127")</f>
        <v>0.000127</v>
      </c>
    </row>
    <row r="8819" spans="1:7">
      <c r="A8819" s="3"/>
      <c r="B8819" s="3"/>
      <c r="C8819" s="3"/>
      <c r="D8819" s="3"/>
      <c r="E8819" s="3">
        <v>16</v>
      </c>
      <c r="F8819" s="4" t="str">
        <f>HYPERLINK("http://141.218.60.56/~jnz1568/getInfo.php?workbook=12_05.xlsx&amp;sheet=U0&amp;row=8819&amp;col=6&amp;number=4.5&amp;sourceID=14","4.5")</f>
        <v>4.5</v>
      </c>
      <c r="G8819" s="4" t="str">
        <f>HYPERLINK("http://141.218.60.56/~jnz1568/getInfo.php?workbook=12_05.xlsx&amp;sheet=U0&amp;row=8819&amp;col=7&amp;number=0.000126&amp;sourceID=14","0.000126")</f>
        <v>0.000126</v>
      </c>
    </row>
    <row r="8820" spans="1:7">
      <c r="A8820" s="3"/>
      <c r="B8820" s="3"/>
      <c r="C8820" s="3"/>
      <c r="D8820" s="3"/>
      <c r="E8820" s="3">
        <v>17</v>
      </c>
      <c r="F8820" s="4" t="str">
        <f>HYPERLINK("http://141.218.60.56/~jnz1568/getInfo.php?workbook=12_05.xlsx&amp;sheet=U0&amp;row=8820&amp;col=6&amp;number=4.6&amp;sourceID=14","4.6")</f>
        <v>4.6</v>
      </c>
      <c r="G8820" s="4" t="str">
        <f>HYPERLINK("http://141.218.60.56/~jnz1568/getInfo.php?workbook=12_05.xlsx&amp;sheet=U0&amp;row=8820&amp;col=7&amp;number=0.000124&amp;sourceID=14","0.000124")</f>
        <v>0.000124</v>
      </c>
    </row>
    <row r="8821" spans="1:7">
      <c r="A8821" s="3"/>
      <c r="B8821" s="3"/>
      <c r="C8821" s="3"/>
      <c r="D8821" s="3"/>
      <c r="E8821" s="3">
        <v>18</v>
      </c>
      <c r="F8821" s="4" t="str">
        <f>HYPERLINK("http://141.218.60.56/~jnz1568/getInfo.php?workbook=12_05.xlsx&amp;sheet=U0&amp;row=8821&amp;col=6&amp;number=4.7&amp;sourceID=14","4.7")</f>
        <v>4.7</v>
      </c>
      <c r="G8821" s="4" t="str">
        <f>HYPERLINK("http://141.218.60.56/~jnz1568/getInfo.php?workbook=12_05.xlsx&amp;sheet=U0&amp;row=8821&amp;col=7&amp;number=0.000123&amp;sourceID=14","0.000123")</f>
        <v>0.000123</v>
      </c>
    </row>
    <row r="8822" spans="1:7">
      <c r="A8822" s="3"/>
      <c r="B8822" s="3"/>
      <c r="C8822" s="3"/>
      <c r="D8822" s="3"/>
      <c r="E8822" s="3">
        <v>19</v>
      </c>
      <c r="F8822" s="4" t="str">
        <f>HYPERLINK("http://141.218.60.56/~jnz1568/getInfo.php?workbook=12_05.xlsx&amp;sheet=U0&amp;row=8822&amp;col=6&amp;number=4.8&amp;sourceID=14","4.8")</f>
        <v>4.8</v>
      </c>
      <c r="G8822" s="4" t="str">
        <f>HYPERLINK("http://141.218.60.56/~jnz1568/getInfo.php?workbook=12_05.xlsx&amp;sheet=U0&amp;row=8822&amp;col=7&amp;number=0.000121&amp;sourceID=14","0.000121")</f>
        <v>0.000121</v>
      </c>
    </row>
    <row r="8823" spans="1:7">
      <c r="A8823" s="3"/>
      <c r="B8823" s="3"/>
      <c r="C8823" s="3"/>
      <c r="D8823" s="3"/>
      <c r="E8823" s="3">
        <v>20</v>
      </c>
      <c r="F8823" s="4" t="str">
        <f>HYPERLINK("http://141.218.60.56/~jnz1568/getInfo.php?workbook=12_05.xlsx&amp;sheet=U0&amp;row=8823&amp;col=6&amp;number=4.9&amp;sourceID=14","4.9")</f>
        <v>4.9</v>
      </c>
      <c r="G8823" s="4" t="str">
        <f>HYPERLINK("http://141.218.60.56/~jnz1568/getInfo.php?workbook=12_05.xlsx&amp;sheet=U0&amp;row=8823&amp;col=7&amp;number=0.000119&amp;sourceID=14","0.000119")</f>
        <v>0.000119</v>
      </c>
    </row>
    <row r="8824" spans="1:7">
      <c r="A8824" s="3">
        <v>12</v>
      </c>
      <c r="B8824" s="3">
        <v>5</v>
      </c>
      <c r="C8824" s="3">
        <v>3</v>
      </c>
      <c r="D8824" s="3">
        <v>114</v>
      </c>
      <c r="E8824" s="3">
        <v>1</v>
      </c>
      <c r="F8824" s="4" t="str">
        <f>HYPERLINK("http://141.218.60.56/~jnz1568/getInfo.php?workbook=12_05.xlsx&amp;sheet=U0&amp;row=8824&amp;col=6&amp;number=3&amp;sourceID=14","3")</f>
        <v>3</v>
      </c>
      <c r="G8824" s="4" t="str">
        <f>HYPERLINK("http://141.218.60.56/~jnz1568/getInfo.php?workbook=12_05.xlsx&amp;sheet=U0&amp;row=8824&amp;col=7&amp;number=0.00113&amp;sourceID=14","0.00113")</f>
        <v>0.00113</v>
      </c>
    </row>
    <row r="8825" spans="1:7">
      <c r="A8825" s="3"/>
      <c r="B8825" s="3"/>
      <c r="C8825" s="3"/>
      <c r="D8825" s="3"/>
      <c r="E8825" s="3">
        <v>2</v>
      </c>
      <c r="F8825" s="4" t="str">
        <f>HYPERLINK("http://141.218.60.56/~jnz1568/getInfo.php?workbook=12_05.xlsx&amp;sheet=U0&amp;row=8825&amp;col=6&amp;number=3.1&amp;sourceID=14","3.1")</f>
        <v>3.1</v>
      </c>
      <c r="G8825" s="4" t="str">
        <f>HYPERLINK("http://141.218.60.56/~jnz1568/getInfo.php?workbook=12_05.xlsx&amp;sheet=U0&amp;row=8825&amp;col=7&amp;number=0.00112&amp;sourceID=14","0.00112")</f>
        <v>0.00112</v>
      </c>
    </row>
    <row r="8826" spans="1:7">
      <c r="A8826" s="3"/>
      <c r="B8826" s="3"/>
      <c r="C8826" s="3"/>
      <c r="D8826" s="3"/>
      <c r="E8826" s="3">
        <v>3</v>
      </c>
      <c r="F8826" s="4" t="str">
        <f>HYPERLINK("http://141.218.60.56/~jnz1568/getInfo.php?workbook=12_05.xlsx&amp;sheet=U0&amp;row=8826&amp;col=6&amp;number=3.2&amp;sourceID=14","3.2")</f>
        <v>3.2</v>
      </c>
      <c r="G8826" s="4" t="str">
        <f>HYPERLINK("http://141.218.60.56/~jnz1568/getInfo.php?workbook=12_05.xlsx&amp;sheet=U0&amp;row=8826&amp;col=7&amp;number=0.00112&amp;sourceID=14","0.00112")</f>
        <v>0.00112</v>
      </c>
    </row>
    <row r="8827" spans="1:7">
      <c r="A8827" s="3"/>
      <c r="B8827" s="3"/>
      <c r="C8827" s="3"/>
      <c r="D8827" s="3"/>
      <c r="E8827" s="3">
        <v>4</v>
      </c>
      <c r="F8827" s="4" t="str">
        <f>HYPERLINK("http://141.218.60.56/~jnz1568/getInfo.php?workbook=12_05.xlsx&amp;sheet=U0&amp;row=8827&amp;col=6&amp;number=3.3&amp;sourceID=14","3.3")</f>
        <v>3.3</v>
      </c>
      <c r="G8827" s="4" t="str">
        <f>HYPERLINK("http://141.218.60.56/~jnz1568/getInfo.php?workbook=12_05.xlsx&amp;sheet=U0&amp;row=8827&amp;col=7&amp;number=0.00112&amp;sourceID=14","0.00112")</f>
        <v>0.00112</v>
      </c>
    </row>
    <row r="8828" spans="1:7">
      <c r="A8828" s="3"/>
      <c r="B8828" s="3"/>
      <c r="C8828" s="3"/>
      <c r="D8828" s="3"/>
      <c r="E8828" s="3">
        <v>5</v>
      </c>
      <c r="F8828" s="4" t="str">
        <f>HYPERLINK("http://141.218.60.56/~jnz1568/getInfo.php?workbook=12_05.xlsx&amp;sheet=U0&amp;row=8828&amp;col=6&amp;number=3.4&amp;sourceID=14","3.4")</f>
        <v>3.4</v>
      </c>
      <c r="G8828" s="4" t="str">
        <f>HYPERLINK("http://141.218.60.56/~jnz1568/getInfo.php?workbook=12_05.xlsx&amp;sheet=U0&amp;row=8828&amp;col=7&amp;number=0.00112&amp;sourceID=14","0.00112")</f>
        <v>0.00112</v>
      </c>
    </row>
    <row r="8829" spans="1:7">
      <c r="A8829" s="3"/>
      <c r="B8829" s="3"/>
      <c r="C8829" s="3"/>
      <c r="D8829" s="3"/>
      <c r="E8829" s="3">
        <v>6</v>
      </c>
      <c r="F8829" s="4" t="str">
        <f>HYPERLINK("http://141.218.60.56/~jnz1568/getInfo.php?workbook=12_05.xlsx&amp;sheet=U0&amp;row=8829&amp;col=6&amp;number=3.5&amp;sourceID=14","3.5")</f>
        <v>3.5</v>
      </c>
      <c r="G8829" s="4" t="str">
        <f>HYPERLINK("http://141.218.60.56/~jnz1568/getInfo.php?workbook=12_05.xlsx&amp;sheet=U0&amp;row=8829&amp;col=7&amp;number=0.00112&amp;sourceID=14","0.00112")</f>
        <v>0.00112</v>
      </c>
    </row>
    <row r="8830" spans="1:7">
      <c r="A8830" s="3"/>
      <c r="B8830" s="3"/>
      <c r="C8830" s="3"/>
      <c r="D8830" s="3"/>
      <c r="E8830" s="3">
        <v>7</v>
      </c>
      <c r="F8830" s="4" t="str">
        <f>HYPERLINK("http://141.218.60.56/~jnz1568/getInfo.php?workbook=12_05.xlsx&amp;sheet=U0&amp;row=8830&amp;col=6&amp;number=3.6&amp;sourceID=14","3.6")</f>
        <v>3.6</v>
      </c>
      <c r="G8830" s="4" t="str">
        <f>HYPERLINK("http://141.218.60.56/~jnz1568/getInfo.php?workbook=12_05.xlsx&amp;sheet=U0&amp;row=8830&amp;col=7&amp;number=0.00112&amp;sourceID=14","0.00112")</f>
        <v>0.00112</v>
      </c>
    </row>
    <row r="8831" spans="1:7">
      <c r="A8831" s="3"/>
      <c r="B8831" s="3"/>
      <c r="C8831" s="3"/>
      <c r="D8831" s="3"/>
      <c r="E8831" s="3">
        <v>8</v>
      </c>
      <c r="F8831" s="4" t="str">
        <f>HYPERLINK("http://141.218.60.56/~jnz1568/getInfo.php?workbook=12_05.xlsx&amp;sheet=U0&amp;row=8831&amp;col=6&amp;number=3.7&amp;sourceID=14","3.7")</f>
        <v>3.7</v>
      </c>
      <c r="G8831" s="4" t="str">
        <f>HYPERLINK("http://141.218.60.56/~jnz1568/getInfo.php?workbook=12_05.xlsx&amp;sheet=U0&amp;row=8831&amp;col=7&amp;number=0.00112&amp;sourceID=14","0.00112")</f>
        <v>0.00112</v>
      </c>
    </row>
    <row r="8832" spans="1:7">
      <c r="A8832" s="3"/>
      <c r="B8832" s="3"/>
      <c r="C8832" s="3"/>
      <c r="D8832" s="3"/>
      <c r="E8832" s="3">
        <v>9</v>
      </c>
      <c r="F8832" s="4" t="str">
        <f>HYPERLINK("http://141.218.60.56/~jnz1568/getInfo.php?workbook=12_05.xlsx&amp;sheet=U0&amp;row=8832&amp;col=6&amp;number=3.8&amp;sourceID=14","3.8")</f>
        <v>3.8</v>
      </c>
      <c r="G8832" s="4" t="str">
        <f>HYPERLINK("http://141.218.60.56/~jnz1568/getInfo.php?workbook=12_05.xlsx&amp;sheet=U0&amp;row=8832&amp;col=7&amp;number=0.00112&amp;sourceID=14","0.00112")</f>
        <v>0.00112</v>
      </c>
    </row>
    <row r="8833" spans="1:7">
      <c r="A8833" s="3"/>
      <c r="B8833" s="3"/>
      <c r="C8833" s="3"/>
      <c r="D8833" s="3"/>
      <c r="E8833" s="3">
        <v>10</v>
      </c>
      <c r="F8833" s="4" t="str">
        <f>HYPERLINK("http://141.218.60.56/~jnz1568/getInfo.php?workbook=12_05.xlsx&amp;sheet=U0&amp;row=8833&amp;col=6&amp;number=3.9&amp;sourceID=14","3.9")</f>
        <v>3.9</v>
      </c>
      <c r="G8833" s="4" t="str">
        <f>HYPERLINK("http://141.218.60.56/~jnz1568/getInfo.php?workbook=12_05.xlsx&amp;sheet=U0&amp;row=8833&amp;col=7&amp;number=0.00112&amp;sourceID=14","0.00112")</f>
        <v>0.00112</v>
      </c>
    </row>
    <row r="8834" spans="1:7">
      <c r="A8834" s="3"/>
      <c r="B8834" s="3"/>
      <c r="C8834" s="3"/>
      <c r="D8834" s="3"/>
      <c r="E8834" s="3">
        <v>11</v>
      </c>
      <c r="F8834" s="4" t="str">
        <f>HYPERLINK("http://141.218.60.56/~jnz1568/getInfo.php?workbook=12_05.xlsx&amp;sheet=U0&amp;row=8834&amp;col=6&amp;number=4&amp;sourceID=14","4")</f>
        <v>4</v>
      </c>
      <c r="G8834" s="4" t="str">
        <f>HYPERLINK("http://141.218.60.56/~jnz1568/getInfo.php?workbook=12_05.xlsx&amp;sheet=U0&amp;row=8834&amp;col=7&amp;number=0.00112&amp;sourceID=14","0.00112")</f>
        <v>0.00112</v>
      </c>
    </row>
    <row r="8835" spans="1:7">
      <c r="A8835" s="3"/>
      <c r="B8835" s="3"/>
      <c r="C8835" s="3"/>
      <c r="D8835" s="3"/>
      <c r="E8835" s="3">
        <v>12</v>
      </c>
      <c r="F8835" s="4" t="str">
        <f>HYPERLINK("http://141.218.60.56/~jnz1568/getInfo.php?workbook=12_05.xlsx&amp;sheet=U0&amp;row=8835&amp;col=6&amp;number=4.1&amp;sourceID=14","4.1")</f>
        <v>4.1</v>
      </c>
      <c r="G8835" s="4" t="str">
        <f>HYPERLINK("http://141.218.60.56/~jnz1568/getInfo.php?workbook=12_05.xlsx&amp;sheet=U0&amp;row=8835&amp;col=7&amp;number=0.00112&amp;sourceID=14","0.00112")</f>
        <v>0.00112</v>
      </c>
    </row>
    <row r="8836" spans="1:7">
      <c r="A8836" s="3"/>
      <c r="B8836" s="3"/>
      <c r="C8836" s="3"/>
      <c r="D8836" s="3"/>
      <c r="E8836" s="3">
        <v>13</v>
      </c>
      <c r="F8836" s="4" t="str">
        <f>HYPERLINK("http://141.218.60.56/~jnz1568/getInfo.php?workbook=12_05.xlsx&amp;sheet=U0&amp;row=8836&amp;col=6&amp;number=4.2&amp;sourceID=14","4.2")</f>
        <v>4.2</v>
      </c>
      <c r="G8836" s="4" t="str">
        <f>HYPERLINK("http://141.218.60.56/~jnz1568/getInfo.php?workbook=12_05.xlsx&amp;sheet=U0&amp;row=8836&amp;col=7&amp;number=0.00111&amp;sourceID=14","0.00111")</f>
        <v>0.00111</v>
      </c>
    </row>
    <row r="8837" spans="1:7">
      <c r="A8837" s="3"/>
      <c r="B8837" s="3"/>
      <c r="C8837" s="3"/>
      <c r="D8837" s="3"/>
      <c r="E8837" s="3">
        <v>14</v>
      </c>
      <c r="F8837" s="4" t="str">
        <f>HYPERLINK("http://141.218.60.56/~jnz1568/getInfo.php?workbook=12_05.xlsx&amp;sheet=U0&amp;row=8837&amp;col=6&amp;number=4.3&amp;sourceID=14","4.3")</f>
        <v>4.3</v>
      </c>
      <c r="G8837" s="4" t="str">
        <f>HYPERLINK("http://141.218.60.56/~jnz1568/getInfo.php?workbook=12_05.xlsx&amp;sheet=U0&amp;row=8837&amp;col=7&amp;number=0.00111&amp;sourceID=14","0.00111")</f>
        <v>0.00111</v>
      </c>
    </row>
    <row r="8838" spans="1:7">
      <c r="A8838" s="3"/>
      <c r="B8838" s="3"/>
      <c r="C8838" s="3"/>
      <c r="D8838" s="3"/>
      <c r="E8838" s="3">
        <v>15</v>
      </c>
      <c r="F8838" s="4" t="str">
        <f>HYPERLINK("http://141.218.60.56/~jnz1568/getInfo.php?workbook=12_05.xlsx&amp;sheet=U0&amp;row=8838&amp;col=6&amp;number=4.4&amp;sourceID=14","4.4")</f>
        <v>4.4</v>
      </c>
      <c r="G8838" s="4" t="str">
        <f>HYPERLINK("http://141.218.60.56/~jnz1568/getInfo.php?workbook=12_05.xlsx&amp;sheet=U0&amp;row=8838&amp;col=7&amp;number=0.0011&amp;sourceID=14","0.0011")</f>
        <v>0.0011</v>
      </c>
    </row>
    <row r="8839" spans="1:7">
      <c r="A8839" s="3"/>
      <c r="B8839" s="3"/>
      <c r="C8839" s="3"/>
      <c r="D8839" s="3"/>
      <c r="E8839" s="3">
        <v>16</v>
      </c>
      <c r="F8839" s="4" t="str">
        <f>HYPERLINK("http://141.218.60.56/~jnz1568/getInfo.php?workbook=12_05.xlsx&amp;sheet=U0&amp;row=8839&amp;col=6&amp;number=4.5&amp;sourceID=14","4.5")</f>
        <v>4.5</v>
      </c>
      <c r="G8839" s="4" t="str">
        <f>HYPERLINK("http://141.218.60.56/~jnz1568/getInfo.php?workbook=12_05.xlsx&amp;sheet=U0&amp;row=8839&amp;col=7&amp;number=0.0011&amp;sourceID=14","0.0011")</f>
        <v>0.0011</v>
      </c>
    </row>
    <row r="8840" spans="1:7">
      <c r="A8840" s="3"/>
      <c r="B8840" s="3"/>
      <c r="C8840" s="3"/>
      <c r="D8840" s="3"/>
      <c r="E8840" s="3">
        <v>17</v>
      </c>
      <c r="F8840" s="4" t="str">
        <f>HYPERLINK("http://141.218.60.56/~jnz1568/getInfo.php?workbook=12_05.xlsx&amp;sheet=U0&amp;row=8840&amp;col=6&amp;number=4.6&amp;sourceID=14","4.6")</f>
        <v>4.6</v>
      </c>
      <c r="G8840" s="4" t="str">
        <f>HYPERLINK("http://141.218.60.56/~jnz1568/getInfo.php?workbook=12_05.xlsx&amp;sheet=U0&amp;row=8840&amp;col=7&amp;number=0.00109&amp;sourceID=14","0.00109")</f>
        <v>0.00109</v>
      </c>
    </row>
    <row r="8841" spans="1:7">
      <c r="A8841" s="3"/>
      <c r="B8841" s="3"/>
      <c r="C8841" s="3"/>
      <c r="D8841" s="3"/>
      <c r="E8841" s="3">
        <v>18</v>
      </c>
      <c r="F8841" s="4" t="str">
        <f>HYPERLINK("http://141.218.60.56/~jnz1568/getInfo.php?workbook=12_05.xlsx&amp;sheet=U0&amp;row=8841&amp;col=6&amp;number=4.7&amp;sourceID=14","4.7")</f>
        <v>4.7</v>
      </c>
      <c r="G8841" s="4" t="str">
        <f>HYPERLINK("http://141.218.60.56/~jnz1568/getInfo.php?workbook=12_05.xlsx&amp;sheet=U0&amp;row=8841&amp;col=7&amp;number=0.00108&amp;sourceID=14","0.00108")</f>
        <v>0.00108</v>
      </c>
    </row>
    <row r="8842" spans="1:7">
      <c r="A8842" s="3"/>
      <c r="B8842" s="3"/>
      <c r="C8842" s="3"/>
      <c r="D8842" s="3"/>
      <c r="E8842" s="3">
        <v>19</v>
      </c>
      <c r="F8842" s="4" t="str">
        <f>HYPERLINK("http://141.218.60.56/~jnz1568/getInfo.php?workbook=12_05.xlsx&amp;sheet=U0&amp;row=8842&amp;col=6&amp;number=4.8&amp;sourceID=14","4.8")</f>
        <v>4.8</v>
      </c>
      <c r="G8842" s="4" t="str">
        <f>HYPERLINK("http://141.218.60.56/~jnz1568/getInfo.php?workbook=12_05.xlsx&amp;sheet=U0&amp;row=8842&amp;col=7&amp;number=0.00107&amp;sourceID=14","0.00107")</f>
        <v>0.00107</v>
      </c>
    </row>
    <row r="8843" spans="1:7">
      <c r="A8843" s="3"/>
      <c r="B8843" s="3"/>
      <c r="C8843" s="3"/>
      <c r="D8843" s="3"/>
      <c r="E8843" s="3">
        <v>20</v>
      </c>
      <c r="F8843" s="4" t="str">
        <f>HYPERLINK("http://141.218.60.56/~jnz1568/getInfo.php?workbook=12_05.xlsx&amp;sheet=U0&amp;row=8843&amp;col=6&amp;number=4.9&amp;sourceID=14","4.9")</f>
        <v>4.9</v>
      </c>
      <c r="G8843" s="4" t="str">
        <f>HYPERLINK("http://141.218.60.56/~jnz1568/getInfo.php?workbook=12_05.xlsx&amp;sheet=U0&amp;row=8843&amp;col=7&amp;number=0.00106&amp;sourceID=14","0.00106")</f>
        <v>0.00106</v>
      </c>
    </row>
    <row r="8844" spans="1:7">
      <c r="A8844" s="3">
        <v>12</v>
      </c>
      <c r="B8844" s="3">
        <v>5</v>
      </c>
      <c r="C8844" s="3">
        <v>3</v>
      </c>
      <c r="D8844" s="3">
        <v>115</v>
      </c>
      <c r="E8844" s="3">
        <v>1</v>
      </c>
      <c r="F8844" s="4" t="str">
        <f>HYPERLINK("http://141.218.60.56/~jnz1568/getInfo.php?workbook=12_05.xlsx&amp;sheet=U0&amp;row=8844&amp;col=6&amp;number=3&amp;sourceID=14","3")</f>
        <v>3</v>
      </c>
      <c r="G8844" s="4" t="str">
        <f>HYPERLINK("http://141.218.60.56/~jnz1568/getInfo.php?workbook=12_05.xlsx&amp;sheet=U0&amp;row=8844&amp;col=7&amp;number=0.000431&amp;sourceID=14","0.000431")</f>
        <v>0.000431</v>
      </c>
    </row>
    <row r="8845" spans="1:7">
      <c r="A8845" s="3"/>
      <c r="B8845" s="3"/>
      <c r="C8845" s="3"/>
      <c r="D8845" s="3"/>
      <c r="E8845" s="3">
        <v>2</v>
      </c>
      <c r="F8845" s="4" t="str">
        <f>HYPERLINK("http://141.218.60.56/~jnz1568/getInfo.php?workbook=12_05.xlsx&amp;sheet=U0&amp;row=8845&amp;col=6&amp;number=3.1&amp;sourceID=14","3.1")</f>
        <v>3.1</v>
      </c>
      <c r="G8845" s="4" t="str">
        <f>HYPERLINK("http://141.218.60.56/~jnz1568/getInfo.php?workbook=12_05.xlsx&amp;sheet=U0&amp;row=8845&amp;col=7&amp;number=0.000431&amp;sourceID=14","0.000431")</f>
        <v>0.000431</v>
      </c>
    </row>
    <row r="8846" spans="1:7">
      <c r="A8846" s="3"/>
      <c r="B8846" s="3"/>
      <c r="C8846" s="3"/>
      <c r="D8846" s="3"/>
      <c r="E8846" s="3">
        <v>3</v>
      </c>
      <c r="F8846" s="4" t="str">
        <f>HYPERLINK("http://141.218.60.56/~jnz1568/getInfo.php?workbook=12_05.xlsx&amp;sheet=U0&amp;row=8846&amp;col=6&amp;number=3.2&amp;sourceID=14","3.2")</f>
        <v>3.2</v>
      </c>
      <c r="G8846" s="4" t="str">
        <f>HYPERLINK("http://141.218.60.56/~jnz1568/getInfo.php?workbook=12_05.xlsx&amp;sheet=U0&amp;row=8846&amp;col=7&amp;number=0.000431&amp;sourceID=14","0.000431")</f>
        <v>0.000431</v>
      </c>
    </row>
    <row r="8847" spans="1:7">
      <c r="A8847" s="3"/>
      <c r="B8847" s="3"/>
      <c r="C8847" s="3"/>
      <c r="D8847" s="3"/>
      <c r="E8847" s="3">
        <v>4</v>
      </c>
      <c r="F8847" s="4" t="str">
        <f>HYPERLINK("http://141.218.60.56/~jnz1568/getInfo.php?workbook=12_05.xlsx&amp;sheet=U0&amp;row=8847&amp;col=6&amp;number=3.3&amp;sourceID=14","3.3")</f>
        <v>3.3</v>
      </c>
      <c r="G8847" s="4" t="str">
        <f>HYPERLINK("http://141.218.60.56/~jnz1568/getInfo.php?workbook=12_05.xlsx&amp;sheet=U0&amp;row=8847&amp;col=7&amp;number=0.00043&amp;sourceID=14","0.00043")</f>
        <v>0.00043</v>
      </c>
    </row>
    <row r="8848" spans="1:7">
      <c r="A8848" s="3"/>
      <c r="B8848" s="3"/>
      <c r="C8848" s="3"/>
      <c r="D8848" s="3"/>
      <c r="E8848" s="3">
        <v>5</v>
      </c>
      <c r="F8848" s="4" t="str">
        <f>HYPERLINK("http://141.218.60.56/~jnz1568/getInfo.php?workbook=12_05.xlsx&amp;sheet=U0&amp;row=8848&amp;col=6&amp;number=3.4&amp;sourceID=14","3.4")</f>
        <v>3.4</v>
      </c>
      <c r="G8848" s="4" t="str">
        <f>HYPERLINK("http://141.218.60.56/~jnz1568/getInfo.php?workbook=12_05.xlsx&amp;sheet=U0&amp;row=8848&amp;col=7&amp;number=0.00043&amp;sourceID=14","0.00043")</f>
        <v>0.00043</v>
      </c>
    </row>
    <row r="8849" spans="1:7">
      <c r="A8849" s="3"/>
      <c r="B8849" s="3"/>
      <c r="C8849" s="3"/>
      <c r="D8849" s="3"/>
      <c r="E8849" s="3">
        <v>6</v>
      </c>
      <c r="F8849" s="4" t="str">
        <f>HYPERLINK("http://141.218.60.56/~jnz1568/getInfo.php?workbook=12_05.xlsx&amp;sheet=U0&amp;row=8849&amp;col=6&amp;number=3.5&amp;sourceID=14","3.5")</f>
        <v>3.5</v>
      </c>
      <c r="G8849" s="4" t="str">
        <f>HYPERLINK("http://141.218.60.56/~jnz1568/getInfo.php?workbook=12_05.xlsx&amp;sheet=U0&amp;row=8849&amp;col=7&amp;number=0.00043&amp;sourceID=14","0.00043")</f>
        <v>0.00043</v>
      </c>
    </row>
    <row r="8850" spans="1:7">
      <c r="A8850" s="3"/>
      <c r="B8850" s="3"/>
      <c r="C8850" s="3"/>
      <c r="D8850" s="3"/>
      <c r="E8850" s="3">
        <v>7</v>
      </c>
      <c r="F8850" s="4" t="str">
        <f>HYPERLINK("http://141.218.60.56/~jnz1568/getInfo.php?workbook=12_05.xlsx&amp;sheet=U0&amp;row=8850&amp;col=6&amp;number=3.6&amp;sourceID=14","3.6")</f>
        <v>3.6</v>
      </c>
      <c r="G8850" s="4" t="str">
        <f>HYPERLINK("http://141.218.60.56/~jnz1568/getInfo.php?workbook=12_05.xlsx&amp;sheet=U0&amp;row=8850&amp;col=7&amp;number=0.00043&amp;sourceID=14","0.00043")</f>
        <v>0.00043</v>
      </c>
    </row>
    <row r="8851" spans="1:7">
      <c r="A8851" s="3"/>
      <c r="B8851" s="3"/>
      <c r="C8851" s="3"/>
      <c r="D8851" s="3"/>
      <c r="E8851" s="3">
        <v>8</v>
      </c>
      <c r="F8851" s="4" t="str">
        <f>HYPERLINK("http://141.218.60.56/~jnz1568/getInfo.php?workbook=12_05.xlsx&amp;sheet=U0&amp;row=8851&amp;col=6&amp;number=3.7&amp;sourceID=14","3.7")</f>
        <v>3.7</v>
      </c>
      <c r="G8851" s="4" t="str">
        <f>HYPERLINK("http://141.218.60.56/~jnz1568/getInfo.php?workbook=12_05.xlsx&amp;sheet=U0&amp;row=8851&amp;col=7&amp;number=0.000429&amp;sourceID=14","0.000429")</f>
        <v>0.000429</v>
      </c>
    </row>
    <row r="8852" spans="1:7">
      <c r="A8852" s="3"/>
      <c r="B8852" s="3"/>
      <c r="C8852" s="3"/>
      <c r="D8852" s="3"/>
      <c r="E8852" s="3">
        <v>9</v>
      </c>
      <c r="F8852" s="4" t="str">
        <f>HYPERLINK("http://141.218.60.56/~jnz1568/getInfo.php?workbook=12_05.xlsx&amp;sheet=U0&amp;row=8852&amp;col=6&amp;number=3.8&amp;sourceID=14","3.8")</f>
        <v>3.8</v>
      </c>
      <c r="G8852" s="4" t="str">
        <f>HYPERLINK("http://141.218.60.56/~jnz1568/getInfo.php?workbook=12_05.xlsx&amp;sheet=U0&amp;row=8852&amp;col=7&amp;number=0.000429&amp;sourceID=14","0.000429")</f>
        <v>0.000429</v>
      </c>
    </row>
    <row r="8853" spans="1:7">
      <c r="A8853" s="3"/>
      <c r="B8853" s="3"/>
      <c r="C8853" s="3"/>
      <c r="D8853" s="3"/>
      <c r="E8853" s="3">
        <v>10</v>
      </c>
      <c r="F8853" s="4" t="str">
        <f>HYPERLINK("http://141.218.60.56/~jnz1568/getInfo.php?workbook=12_05.xlsx&amp;sheet=U0&amp;row=8853&amp;col=6&amp;number=3.9&amp;sourceID=14","3.9")</f>
        <v>3.9</v>
      </c>
      <c r="G8853" s="4" t="str">
        <f>HYPERLINK("http://141.218.60.56/~jnz1568/getInfo.php?workbook=12_05.xlsx&amp;sheet=U0&amp;row=8853&amp;col=7&amp;number=0.000428&amp;sourceID=14","0.000428")</f>
        <v>0.000428</v>
      </c>
    </row>
    <row r="8854" spans="1:7">
      <c r="A8854" s="3"/>
      <c r="B8854" s="3"/>
      <c r="C8854" s="3"/>
      <c r="D8854" s="3"/>
      <c r="E8854" s="3">
        <v>11</v>
      </c>
      <c r="F8854" s="4" t="str">
        <f>HYPERLINK("http://141.218.60.56/~jnz1568/getInfo.php?workbook=12_05.xlsx&amp;sheet=U0&amp;row=8854&amp;col=6&amp;number=4&amp;sourceID=14","4")</f>
        <v>4</v>
      </c>
      <c r="G8854" s="4" t="str">
        <f>HYPERLINK("http://141.218.60.56/~jnz1568/getInfo.php?workbook=12_05.xlsx&amp;sheet=U0&amp;row=8854&amp;col=7&amp;number=0.000428&amp;sourceID=14","0.000428")</f>
        <v>0.000428</v>
      </c>
    </row>
    <row r="8855" spans="1:7">
      <c r="A8855" s="3"/>
      <c r="B8855" s="3"/>
      <c r="C8855" s="3"/>
      <c r="D8855" s="3"/>
      <c r="E8855" s="3">
        <v>12</v>
      </c>
      <c r="F8855" s="4" t="str">
        <f>HYPERLINK("http://141.218.60.56/~jnz1568/getInfo.php?workbook=12_05.xlsx&amp;sheet=U0&amp;row=8855&amp;col=6&amp;number=4.1&amp;sourceID=14","4.1")</f>
        <v>4.1</v>
      </c>
      <c r="G8855" s="4" t="str">
        <f>HYPERLINK("http://141.218.60.56/~jnz1568/getInfo.php?workbook=12_05.xlsx&amp;sheet=U0&amp;row=8855&amp;col=7&amp;number=0.000427&amp;sourceID=14","0.000427")</f>
        <v>0.000427</v>
      </c>
    </row>
    <row r="8856" spans="1:7">
      <c r="A8856" s="3"/>
      <c r="B8856" s="3"/>
      <c r="C8856" s="3"/>
      <c r="D8856" s="3"/>
      <c r="E8856" s="3">
        <v>13</v>
      </c>
      <c r="F8856" s="4" t="str">
        <f>HYPERLINK("http://141.218.60.56/~jnz1568/getInfo.php?workbook=12_05.xlsx&amp;sheet=U0&amp;row=8856&amp;col=6&amp;number=4.2&amp;sourceID=14","4.2")</f>
        <v>4.2</v>
      </c>
      <c r="G8856" s="4" t="str">
        <f>HYPERLINK("http://141.218.60.56/~jnz1568/getInfo.php?workbook=12_05.xlsx&amp;sheet=U0&amp;row=8856&amp;col=7&amp;number=0.000425&amp;sourceID=14","0.000425")</f>
        <v>0.000425</v>
      </c>
    </row>
    <row r="8857" spans="1:7">
      <c r="A8857" s="3"/>
      <c r="B8857" s="3"/>
      <c r="C8857" s="3"/>
      <c r="D8857" s="3"/>
      <c r="E8857" s="3">
        <v>14</v>
      </c>
      <c r="F8857" s="4" t="str">
        <f>HYPERLINK("http://141.218.60.56/~jnz1568/getInfo.php?workbook=12_05.xlsx&amp;sheet=U0&amp;row=8857&amp;col=6&amp;number=4.3&amp;sourceID=14","4.3")</f>
        <v>4.3</v>
      </c>
      <c r="G8857" s="4" t="str">
        <f>HYPERLINK("http://141.218.60.56/~jnz1568/getInfo.php?workbook=12_05.xlsx&amp;sheet=U0&amp;row=8857&amp;col=7&amp;number=0.000424&amp;sourceID=14","0.000424")</f>
        <v>0.000424</v>
      </c>
    </row>
    <row r="8858" spans="1:7">
      <c r="A8858" s="3"/>
      <c r="B8858" s="3"/>
      <c r="C8858" s="3"/>
      <c r="D8858" s="3"/>
      <c r="E8858" s="3">
        <v>15</v>
      </c>
      <c r="F8858" s="4" t="str">
        <f>HYPERLINK("http://141.218.60.56/~jnz1568/getInfo.php?workbook=12_05.xlsx&amp;sheet=U0&amp;row=8858&amp;col=6&amp;number=4.4&amp;sourceID=14","4.4")</f>
        <v>4.4</v>
      </c>
      <c r="G8858" s="4" t="str">
        <f>HYPERLINK("http://141.218.60.56/~jnz1568/getInfo.php?workbook=12_05.xlsx&amp;sheet=U0&amp;row=8858&amp;col=7&amp;number=0.000422&amp;sourceID=14","0.000422")</f>
        <v>0.000422</v>
      </c>
    </row>
    <row r="8859" spans="1:7">
      <c r="A8859" s="3"/>
      <c r="B8859" s="3"/>
      <c r="C8859" s="3"/>
      <c r="D8859" s="3"/>
      <c r="E8859" s="3">
        <v>16</v>
      </c>
      <c r="F8859" s="4" t="str">
        <f>HYPERLINK("http://141.218.60.56/~jnz1568/getInfo.php?workbook=12_05.xlsx&amp;sheet=U0&amp;row=8859&amp;col=6&amp;number=4.5&amp;sourceID=14","4.5")</f>
        <v>4.5</v>
      </c>
      <c r="G8859" s="4" t="str">
        <f>HYPERLINK("http://141.218.60.56/~jnz1568/getInfo.php?workbook=12_05.xlsx&amp;sheet=U0&amp;row=8859&amp;col=7&amp;number=0.00042&amp;sourceID=14","0.00042")</f>
        <v>0.00042</v>
      </c>
    </row>
    <row r="8860" spans="1:7">
      <c r="A8860" s="3"/>
      <c r="B8860" s="3"/>
      <c r="C8860" s="3"/>
      <c r="D8860" s="3"/>
      <c r="E8860" s="3">
        <v>17</v>
      </c>
      <c r="F8860" s="4" t="str">
        <f>HYPERLINK("http://141.218.60.56/~jnz1568/getInfo.php?workbook=12_05.xlsx&amp;sheet=U0&amp;row=8860&amp;col=6&amp;number=4.6&amp;sourceID=14","4.6")</f>
        <v>4.6</v>
      </c>
      <c r="G8860" s="4" t="str">
        <f>HYPERLINK("http://141.218.60.56/~jnz1568/getInfo.php?workbook=12_05.xlsx&amp;sheet=U0&amp;row=8860&amp;col=7&amp;number=0.000417&amp;sourceID=14","0.000417")</f>
        <v>0.000417</v>
      </c>
    </row>
    <row r="8861" spans="1:7">
      <c r="A8861" s="3"/>
      <c r="B8861" s="3"/>
      <c r="C8861" s="3"/>
      <c r="D8861" s="3"/>
      <c r="E8861" s="3">
        <v>18</v>
      </c>
      <c r="F8861" s="4" t="str">
        <f>HYPERLINK("http://141.218.60.56/~jnz1568/getInfo.php?workbook=12_05.xlsx&amp;sheet=U0&amp;row=8861&amp;col=6&amp;number=4.7&amp;sourceID=14","4.7")</f>
        <v>4.7</v>
      </c>
      <c r="G8861" s="4" t="str">
        <f>HYPERLINK("http://141.218.60.56/~jnz1568/getInfo.php?workbook=12_05.xlsx&amp;sheet=U0&amp;row=8861&amp;col=7&amp;number=0.000413&amp;sourceID=14","0.000413")</f>
        <v>0.000413</v>
      </c>
    </row>
    <row r="8862" spans="1:7">
      <c r="A8862" s="3"/>
      <c r="B8862" s="3"/>
      <c r="C8862" s="3"/>
      <c r="D8862" s="3"/>
      <c r="E8862" s="3">
        <v>19</v>
      </c>
      <c r="F8862" s="4" t="str">
        <f>HYPERLINK("http://141.218.60.56/~jnz1568/getInfo.php?workbook=12_05.xlsx&amp;sheet=U0&amp;row=8862&amp;col=6&amp;number=4.8&amp;sourceID=14","4.8")</f>
        <v>4.8</v>
      </c>
      <c r="G8862" s="4" t="str">
        <f>HYPERLINK("http://141.218.60.56/~jnz1568/getInfo.php?workbook=12_05.xlsx&amp;sheet=U0&amp;row=8862&amp;col=7&amp;number=0.000409&amp;sourceID=14","0.000409")</f>
        <v>0.000409</v>
      </c>
    </row>
    <row r="8863" spans="1:7">
      <c r="A8863" s="3"/>
      <c r="B8863" s="3"/>
      <c r="C8863" s="3"/>
      <c r="D8863" s="3"/>
      <c r="E8863" s="3">
        <v>20</v>
      </c>
      <c r="F8863" s="4" t="str">
        <f>HYPERLINK("http://141.218.60.56/~jnz1568/getInfo.php?workbook=12_05.xlsx&amp;sheet=U0&amp;row=8863&amp;col=6&amp;number=4.9&amp;sourceID=14","4.9")</f>
        <v>4.9</v>
      </c>
      <c r="G8863" s="4" t="str">
        <f>HYPERLINK("http://141.218.60.56/~jnz1568/getInfo.php?workbook=12_05.xlsx&amp;sheet=U0&amp;row=8863&amp;col=7&amp;number=0.000403&amp;sourceID=14","0.000403")</f>
        <v>0.000403</v>
      </c>
    </row>
    <row r="8864" spans="1:7">
      <c r="A8864" s="3">
        <v>12</v>
      </c>
      <c r="B8864" s="3">
        <v>5</v>
      </c>
      <c r="C8864" s="3">
        <v>3</v>
      </c>
      <c r="D8864" s="3">
        <v>116</v>
      </c>
      <c r="E8864" s="3">
        <v>1</v>
      </c>
      <c r="F8864" s="4" t="str">
        <f>HYPERLINK("http://141.218.60.56/~jnz1568/getInfo.php?workbook=12_05.xlsx&amp;sheet=U0&amp;row=8864&amp;col=6&amp;number=3&amp;sourceID=14","3")</f>
        <v>3</v>
      </c>
      <c r="G8864" s="4" t="str">
        <f>HYPERLINK("http://141.218.60.56/~jnz1568/getInfo.php?workbook=12_05.xlsx&amp;sheet=U0&amp;row=8864&amp;col=7&amp;number=0.000228&amp;sourceID=14","0.000228")</f>
        <v>0.000228</v>
      </c>
    </row>
    <row r="8865" spans="1:7">
      <c r="A8865" s="3"/>
      <c r="B8865" s="3"/>
      <c r="C8865" s="3"/>
      <c r="D8865" s="3"/>
      <c r="E8865" s="3">
        <v>2</v>
      </c>
      <c r="F8865" s="4" t="str">
        <f>HYPERLINK("http://141.218.60.56/~jnz1568/getInfo.php?workbook=12_05.xlsx&amp;sheet=U0&amp;row=8865&amp;col=6&amp;number=3.1&amp;sourceID=14","3.1")</f>
        <v>3.1</v>
      </c>
      <c r="G8865" s="4" t="str">
        <f>HYPERLINK("http://141.218.60.56/~jnz1568/getInfo.php?workbook=12_05.xlsx&amp;sheet=U0&amp;row=8865&amp;col=7&amp;number=0.000228&amp;sourceID=14","0.000228")</f>
        <v>0.000228</v>
      </c>
    </row>
    <row r="8866" spans="1:7">
      <c r="A8866" s="3"/>
      <c r="B8866" s="3"/>
      <c r="C8866" s="3"/>
      <c r="D8866" s="3"/>
      <c r="E8866" s="3">
        <v>3</v>
      </c>
      <c r="F8866" s="4" t="str">
        <f>HYPERLINK("http://141.218.60.56/~jnz1568/getInfo.php?workbook=12_05.xlsx&amp;sheet=U0&amp;row=8866&amp;col=6&amp;number=3.2&amp;sourceID=14","3.2")</f>
        <v>3.2</v>
      </c>
      <c r="G8866" s="4" t="str">
        <f>HYPERLINK("http://141.218.60.56/~jnz1568/getInfo.php?workbook=12_05.xlsx&amp;sheet=U0&amp;row=8866&amp;col=7&amp;number=0.000228&amp;sourceID=14","0.000228")</f>
        <v>0.000228</v>
      </c>
    </row>
    <row r="8867" spans="1:7">
      <c r="A8867" s="3"/>
      <c r="B8867" s="3"/>
      <c r="C8867" s="3"/>
      <c r="D8867" s="3"/>
      <c r="E8867" s="3">
        <v>4</v>
      </c>
      <c r="F8867" s="4" t="str">
        <f>HYPERLINK("http://141.218.60.56/~jnz1568/getInfo.php?workbook=12_05.xlsx&amp;sheet=U0&amp;row=8867&amp;col=6&amp;number=3.3&amp;sourceID=14","3.3")</f>
        <v>3.3</v>
      </c>
      <c r="G8867" s="4" t="str">
        <f>HYPERLINK("http://141.218.60.56/~jnz1568/getInfo.php?workbook=12_05.xlsx&amp;sheet=U0&amp;row=8867&amp;col=7&amp;number=0.000228&amp;sourceID=14","0.000228")</f>
        <v>0.000228</v>
      </c>
    </row>
    <row r="8868" spans="1:7">
      <c r="A8868" s="3"/>
      <c r="B8868" s="3"/>
      <c r="C8868" s="3"/>
      <c r="D8868" s="3"/>
      <c r="E8868" s="3">
        <v>5</v>
      </c>
      <c r="F8868" s="4" t="str">
        <f>HYPERLINK("http://141.218.60.56/~jnz1568/getInfo.php?workbook=12_05.xlsx&amp;sheet=U0&amp;row=8868&amp;col=6&amp;number=3.4&amp;sourceID=14","3.4")</f>
        <v>3.4</v>
      </c>
      <c r="G8868" s="4" t="str">
        <f>HYPERLINK("http://141.218.60.56/~jnz1568/getInfo.php?workbook=12_05.xlsx&amp;sheet=U0&amp;row=8868&amp;col=7&amp;number=0.000228&amp;sourceID=14","0.000228")</f>
        <v>0.000228</v>
      </c>
    </row>
    <row r="8869" spans="1:7">
      <c r="A8869" s="3"/>
      <c r="B8869" s="3"/>
      <c r="C8869" s="3"/>
      <c r="D8869" s="3"/>
      <c r="E8869" s="3">
        <v>6</v>
      </c>
      <c r="F8869" s="4" t="str">
        <f>HYPERLINK("http://141.218.60.56/~jnz1568/getInfo.php?workbook=12_05.xlsx&amp;sheet=U0&amp;row=8869&amp;col=6&amp;number=3.5&amp;sourceID=14","3.5")</f>
        <v>3.5</v>
      </c>
      <c r="G8869" s="4" t="str">
        <f>HYPERLINK("http://141.218.60.56/~jnz1568/getInfo.php?workbook=12_05.xlsx&amp;sheet=U0&amp;row=8869&amp;col=7&amp;number=0.000228&amp;sourceID=14","0.000228")</f>
        <v>0.000228</v>
      </c>
    </row>
    <row r="8870" spans="1:7">
      <c r="A8870" s="3"/>
      <c r="B8870" s="3"/>
      <c r="C8870" s="3"/>
      <c r="D8870" s="3"/>
      <c r="E8870" s="3">
        <v>7</v>
      </c>
      <c r="F8870" s="4" t="str">
        <f>HYPERLINK("http://141.218.60.56/~jnz1568/getInfo.php?workbook=12_05.xlsx&amp;sheet=U0&amp;row=8870&amp;col=6&amp;number=3.6&amp;sourceID=14","3.6")</f>
        <v>3.6</v>
      </c>
      <c r="G8870" s="4" t="str">
        <f>HYPERLINK("http://141.218.60.56/~jnz1568/getInfo.php?workbook=12_05.xlsx&amp;sheet=U0&amp;row=8870&amp;col=7&amp;number=0.000228&amp;sourceID=14","0.000228")</f>
        <v>0.000228</v>
      </c>
    </row>
    <row r="8871" spans="1:7">
      <c r="A8871" s="3"/>
      <c r="B8871" s="3"/>
      <c r="C8871" s="3"/>
      <c r="D8871" s="3"/>
      <c r="E8871" s="3">
        <v>8</v>
      </c>
      <c r="F8871" s="4" t="str">
        <f>HYPERLINK("http://141.218.60.56/~jnz1568/getInfo.php?workbook=12_05.xlsx&amp;sheet=U0&amp;row=8871&amp;col=6&amp;number=3.7&amp;sourceID=14","3.7")</f>
        <v>3.7</v>
      </c>
      <c r="G8871" s="4" t="str">
        <f>HYPERLINK("http://141.218.60.56/~jnz1568/getInfo.php?workbook=12_05.xlsx&amp;sheet=U0&amp;row=8871&amp;col=7&amp;number=0.000228&amp;sourceID=14","0.000228")</f>
        <v>0.000228</v>
      </c>
    </row>
    <row r="8872" spans="1:7">
      <c r="A8872" s="3"/>
      <c r="B8872" s="3"/>
      <c r="C8872" s="3"/>
      <c r="D8872" s="3"/>
      <c r="E8872" s="3">
        <v>9</v>
      </c>
      <c r="F8872" s="4" t="str">
        <f>HYPERLINK("http://141.218.60.56/~jnz1568/getInfo.php?workbook=12_05.xlsx&amp;sheet=U0&amp;row=8872&amp;col=6&amp;number=3.8&amp;sourceID=14","3.8")</f>
        <v>3.8</v>
      </c>
      <c r="G8872" s="4" t="str">
        <f>HYPERLINK("http://141.218.60.56/~jnz1568/getInfo.php?workbook=12_05.xlsx&amp;sheet=U0&amp;row=8872&amp;col=7&amp;number=0.000227&amp;sourceID=14","0.000227")</f>
        <v>0.000227</v>
      </c>
    </row>
    <row r="8873" spans="1:7">
      <c r="A8873" s="3"/>
      <c r="B8873" s="3"/>
      <c r="C8873" s="3"/>
      <c r="D8873" s="3"/>
      <c r="E8873" s="3">
        <v>10</v>
      </c>
      <c r="F8873" s="4" t="str">
        <f>HYPERLINK("http://141.218.60.56/~jnz1568/getInfo.php?workbook=12_05.xlsx&amp;sheet=U0&amp;row=8873&amp;col=6&amp;number=3.9&amp;sourceID=14","3.9")</f>
        <v>3.9</v>
      </c>
      <c r="G8873" s="4" t="str">
        <f>HYPERLINK("http://141.218.60.56/~jnz1568/getInfo.php?workbook=12_05.xlsx&amp;sheet=U0&amp;row=8873&amp;col=7&amp;number=0.000227&amp;sourceID=14","0.000227")</f>
        <v>0.000227</v>
      </c>
    </row>
    <row r="8874" spans="1:7">
      <c r="A8874" s="3"/>
      <c r="B8874" s="3"/>
      <c r="C8874" s="3"/>
      <c r="D8874" s="3"/>
      <c r="E8874" s="3">
        <v>11</v>
      </c>
      <c r="F8874" s="4" t="str">
        <f>HYPERLINK("http://141.218.60.56/~jnz1568/getInfo.php?workbook=12_05.xlsx&amp;sheet=U0&amp;row=8874&amp;col=6&amp;number=4&amp;sourceID=14","4")</f>
        <v>4</v>
      </c>
      <c r="G8874" s="4" t="str">
        <f>HYPERLINK("http://141.218.60.56/~jnz1568/getInfo.php?workbook=12_05.xlsx&amp;sheet=U0&amp;row=8874&amp;col=7&amp;number=0.000227&amp;sourceID=14","0.000227")</f>
        <v>0.000227</v>
      </c>
    </row>
    <row r="8875" spans="1:7">
      <c r="A8875" s="3"/>
      <c r="B8875" s="3"/>
      <c r="C8875" s="3"/>
      <c r="D8875" s="3"/>
      <c r="E8875" s="3">
        <v>12</v>
      </c>
      <c r="F8875" s="4" t="str">
        <f>HYPERLINK("http://141.218.60.56/~jnz1568/getInfo.php?workbook=12_05.xlsx&amp;sheet=U0&amp;row=8875&amp;col=6&amp;number=4.1&amp;sourceID=14","4.1")</f>
        <v>4.1</v>
      </c>
      <c r="G8875" s="4" t="str">
        <f>HYPERLINK("http://141.218.60.56/~jnz1568/getInfo.php?workbook=12_05.xlsx&amp;sheet=U0&amp;row=8875&amp;col=7&amp;number=0.000226&amp;sourceID=14","0.000226")</f>
        <v>0.000226</v>
      </c>
    </row>
    <row r="8876" spans="1:7">
      <c r="A8876" s="3"/>
      <c r="B8876" s="3"/>
      <c r="C8876" s="3"/>
      <c r="D8876" s="3"/>
      <c r="E8876" s="3">
        <v>13</v>
      </c>
      <c r="F8876" s="4" t="str">
        <f>HYPERLINK("http://141.218.60.56/~jnz1568/getInfo.php?workbook=12_05.xlsx&amp;sheet=U0&amp;row=8876&amp;col=6&amp;number=4.2&amp;sourceID=14","4.2")</f>
        <v>4.2</v>
      </c>
      <c r="G8876" s="4" t="str">
        <f>HYPERLINK("http://141.218.60.56/~jnz1568/getInfo.php?workbook=12_05.xlsx&amp;sheet=U0&amp;row=8876&amp;col=7&amp;number=0.000226&amp;sourceID=14","0.000226")</f>
        <v>0.000226</v>
      </c>
    </row>
    <row r="8877" spans="1:7">
      <c r="A8877" s="3"/>
      <c r="B8877" s="3"/>
      <c r="C8877" s="3"/>
      <c r="D8877" s="3"/>
      <c r="E8877" s="3">
        <v>14</v>
      </c>
      <c r="F8877" s="4" t="str">
        <f>HYPERLINK("http://141.218.60.56/~jnz1568/getInfo.php?workbook=12_05.xlsx&amp;sheet=U0&amp;row=8877&amp;col=6&amp;number=4.3&amp;sourceID=14","4.3")</f>
        <v>4.3</v>
      </c>
      <c r="G8877" s="4" t="str">
        <f>HYPERLINK("http://141.218.60.56/~jnz1568/getInfo.php?workbook=12_05.xlsx&amp;sheet=U0&amp;row=8877&amp;col=7&amp;number=0.000225&amp;sourceID=14","0.000225")</f>
        <v>0.000225</v>
      </c>
    </row>
    <row r="8878" spans="1:7">
      <c r="A8878" s="3"/>
      <c r="B8878" s="3"/>
      <c r="C8878" s="3"/>
      <c r="D8878" s="3"/>
      <c r="E8878" s="3">
        <v>15</v>
      </c>
      <c r="F8878" s="4" t="str">
        <f>HYPERLINK("http://141.218.60.56/~jnz1568/getInfo.php?workbook=12_05.xlsx&amp;sheet=U0&amp;row=8878&amp;col=6&amp;number=4.4&amp;sourceID=14","4.4")</f>
        <v>4.4</v>
      </c>
      <c r="G8878" s="4" t="str">
        <f>HYPERLINK("http://141.218.60.56/~jnz1568/getInfo.php?workbook=12_05.xlsx&amp;sheet=U0&amp;row=8878&amp;col=7&amp;number=0.000224&amp;sourceID=14","0.000224")</f>
        <v>0.000224</v>
      </c>
    </row>
    <row r="8879" spans="1:7">
      <c r="A8879" s="3"/>
      <c r="B8879" s="3"/>
      <c r="C8879" s="3"/>
      <c r="D8879" s="3"/>
      <c r="E8879" s="3">
        <v>16</v>
      </c>
      <c r="F8879" s="4" t="str">
        <f>HYPERLINK("http://141.218.60.56/~jnz1568/getInfo.php?workbook=12_05.xlsx&amp;sheet=U0&amp;row=8879&amp;col=6&amp;number=4.5&amp;sourceID=14","4.5")</f>
        <v>4.5</v>
      </c>
      <c r="G8879" s="4" t="str">
        <f>HYPERLINK("http://141.218.60.56/~jnz1568/getInfo.php?workbook=12_05.xlsx&amp;sheet=U0&amp;row=8879&amp;col=7&amp;number=0.000223&amp;sourceID=14","0.000223")</f>
        <v>0.000223</v>
      </c>
    </row>
    <row r="8880" spans="1:7">
      <c r="A8880" s="3"/>
      <c r="B8880" s="3"/>
      <c r="C8880" s="3"/>
      <c r="D8880" s="3"/>
      <c r="E8880" s="3">
        <v>17</v>
      </c>
      <c r="F8880" s="4" t="str">
        <f>HYPERLINK("http://141.218.60.56/~jnz1568/getInfo.php?workbook=12_05.xlsx&amp;sheet=U0&amp;row=8880&amp;col=6&amp;number=4.6&amp;sourceID=14","4.6")</f>
        <v>4.6</v>
      </c>
      <c r="G8880" s="4" t="str">
        <f>HYPERLINK("http://141.218.60.56/~jnz1568/getInfo.php?workbook=12_05.xlsx&amp;sheet=U0&amp;row=8880&amp;col=7&amp;number=0.000221&amp;sourceID=14","0.000221")</f>
        <v>0.000221</v>
      </c>
    </row>
    <row r="8881" spans="1:7">
      <c r="A8881" s="3"/>
      <c r="B8881" s="3"/>
      <c r="C8881" s="3"/>
      <c r="D8881" s="3"/>
      <c r="E8881" s="3">
        <v>18</v>
      </c>
      <c r="F8881" s="4" t="str">
        <f>HYPERLINK("http://141.218.60.56/~jnz1568/getInfo.php?workbook=12_05.xlsx&amp;sheet=U0&amp;row=8881&amp;col=6&amp;number=4.7&amp;sourceID=14","4.7")</f>
        <v>4.7</v>
      </c>
      <c r="G8881" s="4" t="str">
        <f>HYPERLINK("http://141.218.60.56/~jnz1568/getInfo.php?workbook=12_05.xlsx&amp;sheet=U0&amp;row=8881&amp;col=7&amp;number=0.000219&amp;sourceID=14","0.000219")</f>
        <v>0.000219</v>
      </c>
    </row>
    <row r="8882" spans="1:7">
      <c r="A8882" s="3"/>
      <c r="B8882" s="3"/>
      <c r="C8882" s="3"/>
      <c r="D8882" s="3"/>
      <c r="E8882" s="3">
        <v>19</v>
      </c>
      <c r="F8882" s="4" t="str">
        <f>HYPERLINK("http://141.218.60.56/~jnz1568/getInfo.php?workbook=12_05.xlsx&amp;sheet=U0&amp;row=8882&amp;col=6&amp;number=4.8&amp;sourceID=14","4.8")</f>
        <v>4.8</v>
      </c>
      <c r="G8882" s="4" t="str">
        <f>HYPERLINK("http://141.218.60.56/~jnz1568/getInfo.php?workbook=12_05.xlsx&amp;sheet=U0&amp;row=8882&amp;col=7&amp;number=0.000217&amp;sourceID=14","0.000217")</f>
        <v>0.000217</v>
      </c>
    </row>
    <row r="8883" spans="1:7">
      <c r="A8883" s="3"/>
      <c r="B8883" s="3"/>
      <c r="C8883" s="3"/>
      <c r="D8883" s="3"/>
      <c r="E8883" s="3">
        <v>20</v>
      </c>
      <c r="F8883" s="4" t="str">
        <f>HYPERLINK("http://141.218.60.56/~jnz1568/getInfo.php?workbook=12_05.xlsx&amp;sheet=U0&amp;row=8883&amp;col=6&amp;number=4.9&amp;sourceID=14","4.9")</f>
        <v>4.9</v>
      </c>
      <c r="G8883" s="4" t="str">
        <f>HYPERLINK("http://141.218.60.56/~jnz1568/getInfo.php?workbook=12_05.xlsx&amp;sheet=U0&amp;row=8883&amp;col=7&amp;number=0.000214&amp;sourceID=14","0.000214")</f>
        <v>0.000214</v>
      </c>
    </row>
    <row r="8884" spans="1:7">
      <c r="A8884" s="3">
        <v>12</v>
      </c>
      <c r="B8884" s="3">
        <v>5</v>
      </c>
      <c r="C8884" s="3">
        <v>3</v>
      </c>
      <c r="D8884" s="3">
        <v>118</v>
      </c>
      <c r="E8884" s="3">
        <v>1</v>
      </c>
      <c r="F8884" s="4" t="str">
        <f>HYPERLINK("http://141.218.60.56/~jnz1568/getInfo.php?workbook=12_05.xlsx&amp;sheet=U0&amp;row=8884&amp;col=6&amp;number=3&amp;sourceID=14","3")</f>
        <v>3</v>
      </c>
      <c r="G8884" s="4" t="str">
        <f>HYPERLINK("http://141.218.60.56/~jnz1568/getInfo.php?workbook=12_05.xlsx&amp;sheet=U0&amp;row=8884&amp;col=7&amp;number=8.79e-05&amp;sourceID=14","8.79e-05")</f>
        <v>8.79e-05</v>
      </c>
    </row>
    <row r="8885" spans="1:7">
      <c r="A8885" s="3"/>
      <c r="B8885" s="3"/>
      <c r="C8885" s="3"/>
      <c r="D8885" s="3"/>
      <c r="E8885" s="3">
        <v>2</v>
      </c>
      <c r="F8885" s="4" t="str">
        <f>HYPERLINK("http://141.218.60.56/~jnz1568/getInfo.php?workbook=12_05.xlsx&amp;sheet=U0&amp;row=8885&amp;col=6&amp;number=3.1&amp;sourceID=14","3.1")</f>
        <v>3.1</v>
      </c>
      <c r="G8885" s="4" t="str">
        <f>HYPERLINK("http://141.218.60.56/~jnz1568/getInfo.php?workbook=12_05.xlsx&amp;sheet=U0&amp;row=8885&amp;col=7&amp;number=8.78e-05&amp;sourceID=14","8.78e-05")</f>
        <v>8.78e-05</v>
      </c>
    </row>
    <row r="8886" spans="1:7">
      <c r="A8886" s="3"/>
      <c r="B8886" s="3"/>
      <c r="C8886" s="3"/>
      <c r="D8886" s="3"/>
      <c r="E8886" s="3">
        <v>3</v>
      </c>
      <c r="F8886" s="4" t="str">
        <f>HYPERLINK("http://141.218.60.56/~jnz1568/getInfo.php?workbook=12_05.xlsx&amp;sheet=U0&amp;row=8886&amp;col=6&amp;number=3.2&amp;sourceID=14","3.2")</f>
        <v>3.2</v>
      </c>
      <c r="G8886" s="4" t="str">
        <f>HYPERLINK("http://141.218.60.56/~jnz1568/getInfo.php?workbook=12_05.xlsx&amp;sheet=U0&amp;row=8886&amp;col=7&amp;number=8.78e-05&amp;sourceID=14","8.78e-05")</f>
        <v>8.78e-05</v>
      </c>
    </row>
    <row r="8887" spans="1:7">
      <c r="A8887" s="3"/>
      <c r="B8887" s="3"/>
      <c r="C8887" s="3"/>
      <c r="D8887" s="3"/>
      <c r="E8887" s="3">
        <v>4</v>
      </c>
      <c r="F8887" s="4" t="str">
        <f>HYPERLINK("http://141.218.60.56/~jnz1568/getInfo.php?workbook=12_05.xlsx&amp;sheet=U0&amp;row=8887&amp;col=6&amp;number=3.3&amp;sourceID=14","3.3")</f>
        <v>3.3</v>
      </c>
      <c r="G8887" s="4" t="str">
        <f>HYPERLINK("http://141.218.60.56/~jnz1568/getInfo.php?workbook=12_05.xlsx&amp;sheet=U0&amp;row=8887&amp;col=7&amp;number=8.78e-05&amp;sourceID=14","8.78e-05")</f>
        <v>8.78e-05</v>
      </c>
    </row>
    <row r="8888" spans="1:7">
      <c r="A8888" s="3"/>
      <c r="B8888" s="3"/>
      <c r="C8888" s="3"/>
      <c r="D8888" s="3"/>
      <c r="E8888" s="3">
        <v>5</v>
      </c>
      <c r="F8888" s="4" t="str">
        <f>HYPERLINK("http://141.218.60.56/~jnz1568/getInfo.php?workbook=12_05.xlsx&amp;sheet=U0&amp;row=8888&amp;col=6&amp;number=3.4&amp;sourceID=14","3.4")</f>
        <v>3.4</v>
      </c>
      <c r="G8888" s="4" t="str">
        <f>HYPERLINK("http://141.218.60.56/~jnz1568/getInfo.php?workbook=12_05.xlsx&amp;sheet=U0&amp;row=8888&amp;col=7&amp;number=8.78e-05&amp;sourceID=14","8.78e-05")</f>
        <v>8.78e-05</v>
      </c>
    </row>
    <row r="8889" spans="1:7">
      <c r="A8889" s="3"/>
      <c r="B8889" s="3"/>
      <c r="C8889" s="3"/>
      <c r="D8889" s="3"/>
      <c r="E8889" s="3">
        <v>6</v>
      </c>
      <c r="F8889" s="4" t="str">
        <f>HYPERLINK("http://141.218.60.56/~jnz1568/getInfo.php?workbook=12_05.xlsx&amp;sheet=U0&amp;row=8889&amp;col=6&amp;number=3.5&amp;sourceID=14","3.5")</f>
        <v>3.5</v>
      </c>
      <c r="G8889" s="4" t="str">
        <f>HYPERLINK("http://141.218.60.56/~jnz1568/getInfo.php?workbook=12_05.xlsx&amp;sheet=U0&amp;row=8889&amp;col=7&amp;number=8.77e-05&amp;sourceID=14","8.77e-05")</f>
        <v>8.77e-05</v>
      </c>
    </row>
    <row r="8890" spans="1:7">
      <c r="A8890" s="3"/>
      <c r="B8890" s="3"/>
      <c r="C8890" s="3"/>
      <c r="D8890" s="3"/>
      <c r="E8890" s="3">
        <v>7</v>
      </c>
      <c r="F8890" s="4" t="str">
        <f>HYPERLINK("http://141.218.60.56/~jnz1568/getInfo.php?workbook=12_05.xlsx&amp;sheet=U0&amp;row=8890&amp;col=6&amp;number=3.6&amp;sourceID=14","3.6")</f>
        <v>3.6</v>
      </c>
      <c r="G8890" s="4" t="str">
        <f>HYPERLINK("http://141.218.60.56/~jnz1568/getInfo.php?workbook=12_05.xlsx&amp;sheet=U0&amp;row=8890&amp;col=7&amp;number=8.77e-05&amp;sourceID=14","8.77e-05")</f>
        <v>8.77e-05</v>
      </c>
    </row>
    <row r="8891" spans="1:7">
      <c r="A8891" s="3"/>
      <c r="B8891" s="3"/>
      <c r="C8891" s="3"/>
      <c r="D8891" s="3"/>
      <c r="E8891" s="3">
        <v>8</v>
      </c>
      <c r="F8891" s="4" t="str">
        <f>HYPERLINK("http://141.218.60.56/~jnz1568/getInfo.php?workbook=12_05.xlsx&amp;sheet=U0&amp;row=8891&amp;col=6&amp;number=3.7&amp;sourceID=14","3.7")</f>
        <v>3.7</v>
      </c>
      <c r="G8891" s="4" t="str">
        <f>HYPERLINK("http://141.218.60.56/~jnz1568/getInfo.php?workbook=12_05.xlsx&amp;sheet=U0&amp;row=8891&amp;col=7&amp;number=8.76e-05&amp;sourceID=14","8.76e-05")</f>
        <v>8.76e-05</v>
      </c>
    </row>
    <row r="8892" spans="1:7">
      <c r="A8892" s="3"/>
      <c r="B8892" s="3"/>
      <c r="C8892" s="3"/>
      <c r="D8892" s="3"/>
      <c r="E8892" s="3">
        <v>9</v>
      </c>
      <c r="F8892" s="4" t="str">
        <f>HYPERLINK("http://141.218.60.56/~jnz1568/getInfo.php?workbook=12_05.xlsx&amp;sheet=U0&amp;row=8892&amp;col=6&amp;number=3.8&amp;sourceID=14","3.8")</f>
        <v>3.8</v>
      </c>
      <c r="G8892" s="4" t="str">
        <f>HYPERLINK("http://141.218.60.56/~jnz1568/getInfo.php?workbook=12_05.xlsx&amp;sheet=U0&amp;row=8892&amp;col=7&amp;number=8.75e-05&amp;sourceID=14","8.75e-05")</f>
        <v>8.75e-05</v>
      </c>
    </row>
    <row r="8893" spans="1:7">
      <c r="A8893" s="3"/>
      <c r="B8893" s="3"/>
      <c r="C8893" s="3"/>
      <c r="D8893" s="3"/>
      <c r="E8893" s="3">
        <v>10</v>
      </c>
      <c r="F8893" s="4" t="str">
        <f>HYPERLINK("http://141.218.60.56/~jnz1568/getInfo.php?workbook=12_05.xlsx&amp;sheet=U0&amp;row=8893&amp;col=6&amp;number=3.9&amp;sourceID=14","3.9")</f>
        <v>3.9</v>
      </c>
      <c r="G8893" s="4" t="str">
        <f>HYPERLINK("http://141.218.60.56/~jnz1568/getInfo.php?workbook=12_05.xlsx&amp;sheet=U0&amp;row=8893&amp;col=7&amp;number=8.74e-05&amp;sourceID=14","8.74e-05")</f>
        <v>8.74e-05</v>
      </c>
    </row>
    <row r="8894" spans="1:7">
      <c r="A8894" s="3"/>
      <c r="B8894" s="3"/>
      <c r="C8894" s="3"/>
      <c r="D8894" s="3"/>
      <c r="E8894" s="3">
        <v>11</v>
      </c>
      <c r="F8894" s="4" t="str">
        <f>HYPERLINK("http://141.218.60.56/~jnz1568/getInfo.php?workbook=12_05.xlsx&amp;sheet=U0&amp;row=8894&amp;col=6&amp;number=4&amp;sourceID=14","4")</f>
        <v>4</v>
      </c>
      <c r="G8894" s="4" t="str">
        <f>HYPERLINK("http://141.218.60.56/~jnz1568/getInfo.php?workbook=12_05.xlsx&amp;sheet=U0&amp;row=8894&amp;col=7&amp;number=8.72e-05&amp;sourceID=14","8.72e-05")</f>
        <v>8.72e-05</v>
      </c>
    </row>
    <row r="8895" spans="1:7">
      <c r="A8895" s="3"/>
      <c r="B8895" s="3"/>
      <c r="C8895" s="3"/>
      <c r="D8895" s="3"/>
      <c r="E8895" s="3">
        <v>12</v>
      </c>
      <c r="F8895" s="4" t="str">
        <f>HYPERLINK("http://141.218.60.56/~jnz1568/getInfo.php?workbook=12_05.xlsx&amp;sheet=U0&amp;row=8895&amp;col=6&amp;number=4.1&amp;sourceID=14","4.1")</f>
        <v>4.1</v>
      </c>
      <c r="G8895" s="4" t="str">
        <f>HYPERLINK("http://141.218.60.56/~jnz1568/getInfo.php?workbook=12_05.xlsx&amp;sheet=U0&amp;row=8895&amp;col=7&amp;number=8.7e-05&amp;sourceID=14","8.7e-05")</f>
        <v>8.7e-05</v>
      </c>
    </row>
    <row r="8896" spans="1:7">
      <c r="A8896" s="3"/>
      <c r="B8896" s="3"/>
      <c r="C8896" s="3"/>
      <c r="D8896" s="3"/>
      <c r="E8896" s="3">
        <v>13</v>
      </c>
      <c r="F8896" s="4" t="str">
        <f>HYPERLINK("http://141.218.60.56/~jnz1568/getInfo.php?workbook=12_05.xlsx&amp;sheet=U0&amp;row=8896&amp;col=6&amp;number=4.2&amp;sourceID=14","4.2")</f>
        <v>4.2</v>
      </c>
      <c r="G8896" s="4" t="str">
        <f>HYPERLINK("http://141.218.60.56/~jnz1568/getInfo.php?workbook=12_05.xlsx&amp;sheet=U0&amp;row=8896&amp;col=7&amp;number=8.68e-05&amp;sourceID=14","8.68e-05")</f>
        <v>8.68e-05</v>
      </c>
    </row>
    <row r="8897" spans="1:7">
      <c r="A8897" s="3"/>
      <c r="B8897" s="3"/>
      <c r="C8897" s="3"/>
      <c r="D8897" s="3"/>
      <c r="E8897" s="3">
        <v>14</v>
      </c>
      <c r="F8897" s="4" t="str">
        <f>HYPERLINK("http://141.218.60.56/~jnz1568/getInfo.php?workbook=12_05.xlsx&amp;sheet=U0&amp;row=8897&amp;col=6&amp;number=4.3&amp;sourceID=14","4.3")</f>
        <v>4.3</v>
      </c>
      <c r="G8897" s="4" t="str">
        <f>HYPERLINK("http://141.218.60.56/~jnz1568/getInfo.php?workbook=12_05.xlsx&amp;sheet=U0&amp;row=8897&amp;col=7&amp;number=8.65e-05&amp;sourceID=14","8.65e-05")</f>
        <v>8.65e-05</v>
      </c>
    </row>
    <row r="8898" spans="1:7">
      <c r="A8898" s="3"/>
      <c r="B8898" s="3"/>
      <c r="C8898" s="3"/>
      <c r="D8898" s="3"/>
      <c r="E8898" s="3">
        <v>15</v>
      </c>
      <c r="F8898" s="4" t="str">
        <f>HYPERLINK("http://141.218.60.56/~jnz1568/getInfo.php?workbook=12_05.xlsx&amp;sheet=U0&amp;row=8898&amp;col=6&amp;number=4.4&amp;sourceID=14","4.4")</f>
        <v>4.4</v>
      </c>
      <c r="G8898" s="4" t="str">
        <f>HYPERLINK("http://141.218.60.56/~jnz1568/getInfo.php?workbook=12_05.xlsx&amp;sheet=U0&amp;row=8898&amp;col=7&amp;number=8.61e-05&amp;sourceID=14","8.61e-05")</f>
        <v>8.61e-05</v>
      </c>
    </row>
    <row r="8899" spans="1:7">
      <c r="A8899" s="3"/>
      <c r="B8899" s="3"/>
      <c r="C8899" s="3"/>
      <c r="D8899" s="3"/>
      <c r="E8899" s="3">
        <v>16</v>
      </c>
      <c r="F8899" s="4" t="str">
        <f>HYPERLINK("http://141.218.60.56/~jnz1568/getInfo.php?workbook=12_05.xlsx&amp;sheet=U0&amp;row=8899&amp;col=6&amp;number=4.5&amp;sourceID=14","4.5")</f>
        <v>4.5</v>
      </c>
      <c r="G8899" s="4" t="str">
        <f>HYPERLINK("http://141.218.60.56/~jnz1568/getInfo.php?workbook=12_05.xlsx&amp;sheet=U0&amp;row=8899&amp;col=7&amp;number=8.57e-05&amp;sourceID=14","8.57e-05")</f>
        <v>8.57e-05</v>
      </c>
    </row>
    <row r="8900" spans="1:7">
      <c r="A8900" s="3"/>
      <c r="B8900" s="3"/>
      <c r="C8900" s="3"/>
      <c r="D8900" s="3"/>
      <c r="E8900" s="3">
        <v>17</v>
      </c>
      <c r="F8900" s="4" t="str">
        <f>HYPERLINK("http://141.218.60.56/~jnz1568/getInfo.php?workbook=12_05.xlsx&amp;sheet=U0&amp;row=8900&amp;col=6&amp;number=4.6&amp;sourceID=14","4.6")</f>
        <v>4.6</v>
      </c>
      <c r="G8900" s="4" t="str">
        <f>HYPERLINK("http://141.218.60.56/~jnz1568/getInfo.php?workbook=12_05.xlsx&amp;sheet=U0&amp;row=8900&amp;col=7&amp;number=8.51e-05&amp;sourceID=14","8.51e-05")</f>
        <v>8.51e-05</v>
      </c>
    </row>
    <row r="8901" spans="1:7">
      <c r="A8901" s="3"/>
      <c r="B8901" s="3"/>
      <c r="C8901" s="3"/>
      <c r="D8901" s="3"/>
      <c r="E8901" s="3">
        <v>18</v>
      </c>
      <c r="F8901" s="4" t="str">
        <f>HYPERLINK("http://141.218.60.56/~jnz1568/getInfo.php?workbook=12_05.xlsx&amp;sheet=U0&amp;row=8901&amp;col=6&amp;number=4.7&amp;sourceID=14","4.7")</f>
        <v>4.7</v>
      </c>
      <c r="G8901" s="4" t="str">
        <f>HYPERLINK("http://141.218.60.56/~jnz1568/getInfo.php?workbook=12_05.xlsx&amp;sheet=U0&amp;row=8901&amp;col=7&amp;number=8.44e-05&amp;sourceID=14","8.44e-05")</f>
        <v>8.44e-05</v>
      </c>
    </row>
    <row r="8902" spans="1:7">
      <c r="A8902" s="3"/>
      <c r="B8902" s="3"/>
      <c r="C8902" s="3"/>
      <c r="D8902" s="3"/>
      <c r="E8902" s="3">
        <v>19</v>
      </c>
      <c r="F8902" s="4" t="str">
        <f>HYPERLINK("http://141.218.60.56/~jnz1568/getInfo.php?workbook=12_05.xlsx&amp;sheet=U0&amp;row=8902&amp;col=6&amp;number=4.8&amp;sourceID=14","4.8")</f>
        <v>4.8</v>
      </c>
      <c r="G8902" s="4" t="str">
        <f>HYPERLINK("http://141.218.60.56/~jnz1568/getInfo.php?workbook=12_05.xlsx&amp;sheet=U0&amp;row=8902&amp;col=7&amp;number=8.35e-05&amp;sourceID=14","8.35e-05")</f>
        <v>8.35e-05</v>
      </c>
    </row>
    <row r="8903" spans="1:7">
      <c r="A8903" s="3"/>
      <c r="B8903" s="3"/>
      <c r="C8903" s="3"/>
      <c r="D8903" s="3"/>
      <c r="E8903" s="3">
        <v>20</v>
      </c>
      <c r="F8903" s="4" t="str">
        <f>HYPERLINK("http://141.218.60.56/~jnz1568/getInfo.php?workbook=12_05.xlsx&amp;sheet=U0&amp;row=8903&amp;col=6&amp;number=4.9&amp;sourceID=14","4.9")</f>
        <v>4.9</v>
      </c>
      <c r="G8903" s="4" t="str">
        <f>HYPERLINK("http://141.218.60.56/~jnz1568/getInfo.php?workbook=12_05.xlsx&amp;sheet=U0&amp;row=8903&amp;col=7&amp;number=8.24e-05&amp;sourceID=14","8.24e-05")</f>
        <v>8.24e-05</v>
      </c>
    </row>
    <row r="8904" spans="1:7">
      <c r="A8904" s="3">
        <v>12</v>
      </c>
      <c r="B8904" s="3">
        <v>5</v>
      </c>
      <c r="C8904" s="3">
        <v>3</v>
      </c>
      <c r="D8904" s="3">
        <v>119</v>
      </c>
      <c r="E8904" s="3">
        <v>1</v>
      </c>
      <c r="F8904" s="4" t="str">
        <f>HYPERLINK("http://141.218.60.56/~jnz1568/getInfo.php?workbook=12_05.xlsx&amp;sheet=U0&amp;row=8904&amp;col=6&amp;number=3&amp;sourceID=14","3")</f>
        <v>3</v>
      </c>
      <c r="G8904" s="4" t="str">
        <f>HYPERLINK("http://141.218.60.56/~jnz1568/getInfo.php?workbook=12_05.xlsx&amp;sheet=U0&amp;row=8904&amp;col=7&amp;number=0.0175&amp;sourceID=14","0.0175")</f>
        <v>0.0175</v>
      </c>
    </row>
    <row r="8905" spans="1:7">
      <c r="A8905" s="3"/>
      <c r="B8905" s="3"/>
      <c r="C8905" s="3"/>
      <c r="D8905" s="3"/>
      <c r="E8905" s="3">
        <v>2</v>
      </c>
      <c r="F8905" s="4" t="str">
        <f>HYPERLINK("http://141.218.60.56/~jnz1568/getInfo.php?workbook=12_05.xlsx&amp;sheet=U0&amp;row=8905&amp;col=6&amp;number=3.1&amp;sourceID=14","3.1")</f>
        <v>3.1</v>
      </c>
      <c r="G8905" s="4" t="str">
        <f>HYPERLINK("http://141.218.60.56/~jnz1568/getInfo.php?workbook=12_05.xlsx&amp;sheet=U0&amp;row=8905&amp;col=7&amp;number=0.0175&amp;sourceID=14","0.0175")</f>
        <v>0.0175</v>
      </c>
    </row>
    <row r="8906" spans="1:7">
      <c r="A8906" s="3"/>
      <c r="B8906" s="3"/>
      <c r="C8906" s="3"/>
      <c r="D8906" s="3"/>
      <c r="E8906" s="3">
        <v>3</v>
      </c>
      <c r="F8906" s="4" t="str">
        <f>HYPERLINK("http://141.218.60.56/~jnz1568/getInfo.php?workbook=12_05.xlsx&amp;sheet=U0&amp;row=8906&amp;col=6&amp;number=3.2&amp;sourceID=14","3.2")</f>
        <v>3.2</v>
      </c>
      <c r="G8906" s="4" t="str">
        <f>HYPERLINK("http://141.218.60.56/~jnz1568/getInfo.php?workbook=12_05.xlsx&amp;sheet=U0&amp;row=8906&amp;col=7&amp;number=0.0175&amp;sourceID=14","0.0175")</f>
        <v>0.0175</v>
      </c>
    </row>
    <row r="8907" spans="1:7">
      <c r="A8907" s="3"/>
      <c r="B8907" s="3"/>
      <c r="C8907" s="3"/>
      <c r="D8907" s="3"/>
      <c r="E8907" s="3">
        <v>4</v>
      </c>
      <c r="F8907" s="4" t="str">
        <f>HYPERLINK("http://141.218.60.56/~jnz1568/getInfo.php?workbook=12_05.xlsx&amp;sheet=U0&amp;row=8907&amp;col=6&amp;number=3.3&amp;sourceID=14","3.3")</f>
        <v>3.3</v>
      </c>
      <c r="G8907" s="4" t="str">
        <f>HYPERLINK("http://141.218.60.56/~jnz1568/getInfo.php?workbook=12_05.xlsx&amp;sheet=U0&amp;row=8907&amp;col=7&amp;number=0.0175&amp;sourceID=14","0.0175")</f>
        <v>0.0175</v>
      </c>
    </row>
    <row r="8908" spans="1:7">
      <c r="A8908" s="3"/>
      <c r="B8908" s="3"/>
      <c r="C8908" s="3"/>
      <c r="D8908" s="3"/>
      <c r="E8908" s="3">
        <v>5</v>
      </c>
      <c r="F8908" s="4" t="str">
        <f>HYPERLINK("http://141.218.60.56/~jnz1568/getInfo.php?workbook=12_05.xlsx&amp;sheet=U0&amp;row=8908&amp;col=6&amp;number=3.4&amp;sourceID=14","3.4")</f>
        <v>3.4</v>
      </c>
      <c r="G8908" s="4" t="str">
        <f>HYPERLINK("http://141.218.60.56/~jnz1568/getInfo.php?workbook=12_05.xlsx&amp;sheet=U0&amp;row=8908&amp;col=7&amp;number=0.0175&amp;sourceID=14","0.0175")</f>
        <v>0.0175</v>
      </c>
    </row>
    <row r="8909" spans="1:7">
      <c r="A8909" s="3"/>
      <c r="B8909" s="3"/>
      <c r="C8909" s="3"/>
      <c r="D8909" s="3"/>
      <c r="E8909" s="3">
        <v>6</v>
      </c>
      <c r="F8909" s="4" t="str">
        <f>HYPERLINK("http://141.218.60.56/~jnz1568/getInfo.php?workbook=12_05.xlsx&amp;sheet=U0&amp;row=8909&amp;col=6&amp;number=3.5&amp;sourceID=14","3.5")</f>
        <v>3.5</v>
      </c>
      <c r="G8909" s="4" t="str">
        <f>HYPERLINK("http://141.218.60.56/~jnz1568/getInfo.php?workbook=12_05.xlsx&amp;sheet=U0&amp;row=8909&amp;col=7&amp;number=0.0175&amp;sourceID=14","0.0175")</f>
        <v>0.0175</v>
      </c>
    </row>
    <row r="8910" spans="1:7">
      <c r="A8910" s="3"/>
      <c r="B8910" s="3"/>
      <c r="C8910" s="3"/>
      <c r="D8910" s="3"/>
      <c r="E8910" s="3">
        <v>7</v>
      </c>
      <c r="F8910" s="4" t="str">
        <f>HYPERLINK("http://141.218.60.56/~jnz1568/getInfo.php?workbook=12_05.xlsx&amp;sheet=U0&amp;row=8910&amp;col=6&amp;number=3.6&amp;sourceID=14","3.6")</f>
        <v>3.6</v>
      </c>
      <c r="G8910" s="4" t="str">
        <f>HYPERLINK("http://141.218.60.56/~jnz1568/getInfo.php?workbook=12_05.xlsx&amp;sheet=U0&amp;row=8910&amp;col=7&amp;number=0.0175&amp;sourceID=14","0.0175")</f>
        <v>0.0175</v>
      </c>
    </row>
    <row r="8911" spans="1:7">
      <c r="A8911" s="3"/>
      <c r="B8911" s="3"/>
      <c r="C8911" s="3"/>
      <c r="D8911" s="3"/>
      <c r="E8911" s="3">
        <v>8</v>
      </c>
      <c r="F8911" s="4" t="str">
        <f>HYPERLINK("http://141.218.60.56/~jnz1568/getInfo.php?workbook=12_05.xlsx&amp;sheet=U0&amp;row=8911&amp;col=6&amp;number=3.7&amp;sourceID=14","3.7")</f>
        <v>3.7</v>
      </c>
      <c r="G8911" s="4" t="str">
        <f>HYPERLINK("http://141.218.60.56/~jnz1568/getInfo.php?workbook=12_05.xlsx&amp;sheet=U0&amp;row=8911&amp;col=7&amp;number=0.0174&amp;sourceID=14","0.0174")</f>
        <v>0.0174</v>
      </c>
    </row>
    <row r="8912" spans="1:7">
      <c r="A8912" s="3"/>
      <c r="B8912" s="3"/>
      <c r="C8912" s="3"/>
      <c r="D8912" s="3"/>
      <c r="E8912" s="3">
        <v>9</v>
      </c>
      <c r="F8912" s="4" t="str">
        <f>HYPERLINK("http://141.218.60.56/~jnz1568/getInfo.php?workbook=12_05.xlsx&amp;sheet=U0&amp;row=8912&amp;col=6&amp;number=3.8&amp;sourceID=14","3.8")</f>
        <v>3.8</v>
      </c>
      <c r="G8912" s="4" t="str">
        <f>HYPERLINK("http://141.218.60.56/~jnz1568/getInfo.php?workbook=12_05.xlsx&amp;sheet=U0&amp;row=8912&amp;col=7&amp;number=0.0174&amp;sourceID=14","0.0174")</f>
        <v>0.0174</v>
      </c>
    </row>
    <row r="8913" spans="1:7">
      <c r="A8913" s="3"/>
      <c r="B8913" s="3"/>
      <c r="C8913" s="3"/>
      <c r="D8913" s="3"/>
      <c r="E8913" s="3">
        <v>10</v>
      </c>
      <c r="F8913" s="4" t="str">
        <f>HYPERLINK("http://141.218.60.56/~jnz1568/getInfo.php?workbook=12_05.xlsx&amp;sheet=U0&amp;row=8913&amp;col=6&amp;number=3.9&amp;sourceID=14","3.9")</f>
        <v>3.9</v>
      </c>
      <c r="G8913" s="4" t="str">
        <f>HYPERLINK("http://141.218.60.56/~jnz1568/getInfo.php?workbook=12_05.xlsx&amp;sheet=U0&amp;row=8913&amp;col=7&amp;number=0.0174&amp;sourceID=14","0.0174")</f>
        <v>0.0174</v>
      </c>
    </row>
    <row r="8914" spans="1:7">
      <c r="A8914" s="3"/>
      <c r="B8914" s="3"/>
      <c r="C8914" s="3"/>
      <c r="D8914" s="3"/>
      <c r="E8914" s="3">
        <v>11</v>
      </c>
      <c r="F8914" s="4" t="str">
        <f>HYPERLINK("http://141.218.60.56/~jnz1568/getInfo.php?workbook=12_05.xlsx&amp;sheet=U0&amp;row=8914&amp;col=6&amp;number=4&amp;sourceID=14","4")</f>
        <v>4</v>
      </c>
      <c r="G8914" s="4" t="str">
        <f>HYPERLINK("http://141.218.60.56/~jnz1568/getInfo.php?workbook=12_05.xlsx&amp;sheet=U0&amp;row=8914&amp;col=7&amp;number=0.0174&amp;sourceID=14","0.0174")</f>
        <v>0.0174</v>
      </c>
    </row>
    <row r="8915" spans="1:7">
      <c r="A8915" s="3"/>
      <c r="B8915" s="3"/>
      <c r="C8915" s="3"/>
      <c r="D8915" s="3"/>
      <c r="E8915" s="3">
        <v>12</v>
      </c>
      <c r="F8915" s="4" t="str">
        <f>HYPERLINK("http://141.218.60.56/~jnz1568/getInfo.php?workbook=12_05.xlsx&amp;sheet=U0&amp;row=8915&amp;col=6&amp;number=4.1&amp;sourceID=14","4.1")</f>
        <v>4.1</v>
      </c>
      <c r="G8915" s="4" t="str">
        <f>HYPERLINK("http://141.218.60.56/~jnz1568/getInfo.php?workbook=12_05.xlsx&amp;sheet=U0&amp;row=8915&amp;col=7&amp;number=0.0174&amp;sourceID=14","0.0174")</f>
        <v>0.0174</v>
      </c>
    </row>
    <row r="8916" spans="1:7">
      <c r="A8916" s="3"/>
      <c r="B8916" s="3"/>
      <c r="C8916" s="3"/>
      <c r="D8916" s="3"/>
      <c r="E8916" s="3">
        <v>13</v>
      </c>
      <c r="F8916" s="4" t="str">
        <f>HYPERLINK("http://141.218.60.56/~jnz1568/getInfo.php?workbook=12_05.xlsx&amp;sheet=U0&amp;row=8916&amp;col=6&amp;number=4.2&amp;sourceID=14","4.2")</f>
        <v>4.2</v>
      </c>
      <c r="G8916" s="4" t="str">
        <f>HYPERLINK("http://141.218.60.56/~jnz1568/getInfo.php?workbook=12_05.xlsx&amp;sheet=U0&amp;row=8916&amp;col=7&amp;number=0.0173&amp;sourceID=14","0.0173")</f>
        <v>0.0173</v>
      </c>
    </row>
    <row r="8917" spans="1:7">
      <c r="A8917" s="3"/>
      <c r="B8917" s="3"/>
      <c r="C8917" s="3"/>
      <c r="D8917" s="3"/>
      <c r="E8917" s="3">
        <v>14</v>
      </c>
      <c r="F8917" s="4" t="str">
        <f>HYPERLINK("http://141.218.60.56/~jnz1568/getInfo.php?workbook=12_05.xlsx&amp;sheet=U0&amp;row=8917&amp;col=6&amp;number=4.3&amp;sourceID=14","4.3")</f>
        <v>4.3</v>
      </c>
      <c r="G8917" s="4" t="str">
        <f>HYPERLINK("http://141.218.60.56/~jnz1568/getInfo.php?workbook=12_05.xlsx&amp;sheet=U0&amp;row=8917&amp;col=7&amp;number=0.0173&amp;sourceID=14","0.0173")</f>
        <v>0.0173</v>
      </c>
    </row>
    <row r="8918" spans="1:7">
      <c r="A8918" s="3"/>
      <c r="B8918" s="3"/>
      <c r="C8918" s="3"/>
      <c r="D8918" s="3"/>
      <c r="E8918" s="3">
        <v>15</v>
      </c>
      <c r="F8918" s="4" t="str">
        <f>HYPERLINK("http://141.218.60.56/~jnz1568/getInfo.php?workbook=12_05.xlsx&amp;sheet=U0&amp;row=8918&amp;col=6&amp;number=4.4&amp;sourceID=14","4.4")</f>
        <v>4.4</v>
      </c>
      <c r="G8918" s="4" t="str">
        <f>HYPERLINK("http://141.218.60.56/~jnz1568/getInfo.php?workbook=12_05.xlsx&amp;sheet=U0&amp;row=8918&amp;col=7&amp;number=0.0173&amp;sourceID=14","0.0173")</f>
        <v>0.0173</v>
      </c>
    </row>
    <row r="8919" spans="1:7">
      <c r="A8919" s="3"/>
      <c r="B8919" s="3"/>
      <c r="C8919" s="3"/>
      <c r="D8919" s="3"/>
      <c r="E8919" s="3">
        <v>16</v>
      </c>
      <c r="F8919" s="4" t="str">
        <f>HYPERLINK("http://141.218.60.56/~jnz1568/getInfo.php?workbook=12_05.xlsx&amp;sheet=U0&amp;row=8919&amp;col=6&amp;number=4.5&amp;sourceID=14","4.5")</f>
        <v>4.5</v>
      </c>
      <c r="G8919" s="4" t="str">
        <f>HYPERLINK("http://141.218.60.56/~jnz1568/getInfo.php?workbook=12_05.xlsx&amp;sheet=U0&amp;row=8919&amp;col=7&amp;number=0.0172&amp;sourceID=14","0.0172")</f>
        <v>0.0172</v>
      </c>
    </row>
    <row r="8920" spans="1:7">
      <c r="A8920" s="3"/>
      <c r="B8920" s="3"/>
      <c r="C8920" s="3"/>
      <c r="D8920" s="3"/>
      <c r="E8920" s="3">
        <v>17</v>
      </c>
      <c r="F8920" s="4" t="str">
        <f>HYPERLINK("http://141.218.60.56/~jnz1568/getInfo.php?workbook=12_05.xlsx&amp;sheet=U0&amp;row=8920&amp;col=6&amp;number=4.6&amp;sourceID=14","4.6")</f>
        <v>4.6</v>
      </c>
      <c r="G8920" s="4" t="str">
        <f>HYPERLINK("http://141.218.60.56/~jnz1568/getInfo.php?workbook=12_05.xlsx&amp;sheet=U0&amp;row=8920&amp;col=7&amp;number=0.0171&amp;sourceID=14","0.0171")</f>
        <v>0.0171</v>
      </c>
    </row>
    <row r="8921" spans="1:7">
      <c r="A8921" s="3"/>
      <c r="B8921" s="3"/>
      <c r="C8921" s="3"/>
      <c r="D8921" s="3"/>
      <c r="E8921" s="3">
        <v>18</v>
      </c>
      <c r="F8921" s="4" t="str">
        <f>HYPERLINK("http://141.218.60.56/~jnz1568/getInfo.php?workbook=12_05.xlsx&amp;sheet=U0&amp;row=8921&amp;col=6&amp;number=4.7&amp;sourceID=14","4.7")</f>
        <v>4.7</v>
      </c>
      <c r="G8921" s="4" t="str">
        <f>HYPERLINK("http://141.218.60.56/~jnz1568/getInfo.php?workbook=12_05.xlsx&amp;sheet=U0&amp;row=8921&amp;col=7&amp;number=0.017&amp;sourceID=14","0.017")</f>
        <v>0.017</v>
      </c>
    </row>
    <row r="8922" spans="1:7">
      <c r="A8922" s="3"/>
      <c r="B8922" s="3"/>
      <c r="C8922" s="3"/>
      <c r="D8922" s="3"/>
      <c r="E8922" s="3">
        <v>19</v>
      </c>
      <c r="F8922" s="4" t="str">
        <f>HYPERLINK("http://141.218.60.56/~jnz1568/getInfo.php?workbook=12_05.xlsx&amp;sheet=U0&amp;row=8922&amp;col=6&amp;number=4.8&amp;sourceID=14","4.8")</f>
        <v>4.8</v>
      </c>
      <c r="G8922" s="4" t="str">
        <f>HYPERLINK("http://141.218.60.56/~jnz1568/getInfo.php?workbook=12_05.xlsx&amp;sheet=U0&amp;row=8922&amp;col=7&amp;number=0.0169&amp;sourceID=14","0.0169")</f>
        <v>0.0169</v>
      </c>
    </row>
    <row r="8923" spans="1:7">
      <c r="A8923" s="3"/>
      <c r="B8923" s="3"/>
      <c r="C8923" s="3"/>
      <c r="D8923" s="3"/>
      <c r="E8923" s="3">
        <v>20</v>
      </c>
      <c r="F8923" s="4" t="str">
        <f>HYPERLINK("http://141.218.60.56/~jnz1568/getInfo.php?workbook=12_05.xlsx&amp;sheet=U0&amp;row=8923&amp;col=6&amp;number=4.9&amp;sourceID=14","4.9")</f>
        <v>4.9</v>
      </c>
      <c r="G8923" s="4" t="str">
        <f>HYPERLINK("http://141.218.60.56/~jnz1568/getInfo.php?workbook=12_05.xlsx&amp;sheet=U0&amp;row=8923&amp;col=7&amp;number=0.0168&amp;sourceID=14","0.0168")</f>
        <v>0.0168</v>
      </c>
    </row>
    <row r="8924" spans="1:7">
      <c r="A8924" s="3">
        <v>12</v>
      </c>
      <c r="B8924" s="3">
        <v>5</v>
      </c>
      <c r="C8924" s="3">
        <v>3</v>
      </c>
      <c r="D8924" s="3">
        <v>120</v>
      </c>
      <c r="E8924" s="3">
        <v>1</v>
      </c>
      <c r="F8924" s="4" t="str">
        <f>HYPERLINK("http://141.218.60.56/~jnz1568/getInfo.php?workbook=12_05.xlsx&amp;sheet=U0&amp;row=8924&amp;col=6&amp;number=3&amp;sourceID=14","3")</f>
        <v>3</v>
      </c>
      <c r="G8924" s="4" t="str">
        <f>HYPERLINK("http://141.218.60.56/~jnz1568/getInfo.php?workbook=12_05.xlsx&amp;sheet=U0&amp;row=8924&amp;col=7&amp;number=0.0108&amp;sourceID=14","0.0108")</f>
        <v>0.0108</v>
      </c>
    </row>
    <row r="8925" spans="1:7">
      <c r="A8925" s="3"/>
      <c r="B8925" s="3"/>
      <c r="C8925" s="3"/>
      <c r="D8925" s="3"/>
      <c r="E8925" s="3">
        <v>2</v>
      </c>
      <c r="F8925" s="4" t="str">
        <f>HYPERLINK("http://141.218.60.56/~jnz1568/getInfo.php?workbook=12_05.xlsx&amp;sheet=U0&amp;row=8925&amp;col=6&amp;number=3.1&amp;sourceID=14","3.1")</f>
        <v>3.1</v>
      </c>
      <c r="G8925" s="4" t="str">
        <f>HYPERLINK("http://141.218.60.56/~jnz1568/getInfo.php?workbook=12_05.xlsx&amp;sheet=U0&amp;row=8925&amp;col=7&amp;number=0.0108&amp;sourceID=14","0.0108")</f>
        <v>0.0108</v>
      </c>
    </row>
    <row r="8926" spans="1:7">
      <c r="A8926" s="3"/>
      <c r="B8926" s="3"/>
      <c r="C8926" s="3"/>
      <c r="D8926" s="3"/>
      <c r="E8926" s="3">
        <v>3</v>
      </c>
      <c r="F8926" s="4" t="str">
        <f>HYPERLINK("http://141.218.60.56/~jnz1568/getInfo.php?workbook=12_05.xlsx&amp;sheet=U0&amp;row=8926&amp;col=6&amp;number=3.2&amp;sourceID=14","3.2")</f>
        <v>3.2</v>
      </c>
      <c r="G8926" s="4" t="str">
        <f>HYPERLINK("http://141.218.60.56/~jnz1568/getInfo.php?workbook=12_05.xlsx&amp;sheet=U0&amp;row=8926&amp;col=7&amp;number=0.0107&amp;sourceID=14","0.0107")</f>
        <v>0.0107</v>
      </c>
    </row>
    <row r="8927" spans="1:7">
      <c r="A8927" s="3"/>
      <c r="B8927" s="3"/>
      <c r="C8927" s="3"/>
      <c r="D8927" s="3"/>
      <c r="E8927" s="3">
        <v>4</v>
      </c>
      <c r="F8927" s="4" t="str">
        <f>HYPERLINK("http://141.218.60.56/~jnz1568/getInfo.php?workbook=12_05.xlsx&amp;sheet=U0&amp;row=8927&amp;col=6&amp;number=3.3&amp;sourceID=14","3.3")</f>
        <v>3.3</v>
      </c>
      <c r="G8927" s="4" t="str">
        <f>HYPERLINK("http://141.218.60.56/~jnz1568/getInfo.php?workbook=12_05.xlsx&amp;sheet=U0&amp;row=8927&amp;col=7&amp;number=0.0107&amp;sourceID=14","0.0107")</f>
        <v>0.0107</v>
      </c>
    </row>
    <row r="8928" spans="1:7">
      <c r="A8928" s="3"/>
      <c r="B8928" s="3"/>
      <c r="C8928" s="3"/>
      <c r="D8928" s="3"/>
      <c r="E8928" s="3">
        <v>5</v>
      </c>
      <c r="F8928" s="4" t="str">
        <f>HYPERLINK("http://141.218.60.56/~jnz1568/getInfo.php?workbook=12_05.xlsx&amp;sheet=U0&amp;row=8928&amp;col=6&amp;number=3.4&amp;sourceID=14","3.4")</f>
        <v>3.4</v>
      </c>
      <c r="G8928" s="4" t="str">
        <f>HYPERLINK("http://141.218.60.56/~jnz1568/getInfo.php?workbook=12_05.xlsx&amp;sheet=U0&amp;row=8928&amp;col=7&amp;number=0.0107&amp;sourceID=14","0.0107")</f>
        <v>0.0107</v>
      </c>
    </row>
    <row r="8929" spans="1:7">
      <c r="A8929" s="3"/>
      <c r="B8929" s="3"/>
      <c r="C8929" s="3"/>
      <c r="D8929" s="3"/>
      <c r="E8929" s="3">
        <v>6</v>
      </c>
      <c r="F8929" s="4" t="str">
        <f>HYPERLINK("http://141.218.60.56/~jnz1568/getInfo.php?workbook=12_05.xlsx&amp;sheet=U0&amp;row=8929&amp;col=6&amp;number=3.5&amp;sourceID=14","3.5")</f>
        <v>3.5</v>
      </c>
      <c r="G8929" s="4" t="str">
        <f>HYPERLINK("http://141.218.60.56/~jnz1568/getInfo.php?workbook=12_05.xlsx&amp;sheet=U0&amp;row=8929&amp;col=7&amp;number=0.0107&amp;sourceID=14","0.0107")</f>
        <v>0.0107</v>
      </c>
    </row>
    <row r="8930" spans="1:7">
      <c r="A8930" s="3"/>
      <c r="B8930" s="3"/>
      <c r="C8930" s="3"/>
      <c r="D8930" s="3"/>
      <c r="E8930" s="3">
        <v>7</v>
      </c>
      <c r="F8930" s="4" t="str">
        <f>HYPERLINK("http://141.218.60.56/~jnz1568/getInfo.php?workbook=12_05.xlsx&amp;sheet=U0&amp;row=8930&amp;col=6&amp;number=3.6&amp;sourceID=14","3.6")</f>
        <v>3.6</v>
      </c>
      <c r="G8930" s="4" t="str">
        <f>HYPERLINK("http://141.218.60.56/~jnz1568/getInfo.php?workbook=12_05.xlsx&amp;sheet=U0&amp;row=8930&amp;col=7&amp;number=0.0107&amp;sourceID=14","0.0107")</f>
        <v>0.0107</v>
      </c>
    </row>
    <row r="8931" spans="1:7">
      <c r="A8931" s="3"/>
      <c r="B8931" s="3"/>
      <c r="C8931" s="3"/>
      <c r="D8931" s="3"/>
      <c r="E8931" s="3">
        <v>8</v>
      </c>
      <c r="F8931" s="4" t="str">
        <f>HYPERLINK("http://141.218.60.56/~jnz1568/getInfo.php?workbook=12_05.xlsx&amp;sheet=U0&amp;row=8931&amp;col=6&amp;number=3.7&amp;sourceID=14","3.7")</f>
        <v>3.7</v>
      </c>
      <c r="G8931" s="4" t="str">
        <f>HYPERLINK("http://141.218.60.56/~jnz1568/getInfo.php?workbook=12_05.xlsx&amp;sheet=U0&amp;row=8931&amp;col=7&amp;number=0.0107&amp;sourceID=14","0.0107")</f>
        <v>0.0107</v>
      </c>
    </row>
    <row r="8932" spans="1:7">
      <c r="A8932" s="3"/>
      <c r="B8932" s="3"/>
      <c r="C8932" s="3"/>
      <c r="D8932" s="3"/>
      <c r="E8932" s="3">
        <v>9</v>
      </c>
      <c r="F8932" s="4" t="str">
        <f>HYPERLINK("http://141.218.60.56/~jnz1568/getInfo.php?workbook=12_05.xlsx&amp;sheet=U0&amp;row=8932&amp;col=6&amp;number=3.8&amp;sourceID=14","3.8")</f>
        <v>3.8</v>
      </c>
      <c r="G8932" s="4" t="str">
        <f>HYPERLINK("http://141.218.60.56/~jnz1568/getInfo.php?workbook=12_05.xlsx&amp;sheet=U0&amp;row=8932&amp;col=7&amp;number=0.0107&amp;sourceID=14","0.0107")</f>
        <v>0.0107</v>
      </c>
    </row>
    <row r="8933" spans="1:7">
      <c r="A8933" s="3"/>
      <c r="B8933" s="3"/>
      <c r="C8933" s="3"/>
      <c r="D8933" s="3"/>
      <c r="E8933" s="3">
        <v>10</v>
      </c>
      <c r="F8933" s="4" t="str">
        <f>HYPERLINK("http://141.218.60.56/~jnz1568/getInfo.php?workbook=12_05.xlsx&amp;sheet=U0&amp;row=8933&amp;col=6&amp;number=3.9&amp;sourceID=14","3.9")</f>
        <v>3.9</v>
      </c>
      <c r="G8933" s="4" t="str">
        <f>HYPERLINK("http://141.218.60.56/~jnz1568/getInfo.php?workbook=12_05.xlsx&amp;sheet=U0&amp;row=8933&amp;col=7&amp;number=0.0107&amp;sourceID=14","0.0107")</f>
        <v>0.0107</v>
      </c>
    </row>
    <row r="8934" spans="1:7">
      <c r="A8934" s="3"/>
      <c r="B8934" s="3"/>
      <c r="C8934" s="3"/>
      <c r="D8934" s="3"/>
      <c r="E8934" s="3">
        <v>11</v>
      </c>
      <c r="F8934" s="4" t="str">
        <f>HYPERLINK("http://141.218.60.56/~jnz1568/getInfo.php?workbook=12_05.xlsx&amp;sheet=U0&amp;row=8934&amp;col=6&amp;number=4&amp;sourceID=14","4")</f>
        <v>4</v>
      </c>
      <c r="G8934" s="4" t="str">
        <f>HYPERLINK("http://141.218.60.56/~jnz1568/getInfo.php?workbook=12_05.xlsx&amp;sheet=U0&amp;row=8934&amp;col=7&amp;number=0.0107&amp;sourceID=14","0.0107")</f>
        <v>0.0107</v>
      </c>
    </row>
    <row r="8935" spans="1:7">
      <c r="A8935" s="3"/>
      <c r="B8935" s="3"/>
      <c r="C8935" s="3"/>
      <c r="D8935" s="3"/>
      <c r="E8935" s="3">
        <v>12</v>
      </c>
      <c r="F8935" s="4" t="str">
        <f>HYPERLINK("http://141.218.60.56/~jnz1568/getInfo.php?workbook=12_05.xlsx&amp;sheet=U0&amp;row=8935&amp;col=6&amp;number=4.1&amp;sourceID=14","4.1")</f>
        <v>4.1</v>
      </c>
      <c r="G8935" s="4" t="str">
        <f>HYPERLINK("http://141.218.60.56/~jnz1568/getInfo.php?workbook=12_05.xlsx&amp;sheet=U0&amp;row=8935&amp;col=7&amp;number=0.0107&amp;sourceID=14","0.0107")</f>
        <v>0.0107</v>
      </c>
    </row>
    <row r="8936" spans="1:7">
      <c r="A8936" s="3"/>
      <c r="B8936" s="3"/>
      <c r="C8936" s="3"/>
      <c r="D8936" s="3"/>
      <c r="E8936" s="3">
        <v>13</v>
      </c>
      <c r="F8936" s="4" t="str">
        <f>HYPERLINK("http://141.218.60.56/~jnz1568/getInfo.php?workbook=12_05.xlsx&amp;sheet=U0&amp;row=8936&amp;col=6&amp;number=4.2&amp;sourceID=14","4.2")</f>
        <v>4.2</v>
      </c>
      <c r="G8936" s="4" t="str">
        <f>HYPERLINK("http://141.218.60.56/~jnz1568/getInfo.php?workbook=12_05.xlsx&amp;sheet=U0&amp;row=8936&amp;col=7&amp;number=0.0107&amp;sourceID=14","0.0107")</f>
        <v>0.0107</v>
      </c>
    </row>
    <row r="8937" spans="1:7">
      <c r="A8937" s="3"/>
      <c r="B8937" s="3"/>
      <c r="C8937" s="3"/>
      <c r="D8937" s="3"/>
      <c r="E8937" s="3">
        <v>14</v>
      </c>
      <c r="F8937" s="4" t="str">
        <f>HYPERLINK("http://141.218.60.56/~jnz1568/getInfo.php?workbook=12_05.xlsx&amp;sheet=U0&amp;row=8937&amp;col=6&amp;number=4.3&amp;sourceID=14","4.3")</f>
        <v>4.3</v>
      </c>
      <c r="G8937" s="4" t="str">
        <f>HYPERLINK("http://141.218.60.56/~jnz1568/getInfo.php?workbook=12_05.xlsx&amp;sheet=U0&amp;row=8937&amp;col=7&amp;number=0.0106&amp;sourceID=14","0.0106")</f>
        <v>0.0106</v>
      </c>
    </row>
    <row r="8938" spans="1:7">
      <c r="A8938" s="3"/>
      <c r="B8938" s="3"/>
      <c r="C8938" s="3"/>
      <c r="D8938" s="3"/>
      <c r="E8938" s="3">
        <v>15</v>
      </c>
      <c r="F8938" s="4" t="str">
        <f>HYPERLINK("http://141.218.60.56/~jnz1568/getInfo.php?workbook=12_05.xlsx&amp;sheet=U0&amp;row=8938&amp;col=6&amp;number=4.4&amp;sourceID=14","4.4")</f>
        <v>4.4</v>
      </c>
      <c r="G8938" s="4" t="str">
        <f>HYPERLINK("http://141.218.60.56/~jnz1568/getInfo.php?workbook=12_05.xlsx&amp;sheet=U0&amp;row=8938&amp;col=7&amp;number=0.0106&amp;sourceID=14","0.0106")</f>
        <v>0.0106</v>
      </c>
    </row>
    <row r="8939" spans="1:7">
      <c r="A8939" s="3"/>
      <c r="B8939" s="3"/>
      <c r="C8939" s="3"/>
      <c r="D8939" s="3"/>
      <c r="E8939" s="3">
        <v>16</v>
      </c>
      <c r="F8939" s="4" t="str">
        <f>HYPERLINK("http://141.218.60.56/~jnz1568/getInfo.php?workbook=12_05.xlsx&amp;sheet=U0&amp;row=8939&amp;col=6&amp;number=4.5&amp;sourceID=14","4.5")</f>
        <v>4.5</v>
      </c>
      <c r="G8939" s="4" t="str">
        <f>HYPERLINK("http://141.218.60.56/~jnz1568/getInfo.php?workbook=12_05.xlsx&amp;sheet=U0&amp;row=8939&amp;col=7&amp;number=0.0106&amp;sourceID=14","0.0106")</f>
        <v>0.0106</v>
      </c>
    </row>
    <row r="8940" spans="1:7">
      <c r="A8940" s="3"/>
      <c r="B8940" s="3"/>
      <c r="C8940" s="3"/>
      <c r="D8940" s="3"/>
      <c r="E8940" s="3">
        <v>17</v>
      </c>
      <c r="F8940" s="4" t="str">
        <f>HYPERLINK("http://141.218.60.56/~jnz1568/getInfo.php?workbook=12_05.xlsx&amp;sheet=U0&amp;row=8940&amp;col=6&amp;number=4.6&amp;sourceID=14","4.6")</f>
        <v>4.6</v>
      </c>
      <c r="G8940" s="4" t="str">
        <f>HYPERLINK("http://141.218.60.56/~jnz1568/getInfo.php?workbook=12_05.xlsx&amp;sheet=U0&amp;row=8940&amp;col=7&amp;number=0.0105&amp;sourceID=14","0.0105")</f>
        <v>0.0105</v>
      </c>
    </row>
    <row r="8941" spans="1:7">
      <c r="A8941" s="3"/>
      <c r="B8941" s="3"/>
      <c r="C8941" s="3"/>
      <c r="D8941" s="3"/>
      <c r="E8941" s="3">
        <v>18</v>
      </c>
      <c r="F8941" s="4" t="str">
        <f>HYPERLINK("http://141.218.60.56/~jnz1568/getInfo.php?workbook=12_05.xlsx&amp;sheet=U0&amp;row=8941&amp;col=6&amp;number=4.7&amp;sourceID=14","4.7")</f>
        <v>4.7</v>
      </c>
      <c r="G8941" s="4" t="str">
        <f>HYPERLINK("http://141.218.60.56/~jnz1568/getInfo.php?workbook=12_05.xlsx&amp;sheet=U0&amp;row=8941&amp;col=7&amp;number=0.0104&amp;sourceID=14","0.0104")</f>
        <v>0.0104</v>
      </c>
    </row>
    <row r="8942" spans="1:7">
      <c r="A8942" s="3"/>
      <c r="B8942" s="3"/>
      <c r="C8942" s="3"/>
      <c r="D8942" s="3"/>
      <c r="E8942" s="3">
        <v>19</v>
      </c>
      <c r="F8942" s="4" t="str">
        <f>HYPERLINK("http://141.218.60.56/~jnz1568/getInfo.php?workbook=12_05.xlsx&amp;sheet=U0&amp;row=8942&amp;col=6&amp;number=4.8&amp;sourceID=14","4.8")</f>
        <v>4.8</v>
      </c>
      <c r="G8942" s="4" t="str">
        <f>HYPERLINK("http://141.218.60.56/~jnz1568/getInfo.php?workbook=12_05.xlsx&amp;sheet=U0&amp;row=8942&amp;col=7&amp;number=0.0104&amp;sourceID=14","0.0104")</f>
        <v>0.0104</v>
      </c>
    </row>
    <row r="8943" spans="1:7">
      <c r="A8943" s="3"/>
      <c r="B8943" s="3"/>
      <c r="C8943" s="3"/>
      <c r="D8943" s="3"/>
      <c r="E8943" s="3">
        <v>20</v>
      </c>
      <c r="F8943" s="4" t="str">
        <f>HYPERLINK("http://141.218.60.56/~jnz1568/getInfo.php?workbook=12_05.xlsx&amp;sheet=U0&amp;row=8943&amp;col=6&amp;number=4.9&amp;sourceID=14","4.9")</f>
        <v>4.9</v>
      </c>
      <c r="G8943" s="4" t="str">
        <f>HYPERLINK("http://141.218.60.56/~jnz1568/getInfo.php?workbook=12_05.xlsx&amp;sheet=U0&amp;row=8943&amp;col=7&amp;number=0.0103&amp;sourceID=14","0.0103")</f>
        <v>0.0103</v>
      </c>
    </row>
    <row r="8944" spans="1:7">
      <c r="A8944" s="3">
        <v>12</v>
      </c>
      <c r="B8944" s="3">
        <v>5</v>
      </c>
      <c r="C8944" s="3">
        <v>3</v>
      </c>
      <c r="D8944" s="3">
        <v>121</v>
      </c>
      <c r="E8944" s="3">
        <v>1</v>
      </c>
      <c r="F8944" s="4" t="str">
        <f>HYPERLINK("http://141.218.60.56/~jnz1568/getInfo.php?workbook=12_05.xlsx&amp;sheet=U0&amp;row=8944&amp;col=6&amp;number=3&amp;sourceID=14","3")</f>
        <v>3</v>
      </c>
      <c r="G8944" s="4" t="str">
        <f>HYPERLINK("http://141.218.60.56/~jnz1568/getInfo.php?workbook=12_05.xlsx&amp;sheet=U0&amp;row=8944&amp;col=7&amp;number=0.00878&amp;sourceID=14","0.00878")</f>
        <v>0.00878</v>
      </c>
    </row>
    <row r="8945" spans="1:7">
      <c r="A8945" s="3"/>
      <c r="B8945" s="3"/>
      <c r="C8945" s="3"/>
      <c r="D8945" s="3"/>
      <c r="E8945" s="3">
        <v>2</v>
      </c>
      <c r="F8945" s="4" t="str">
        <f>HYPERLINK("http://141.218.60.56/~jnz1568/getInfo.php?workbook=12_05.xlsx&amp;sheet=U0&amp;row=8945&amp;col=6&amp;number=3.1&amp;sourceID=14","3.1")</f>
        <v>3.1</v>
      </c>
      <c r="G8945" s="4" t="str">
        <f>HYPERLINK("http://141.218.60.56/~jnz1568/getInfo.php?workbook=12_05.xlsx&amp;sheet=U0&amp;row=8945&amp;col=7&amp;number=0.00878&amp;sourceID=14","0.00878")</f>
        <v>0.00878</v>
      </c>
    </row>
    <row r="8946" spans="1:7">
      <c r="A8946" s="3"/>
      <c r="B8946" s="3"/>
      <c r="C8946" s="3"/>
      <c r="D8946" s="3"/>
      <c r="E8946" s="3">
        <v>3</v>
      </c>
      <c r="F8946" s="4" t="str">
        <f>HYPERLINK("http://141.218.60.56/~jnz1568/getInfo.php?workbook=12_05.xlsx&amp;sheet=U0&amp;row=8946&amp;col=6&amp;number=3.2&amp;sourceID=14","3.2")</f>
        <v>3.2</v>
      </c>
      <c r="G8946" s="4" t="str">
        <f>HYPERLINK("http://141.218.60.56/~jnz1568/getInfo.php?workbook=12_05.xlsx&amp;sheet=U0&amp;row=8946&amp;col=7&amp;number=0.00878&amp;sourceID=14","0.00878")</f>
        <v>0.00878</v>
      </c>
    </row>
    <row r="8947" spans="1:7">
      <c r="A8947" s="3"/>
      <c r="B8947" s="3"/>
      <c r="C8947" s="3"/>
      <c r="D8947" s="3"/>
      <c r="E8947" s="3">
        <v>4</v>
      </c>
      <c r="F8947" s="4" t="str">
        <f>HYPERLINK("http://141.218.60.56/~jnz1568/getInfo.php?workbook=12_05.xlsx&amp;sheet=U0&amp;row=8947&amp;col=6&amp;number=3.3&amp;sourceID=14","3.3")</f>
        <v>3.3</v>
      </c>
      <c r="G8947" s="4" t="str">
        <f>HYPERLINK("http://141.218.60.56/~jnz1568/getInfo.php?workbook=12_05.xlsx&amp;sheet=U0&amp;row=8947&amp;col=7&amp;number=0.00877&amp;sourceID=14","0.00877")</f>
        <v>0.00877</v>
      </c>
    </row>
    <row r="8948" spans="1:7">
      <c r="A8948" s="3"/>
      <c r="B8948" s="3"/>
      <c r="C8948" s="3"/>
      <c r="D8948" s="3"/>
      <c r="E8948" s="3">
        <v>5</v>
      </c>
      <c r="F8948" s="4" t="str">
        <f>HYPERLINK("http://141.218.60.56/~jnz1568/getInfo.php?workbook=12_05.xlsx&amp;sheet=U0&amp;row=8948&amp;col=6&amp;number=3.4&amp;sourceID=14","3.4")</f>
        <v>3.4</v>
      </c>
      <c r="G8948" s="4" t="str">
        <f>HYPERLINK("http://141.218.60.56/~jnz1568/getInfo.php?workbook=12_05.xlsx&amp;sheet=U0&amp;row=8948&amp;col=7&amp;number=0.00877&amp;sourceID=14","0.00877")</f>
        <v>0.00877</v>
      </c>
    </row>
    <row r="8949" spans="1:7">
      <c r="A8949" s="3"/>
      <c r="B8949" s="3"/>
      <c r="C8949" s="3"/>
      <c r="D8949" s="3"/>
      <c r="E8949" s="3">
        <v>6</v>
      </c>
      <c r="F8949" s="4" t="str">
        <f>HYPERLINK("http://141.218.60.56/~jnz1568/getInfo.php?workbook=12_05.xlsx&amp;sheet=U0&amp;row=8949&amp;col=6&amp;number=3.5&amp;sourceID=14","3.5")</f>
        <v>3.5</v>
      </c>
      <c r="G8949" s="4" t="str">
        <f>HYPERLINK("http://141.218.60.56/~jnz1568/getInfo.php?workbook=12_05.xlsx&amp;sheet=U0&amp;row=8949&amp;col=7&amp;number=0.00876&amp;sourceID=14","0.00876")</f>
        <v>0.00876</v>
      </c>
    </row>
    <row r="8950" spans="1:7">
      <c r="A8950" s="3"/>
      <c r="B8950" s="3"/>
      <c r="C8950" s="3"/>
      <c r="D8950" s="3"/>
      <c r="E8950" s="3">
        <v>7</v>
      </c>
      <c r="F8950" s="4" t="str">
        <f>HYPERLINK("http://141.218.60.56/~jnz1568/getInfo.php?workbook=12_05.xlsx&amp;sheet=U0&amp;row=8950&amp;col=6&amp;number=3.6&amp;sourceID=14","3.6")</f>
        <v>3.6</v>
      </c>
      <c r="G8950" s="4" t="str">
        <f>HYPERLINK("http://141.218.60.56/~jnz1568/getInfo.php?workbook=12_05.xlsx&amp;sheet=U0&amp;row=8950&amp;col=7&amp;number=0.00875&amp;sourceID=14","0.00875")</f>
        <v>0.00875</v>
      </c>
    </row>
    <row r="8951" spans="1:7">
      <c r="A8951" s="3"/>
      <c r="B8951" s="3"/>
      <c r="C8951" s="3"/>
      <c r="D8951" s="3"/>
      <c r="E8951" s="3">
        <v>8</v>
      </c>
      <c r="F8951" s="4" t="str">
        <f>HYPERLINK("http://141.218.60.56/~jnz1568/getInfo.php?workbook=12_05.xlsx&amp;sheet=U0&amp;row=8951&amp;col=6&amp;number=3.7&amp;sourceID=14","3.7")</f>
        <v>3.7</v>
      </c>
      <c r="G8951" s="4" t="str">
        <f>HYPERLINK("http://141.218.60.56/~jnz1568/getInfo.php?workbook=12_05.xlsx&amp;sheet=U0&amp;row=8951&amp;col=7&amp;number=0.00874&amp;sourceID=14","0.00874")</f>
        <v>0.00874</v>
      </c>
    </row>
    <row r="8952" spans="1:7">
      <c r="A8952" s="3"/>
      <c r="B8952" s="3"/>
      <c r="C8952" s="3"/>
      <c r="D8952" s="3"/>
      <c r="E8952" s="3">
        <v>9</v>
      </c>
      <c r="F8952" s="4" t="str">
        <f>HYPERLINK("http://141.218.60.56/~jnz1568/getInfo.php?workbook=12_05.xlsx&amp;sheet=U0&amp;row=8952&amp;col=6&amp;number=3.8&amp;sourceID=14","3.8")</f>
        <v>3.8</v>
      </c>
      <c r="G8952" s="4" t="str">
        <f>HYPERLINK("http://141.218.60.56/~jnz1568/getInfo.php?workbook=12_05.xlsx&amp;sheet=U0&amp;row=8952&amp;col=7&amp;number=0.00873&amp;sourceID=14","0.00873")</f>
        <v>0.00873</v>
      </c>
    </row>
    <row r="8953" spans="1:7">
      <c r="A8953" s="3"/>
      <c r="B8953" s="3"/>
      <c r="C8953" s="3"/>
      <c r="D8953" s="3"/>
      <c r="E8953" s="3">
        <v>10</v>
      </c>
      <c r="F8953" s="4" t="str">
        <f>HYPERLINK("http://141.218.60.56/~jnz1568/getInfo.php?workbook=12_05.xlsx&amp;sheet=U0&amp;row=8953&amp;col=6&amp;number=3.9&amp;sourceID=14","3.9")</f>
        <v>3.9</v>
      </c>
      <c r="G8953" s="4" t="str">
        <f>HYPERLINK("http://141.218.60.56/~jnz1568/getInfo.php?workbook=12_05.xlsx&amp;sheet=U0&amp;row=8953&amp;col=7&amp;number=0.00871&amp;sourceID=14","0.00871")</f>
        <v>0.00871</v>
      </c>
    </row>
    <row r="8954" spans="1:7">
      <c r="A8954" s="3"/>
      <c r="B8954" s="3"/>
      <c r="C8954" s="3"/>
      <c r="D8954" s="3"/>
      <c r="E8954" s="3">
        <v>11</v>
      </c>
      <c r="F8954" s="4" t="str">
        <f>HYPERLINK("http://141.218.60.56/~jnz1568/getInfo.php?workbook=12_05.xlsx&amp;sheet=U0&amp;row=8954&amp;col=6&amp;number=4&amp;sourceID=14","4")</f>
        <v>4</v>
      </c>
      <c r="G8954" s="4" t="str">
        <f>HYPERLINK("http://141.218.60.56/~jnz1568/getInfo.php?workbook=12_05.xlsx&amp;sheet=U0&amp;row=8954&amp;col=7&amp;number=0.00869&amp;sourceID=14","0.00869")</f>
        <v>0.00869</v>
      </c>
    </row>
    <row r="8955" spans="1:7">
      <c r="A8955" s="3"/>
      <c r="B8955" s="3"/>
      <c r="C8955" s="3"/>
      <c r="D8955" s="3"/>
      <c r="E8955" s="3">
        <v>12</v>
      </c>
      <c r="F8955" s="4" t="str">
        <f>HYPERLINK("http://141.218.60.56/~jnz1568/getInfo.php?workbook=12_05.xlsx&amp;sheet=U0&amp;row=8955&amp;col=6&amp;number=4.1&amp;sourceID=14","4.1")</f>
        <v>4.1</v>
      </c>
      <c r="G8955" s="4" t="str">
        <f>HYPERLINK("http://141.218.60.56/~jnz1568/getInfo.php?workbook=12_05.xlsx&amp;sheet=U0&amp;row=8955&amp;col=7&amp;number=0.00866&amp;sourceID=14","0.00866")</f>
        <v>0.00866</v>
      </c>
    </row>
    <row r="8956" spans="1:7">
      <c r="A8956" s="3"/>
      <c r="B8956" s="3"/>
      <c r="C8956" s="3"/>
      <c r="D8956" s="3"/>
      <c r="E8956" s="3">
        <v>13</v>
      </c>
      <c r="F8956" s="4" t="str">
        <f>HYPERLINK("http://141.218.60.56/~jnz1568/getInfo.php?workbook=12_05.xlsx&amp;sheet=U0&amp;row=8956&amp;col=6&amp;number=4.2&amp;sourceID=14","4.2")</f>
        <v>4.2</v>
      </c>
      <c r="G8956" s="4" t="str">
        <f>HYPERLINK("http://141.218.60.56/~jnz1568/getInfo.php?workbook=12_05.xlsx&amp;sheet=U0&amp;row=8956&amp;col=7&amp;number=0.00862&amp;sourceID=14","0.00862")</f>
        <v>0.00862</v>
      </c>
    </row>
    <row r="8957" spans="1:7">
      <c r="A8957" s="3"/>
      <c r="B8957" s="3"/>
      <c r="C8957" s="3"/>
      <c r="D8957" s="3"/>
      <c r="E8957" s="3">
        <v>14</v>
      </c>
      <c r="F8957" s="4" t="str">
        <f>HYPERLINK("http://141.218.60.56/~jnz1568/getInfo.php?workbook=12_05.xlsx&amp;sheet=U0&amp;row=8957&amp;col=6&amp;number=4.3&amp;sourceID=14","4.3")</f>
        <v>4.3</v>
      </c>
      <c r="G8957" s="4" t="str">
        <f>HYPERLINK("http://141.218.60.56/~jnz1568/getInfo.php?workbook=12_05.xlsx&amp;sheet=U0&amp;row=8957&amp;col=7&amp;number=0.00858&amp;sourceID=14","0.00858")</f>
        <v>0.00858</v>
      </c>
    </row>
    <row r="8958" spans="1:7">
      <c r="A8958" s="3"/>
      <c r="B8958" s="3"/>
      <c r="C8958" s="3"/>
      <c r="D8958" s="3"/>
      <c r="E8958" s="3">
        <v>15</v>
      </c>
      <c r="F8958" s="4" t="str">
        <f>HYPERLINK("http://141.218.60.56/~jnz1568/getInfo.php?workbook=12_05.xlsx&amp;sheet=U0&amp;row=8958&amp;col=6&amp;number=4.4&amp;sourceID=14","4.4")</f>
        <v>4.4</v>
      </c>
      <c r="G8958" s="4" t="str">
        <f>HYPERLINK("http://141.218.60.56/~jnz1568/getInfo.php?workbook=12_05.xlsx&amp;sheet=U0&amp;row=8958&amp;col=7&amp;number=0.00852&amp;sourceID=14","0.00852")</f>
        <v>0.00852</v>
      </c>
    </row>
    <row r="8959" spans="1:7">
      <c r="A8959" s="3"/>
      <c r="B8959" s="3"/>
      <c r="C8959" s="3"/>
      <c r="D8959" s="3"/>
      <c r="E8959" s="3">
        <v>16</v>
      </c>
      <c r="F8959" s="4" t="str">
        <f>HYPERLINK("http://141.218.60.56/~jnz1568/getInfo.php?workbook=12_05.xlsx&amp;sheet=U0&amp;row=8959&amp;col=6&amp;number=4.5&amp;sourceID=14","4.5")</f>
        <v>4.5</v>
      </c>
      <c r="G8959" s="4" t="str">
        <f>HYPERLINK("http://141.218.60.56/~jnz1568/getInfo.php?workbook=12_05.xlsx&amp;sheet=U0&amp;row=8959&amp;col=7&amp;number=0.00846&amp;sourceID=14","0.00846")</f>
        <v>0.00846</v>
      </c>
    </row>
    <row r="8960" spans="1:7">
      <c r="A8960" s="3"/>
      <c r="B8960" s="3"/>
      <c r="C8960" s="3"/>
      <c r="D8960" s="3"/>
      <c r="E8960" s="3">
        <v>17</v>
      </c>
      <c r="F8960" s="4" t="str">
        <f>HYPERLINK("http://141.218.60.56/~jnz1568/getInfo.php?workbook=12_05.xlsx&amp;sheet=U0&amp;row=8960&amp;col=6&amp;number=4.6&amp;sourceID=14","4.6")</f>
        <v>4.6</v>
      </c>
      <c r="G8960" s="4" t="str">
        <f>HYPERLINK("http://141.218.60.56/~jnz1568/getInfo.php?workbook=12_05.xlsx&amp;sheet=U0&amp;row=8960&amp;col=7&amp;number=0.00837&amp;sourceID=14","0.00837")</f>
        <v>0.00837</v>
      </c>
    </row>
    <row r="8961" spans="1:7">
      <c r="A8961" s="3"/>
      <c r="B8961" s="3"/>
      <c r="C8961" s="3"/>
      <c r="D8961" s="3"/>
      <c r="E8961" s="3">
        <v>18</v>
      </c>
      <c r="F8961" s="4" t="str">
        <f>HYPERLINK("http://141.218.60.56/~jnz1568/getInfo.php?workbook=12_05.xlsx&amp;sheet=U0&amp;row=8961&amp;col=6&amp;number=4.7&amp;sourceID=14","4.7")</f>
        <v>4.7</v>
      </c>
      <c r="G8961" s="4" t="str">
        <f>HYPERLINK("http://141.218.60.56/~jnz1568/getInfo.php?workbook=12_05.xlsx&amp;sheet=U0&amp;row=8961&amp;col=7&amp;number=0.00827&amp;sourceID=14","0.00827")</f>
        <v>0.00827</v>
      </c>
    </row>
    <row r="8962" spans="1:7">
      <c r="A8962" s="3"/>
      <c r="B8962" s="3"/>
      <c r="C8962" s="3"/>
      <c r="D8962" s="3"/>
      <c r="E8962" s="3">
        <v>19</v>
      </c>
      <c r="F8962" s="4" t="str">
        <f>HYPERLINK("http://141.218.60.56/~jnz1568/getInfo.php?workbook=12_05.xlsx&amp;sheet=U0&amp;row=8962&amp;col=6&amp;number=4.8&amp;sourceID=14","4.8")</f>
        <v>4.8</v>
      </c>
      <c r="G8962" s="4" t="str">
        <f>HYPERLINK("http://141.218.60.56/~jnz1568/getInfo.php?workbook=12_05.xlsx&amp;sheet=U0&amp;row=8962&amp;col=7&amp;number=0.00814&amp;sourceID=14","0.00814")</f>
        <v>0.00814</v>
      </c>
    </row>
    <row r="8963" spans="1:7">
      <c r="A8963" s="3"/>
      <c r="B8963" s="3"/>
      <c r="C8963" s="3"/>
      <c r="D8963" s="3"/>
      <c r="E8963" s="3">
        <v>20</v>
      </c>
      <c r="F8963" s="4" t="str">
        <f>HYPERLINK("http://141.218.60.56/~jnz1568/getInfo.php?workbook=12_05.xlsx&amp;sheet=U0&amp;row=8963&amp;col=6&amp;number=4.9&amp;sourceID=14","4.9")</f>
        <v>4.9</v>
      </c>
      <c r="G8963" s="4" t="str">
        <f>HYPERLINK("http://141.218.60.56/~jnz1568/getInfo.php?workbook=12_05.xlsx&amp;sheet=U0&amp;row=8963&amp;col=7&amp;number=0.00798&amp;sourceID=14","0.00798")</f>
        <v>0.00798</v>
      </c>
    </row>
    <row r="8964" spans="1:7">
      <c r="A8964" s="3">
        <v>12</v>
      </c>
      <c r="B8964" s="3">
        <v>5</v>
      </c>
      <c r="C8964" s="3">
        <v>3</v>
      </c>
      <c r="D8964" s="3">
        <v>123</v>
      </c>
      <c r="E8964" s="3">
        <v>1</v>
      </c>
      <c r="F8964" s="4" t="str">
        <f>HYPERLINK("http://141.218.60.56/~jnz1568/getInfo.php?workbook=12_05.xlsx&amp;sheet=U0&amp;row=8964&amp;col=6&amp;number=3&amp;sourceID=14","3")</f>
        <v>3</v>
      </c>
      <c r="G8964" s="4" t="str">
        <f>HYPERLINK("http://141.218.60.56/~jnz1568/getInfo.php?workbook=12_05.xlsx&amp;sheet=U0&amp;row=8964&amp;col=7&amp;number=0.000173&amp;sourceID=14","0.000173")</f>
        <v>0.000173</v>
      </c>
    </row>
    <row r="8965" spans="1:7">
      <c r="A8965" s="3"/>
      <c r="B8965" s="3"/>
      <c r="C8965" s="3"/>
      <c r="D8965" s="3"/>
      <c r="E8965" s="3">
        <v>2</v>
      </c>
      <c r="F8965" s="4" t="str">
        <f>HYPERLINK("http://141.218.60.56/~jnz1568/getInfo.php?workbook=12_05.xlsx&amp;sheet=U0&amp;row=8965&amp;col=6&amp;number=3.1&amp;sourceID=14","3.1")</f>
        <v>3.1</v>
      </c>
      <c r="G8965" s="4" t="str">
        <f>HYPERLINK("http://141.218.60.56/~jnz1568/getInfo.php?workbook=12_05.xlsx&amp;sheet=U0&amp;row=8965&amp;col=7&amp;number=0.000173&amp;sourceID=14","0.000173")</f>
        <v>0.000173</v>
      </c>
    </row>
    <row r="8966" spans="1:7">
      <c r="A8966" s="3"/>
      <c r="B8966" s="3"/>
      <c r="C8966" s="3"/>
      <c r="D8966" s="3"/>
      <c r="E8966" s="3">
        <v>3</v>
      </c>
      <c r="F8966" s="4" t="str">
        <f>HYPERLINK("http://141.218.60.56/~jnz1568/getInfo.php?workbook=12_05.xlsx&amp;sheet=U0&amp;row=8966&amp;col=6&amp;number=3.2&amp;sourceID=14","3.2")</f>
        <v>3.2</v>
      </c>
      <c r="G8966" s="4" t="str">
        <f>HYPERLINK("http://141.218.60.56/~jnz1568/getInfo.php?workbook=12_05.xlsx&amp;sheet=U0&amp;row=8966&amp;col=7&amp;number=0.000173&amp;sourceID=14","0.000173")</f>
        <v>0.000173</v>
      </c>
    </row>
    <row r="8967" spans="1:7">
      <c r="A8967" s="3"/>
      <c r="B8967" s="3"/>
      <c r="C8967" s="3"/>
      <c r="D8967" s="3"/>
      <c r="E8967" s="3">
        <v>4</v>
      </c>
      <c r="F8967" s="4" t="str">
        <f>HYPERLINK("http://141.218.60.56/~jnz1568/getInfo.php?workbook=12_05.xlsx&amp;sheet=U0&amp;row=8967&amp;col=6&amp;number=3.3&amp;sourceID=14","3.3")</f>
        <v>3.3</v>
      </c>
      <c r="G8967" s="4" t="str">
        <f>HYPERLINK("http://141.218.60.56/~jnz1568/getInfo.php?workbook=12_05.xlsx&amp;sheet=U0&amp;row=8967&amp;col=7&amp;number=0.000173&amp;sourceID=14","0.000173")</f>
        <v>0.000173</v>
      </c>
    </row>
    <row r="8968" spans="1:7">
      <c r="A8968" s="3"/>
      <c r="B8968" s="3"/>
      <c r="C8968" s="3"/>
      <c r="D8968" s="3"/>
      <c r="E8968" s="3">
        <v>5</v>
      </c>
      <c r="F8968" s="4" t="str">
        <f>HYPERLINK("http://141.218.60.56/~jnz1568/getInfo.php?workbook=12_05.xlsx&amp;sheet=U0&amp;row=8968&amp;col=6&amp;number=3.4&amp;sourceID=14","3.4")</f>
        <v>3.4</v>
      </c>
      <c r="G8968" s="4" t="str">
        <f>HYPERLINK("http://141.218.60.56/~jnz1568/getInfo.php?workbook=12_05.xlsx&amp;sheet=U0&amp;row=8968&amp;col=7&amp;number=0.000173&amp;sourceID=14","0.000173")</f>
        <v>0.000173</v>
      </c>
    </row>
    <row r="8969" spans="1:7">
      <c r="A8969" s="3"/>
      <c r="B8969" s="3"/>
      <c r="C8969" s="3"/>
      <c r="D8969" s="3"/>
      <c r="E8969" s="3">
        <v>6</v>
      </c>
      <c r="F8969" s="4" t="str">
        <f>HYPERLINK("http://141.218.60.56/~jnz1568/getInfo.php?workbook=12_05.xlsx&amp;sheet=U0&amp;row=8969&amp;col=6&amp;number=3.5&amp;sourceID=14","3.5")</f>
        <v>3.5</v>
      </c>
      <c r="G8969" s="4" t="str">
        <f>HYPERLINK("http://141.218.60.56/~jnz1568/getInfo.php?workbook=12_05.xlsx&amp;sheet=U0&amp;row=8969&amp;col=7&amp;number=0.000173&amp;sourceID=14","0.000173")</f>
        <v>0.000173</v>
      </c>
    </row>
    <row r="8970" spans="1:7">
      <c r="A8970" s="3"/>
      <c r="B8970" s="3"/>
      <c r="C8970" s="3"/>
      <c r="D8970" s="3"/>
      <c r="E8970" s="3">
        <v>7</v>
      </c>
      <c r="F8970" s="4" t="str">
        <f>HYPERLINK("http://141.218.60.56/~jnz1568/getInfo.php?workbook=12_05.xlsx&amp;sheet=U0&amp;row=8970&amp;col=6&amp;number=3.6&amp;sourceID=14","3.6")</f>
        <v>3.6</v>
      </c>
      <c r="G8970" s="4" t="str">
        <f>HYPERLINK("http://141.218.60.56/~jnz1568/getInfo.php?workbook=12_05.xlsx&amp;sheet=U0&amp;row=8970&amp;col=7&amp;number=0.000173&amp;sourceID=14","0.000173")</f>
        <v>0.000173</v>
      </c>
    </row>
    <row r="8971" spans="1:7">
      <c r="A8971" s="3"/>
      <c r="B8971" s="3"/>
      <c r="C8971" s="3"/>
      <c r="D8971" s="3"/>
      <c r="E8971" s="3">
        <v>8</v>
      </c>
      <c r="F8971" s="4" t="str">
        <f>HYPERLINK("http://141.218.60.56/~jnz1568/getInfo.php?workbook=12_05.xlsx&amp;sheet=U0&amp;row=8971&amp;col=6&amp;number=3.7&amp;sourceID=14","3.7")</f>
        <v>3.7</v>
      </c>
      <c r="G8971" s="4" t="str">
        <f>HYPERLINK("http://141.218.60.56/~jnz1568/getInfo.php?workbook=12_05.xlsx&amp;sheet=U0&amp;row=8971&amp;col=7&amp;number=0.000173&amp;sourceID=14","0.000173")</f>
        <v>0.000173</v>
      </c>
    </row>
    <row r="8972" spans="1:7">
      <c r="A8972" s="3"/>
      <c r="B8972" s="3"/>
      <c r="C8972" s="3"/>
      <c r="D8972" s="3"/>
      <c r="E8972" s="3">
        <v>9</v>
      </c>
      <c r="F8972" s="4" t="str">
        <f>HYPERLINK("http://141.218.60.56/~jnz1568/getInfo.php?workbook=12_05.xlsx&amp;sheet=U0&amp;row=8972&amp;col=6&amp;number=3.8&amp;sourceID=14","3.8")</f>
        <v>3.8</v>
      </c>
      <c r="G8972" s="4" t="str">
        <f>HYPERLINK("http://141.218.60.56/~jnz1568/getInfo.php?workbook=12_05.xlsx&amp;sheet=U0&amp;row=8972&amp;col=7&amp;number=0.000173&amp;sourceID=14","0.000173")</f>
        <v>0.000173</v>
      </c>
    </row>
    <row r="8973" spans="1:7">
      <c r="A8973" s="3"/>
      <c r="B8973" s="3"/>
      <c r="C8973" s="3"/>
      <c r="D8973" s="3"/>
      <c r="E8973" s="3">
        <v>10</v>
      </c>
      <c r="F8973" s="4" t="str">
        <f>HYPERLINK("http://141.218.60.56/~jnz1568/getInfo.php?workbook=12_05.xlsx&amp;sheet=U0&amp;row=8973&amp;col=6&amp;number=3.9&amp;sourceID=14","3.9")</f>
        <v>3.9</v>
      </c>
      <c r="G8973" s="4" t="str">
        <f>HYPERLINK("http://141.218.60.56/~jnz1568/getInfo.php?workbook=12_05.xlsx&amp;sheet=U0&amp;row=8973&amp;col=7&amp;number=0.000172&amp;sourceID=14","0.000172")</f>
        <v>0.000172</v>
      </c>
    </row>
    <row r="8974" spans="1:7">
      <c r="A8974" s="3"/>
      <c r="B8974" s="3"/>
      <c r="C8974" s="3"/>
      <c r="D8974" s="3"/>
      <c r="E8974" s="3">
        <v>11</v>
      </c>
      <c r="F8974" s="4" t="str">
        <f>HYPERLINK("http://141.218.60.56/~jnz1568/getInfo.php?workbook=12_05.xlsx&amp;sheet=U0&amp;row=8974&amp;col=6&amp;number=4&amp;sourceID=14","4")</f>
        <v>4</v>
      </c>
      <c r="G8974" s="4" t="str">
        <f>HYPERLINK("http://141.218.60.56/~jnz1568/getInfo.php?workbook=12_05.xlsx&amp;sheet=U0&amp;row=8974&amp;col=7&amp;number=0.000172&amp;sourceID=14","0.000172")</f>
        <v>0.000172</v>
      </c>
    </row>
    <row r="8975" spans="1:7">
      <c r="A8975" s="3"/>
      <c r="B8975" s="3"/>
      <c r="C8975" s="3"/>
      <c r="D8975" s="3"/>
      <c r="E8975" s="3">
        <v>12</v>
      </c>
      <c r="F8975" s="4" t="str">
        <f>HYPERLINK("http://141.218.60.56/~jnz1568/getInfo.php?workbook=12_05.xlsx&amp;sheet=U0&amp;row=8975&amp;col=6&amp;number=4.1&amp;sourceID=14","4.1")</f>
        <v>4.1</v>
      </c>
      <c r="G8975" s="4" t="str">
        <f>HYPERLINK("http://141.218.60.56/~jnz1568/getInfo.php?workbook=12_05.xlsx&amp;sheet=U0&amp;row=8975&amp;col=7&amp;number=0.000172&amp;sourceID=14","0.000172")</f>
        <v>0.000172</v>
      </c>
    </row>
    <row r="8976" spans="1:7">
      <c r="A8976" s="3"/>
      <c r="B8976" s="3"/>
      <c r="C8976" s="3"/>
      <c r="D8976" s="3"/>
      <c r="E8976" s="3">
        <v>13</v>
      </c>
      <c r="F8976" s="4" t="str">
        <f>HYPERLINK("http://141.218.60.56/~jnz1568/getInfo.php?workbook=12_05.xlsx&amp;sheet=U0&amp;row=8976&amp;col=6&amp;number=4.2&amp;sourceID=14","4.2")</f>
        <v>4.2</v>
      </c>
      <c r="G8976" s="4" t="str">
        <f>HYPERLINK("http://141.218.60.56/~jnz1568/getInfo.php?workbook=12_05.xlsx&amp;sheet=U0&amp;row=8976&amp;col=7&amp;number=0.000172&amp;sourceID=14","0.000172")</f>
        <v>0.000172</v>
      </c>
    </row>
    <row r="8977" spans="1:7">
      <c r="A8977" s="3"/>
      <c r="B8977" s="3"/>
      <c r="C8977" s="3"/>
      <c r="D8977" s="3"/>
      <c r="E8977" s="3">
        <v>14</v>
      </c>
      <c r="F8977" s="4" t="str">
        <f>HYPERLINK("http://141.218.60.56/~jnz1568/getInfo.php?workbook=12_05.xlsx&amp;sheet=U0&amp;row=8977&amp;col=6&amp;number=4.3&amp;sourceID=14","4.3")</f>
        <v>4.3</v>
      </c>
      <c r="G8977" s="4" t="str">
        <f>HYPERLINK("http://141.218.60.56/~jnz1568/getInfo.php?workbook=12_05.xlsx&amp;sheet=U0&amp;row=8977&amp;col=7&amp;number=0.000171&amp;sourceID=14","0.000171")</f>
        <v>0.000171</v>
      </c>
    </row>
    <row r="8978" spans="1:7">
      <c r="A8978" s="3"/>
      <c r="B8978" s="3"/>
      <c r="C8978" s="3"/>
      <c r="D8978" s="3"/>
      <c r="E8978" s="3">
        <v>15</v>
      </c>
      <c r="F8978" s="4" t="str">
        <f>HYPERLINK("http://141.218.60.56/~jnz1568/getInfo.php?workbook=12_05.xlsx&amp;sheet=U0&amp;row=8978&amp;col=6&amp;number=4.4&amp;sourceID=14","4.4")</f>
        <v>4.4</v>
      </c>
      <c r="G8978" s="4" t="str">
        <f>HYPERLINK("http://141.218.60.56/~jnz1568/getInfo.php?workbook=12_05.xlsx&amp;sheet=U0&amp;row=8978&amp;col=7&amp;number=0.000171&amp;sourceID=14","0.000171")</f>
        <v>0.000171</v>
      </c>
    </row>
    <row r="8979" spans="1:7">
      <c r="A8979" s="3"/>
      <c r="B8979" s="3"/>
      <c r="C8979" s="3"/>
      <c r="D8979" s="3"/>
      <c r="E8979" s="3">
        <v>16</v>
      </c>
      <c r="F8979" s="4" t="str">
        <f>HYPERLINK("http://141.218.60.56/~jnz1568/getInfo.php?workbook=12_05.xlsx&amp;sheet=U0&amp;row=8979&amp;col=6&amp;number=4.5&amp;sourceID=14","4.5")</f>
        <v>4.5</v>
      </c>
      <c r="G8979" s="4" t="str">
        <f>HYPERLINK("http://141.218.60.56/~jnz1568/getInfo.php?workbook=12_05.xlsx&amp;sheet=U0&amp;row=8979&amp;col=7&amp;number=0.000171&amp;sourceID=14","0.000171")</f>
        <v>0.000171</v>
      </c>
    </row>
    <row r="8980" spans="1:7">
      <c r="A8980" s="3"/>
      <c r="B8980" s="3"/>
      <c r="C8980" s="3"/>
      <c r="D8980" s="3"/>
      <c r="E8980" s="3">
        <v>17</v>
      </c>
      <c r="F8980" s="4" t="str">
        <f>HYPERLINK("http://141.218.60.56/~jnz1568/getInfo.php?workbook=12_05.xlsx&amp;sheet=U0&amp;row=8980&amp;col=6&amp;number=4.6&amp;sourceID=14","4.6")</f>
        <v>4.6</v>
      </c>
      <c r="G8980" s="4" t="str">
        <f>HYPERLINK("http://141.218.60.56/~jnz1568/getInfo.php?workbook=12_05.xlsx&amp;sheet=U0&amp;row=8980&amp;col=7&amp;number=0.00017&amp;sourceID=14","0.00017")</f>
        <v>0.00017</v>
      </c>
    </row>
    <row r="8981" spans="1:7">
      <c r="A8981" s="3"/>
      <c r="B8981" s="3"/>
      <c r="C8981" s="3"/>
      <c r="D8981" s="3"/>
      <c r="E8981" s="3">
        <v>18</v>
      </c>
      <c r="F8981" s="4" t="str">
        <f>HYPERLINK("http://141.218.60.56/~jnz1568/getInfo.php?workbook=12_05.xlsx&amp;sheet=U0&amp;row=8981&amp;col=6&amp;number=4.7&amp;sourceID=14","4.7")</f>
        <v>4.7</v>
      </c>
      <c r="G8981" s="4" t="str">
        <f>HYPERLINK("http://141.218.60.56/~jnz1568/getInfo.php?workbook=12_05.xlsx&amp;sheet=U0&amp;row=8981&amp;col=7&amp;number=0.000169&amp;sourceID=14","0.000169")</f>
        <v>0.000169</v>
      </c>
    </row>
    <row r="8982" spans="1:7">
      <c r="A8982" s="3"/>
      <c r="B8982" s="3"/>
      <c r="C8982" s="3"/>
      <c r="D8982" s="3"/>
      <c r="E8982" s="3">
        <v>19</v>
      </c>
      <c r="F8982" s="4" t="str">
        <f>HYPERLINK("http://141.218.60.56/~jnz1568/getInfo.php?workbook=12_05.xlsx&amp;sheet=U0&amp;row=8982&amp;col=6&amp;number=4.8&amp;sourceID=14","4.8")</f>
        <v>4.8</v>
      </c>
      <c r="G8982" s="4" t="str">
        <f>HYPERLINK("http://141.218.60.56/~jnz1568/getInfo.php?workbook=12_05.xlsx&amp;sheet=U0&amp;row=8982&amp;col=7&amp;number=0.000168&amp;sourceID=14","0.000168")</f>
        <v>0.000168</v>
      </c>
    </row>
    <row r="8983" spans="1:7">
      <c r="A8983" s="3"/>
      <c r="B8983" s="3"/>
      <c r="C8983" s="3"/>
      <c r="D8983" s="3"/>
      <c r="E8983" s="3">
        <v>20</v>
      </c>
      <c r="F8983" s="4" t="str">
        <f>HYPERLINK("http://141.218.60.56/~jnz1568/getInfo.php?workbook=12_05.xlsx&amp;sheet=U0&amp;row=8983&amp;col=6&amp;number=4.9&amp;sourceID=14","4.9")</f>
        <v>4.9</v>
      </c>
      <c r="G8983" s="4" t="str">
        <f>HYPERLINK("http://141.218.60.56/~jnz1568/getInfo.php?workbook=12_05.xlsx&amp;sheet=U0&amp;row=8983&amp;col=7&amp;number=0.000167&amp;sourceID=14","0.000167")</f>
        <v>0.000167</v>
      </c>
    </row>
    <row r="8984" spans="1:7">
      <c r="A8984" s="3">
        <v>12</v>
      </c>
      <c r="B8984" s="3">
        <v>5</v>
      </c>
      <c r="C8984" s="3">
        <v>5</v>
      </c>
      <c r="D8984" s="3">
        <v>17</v>
      </c>
      <c r="E8984" s="3">
        <v>1</v>
      </c>
      <c r="F8984" s="4" t="str">
        <f>HYPERLINK("http://141.218.60.56/~jnz1568/getInfo.php?workbook=12_05.xlsx&amp;sheet=U0&amp;row=8984&amp;col=6&amp;number=3&amp;sourceID=14","3")</f>
        <v>3</v>
      </c>
      <c r="G8984" s="4" t="str">
        <f>HYPERLINK("http://141.218.60.56/~jnz1568/getInfo.php?workbook=12_05.xlsx&amp;sheet=U0&amp;row=8984&amp;col=7&amp;number=0.00274&amp;sourceID=14","0.00274")</f>
        <v>0.00274</v>
      </c>
    </row>
    <row r="8985" spans="1:7">
      <c r="A8985" s="3"/>
      <c r="B8985" s="3"/>
      <c r="C8985" s="3"/>
      <c r="D8985" s="3"/>
      <c r="E8985" s="3">
        <v>2</v>
      </c>
      <c r="F8985" s="4" t="str">
        <f>HYPERLINK("http://141.218.60.56/~jnz1568/getInfo.php?workbook=12_05.xlsx&amp;sheet=U0&amp;row=8985&amp;col=6&amp;number=3.1&amp;sourceID=14","3.1")</f>
        <v>3.1</v>
      </c>
      <c r="G8985" s="4" t="str">
        <f>HYPERLINK("http://141.218.60.56/~jnz1568/getInfo.php?workbook=12_05.xlsx&amp;sheet=U0&amp;row=8985&amp;col=7&amp;number=0.00274&amp;sourceID=14","0.00274")</f>
        <v>0.00274</v>
      </c>
    </row>
    <row r="8986" spans="1:7">
      <c r="A8986" s="3"/>
      <c r="B8986" s="3"/>
      <c r="C8986" s="3"/>
      <c r="D8986" s="3"/>
      <c r="E8986" s="3">
        <v>3</v>
      </c>
      <c r="F8986" s="4" t="str">
        <f>HYPERLINK("http://141.218.60.56/~jnz1568/getInfo.php?workbook=12_05.xlsx&amp;sheet=U0&amp;row=8986&amp;col=6&amp;number=3.2&amp;sourceID=14","3.2")</f>
        <v>3.2</v>
      </c>
      <c r="G8986" s="4" t="str">
        <f>HYPERLINK("http://141.218.60.56/~jnz1568/getInfo.php?workbook=12_05.xlsx&amp;sheet=U0&amp;row=8986&amp;col=7&amp;number=0.00274&amp;sourceID=14","0.00274")</f>
        <v>0.00274</v>
      </c>
    </row>
    <row r="8987" spans="1:7">
      <c r="A8987" s="3"/>
      <c r="B8987" s="3"/>
      <c r="C8987" s="3"/>
      <c r="D8987" s="3"/>
      <c r="E8987" s="3">
        <v>4</v>
      </c>
      <c r="F8987" s="4" t="str">
        <f>HYPERLINK("http://141.218.60.56/~jnz1568/getInfo.php?workbook=12_05.xlsx&amp;sheet=U0&amp;row=8987&amp;col=6&amp;number=3.3&amp;sourceID=14","3.3")</f>
        <v>3.3</v>
      </c>
      <c r="G8987" s="4" t="str">
        <f>HYPERLINK("http://141.218.60.56/~jnz1568/getInfo.php?workbook=12_05.xlsx&amp;sheet=U0&amp;row=8987&amp;col=7&amp;number=0.00274&amp;sourceID=14","0.00274")</f>
        <v>0.00274</v>
      </c>
    </row>
    <row r="8988" spans="1:7">
      <c r="A8988" s="3"/>
      <c r="B8988" s="3"/>
      <c r="C8988" s="3"/>
      <c r="D8988" s="3"/>
      <c r="E8988" s="3">
        <v>5</v>
      </c>
      <c r="F8988" s="4" t="str">
        <f>HYPERLINK("http://141.218.60.56/~jnz1568/getInfo.php?workbook=12_05.xlsx&amp;sheet=U0&amp;row=8988&amp;col=6&amp;number=3.4&amp;sourceID=14","3.4")</f>
        <v>3.4</v>
      </c>
      <c r="G8988" s="4" t="str">
        <f>HYPERLINK("http://141.218.60.56/~jnz1568/getInfo.php?workbook=12_05.xlsx&amp;sheet=U0&amp;row=8988&amp;col=7&amp;number=0.00274&amp;sourceID=14","0.00274")</f>
        <v>0.00274</v>
      </c>
    </row>
    <row r="8989" spans="1:7">
      <c r="A8989" s="3"/>
      <c r="B8989" s="3"/>
      <c r="C8989" s="3"/>
      <c r="D8989" s="3"/>
      <c r="E8989" s="3">
        <v>6</v>
      </c>
      <c r="F8989" s="4" t="str">
        <f>HYPERLINK("http://141.218.60.56/~jnz1568/getInfo.php?workbook=12_05.xlsx&amp;sheet=U0&amp;row=8989&amp;col=6&amp;number=3.5&amp;sourceID=14","3.5")</f>
        <v>3.5</v>
      </c>
      <c r="G8989" s="4" t="str">
        <f>HYPERLINK("http://141.218.60.56/~jnz1568/getInfo.php?workbook=12_05.xlsx&amp;sheet=U0&amp;row=8989&amp;col=7&amp;number=0.00273&amp;sourceID=14","0.00273")</f>
        <v>0.00273</v>
      </c>
    </row>
    <row r="8990" spans="1:7">
      <c r="A8990" s="3"/>
      <c r="B8990" s="3"/>
      <c r="C8990" s="3"/>
      <c r="D8990" s="3"/>
      <c r="E8990" s="3">
        <v>7</v>
      </c>
      <c r="F8990" s="4" t="str">
        <f>HYPERLINK("http://141.218.60.56/~jnz1568/getInfo.php?workbook=12_05.xlsx&amp;sheet=U0&amp;row=8990&amp;col=6&amp;number=3.6&amp;sourceID=14","3.6")</f>
        <v>3.6</v>
      </c>
      <c r="G8990" s="4" t="str">
        <f>HYPERLINK("http://141.218.60.56/~jnz1568/getInfo.php?workbook=12_05.xlsx&amp;sheet=U0&amp;row=8990&amp;col=7&amp;number=0.00273&amp;sourceID=14","0.00273")</f>
        <v>0.00273</v>
      </c>
    </row>
    <row r="8991" spans="1:7">
      <c r="A8991" s="3"/>
      <c r="B8991" s="3"/>
      <c r="C8991" s="3"/>
      <c r="D8991" s="3"/>
      <c r="E8991" s="3">
        <v>8</v>
      </c>
      <c r="F8991" s="4" t="str">
        <f>HYPERLINK("http://141.218.60.56/~jnz1568/getInfo.php?workbook=12_05.xlsx&amp;sheet=U0&amp;row=8991&amp;col=6&amp;number=3.7&amp;sourceID=14","3.7")</f>
        <v>3.7</v>
      </c>
      <c r="G8991" s="4" t="str">
        <f>HYPERLINK("http://141.218.60.56/~jnz1568/getInfo.php?workbook=12_05.xlsx&amp;sheet=U0&amp;row=8991&amp;col=7&amp;number=0.00273&amp;sourceID=14","0.00273")</f>
        <v>0.00273</v>
      </c>
    </row>
    <row r="8992" spans="1:7">
      <c r="A8992" s="3"/>
      <c r="B8992" s="3"/>
      <c r="C8992" s="3"/>
      <c r="D8992" s="3"/>
      <c r="E8992" s="3">
        <v>9</v>
      </c>
      <c r="F8992" s="4" t="str">
        <f>HYPERLINK("http://141.218.60.56/~jnz1568/getInfo.php?workbook=12_05.xlsx&amp;sheet=U0&amp;row=8992&amp;col=6&amp;number=3.8&amp;sourceID=14","3.8")</f>
        <v>3.8</v>
      </c>
      <c r="G8992" s="4" t="str">
        <f>HYPERLINK("http://141.218.60.56/~jnz1568/getInfo.php?workbook=12_05.xlsx&amp;sheet=U0&amp;row=8992&amp;col=7&amp;number=0.00273&amp;sourceID=14","0.00273")</f>
        <v>0.00273</v>
      </c>
    </row>
    <row r="8993" spans="1:7">
      <c r="A8993" s="3"/>
      <c r="B8993" s="3"/>
      <c r="C8993" s="3"/>
      <c r="D8993" s="3"/>
      <c r="E8993" s="3">
        <v>10</v>
      </c>
      <c r="F8993" s="4" t="str">
        <f>HYPERLINK("http://141.218.60.56/~jnz1568/getInfo.php?workbook=12_05.xlsx&amp;sheet=U0&amp;row=8993&amp;col=6&amp;number=3.9&amp;sourceID=14","3.9")</f>
        <v>3.9</v>
      </c>
      <c r="G8993" s="4" t="str">
        <f>HYPERLINK("http://141.218.60.56/~jnz1568/getInfo.php?workbook=12_05.xlsx&amp;sheet=U0&amp;row=8993&amp;col=7&amp;number=0.00272&amp;sourceID=14","0.00272")</f>
        <v>0.00272</v>
      </c>
    </row>
    <row r="8994" spans="1:7">
      <c r="A8994" s="3"/>
      <c r="B8994" s="3"/>
      <c r="C8994" s="3"/>
      <c r="D8994" s="3"/>
      <c r="E8994" s="3">
        <v>11</v>
      </c>
      <c r="F8994" s="4" t="str">
        <f>HYPERLINK("http://141.218.60.56/~jnz1568/getInfo.php?workbook=12_05.xlsx&amp;sheet=U0&amp;row=8994&amp;col=6&amp;number=4&amp;sourceID=14","4")</f>
        <v>4</v>
      </c>
      <c r="G8994" s="4" t="str">
        <f>HYPERLINK("http://141.218.60.56/~jnz1568/getInfo.php?workbook=12_05.xlsx&amp;sheet=U0&amp;row=8994&amp;col=7&amp;number=0.00272&amp;sourceID=14","0.00272")</f>
        <v>0.00272</v>
      </c>
    </row>
    <row r="8995" spans="1:7">
      <c r="A8995" s="3"/>
      <c r="B8995" s="3"/>
      <c r="C8995" s="3"/>
      <c r="D8995" s="3"/>
      <c r="E8995" s="3">
        <v>12</v>
      </c>
      <c r="F8995" s="4" t="str">
        <f>HYPERLINK("http://141.218.60.56/~jnz1568/getInfo.php?workbook=12_05.xlsx&amp;sheet=U0&amp;row=8995&amp;col=6&amp;number=4.1&amp;sourceID=14","4.1")</f>
        <v>4.1</v>
      </c>
      <c r="G8995" s="4" t="str">
        <f>HYPERLINK("http://141.218.60.56/~jnz1568/getInfo.php?workbook=12_05.xlsx&amp;sheet=U0&amp;row=8995&amp;col=7&amp;number=0.00271&amp;sourceID=14","0.00271")</f>
        <v>0.00271</v>
      </c>
    </row>
    <row r="8996" spans="1:7">
      <c r="A8996" s="3"/>
      <c r="B8996" s="3"/>
      <c r="C8996" s="3"/>
      <c r="D8996" s="3"/>
      <c r="E8996" s="3">
        <v>13</v>
      </c>
      <c r="F8996" s="4" t="str">
        <f>HYPERLINK("http://141.218.60.56/~jnz1568/getInfo.php?workbook=12_05.xlsx&amp;sheet=U0&amp;row=8996&amp;col=6&amp;number=4.2&amp;sourceID=14","4.2")</f>
        <v>4.2</v>
      </c>
      <c r="G8996" s="4" t="str">
        <f>HYPERLINK("http://141.218.60.56/~jnz1568/getInfo.php?workbook=12_05.xlsx&amp;sheet=U0&amp;row=8996&amp;col=7&amp;number=0.0027&amp;sourceID=14","0.0027")</f>
        <v>0.0027</v>
      </c>
    </row>
    <row r="8997" spans="1:7">
      <c r="A8997" s="3"/>
      <c r="B8997" s="3"/>
      <c r="C8997" s="3"/>
      <c r="D8997" s="3"/>
      <c r="E8997" s="3">
        <v>14</v>
      </c>
      <c r="F8997" s="4" t="str">
        <f>HYPERLINK("http://141.218.60.56/~jnz1568/getInfo.php?workbook=12_05.xlsx&amp;sheet=U0&amp;row=8997&amp;col=6&amp;number=4.3&amp;sourceID=14","4.3")</f>
        <v>4.3</v>
      </c>
      <c r="G8997" s="4" t="str">
        <f>HYPERLINK("http://141.218.60.56/~jnz1568/getInfo.php?workbook=12_05.xlsx&amp;sheet=U0&amp;row=8997&amp;col=7&amp;number=0.0027&amp;sourceID=14","0.0027")</f>
        <v>0.0027</v>
      </c>
    </row>
    <row r="8998" spans="1:7">
      <c r="A8998" s="3"/>
      <c r="B8998" s="3"/>
      <c r="C8998" s="3"/>
      <c r="D8998" s="3"/>
      <c r="E8998" s="3">
        <v>15</v>
      </c>
      <c r="F8998" s="4" t="str">
        <f>HYPERLINK("http://141.218.60.56/~jnz1568/getInfo.php?workbook=12_05.xlsx&amp;sheet=U0&amp;row=8998&amp;col=6&amp;number=4.4&amp;sourceID=14","4.4")</f>
        <v>4.4</v>
      </c>
      <c r="G8998" s="4" t="str">
        <f>HYPERLINK("http://141.218.60.56/~jnz1568/getInfo.php?workbook=12_05.xlsx&amp;sheet=U0&amp;row=8998&amp;col=7&amp;number=0.00268&amp;sourceID=14","0.00268")</f>
        <v>0.00268</v>
      </c>
    </row>
    <row r="8999" spans="1:7">
      <c r="A8999" s="3"/>
      <c r="B8999" s="3"/>
      <c r="C8999" s="3"/>
      <c r="D8999" s="3"/>
      <c r="E8999" s="3">
        <v>16</v>
      </c>
      <c r="F8999" s="4" t="str">
        <f>HYPERLINK("http://141.218.60.56/~jnz1568/getInfo.php?workbook=12_05.xlsx&amp;sheet=U0&amp;row=8999&amp;col=6&amp;number=4.5&amp;sourceID=14","4.5")</f>
        <v>4.5</v>
      </c>
      <c r="G8999" s="4" t="str">
        <f>HYPERLINK("http://141.218.60.56/~jnz1568/getInfo.php?workbook=12_05.xlsx&amp;sheet=U0&amp;row=8999&amp;col=7&amp;number=0.00267&amp;sourceID=14","0.00267")</f>
        <v>0.00267</v>
      </c>
    </row>
    <row r="9000" spans="1:7">
      <c r="A9000" s="3"/>
      <c r="B9000" s="3"/>
      <c r="C9000" s="3"/>
      <c r="D9000" s="3"/>
      <c r="E9000" s="3">
        <v>17</v>
      </c>
      <c r="F9000" s="4" t="str">
        <f>HYPERLINK("http://141.218.60.56/~jnz1568/getInfo.php?workbook=12_05.xlsx&amp;sheet=U0&amp;row=9000&amp;col=6&amp;number=4.6&amp;sourceID=14","4.6")</f>
        <v>4.6</v>
      </c>
      <c r="G9000" s="4" t="str">
        <f>HYPERLINK("http://141.218.60.56/~jnz1568/getInfo.php?workbook=12_05.xlsx&amp;sheet=U0&amp;row=9000&amp;col=7&amp;number=0.00265&amp;sourceID=14","0.00265")</f>
        <v>0.00265</v>
      </c>
    </row>
    <row r="9001" spans="1:7">
      <c r="A9001" s="3"/>
      <c r="B9001" s="3"/>
      <c r="C9001" s="3"/>
      <c r="D9001" s="3"/>
      <c r="E9001" s="3">
        <v>18</v>
      </c>
      <c r="F9001" s="4" t="str">
        <f>HYPERLINK("http://141.218.60.56/~jnz1568/getInfo.php?workbook=12_05.xlsx&amp;sheet=U0&amp;row=9001&amp;col=6&amp;number=4.7&amp;sourceID=14","4.7")</f>
        <v>4.7</v>
      </c>
      <c r="G9001" s="4" t="str">
        <f>HYPERLINK("http://141.218.60.56/~jnz1568/getInfo.php?workbook=12_05.xlsx&amp;sheet=U0&amp;row=9001&amp;col=7&amp;number=0.00263&amp;sourceID=14","0.00263")</f>
        <v>0.00263</v>
      </c>
    </row>
    <row r="9002" spans="1:7">
      <c r="A9002" s="3"/>
      <c r="B9002" s="3"/>
      <c r="C9002" s="3"/>
      <c r="D9002" s="3"/>
      <c r="E9002" s="3">
        <v>19</v>
      </c>
      <c r="F9002" s="4" t="str">
        <f>HYPERLINK("http://141.218.60.56/~jnz1568/getInfo.php?workbook=12_05.xlsx&amp;sheet=U0&amp;row=9002&amp;col=6&amp;number=4.8&amp;sourceID=14","4.8")</f>
        <v>4.8</v>
      </c>
      <c r="G9002" s="4" t="str">
        <f>HYPERLINK("http://141.218.60.56/~jnz1568/getInfo.php?workbook=12_05.xlsx&amp;sheet=U0&amp;row=9002&amp;col=7&amp;number=0.0026&amp;sourceID=14","0.0026")</f>
        <v>0.0026</v>
      </c>
    </row>
    <row r="9003" spans="1:7">
      <c r="A9003" s="3"/>
      <c r="B9003" s="3"/>
      <c r="C9003" s="3"/>
      <c r="D9003" s="3"/>
      <c r="E9003" s="3">
        <v>20</v>
      </c>
      <c r="F9003" s="4" t="str">
        <f>HYPERLINK("http://141.218.60.56/~jnz1568/getInfo.php?workbook=12_05.xlsx&amp;sheet=U0&amp;row=9003&amp;col=6&amp;number=4.9&amp;sourceID=14","4.9")</f>
        <v>4.9</v>
      </c>
      <c r="G9003" s="4" t="str">
        <f>HYPERLINK("http://141.218.60.56/~jnz1568/getInfo.php?workbook=12_05.xlsx&amp;sheet=U0&amp;row=9003&amp;col=7&amp;number=0.00257&amp;sourceID=14","0.00257")</f>
        <v>0.00257</v>
      </c>
    </row>
    <row r="9004" spans="1:7">
      <c r="A9004" s="3">
        <v>12</v>
      </c>
      <c r="B9004" s="3">
        <v>5</v>
      </c>
      <c r="C9004" s="3">
        <v>5</v>
      </c>
      <c r="D9004" s="3">
        <v>18</v>
      </c>
      <c r="E9004" s="3">
        <v>1</v>
      </c>
      <c r="F9004" s="4" t="str">
        <f>HYPERLINK("http://141.218.60.56/~jnz1568/getInfo.php?workbook=12_05.xlsx&amp;sheet=U0&amp;row=9004&amp;col=6&amp;number=3&amp;sourceID=14","3")</f>
        <v>3</v>
      </c>
      <c r="G9004" s="4" t="str">
        <f>HYPERLINK("http://141.218.60.56/~jnz1568/getInfo.php?workbook=12_05.xlsx&amp;sheet=U0&amp;row=9004&amp;col=7&amp;number=0.00712&amp;sourceID=14","0.00712")</f>
        <v>0.00712</v>
      </c>
    </row>
    <row r="9005" spans="1:7">
      <c r="A9005" s="3"/>
      <c r="B9005" s="3"/>
      <c r="C9005" s="3"/>
      <c r="D9005" s="3"/>
      <c r="E9005" s="3">
        <v>2</v>
      </c>
      <c r="F9005" s="4" t="str">
        <f>HYPERLINK("http://141.218.60.56/~jnz1568/getInfo.php?workbook=12_05.xlsx&amp;sheet=U0&amp;row=9005&amp;col=6&amp;number=3.1&amp;sourceID=14","3.1")</f>
        <v>3.1</v>
      </c>
      <c r="G9005" s="4" t="str">
        <f>HYPERLINK("http://141.218.60.56/~jnz1568/getInfo.php?workbook=12_05.xlsx&amp;sheet=U0&amp;row=9005&amp;col=7&amp;number=0.00712&amp;sourceID=14","0.00712")</f>
        <v>0.00712</v>
      </c>
    </row>
    <row r="9006" spans="1:7">
      <c r="A9006" s="3"/>
      <c r="B9006" s="3"/>
      <c r="C9006" s="3"/>
      <c r="D9006" s="3"/>
      <c r="E9006" s="3">
        <v>3</v>
      </c>
      <c r="F9006" s="4" t="str">
        <f>HYPERLINK("http://141.218.60.56/~jnz1568/getInfo.php?workbook=12_05.xlsx&amp;sheet=U0&amp;row=9006&amp;col=6&amp;number=3.2&amp;sourceID=14","3.2")</f>
        <v>3.2</v>
      </c>
      <c r="G9006" s="4" t="str">
        <f>HYPERLINK("http://141.218.60.56/~jnz1568/getInfo.php?workbook=12_05.xlsx&amp;sheet=U0&amp;row=9006&amp;col=7&amp;number=0.00712&amp;sourceID=14","0.00712")</f>
        <v>0.00712</v>
      </c>
    </row>
    <row r="9007" spans="1:7">
      <c r="A9007" s="3"/>
      <c r="B9007" s="3"/>
      <c r="C9007" s="3"/>
      <c r="D9007" s="3"/>
      <c r="E9007" s="3">
        <v>4</v>
      </c>
      <c r="F9007" s="4" t="str">
        <f>HYPERLINK("http://141.218.60.56/~jnz1568/getInfo.php?workbook=12_05.xlsx&amp;sheet=U0&amp;row=9007&amp;col=6&amp;number=3.3&amp;sourceID=14","3.3")</f>
        <v>3.3</v>
      </c>
      <c r="G9007" s="4" t="str">
        <f>HYPERLINK("http://141.218.60.56/~jnz1568/getInfo.php?workbook=12_05.xlsx&amp;sheet=U0&amp;row=9007&amp;col=7&amp;number=0.00711&amp;sourceID=14","0.00711")</f>
        <v>0.00711</v>
      </c>
    </row>
    <row r="9008" spans="1:7">
      <c r="A9008" s="3"/>
      <c r="B9008" s="3"/>
      <c r="C9008" s="3"/>
      <c r="D9008" s="3"/>
      <c r="E9008" s="3">
        <v>5</v>
      </c>
      <c r="F9008" s="4" t="str">
        <f>HYPERLINK("http://141.218.60.56/~jnz1568/getInfo.php?workbook=12_05.xlsx&amp;sheet=U0&amp;row=9008&amp;col=6&amp;number=3.4&amp;sourceID=14","3.4")</f>
        <v>3.4</v>
      </c>
      <c r="G9008" s="4" t="str">
        <f>HYPERLINK("http://141.218.60.56/~jnz1568/getInfo.php?workbook=12_05.xlsx&amp;sheet=U0&amp;row=9008&amp;col=7&amp;number=0.00711&amp;sourceID=14","0.00711")</f>
        <v>0.00711</v>
      </c>
    </row>
    <row r="9009" spans="1:7">
      <c r="A9009" s="3"/>
      <c r="B9009" s="3"/>
      <c r="C9009" s="3"/>
      <c r="D9009" s="3"/>
      <c r="E9009" s="3">
        <v>6</v>
      </c>
      <c r="F9009" s="4" t="str">
        <f>HYPERLINK("http://141.218.60.56/~jnz1568/getInfo.php?workbook=12_05.xlsx&amp;sheet=U0&amp;row=9009&amp;col=6&amp;number=3.5&amp;sourceID=14","3.5")</f>
        <v>3.5</v>
      </c>
      <c r="G9009" s="4" t="str">
        <f>HYPERLINK("http://141.218.60.56/~jnz1568/getInfo.php?workbook=12_05.xlsx&amp;sheet=U0&amp;row=9009&amp;col=7&amp;number=0.00711&amp;sourceID=14","0.00711")</f>
        <v>0.00711</v>
      </c>
    </row>
    <row r="9010" spans="1:7">
      <c r="A9010" s="3"/>
      <c r="B9010" s="3"/>
      <c r="C9010" s="3"/>
      <c r="D9010" s="3"/>
      <c r="E9010" s="3">
        <v>7</v>
      </c>
      <c r="F9010" s="4" t="str">
        <f>HYPERLINK("http://141.218.60.56/~jnz1568/getInfo.php?workbook=12_05.xlsx&amp;sheet=U0&amp;row=9010&amp;col=6&amp;number=3.6&amp;sourceID=14","3.6")</f>
        <v>3.6</v>
      </c>
      <c r="G9010" s="4" t="str">
        <f>HYPERLINK("http://141.218.60.56/~jnz1568/getInfo.php?workbook=12_05.xlsx&amp;sheet=U0&amp;row=9010&amp;col=7&amp;number=0.0071&amp;sourceID=14","0.0071")</f>
        <v>0.0071</v>
      </c>
    </row>
    <row r="9011" spans="1:7">
      <c r="A9011" s="3"/>
      <c r="B9011" s="3"/>
      <c r="C9011" s="3"/>
      <c r="D9011" s="3"/>
      <c r="E9011" s="3">
        <v>8</v>
      </c>
      <c r="F9011" s="4" t="str">
        <f>HYPERLINK("http://141.218.60.56/~jnz1568/getInfo.php?workbook=12_05.xlsx&amp;sheet=U0&amp;row=9011&amp;col=6&amp;number=3.7&amp;sourceID=14","3.7")</f>
        <v>3.7</v>
      </c>
      <c r="G9011" s="4" t="str">
        <f>HYPERLINK("http://141.218.60.56/~jnz1568/getInfo.php?workbook=12_05.xlsx&amp;sheet=U0&amp;row=9011&amp;col=7&amp;number=0.0071&amp;sourceID=14","0.0071")</f>
        <v>0.0071</v>
      </c>
    </row>
    <row r="9012" spans="1:7">
      <c r="A9012" s="3"/>
      <c r="B9012" s="3"/>
      <c r="C9012" s="3"/>
      <c r="D9012" s="3"/>
      <c r="E9012" s="3">
        <v>9</v>
      </c>
      <c r="F9012" s="4" t="str">
        <f>HYPERLINK("http://141.218.60.56/~jnz1568/getInfo.php?workbook=12_05.xlsx&amp;sheet=U0&amp;row=9012&amp;col=6&amp;number=3.8&amp;sourceID=14","3.8")</f>
        <v>3.8</v>
      </c>
      <c r="G9012" s="4" t="str">
        <f>HYPERLINK("http://141.218.60.56/~jnz1568/getInfo.php?workbook=12_05.xlsx&amp;sheet=U0&amp;row=9012&amp;col=7&amp;number=0.00709&amp;sourceID=14","0.00709")</f>
        <v>0.00709</v>
      </c>
    </row>
    <row r="9013" spans="1:7">
      <c r="A9013" s="3"/>
      <c r="B9013" s="3"/>
      <c r="C9013" s="3"/>
      <c r="D9013" s="3"/>
      <c r="E9013" s="3">
        <v>10</v>
      </c>
      <c r="F9013" s="4" t="str">
        <f>HYPERLINK("http://141.218.60.56/~jnz1568/getInfo.php?workbook=12_05.xlsx&amp;sheet=U0&amp;row=9013&amp;col=6&amp;number=3.9&amp;sourceID=14","3.9")</f>
        <v>3.9</v>
      </c>
      <c r="G9013" s="4" t="str">
        <f>HYPERLINK("http://141.218.60.56/~jnz1568/getInfo.php?workbook=12_05.xlsx&amp;sheet=U0&amp;row=9013&amp;col=7&amp;number=0.00708&amp;sourceID=14","0.00708")</f>
        <v>0.00708</v>
      </c>
    </row>
    <row r="9014" spans="1:7">
      <c r="A9014" s="3"/>
      <c r="B9014" s="3"/>
      <c r="C9014" s="3"/>
      <c r="D9014" s="3"/>
      <c r="E9014" s="3">
        <v>11</v>
      </c>
      <c r="F9014" s="4" t="str">
        <f>HYPERLINK("http://141.218.60.56/~jnz1568/getInfo.php?workbook=12_05.xlsx&amp;sheet=U0&amp;row=9014&amp;col=6&amp;number=4&amp;sourceID=14","4")</f>
        <v>4</v>
      </c>
      <c r="G9014" s="4" t="str">
        <f>HYPERLINK("http://141.218.60.56/~jnz1568/getInfo.php?workbook=12_05.xlsx&amp;sheet=U0&amp;row=9014&amp;col=7&amp;number=0.00707&amp;sourceID=14","0.00707")</f>
        <v>0.00707</v>
      </c>
    </row>
    <row r="9015" spans="1:7">
      <c r="A9015" s="3"/>
      <c r="B9015" s="3"/>
      <c r="C9015" s="3"/>
      <c r="D9015" s="3"/>
      <c r="E9015" s="3">
        <v>12</v>
      </c>
      <c r="F9015" s="4" t="str">
        <f>HYPERLINK("http://141.218.60.56/~jnz1568/getInfo.php?workbook=12_05.xlsx&amp;sheet=U0&amp;row=9015&amp;col=6&amp;number=4.1&amp;sourceID=14","4.1")</f>
        <v>4.1</v>
      </c>
      <c r="G9015" s="4" t="str">
        <f>HYPERLINK("http://141.218.60.56/~jnz1568/getInfo.php?workbook=12_05.xlsx&amp;sheet=U0&amp;row=9015&amp;col=7&amp;number=0.00705&amp;sourceID=14","0.00705")</f>
        <v>0.00705</v>
      </c>
    </row>
    <row r="9016" spans="1:7">
      <c r="A9016" s="3"/>
      <c r="B9016" s="3"/>
      <c r="C9016" s="3"/>
      <c r="D9016" s="3"/>
      <c r="E9016" s="3">
        <v>13</v>
      </c>
      <c r="F9016" s="4" t="str">
        <f>HYPERLINK("http://141.218.60.56/~jnz1568/getInfo.php?workbook=12_05.xlsx&amp;sheet=U0&amp;row=9016&amp;col=6&amp;number=4.2&amp;sourceID=14","4.2")</f>
        <v>4.2</v>
      </c>
      <c r="G9016" s="4" t="str">
        <f>HYPERLINK("http://141.218.60.56/~jnz1568/getInfo.php?workbook=12_05.xlsx&amp;sheet=U0&amp;row=9016&amp;col=7&amp;number=0.00703&amp;sourceID=14","0.00703")</f>
        <v>0.00703</v>
      </c>
    </row>
    <row r="9017" spans="1:7">
      <c r="A9017" s="3"/>
      <c r="B9017" s="3"/>
      <c r="C9017" s="3"/>
      <c r="D9017" s="3"/>
      <c r="E9017" s="3">
        <v>14</v>
      </c>
      <c r="F9017" s="4" t="str">
        <f>HYPERLINK("http://141.218.60.56/~jnz1568/getInfo.php?workbook=12_05.xlsx&amp;sheet=U0&amp;row=9017&amp;col=6&amp;number=4.3&amp;sourceID=14","4.3")</f>
        <v>4.3</v>
      </c>
      <c r="G9017" s="4" t="str">
        <f>HYPERLINK("http://141.218.60.56/~jnz1568/getInfo.php?workbook=12_05.xlsx&amp;sheet=U0&amp;row=9017&amp;col=7&amp;number=0.00701&amp;sourceID=14","0.00701")</f>
        <v>0.00701</v>
      </c>
    </row>
    <row r="9018" spans="1:7">
      <c r="A9018" s="3"/>
      <c r="B9018" s="3"/>
      <c r="C9018" s="3"/>
      <c r="D9018" s="3"/>
      <c r="E9018" s="3">
        <v>15</v>
      </c>
      <c r="F9018" s="4" t="str">
        <f>HYPERLINK("http://141.218.60.56/~jnz1568/getInfo.php?workbook=12_05.xlsx&amp;sheet=U0&amp;row=9018&amp;col=6&amp;number=4.4&amp;sourceID=14","4.4")</f>
        <v>4.4</v>
      </c>
      <c r="G9018" s="4" t="str">
        <f>HYPERLINK("http://141.218.60.56/~jnz1568/getInfo.php?workbook=12_05.xlsx&amp;sheet=U0&amp;row=9018&amp;col=7&amp;number=0.00698&amp;sourceID=14","0.00698")</f>
        <v>0.00698</v>
      </c>
    </row>
    <row r="9019" spans="1:7">
      <c r="A9019" s="3"/>
      <c r="B9019" s="3"/>
      <c r="C9019" s="3"/>
      <c r="D9019" s="3"/>
      <c r="E9019" s="3">
        <v>16</v>
      </c>
      <c r="F9019" s="4" t="str">
        <f>HYPERLINK("http://141.218.60.56/~jnz1568/getInfo.php?workbook=12_05.xlsx&amp;sheet=U0&amp;row=9019&amp;col=6&amp;number=4.5&amp;sourceID=14","4.5")</f>
        <v>4.5</v>
      </c>
      <c r="G9019" s="4" t="str">
        <f>HYPERLINK("http://141.218.60.56/~jnz1568/getInfo.php?workbook=12_05.xlsx&amp;sheet=U0&amp;row=9019&amp;col=7&amp;number=0.00694&amp;sourceID=14","0.00694")</f>
        <v>0.00694</v>
      </c>
    </row>
    <row r="9020" spans="1:7">
      <c r="A9020" s="3"/>
      <c r="B9020" s="3"/>
      <c r="C9020" s="3"/>
      <c r="D9020" s="3"/>
      <c r="E9020" s="3">
        <v>17</v>
      </c>
      <c r="F9020" s="4" t="str">
        <f>HYPERLINK("http://141.218.60.56/~jnz1568/getInfo.php?workbook=12_05.xlsx&amp;sheet=U0&amp;row=9020&amp;col=6&amp;number=4.6&amp;sourceID=14","4.6")</f>
        <v>4.6</v>
      </c>
      <c r="G9020" s="4" t="str">
        <f>HYPERLINK("http://141.218.60.56/~jnz1568/getInfo.php?workbook=12_05.xlsx&amp;sheet=U0&amp;row=9020&amp;col=7&amp;number=0.0069&amp;sourceID=14","0.0069")</f>
        <v>0.0069</v>
      </c>
    </row>
    <row r="9021" spans="1:7">
      <c r="A9021" s="3"/>
      <c r="B9021" s="3"/>
      <c r="C9021" s="3"/>
      <c r="D9021" s="3"/>
      <c r="E9021" s="3">
        <v>18</v>
      </c>
      <c r="F9021" s="4" t="str">
        <f>HYPERLINK("http://141.218.60.56/~jnz1568/getInfo.php?workbook=12_05.xlsx&amp;sheet=U0&amp;row=9021&amp;col=6&amp;number=4.7&amp;sourceID=14","4.7")</f>
        <v>4.7</v>
      </c>
      <c r="G9021" s="4" t="str">
        <f>HYPERLINK("http://141.218.60.56/~jnz1568/getInfo.php?workbook=12_05.xlsx&amp;sheet=U0&amp;row=9021&amp;col=7&amp;number=0.00684&amp;sourceID=14","0.00684")</f>
        <v>0.00684</v>
      </c>
    </row>
    <row r="9022" spans="1:7">
      <c r="A9022" s="3"/>
      <c r="B9022" s="3"/>
      <c r="C9022" s="3"/>
      <c r="D9022" s="3"/>
      <c r="E9022" s="3">
        <v>19</v>
      </c>
      <c r="F9022" s="4" t="str">
        <f>HYPERLINK("http://141.218.60.56/~jnz1568/getInfo.php?workbook=12_05.xlsx&amp;sheet=U0&amp;row=9022&amp;col=6&amp;number=4.8&amp;sourceID=14","4.8")</f>
        <v>4.8</v>
      </c>
      <c r="G9022" s="4" t="str">
        <f>HYPERLINK("http://141.218.60.56/~jnz1568/getInfo.php?workbook=12_05.xlsx&amp;sheet=U0&amp;row=9022&amp;col=7&amp;number=0.00677&amp;sourceID=14","0.00677")</f>
        <v>0.00677</v>
      </c>
    </row>
    <row r="9023" spans="1:7">
      <c r="A9023" s="3"/>
      <c r="B9023" s="3"/>
      <c r="C9023" s="3"/>
      <c r="D9023" s="3"/>
      <c r="E9023" s="3">
        <v>20</v>
      </c>
      <c r="F9023" s="4" t="str">
        <f>HYPERLINK("http://141.218.60.56/~jnz1568/getInfo.php?workbook=12_05.xlsx&amp;sheet=U0&amp;row=9023&amp;col=6&amp;number=4.9&amp;sourceID=14","4.9")</f>
        <v>4.9</v>
      </c>
      <c r="G9023" s="4" t="str">
        <f>HYPERLINK("http://141.218.60.56/~jnz1568/getInfo.php?workbook=12_05.xlsx&amp;sheet=U0&amp;row=9023&amp;col=7&amp;number=0.00668&amp;sourceID=14","0.00668")</f>
        <v>0.00668</v>
      </c>
    </row>
    <row r="9024" spans="1:7">
      <c r="A9024" s="3">
        <v>12</v>
      </c>
      <c r="B9024" s="3">
        <v>5</v>
      </c>
      <c r="C9024" s="3">
        <v>5</v>
      </c>
      <c r="D9024" s="3">
        <v>19</v>
      </c>
      <c r="E9024" s="3">
        <v>1</v>
      </c>
      <c r="F9024" s="4" t="str">
        <f>HYPERLINK("http://141.218.60.56/~jnz1568/getInfo.php?workbook=12_05.xlsx&amp;sheet=U0&amp;row=9024&amp;col=6&amp;number=3&amp;sourceID=14","3")</f>
        <v>3</v>
      </c>
      <c r="G9024" s="4" t="str">
        <f>HYPERLINK("http://141.218.60.56/~jnz1568/getInfo.php?workbook=12_05.xlsx&amp;sheet=U0&amp;row=9024&amp;col=7&amp;number=0.00789&amp;sourceID=14","0.00789")</f>
        <v>0.00789</v>
      </c>
    </row>
    <row r="9025" spans="1:7">
      <c r="A9025" s="3"/>
      <c r="B9025" s="3"/>
      <c r="C9025" s="3"/>
      <c r="D9025" s="3"/>
      <c r="E9025" s="3">
        <v>2</v>
      </c>
      <c r="F9025" s="4" t="str">
        <f>HYPERLINK("http://141.218.60.56/~jnz1568/getInfo.php?workbook=12_05.xlsx&amp;sheet=U0&amp;row=9025&amp;col=6&amp;number=3.1&amp;sourceID=14","3.1")</f>
        <v>3.1</v>
      </c>
      <c r="G9025" s="4" t="str">
        <f>HYPERLINK("http://141.218.60.56/~jnz1568/getInfo.php?workbook=12_05.xlsx&amp;sheet=U0&amp;row=9025&amp;col=7&amp;number=0.00789&amp;sourceID=14","0.00789")</f>
        <v>0.00789</v>
      </c>
    </row>
    <row r="9026" spans="1:7">
      <c r="A9026" s="3"/>
      <c r="B9026" s="3"/>
      <c r="C9026" s="3"/>
      <c r="D9026" s="3"/>
      <c r="E9026" s="3">
        <v>3</v>
      </c>
      <c r="F9026" s="4" t="str">
        <f>HYPERLINK("http://141.218.60.56/~jnz1568/getInfo.php?workbook=12_05.xlsx&amp;sheet=U0&amp;row=9026&amp;col=6&amp;number=3.2&amp;sourceID=14","3.2")</f>
        <v>3.2</v>
      </c>
      <c r="G9026" s="4" t="str">
        <f>HYPERLINK("http://141.218.60.56/~jnz1568/getInfo.php?workbook=12_05.xlsx&amp;sheet=U0&amp;row=9026&amp;col=7&amp;number=0.00789&amp;sourceID=14","0.00789")</f>
        <v>0.00789</v>
      </c>
    </row>
    <row r="9027" spans="1:7">
      <c r="A9027" s="3"/>
      <c r="B9027" s="3"/>
      <c r="C9027" s="3"/>
      <c r="D9027" s="3"/>
      <c r="E9027" s="3">
        <v>4</v>
      </c>
      <c r="F9027" s="4" t="str">
        <f>HYPERLINK("http://141.218.60.56/~jnz1568/getInfo.php?workbook=12_05.xlsx&amp;sheet=U0&amp;row=9027&amp;col=6&amp;number=3.3&amp;sourceID=14","3.3")</f>
        <v>3.3</v>
      </c>
      <c r="G9027" s="4" t="str">
        <f>HYPERLINK("http://141.218.60.56/~jnz1568/getInfo.php?workbook=12_05.xlsx&amp;sheet=U0&amp;row=9027&amp;col=7&amp;number=0.00789&amp;sourceID=14","0.00789")</f>
        <v>0.00789</v>
      </c>
    </row>
    <row r="9028" spans="1:7">
      <c r="A9028" s="3"/>
      <c r="B9028" s="3"/>
      <c r="C9028" s="3"/>
      <c r="D9028" s="3"/>
      <c r="E9028" s="3">
        <v>5</v>
      </c>
      <c r="F9028" s="4" t="str">
        <f>HYPERLINK("http://141.218.60.56/~jnz1568/getInfo.php?workbook=12_05.xlsx&amp;sheet=U0&amp;row=9028&amp;col=6&amp;number=3.4&amp;sourceID=14","3.4")</f>
        <v>3.4</v>
      </c>
      <c r="G9028" s="4" t="str">
        <f>HYPERLINK("http://141.218.60.56/~jnz1568/getInfo.php?workbook=12_05.xlsx&amp;sheet=U0&amp;row=9028&amp;col=7&amp;number=0.00789&amp;sourceID=14","0.00789")</f>
        <v>0.00789</v>
      </c>
    </row>
    <row r="9029" spans="1:7">
      <c r="A9029" s="3"/>
      <c r="B9029" s="3"/>
      <c r="C9029" s="3"/>
      <c r="D9029" s="3"/>
      <c r="E9029" s="3">
        <v>6</v>
      </c>
      <c r="F9029" s="4" t="str">
        <f>HYPERLINK("http://141.218.60.56/~jnz1568/getInfo.php?workbook=12_05.xlsx&amp;sheet=U0&amp;row=9029&amp;col=6&amp;number=3.5&amp;sourceID=14","3.5")</f>
        <v>3.5</v>
      </c>
      <c r="G9029" s="4" t="str">
        <f>HYPERLINK("http://141.218.60.56/~jnz1568/getInfo.php?workbook=12_05.xlsx&amp;sheet=U0&amp;row=9029&amp;col=7&amp;number=0.00789&amp;sourceID=14","0.00789")</f>
        <v>0.00789</v>
      </c>
    </row>
    <row r="9030" spans="1:7">
      <c r="A9030" s="3"/>
      <c r="B9030" s="3"/>
      <c r="C9030" s="3"/>
      <c r="D9030" s="3"/>
      <c r="E9030" s="3">
        <v>7</v>
      </c>
      <c r="F9030" s="4" t="str">
        <f>HYPERLINK("http://141.218.60.56/~jnz1568/getInfo.php?workbook=12_05.xlsx&amp;sheet=U0&amp;row=9030&amp;col=6&amp;number=3.6&amp;sourceID=14","3.6")</f>
        <v>3.6</v>
      </c>
      <c r="G9030" s="4" t="str">
        <f>HYPERLINK("http://141.218.60.56/~jnz1568/getInfo.php?workbook=12_05.xlsx&amp;sheet=U0&amp;row=9030&amp;col=7&amp;number=0.00789&amp;sourceID=14","0.00789")</f>
        <v>0.00789</v>
      </c>
    </row>
    <row r="9031" spans="1:7">
      <c r="A9031" s="3"/>
      <c r="B9031" s="3"/>
      <c r="C9031" s="3"/>
      <c r="D9031" s="3"/>
      <c r="E9031" s="3">
        <v>8</v>
      </c>
      <c r="F9031" s="4" t="str">
        <f>HYPERLINK("http://141.218.60.56/~jnz1568/getInfo.php?workbook=12_05.xlsx&amp;sheet=U0&amp;row=9031&amp;col=6&amp;number=3.7&amp;sourceID=14","3.7")</f>
        <v>3.7</v>
      </c>
      <c r="G9031" s="4" t="str">
        <f>HYPERLINK("http://141.218.60.56/~jnz1568/getInfo.php?workbook=12_05.xlsx&amp;sheet=U0&amp;row=9031&amp;col=7&amp;number=0.00789&amp;sourceID=14","0.00789")</f>
        <v>0.00789</v>
      </c>
    </row>
    <row r="9032" spans="1:7">
      <c r="A9032" s="3"/>
      <c r="B9032" s="3"/>
      <c r="C9032" s="3"/>
      <c r="D9032" s="3"/>
      <c r="E9032" s="3">
        <v>9</v>
      </c>
      <c r="F9032" s="4" t="str">
        <f>HYPERLINK("http://141.218.60.56/~jnz1568/getInfo.php?workbook=12_05.xlsx&amp;sheet=U0&amp;row=9032&amp;col=6&amp;number=3.8&amp;sourceID=14","3.8")</f>
        <v>3.8</v>
      </c>
      <c r="G9032" s="4" t="str">
        <f>HYPERLINK("http://141.218.60.56/~jnz1568/getInfo.php?workbook=12_05.xlsx&amp;sheet=U0&amp;row=9032&amp;col=7&amp;number=0.00788&amp;sourceID=14","0.00788")</f>
        <v>0.00788</v>
      </c>
    </row>
    <row r="9033" spans="1:7">
      <c r="A9033" s="3"/>
      <c r="B9033" s="3"/>
      <c r="C9033" s="3"/>
      <c r="D9033" s="3"/>
      <c r="E9033" s="3">
        <v>10</v>
      </c>
      <c r="F9033" s="4" t="str">
        <f>HYPERLINK("http://141.218.60.56/~jnz1568/getInfo.php?workbook=12_05.xlsx&amp;sheet=U0&amp;row=9033&amp;col=6&amp;number=3.9&amp;sourceID=14","3.9")</f>
        <v>3.9</v>
      </c>
      <c r="G9033" s="4" t="str">
        <f>HYPERLINK("http://141.218.60.56/~jnz1568/getInfo.php?workbook=12_05.xlsx&amp;sheet=U0&amp;row=9033&amp;col=7&amp;number=0.00788&amp;sourceID=14","0.00788")</f>
        <v>0.00788</v>
      </c>
    </row>
    <row r="9034" spans="1:7">
      <c r="A9034" s="3"/>
      <c r="B9034" s="3"/>
      <c r="C9034" s="3"/>
      <c r="D9034" s="3"/>
      <c r="E9034" s="3">
        <v>11</v>
      </c>
      <c r="F9034" s="4" t="str">
        <f>HYPERLINK("http://141.218.60.56/~jnz1568/getInfo.php?workbook=12_05.xlsx&amp;sheet=U0&amp;row=9034&amp;col=6&amp;number=4&amp;sourceID=14","4")</f>
        <v>4</v>
      </c>
      <c r="G9034" s="4" t="str">
        <f>HYPERLINK("http://141.218.60.56/~jnz1568/getInfo.php?workbook=12_05.xlsx&amp;sheet=U0&amp;row=9034&amp;col=7&amp;number=0.00788&amp;sourceID=14","0.00788")</f>
        <v>0.00788</v>
      </c>
    </row>
    <row r="9035" spans="1:7">
      <c r="A9035" s="3"/>
      <c r="B9035" s="3"/>
      <c r="C9035" s="3"/>
      <c r="D9035" s="3"/>
      <c r="E9035" s="3">
        <v>12</v>
      </c>
      <c r="F9035" s="4" t="str">
        <f>HYPERLINK("http://141.218.60.56/~jnz1568/getInfo.php?workbook=12_05.xlsx&amp;sheet=U0&amp;row=9035&amp;col=6&amp;number=4.1&amp;sourceID=14","4.1")</f>
        <v>4.1</v>
      </c>
      <c r="G9035" s="4" t="str">
        <f>HYPERLINK("http://141.218.60.56/~jnz1568/getInfo.php?workbook=12_05.xlsx&amp;sheet=U0&amp;row=9035&amp;col=7&amp;number=0.00787&amp;sourceID=14","0.00787")</f>
        <v>0.00787</v>
      </c>
    </row>
    <row r="9036" spans="1:7">
      <c r="A9036" s="3"/>
      <c r="B9036" s="3"/>
      <c r="C9036" s="3"/>
      <c r="D9036" s="3"/>
      <c r="E9036" s="3">
        <v>13</v>
      </c>
      <c r="F9036" s="4" t="str">
        <f>HYPERLINK("http://141.218.60.56/~jnz1568/getInfo.php?workbook=12_05.xlsx&amp;sheet=U0&amp;row=9036&amp;col=6&amp;number=4.2&amp;sourceID=14","4.2")</f>
        <v>4.2</v>
      </c>
      <c r="G9036" s="4" t="str">
        <f>HYPERLINK("http://141.218.60.56/~jnz1568/getInfo.php?workbook=12_05.xlsx&amp;sheet=U0&amp;row=9036&amp;col=7&amp;number=0.00787&amp;sourceID=14","0.00787")</f>
        <v>0.00787</v>
      </c>
    </row>
    <row r="9037" spans="1:7">
      <c r="A9037" s="3"/>
      <c r="B9037" s="3"/>
      <c r="C9037" s="3"/>
      <c r="D9037" s="3"/>
      <c r="E9037" s="3">
        <v>14</v>
      </c>
      <c r="F9037" s="4" t="str">
        <f>HYPERLINK("http://141.218.60.56/~jnz1568/getInfo.php?workbook=12_05.xlsx&amp;sheet=U0&amp;row=9037&amp;col=6&amp;number=4.3&amp;sourceID=14","4.3")</f>
        <v>4.3</v>
      </c>
      <c r="G9037" s="4" t="str">
        <f>HYPERLINK("http://141.218.60.56/~jnz1568/getInfo.php?workbook=12_05.xlsx&amp;sheet=U0&amp;row=9037&amp;col=7&amp;number=0.00786&amp;sourceID=14","0.00786")</f>
        <v>0.00786</v>
      </c>
    </row>
    <row r="9038" spans="1:7">
      <c r="A9038" s="3"/>
      <c r="B9038" s="3"/>
      <c r="C9038" s="3"/>
      <c r="D9038" s="3"/>
      <c r="E9038" s="3">
        <v>15</v>
      </c>
      <c r="F9038" s="4" t="str">
        <f>HYPERLINK("http://141.218.60.56/~jnz1568/getInfo.php?workbook=12_05.xlsx&amp;sheet=U0&amp;row=9038&amp;col=6&amp;number=4.4&amp;sourceID=14","4.4")</f>
        <v>4.4</v>
      </c>
      <c r="G9038" s="4" t="str">
        <f>HYPERLINK("http://141.218.60.56/~jnz1568/getInfo.php?workbook=12_05.xlsx&amp;sheet=U0&amp;row=9038&amp;col=7&amp;number=0.00786&amp;sourceID=14","0.00786")</f>
        <v>0.00786</v>
      </c>
    </row>
    <row r="9039" spans="1:7">
      <c r="A9039" s="3"/>
      <c r="B9039" s="3"/>
      <c r="C9039" s="3"/>
      <c r="D9039" s="3"/>
      <c r="E9039" s="3">
        <v>16</v>
      </c>
      <c r="F9039" s="4" t="str">
        <f>HYPERLINK("http://141.218.60.56/~jnz1568/getInfo.php?workbook=12_05.xlsx&amp;sheet=U0&amp;row=9039&amp;col=6&amp;number=4.5&amp;sourceID=14","4.5")</f>
        <v>4.5</v>
      </c>
      <c r="G9039" s="4" t="str">
        <f>HYPERLINK("http://141.218.60.56/~jnz1568/getInfo.php?workbook=12_05.xlsx&amp;sheet=U0&amp;row=9039&amp;col=7&amp;number=0.00785&amp;sourceID=14","0.00785")</f>
        <v>0.00785</v>
      </c>
    </row>
    <row r="9040" spans="1:7">
      <c r="A9040" s="3"/>
      <c r="B9040" s="3"/>
      <c r="C9040" s="3"/>
      <c r="D9040" s="3"/>
      <c r="E9040" s="3">
        <v>17</v>
      </c>
      <c r="F9040" s="4" t="str">
        <f>HYPERLINK("http://141.218.60.56/~jnz1568/getInfo.php?workbook=12_05.xlsx&amp;sheet=U0&amp;row=9040&amp;col=6&amp;number=4.6&amp;sourceID=14","4.6")</f>
        <v>4.6</v>
      </c>
      <c r="G9040" s="4" t="str">
        <f>HYPERLINK("http://141.218.60.56/~jnz1568/getInfo.php?workbook=12_05.xlsx&amp;sheet=U0&amp;row=9040&amp;col=7&amp;number=0.00784&amp;sourceID=14","0.00784")</f>
        <v>0.00784</v>
      </c>
    </row>
    <row r="9041" spans="1:7">
      <c r="A9041" s="3"/>
      <c r="B9041" s="3"/>
      <c r="C9041" s="3"/>
      <c r="D9041" s="3"/>
      <c r="E9041" s="3">
        <v>18</v>
      </c>
      <c r="F9041" s="4" t="str">
        <f>HYPERLINK("http://141.218.60.56/~jnz1568/getInfo.php?workbook=12_05.xlsx&amp;sheet=U0&amp;row=9041&amp;col=6&amp;number=4.7&amp;sourceID=14","4.7")</f>
        <v>4.7</v>
      </c>
      <c r="G9041" s="4" t="str">
        <f>HYPERLINK("http://141.218.60.56/~jnz1568/getInfo.php?workbook=12_05.xlsx&amp;sheet=U0&amp;row=9041&amp;col=7&amp;number=0.00782&amp;sourceID=14","0.00782")</f>
        <v>0.00782</v>
      </c>
    </row>
    <row r="9042" spans="1:7">
      <c r="A9042" s="3"/>
      <c r="B9042" s="3"/>
      <c r="C9042" s="3"/>
      <c r="D9042" s="3"/>
      <c r="E9042" s="3">
        <v>19</v>
      </c>
      <c r="F9042" s="4" t="str">
        <f>HYPERLINK("http://141.218.60.56/~jnz1568/getInfo.php?workbook=12_05.xlsx&amp;sheet=U0&amp;row=9042&amp;col=6&amp;number=4.8&amp;sourceID=14","4.8")</f>
        <v>4.8</v>
      </c>
      <c r="G9042" s="4" t="str">
        <f>HYPERLINK("http://141.218.60.56/~jnz1568/getInfo.php?workbook=12_05.xlsx&amp;sheet=U0&amp;row=9042&amp;col=7&amp;number=0.00781&amp;sourceID=14","0.00781")</f>
        <v>0.00781</v>
      </c>
    </row>
    <row r="9043" spans="1:7">
      <c r="A9043" s="3"/>
      <c r="B9043" s="3"/>
      <c r="C9043" s="3"/>
      <c r="D9043" s="3"/>
      <c r="E9043" s="3">
        <v>20</v>
      </c>
      <c r="F9043" s="4" t="str">
        <f>HYPERLINK("http://141.218.60.56/~jnz1568/getInfo.php?workbook=12_05.xlsx&amp;sheet=U0&amp;row=9043&amp;col=6&amp;number=4.9&amp;sourceID=14","4.9")</f>
        <v>4.9</v>
      </c>
      <c r="G9043" s="4" t="str">
        <f>HYPERLINK("http://141.218.60.56/~jnz1568/getInfo.php?workbook=12_05.xlsx&amp;sheet=U0&amp;row=9043&amp;col=7&amp;number=0.00778&amp;sourceID=14","0.00778")</f>
        <v>0.00778</v>
      </c>
    </row>
    <row r="9044" spans="1:7">
      <c r="A9044" s="3">
        <v>12</v>
      </c>
      <c r="B9044" s="3">
        <v>5</v>
      </c>
      <c r="C9044" s="3">
        <v>5</v>
      </c>
      <c r="D9044" s="3">
        <v>20</v>
      </c>
      <c r="E9044" s="3">
        <v>1</v>
      </c>
      <c r="F9044" s="4" t="str">
        <f>HYPERLINK("http://141.218.60.56/~jnz1568/getInfo.php?workbook=12_05.xlsx&amp;sheet=U0&amp;row=9044&amp;col=6&amp;number=3&amp;sourceID=14","3")</f>
        <v>3</v>
      </c>
      <c r="G9044" s="4" t="str">
        <f>HYPERLINK("http://141.218.60.56/~jnz1568/getInfo.php?workbook=12_05.xlsx&amp;sheet=U0&amp;row=9044&amp;col=7&amp;number=0.00585&amp;sourceID=14","0.00585")</f>
        <v>0.00585</v>
      </c>
    </row>
    <row r="9045" spans="1:7">
      <c r="A9045" s="3"/>
      <c r="B9045" s="3"/>
      <c r="C9045" s="3"/>
      <c r="D9045" s="3"/>
      <c r="E9045" s="3">
        <v>2</v>
      </c>
      <c r="F9045" s="4" t="str">
        <f>HYPERLINK("http://141.218.60.56/~jnz1568/getInfo.php?workbook=12_05.xlsx&amp;sheet=U0&amp;row=9045&amp;col=6&amp;number=3.1&amp;sourceID=14","3.1")</f>
        <v>3.1</v>
      </c>
      <c r="G9045" s="4" t="str">
        <f>HYPERLINK("http://141.218.60.56/~jnz1568/getInfo.php?workbook=12_05.xlsx&amp;sheet=U0&amp;row=9045&amp;col=7&amp;number=0.00585&amp;sourceID=14","0.00585")</f>
        <v>0.00585</v>
      </c>
    </row>
    <row r="9046" spans="1:7">
      <c r="A9046" s="3"/>
      <c r="B9046" s="3"/>
      <c r="C9046" s="3"/>
      <c r="D9046" s="3"/>
      <c r="E9046" s="3">
        <v>3</v>
      </c>
      <c r="F9046" s="4" t="str">
        <f>HYPERLINK("http://141.218.60.56/~jnz1568/getInfo.php?workbook=12_05.xlsx&amp;sheet=U0&amp;row=9046&amp;col=6&amp;number=3.2&amp;sourceID=14","3.2")</f>
        <v>3.2</v>
      </c>
      <c r="G9046" s="4" t="str">
        <f>HYPERLINK("http://141.218.60.56/~jnz1568/getInfo.php?workbook=12_05.xlsx&amp;sheet=U0&amp;row=9046&amp;col=7&amp;number=0.00585&amp;sourceID=14","0.00585")</f>
        <v>0.00585</v>
      </c>
    </row>
    <row r="9047" spans="1:7">
      <c r="A9047" s="3"/>
      <c r="B9047" s="3"/>
      <c r="C9047" s="3"/>
      <c r="D9047" s="3"/>
      <c r="E9047" s="3">
        <v>4</v>
      </c>
      <c r="F9047" s="4" t="str">
        <f>HYPERLINK("http://141.218.60.56/~jnz1568/getInfo.php?workbook=12_05.xlsx&amp;sheet=U0&amp;row=9047&amp;col=6&amp;number=3.3&amp;sourceID=14","3.3")</f>
        <v>3.3</v>
      </c>
      <c r="G9047" s="4" t="str">
        <f>HYPERLINK("http://141.218.60.56/~jnz1568/getInfo.php?workbook=12_05.xlsx&amp;sheet=U0&amp;row=9047&amp;col=7&amp;number=0.00585&amp;sourceID=14","0.00585")</f>
        <v>0.00585</v>
      </c>
    </row>
    <row r="9048" spans="1:7">
      <c r="A9048" s="3"/>
      <c r="B9048" s="3"/>
      <c r="C9048" s="3"/>
      <c r="D9048" s="3"/>
      <c r="E9048" s="3">
        <v>5</v>
      </c>
      <c r="F9048" s="4" t="str">
        <f>HYPERLINK("http://141.218.60.56/~jnz1568/getInfo.php?workbook=12_05.xlsx&amp;sheet=U0&amp;row=9048&amp;col=6&amp;number=3.4&amp;sourceID=14","3.4")</f>
        <v>3.4</v>
      </c>
      <c r="G9048" s="4" t="str">
        <f>HYPERLINK("http://141.218.60.56/~jnz1568/getInfo.php?workbook=12_05.xlsx&amp;sheet=U0&amp;row=9048&amp;col=7&amp;number=0.00585&amp;sourceID=14","0.00585")</f>
        <v>0.00585</v>
      </c>
    </row>
    <row r="9049" spans="1:7">
      <c r="A9049" s="3"/>
      <c r="B9049" s="3"/>
      <c r="C9049" s="3"/>
      <c r="D9049" s="3"/>
      <c r="E9049" s="3">
        <v>6</v>
      </c>
      <c r="F9049" s="4" t="str">
        <f>HYPERLINK("http://141.218.60.56/~jnz1568/getInfo.php?workbook=12_05.xlsx&amp;sheet=U0&amp;row=9049&amp;col=6&amp;number=3.5&amp;sourceID=14","3.5")</f>
        <v>3.5</v>
      </c>
      <c r="G9049" s="4" t="str">
        <f>HYPERLINK("http://141.218.60.56/~jnz1568/getInfo.php?workbook=12_05.xlsx&amp;sheet=U0&amp;row=9049&amp;col=7&amp;number=0.00584&amp;sourceID=14","0.00584")</f>
        <v>0.00584</v>
      </c>
    </row>
    <row r="9050" spans="1:7">
      <c r="A9050" s="3"/>
      <c r="B9050" s="3"/>
      <c r="C9050" s="3"/>
      <c r="D9050" s="3"/>
      <c r="E9050" s="3">
        <v>7</v>
      </c>
      <c r="F9050" s="4" t="str">
        <f>HYPERLINK("http://141.218.60.56/~jnz1568/getInfo.php?workbook=12_05.xlsx&amp;sheet=U0&amp;row=9050&amp;col=6&amp;number=3.6&amp;sourceID=14","3.6")</f>
        <v>3.6</v>
      </c>
      <c r="G9050" s="4" t="str">
        <f>HYPERLINK("http://141.218.60.56/~jnz1568/getInfo.php?workbook=12_05.xlsx&amp;sheet=U0&amp;row=9050&amp;col=7&amp;number=0.00584&amp;sourceID=14","0.00584")</f>
        <v>0.00584</v>
      </c>
    </row>
    <row r="9051" spans="1:7">
      <c r="A9051" s="3"/>
      <c r="B9051" s="3"/>
      <c r="C9051" s="3"/>
      <c r="D9051" s="3"/>
      <c r="E9051" s="3">
        <v>8</v>
      </c>
      <c r="F9051" s="4" t="str">
        <f>HYPERLINK("http://141.218.60.56/~jnz1568/getInfo.php?workbook=12_05.xlsx&amp;sheet=U0&amp;row=9051&amp;col=6&amp;number=3.7&amp;sourceID=14","3.7")</f>
        <v>3.7</v>
      </c>
      <c r="G9051" s="4" t="str">
        <f>HYPERLINK("http://141.218.60.56/~jnz1568/getInfo.php?workbook=12_05.xlsx&amp;sheet=U0&amp;row=9051&amp;col=7&amp;number=0.00583&amp;sourceID=14","0.00583")</f>
        <v>0.00583</v>
      </c>
    </row>
    <row r="9052" spans="1:7">
      <c r="A9052" s="3"/>
      <c r="B9052" s="3"/>
      <c r="C9052" s="3"/>
      <c r="D9052" s="3"/>
      <c r="E9052" s="3">
        <v>9</v>
      </c>
      <c r="F9052" s="4" t="str">
        <f>HYPERLINK("http://141.218.60.56/~jnz1568/getInfo.php?workbook=12_05.xlsx&amp;sheet=U0&amp;row=9052&amp;col=6&amp;number=3.8&amp;sourceID=14","3.8")</f>
        <v>3.8</v>
      </c>
      <c r="G9052" s="4" t="str">
        <f>HYPERLINK("http://141.218.60.56/~jnz1568/getInfo.php?workbook=12_05.xlsx&amp;sheet=U0&amp;row=9052&amp;col=7&amp;number=0.00582&amp;sourceID=14","0.00582")</f>
        <v>0.00582</v>
      </c>
    </row>
    <row r="9053" spans="1:7">
      <c r="A9053" s="3"/>
      <c r="B9053" s="3"/>
      <c r="C9053" s="3"/>
      <c r="D9053" s="3"/>
      <c r="E9053" s="3">
        <v>10</v>
      </c>
      <c r="F9053" s="4" t="str">
        <f>HYPERLINK("http://141.218.60.56/~jnz1568/getInfo.php?workbook=12_05.xlsx&amp;sheet=U0&amp;row=9053&amp;col=6&amp;number=3.9&amp;sourceID=14","3.9")</f>
        <v>3.9</v>
      </c>
      <c r="G9053" s="4" t="str">
        <f>HYPERLINK("http://141.218.60.56/~jnz1568/getInfo.php?workbook=12_05.xlsx&amp;sheet=U0&amp;row=9053&amp;col=7&amp;number=0.00582&amp;sourceID=14","0.00582")</f>
        <v>0.00582</v>
      </c>
    </row>
    <row r="9054" spans="1:7">
      <c r="A9054" s="3"/>
      <c r="B9054" s="3"/>
      <c r="C9054" s="3"/>
      <c r="D9054" s="3"/>
      <c r="E9054" s="3">
        <v>11</v>
      </c>
      <c r="F9054" s="4" t="str">
        <f>HYPERLINK("http://141.218.60.56/~jnz1568/getInfo.php?workbook=12_05.xlsx&amp;sheet=U0&amp;row=9054&amp;col=6&amp;number=4&amp;sourceID=14","4")</f>
        <v>4</v>
      </c>
      <c r="G9054" s="4" t="str">
        <f>HYPERLINK("http://141.218.60.56/~jnz1568/getInfo.php?workbook=12_05.xlsx&amp;sheet=U0&amp;row=9054&amp;col=7&amp;number=0.0058&amp;sourceID=14","0.0058")</f>
        <v>0.0058</v>
      </c>
    </row>
    <row r="9055" spans="1:7">
      <c r="A9055" s="3"/>
      <c r="B9055" s="3"/>
      <c r="C9055" s="3"/>
      <c r="D9055" s="3"/>
      <c r="E9055" s="3">
        <v>12</v>
      </c>
      <c r="F9055" s="4" t="str">
        <f>HYPERLINK("http://141.218.60.56/~jnz1568/getInfo.php?workbook=12_05.xlsx&amp;sheet=U0&amp;row=9055&amp;col=6&amp;number=4.1&amp;sourceID=14","4.1")</f>
        <v>4.1</v>
      </c>
      <c r="G9055" s="4" t="str">
        <f>HYPERLINK("http://141.218.60.56/~jnz1568/getInfo.php?workbook=12_05.xlsx&amp;sheet=U0&amp;row=9055&amp;col=7&amp;number=0.00579&amp;sourceID=14","0.00579")</f>
        <v>0.00579</v>
      </c>
    </row>
    <row r="9056" spans="1:7">
      <c r="A9056" s="3"/>
      <c r="B9056" s="3"/>
      <c r="C9056" s="3"/>
      <c r="D9056" s="3"/>
      <c r="E9056" s="3">
        <v>13</v>
      </c>
      <c r="F9056" s="4" t="str">
        <f>HYPERLINK("http://141.218.60.56/~jnz1568/getInfo.php?workbook=12_05.xlsx&amp;sheet=U0&amp;row=9056&amp;col=6&amp;number=4.2&amp;sourceID=14","4.2")</f>
        <v>4.2</v>
      </c>
      <c r="G9056" s="4" t="str">
        <f>HYPERLINK("http://141.218.60.56/~jnz1568/getInfo.php?workbook=12_05.xlsx&amp;sheet=U0&amp;row=9056&amp;col=7&amp;number=0.00577&amp;sourceID=14","0.00577")</f>
        <v>0.00577</v>
      </c>
    </row>
    <row r="9057" spans="1:7">
      <c r="A9057" s="3"/>
      <c r="B9057" s="3"/>
      <c r="C9057" s="3"/>
      <c r="D9057" s="3"/>
      <c r="E9057" s="3">
        <v>14</v>
      </c>
      <c r="F9057" s="4" t="str">
        <f>HYPERLINK("http://141.218.60.56/~jnz1568/getInfo.php?workbook=12_05.xlsx&amp;sheet=U0&amp;row=9057&amp;col=6&amp;number=4.3&amp;sourceID=14","4.3")</f>
        <v>4.3</v>
      </c>
      <c r="G9057" s="4" t="str">
        <f>HYPERLINK("http://141.218.60.56/~jnz1568/getInfo.php?workbook=12_05.xlsx&amp;sheet=U0&amp;row=9057&amp;col=7&amp;number=0.00575&amp;sourceID=14","0.00575")</f>
        <v>0.00575</v>
      </c>
    </row>
    <row r="9058" spans="1:7">
      <c r="A9058" s="3"/>
      <c r="B9058" s="3"/>
      <c r="C9058" s="3"/>
      <c r="D9058" s="3"/>
      <c r="E9058" s="3">
        <v>15</v>
      </c>
      <c r="F9058" s="4" t="str">
        <f>HYPERLINK("http://141.218.60.56/~jnz1568/getInfo.php?workbook=12_05.xlsx&amp;sheet=U0&amp;row=9058&amp;col=6&amp;number=4.4&amp;sourceID=14","4.4")</f>
        <v>4.4</v>
      </c>
      <c r="G9058" s="4" t="str">
        <f>HYPERLINK("http://141.218.60.56/~jnz1568/getInfo.php?workbook=12_05.xlsx&amp;sheet=U0&amp;row=9058&amp;col=7&amp;number=0.00572&amp;sourceID=14","0.00572")</f>
        <v>0.00572</v>
      </c>
    </row>
    <row r="9059" spans="1:7">
      <c r="A9059" s="3"/>
      <c r="B9059" s="3"/>
      <c r="C9059" s="3"/>
      <c r="D9059" s="3"/>
      <c r="E9059" s="3">
        <v>16</v>
      </c>
      <c r="F9059" s="4" t="str">
        <f>HYPERLINK("http://141.218.60.56/~jnz1568/getInfo.php?workbook=12_05.xlsx&amp;sheet=U0&amp;row=9059&amp;col=6&amp;number=4.5&amp;sourceID=14","4.5")</f>
        <v>4.5</v>
      </c>
      <c r="G9059" s="4" t="str">
        <f>HYPERLINK("http://141.218.60.56/~jnz1568/getInfo.php?workbook=12_05.xlsx&amp;sheet=U0&amp;row=9059&amp;col=7&amp;number=0.00569&amp;sourceID=14","0.00569")</f>
        <v>0.00569</v>
      </c>
    </row>
    <row r="9060" spans="1:7">
      <c r="A9060" s="3"/>
      <c r="B9060" s="3"/>
      <c r="C9060" s="3"/>
      <c r="D9060" s="3"/>
      <c r="E9060" s="3">
        <v>17</v>
      </c>
      <c r="F9060" s="4" t="str">
        <f>HYPERLINK("http://141.218.60.56/~jnz1568/getInfo.php?workbook=12_05.xlsx&amp;sheet=U0&amp;row=9060&amp;col=6&amp;number=4.6&amp;sourceID=14","4.6")</f>
        <v>4.6</v>
      </c>
      <c r="G9060" s="4" t="str">
        <f>HYPERLINK("http://141.218.60.56/~jnz1568/getInfo.php?workbook=12_05.xlsx&amp;sheet=U0&amp;row=9060&amp;col=7&amp;number=0.00565&amp;sourceID=14","0.00565")</f>
        <v>0.00565</v>
      </c>
    </row>
    <row r="9061" spans="1:7">
      <c r="A9061" s="3"/>
      <c r="B9061" s="3"/>
      <c r="C9061" s="3"/>
      <c r="D9061" s="3"/>
      <c r="E9061" s="3">
        <v>18</v>
      </c>
      <c r="F9061" s="4" t="str">
        <f>HYPERLINK("http://141.218.60.56/~jnz1568/getInfo.php?workbook=12_05.xlsx&amp;sheet=U0&amp;row=9061&amp;col=6&amp;number=4.7&amp;sourceID=14","4.7")</f>
        <v>4.7</v>
      </c>
      <c r="G9061" s="4" t="str">
        <f>HYPERLINK("http://141.218.60.56/~jnz1568/getInfo.php?workbook=12_05.xlsx&amp;sheet=U0&amp;row=9061&amp;col=7&amp;number=0.00559&amp;sourceID=14","0.00559")</f>
        <v>0.00559</v>
      </c>
    </row>
    <row r="9062" spans="1:7">
      <c r="A9062" s="3"/>
      <c r="B9062" s="3"/>
      <c r="C9062" s="3"/>
      <c r="D9062" s="3"/>
      <c r="E9062" s="3">
        <v>19</v>
      </c>
      <c r="F9062" s="4" t="str">
        <f>HYPERLINK("http://141.218.60.56/~jnz1568/getInfo.php?workbook=12_05.xlsx&amp;sheet=U0&amp;row=9062&amp;col=6&amp;number=4.8&amp;sourceID=14","4.8")</f>
        <v>4.8</v>
      </c>
      <c r="G9062" s="4" t="str">
        <f>HYPERLINK("http://141.218.60.56/~jnz1568/getInfo.php?workbook=12_05.xlsx&amp;sheet=U0&amp;row=9062&amp;col=7&amp;number=0.00553&amp;sourceID=14","0.00553")</f>
        <v>0.00553</v>
      </c>
    </row>
    <row r="9063" spans="1:7">
      <c r="A9063" s="3"/>
      <c r="B9063" s="3"/>
      <c r="C9063" s="3"/>
      <c r="D9063" s="3"/>
      <c r="E9063" s="3">
        <v>20</v>
      </c>
      <c r="F9063" s="4" t="str">
        <f>HYPERLINK("http://141.218.60.56/~jnz1568/getInfo.php?workbook=12_05.xlsx&amp;sheet=U0&amp;row=9063&amp;col=6&amp;number=4.9&amp;sourceID=14","4.9")</f>
        <v>4.9</v>
      </c>
      <c r="G9063" s="4" t="str">
        <f>HYPERLINK("http://141.218.60.56/~jnz1568/getInfo.php?workbook=12_05.xlsx&amp;sheet=U0&amp;row=9063&amp;col=7&amp;number=0.00545&amp;sourceID=14","0.00545")</f>
        <v>0.00545</v>
      </c>
    </row>
    <row r="9064" spans="1:7">
      <c r="A9064" s="3">
        <v>12</v>
      </c>
      <c r="B9064" s="3">
        <v>5</v>
      </c>
      <c r="C9064" s="3">
        <v>5</v>
      </c>
      <c r="D9064" s="3">
        <v>22</v>
      </c>
      <c r="E9064" s="3">
        <v>1</v>
      </c>
      <c r="F9064" s="4" t="str">
        <f>HYPERLINK("http://141.218.60.56/~jnz1568/getInfo.php?workbook=12_05.xlsx&amp;sheet=U0&amp;row=9064&amp;col=6&amp;number=3&amp;sourceID=14","3")</f>
        <v>3</v>
      </c>
      <c r="G9064" s="4" t="str">
        <f>HYPERLINK("http://141.218.60.56/~jnz1568/getInfo.php?workbook=12_05.xlsx&amp;sheet=U0&amp;row=9064&amp;col=7&amp;number=0.000201&amp;sourceID=14","0.000201")</f>
        <v>0.000201</v>
      </c>
    </row>
    <row r="9065" spans="1:7">
      <c r="A9065" s="3"/>
      <c r="B9065" s="3"/>
      <c r="C9065" s="3"/>
      <c r="D9065" s="3"/>
      <c r="E9065" s="3">
        <v>2</v>
      </c>
      <c r="F9065" s="4" t="str">
        <f>HYPERLINK("http://141.218.60.56/~jnz1568/getInfo.php?workbook=12_05.xlsx&amp;sheet=U0&amp;row=9065&amp;col=6&amp;number=3.1&amp;sourceID=14","3.1")</f>
        <v>3.1</v>
      </c>
      <c r="G9065" s="4" t="str">
        <f>HYPERLINK("http://141.218.60.56/~jnz1568/getInfo.php?workbook=12_05.xlsx&amp;sheet=U0&amp;row=9065&amp;col=7&amp;number=0.000201&amp;sourceID=14","0.000201")</f>
        <v>0.000201</v>
      </c>
    </row>
    <row r="9066" spans="1:7">
      <c r="A9066" s="3"/>
      <c r="B9066" s="3"/>
      <c r="C9066" s="3"/>
      <c r="D9066" s="3"/>
      <c r="E9066" s="3">
        <v>3</v>
      </c>
      <c r="F9066" s="4" t="str">
        <f>HYPERLINK("http://141.218.60.56/~jnz1568/getInfo.php?workbook=12_05.xlsx&amp;sheet=U0&amp;row=9066&amp;col=6&amp;number=3.2&amp;sourceID=14","3.2")</f>
        <v>3.2</v>
      </c>
      <c r="G9066" s="4" t="str">
        <f>HYPERLINK("http://141.218.60.56/~jnz1568/getInfo.php?workbook=12_05.xlsx&amp;sheet=U0&amp;row=9066&amp;col=7&amp;number=0.000201&amp;sourceID=14","0.000201")</f>
        <v>0.000201</v>
      </c>
    </row>
    <row r="9067" spans="1:7">
      <c r="A9067" s="3"/>
      <c r="B9067" s="3"/>
      <c r="C9067" s="3"/>
      <c r="D9067" s="3"/>
      <c r="E9067" s="3">
        <v>4</v>
      </c>
      <c r="F9067" s="4" t="str">
        <f>HYPERLINK("http://141.218.60.56/~jnz1568/getInfo.php?workbook=12_05.xlsx&amp;sheet=U0&amp;row=9067&amp;col=6&amp;number=3.3&amp;sourceID=14","3.3")</f>
        <v>3.3</v>
      </c>
      <c r="G9067" s="4" t="str">
        <f>HYPERLINK("http://141.218.60.56/~jnz1568/getInfo.php?workbook=12_05.xlsx&amp;sheet=U0&amp;row=9067&amp;col=7&amp;number=0.000201&amp;sourceID=14","0.000201")</f>
        <v>0.000201</v>
      </c>
    </row>
    <row r="9068" spans="1:7">
      <c r="A9068" s="3"/>
      <c r="B9068" s="3"/>
      <c r="C9068" s="3"/>
      <c r="D9068" s="3"/>
      <c r="E9068" s="3">
        <v>5</v>
      </c>
      <c r="F9068" s="4" t="str">
        <f>HYPERLINK("http://141.218.60.56/~jnz1568/getInfo.php?workbook=12_05.xlsx&amp;sheet=U0&amp;row=9068&amp;col=6&amp;number=3.4&amp;sourceID=14","3.4")</f>
        <v>3.4</v>
      </c>
      <c r="G9068" s="4" t="str">
        <f>HYPERLINK("http://141.218.60.56/~jnz1568/getInfo.php?workbook=12_05.xlsx&amp;sheet=U0&amp;row=9068&amp;col=7&amp;number=0.000201&amp;sourceID=14","0.000201")</f>
        <v>0.000201</v>
      </c>
    </row>
    <row r="9069" spans="1:7">
      <c r="A9069" s="3"/>
      <c r="B9069" s="3"/>
      <c r="C9069" s="3"/>
      <c r="D9069" s="3"/>
      <c r="E9069" s="3">
        <v>6</v>
      </c>
      <c r="F9069" s="4" t="str">
        <f>HYPERLINK("http://141.218.60.56/~jnz1568/getInfo.php?workbook=12_05.xlsx&amp;sheet=U0&amp;row=9069&amp;col=6&amp;number=3.5&amp;sourceID=14","3.5")</f>
        <v>3.5</v>
      </c>
      <c r="G9069" s="4" t="str">
        <f>HYPERLINK("http://141.218.60.56/~jnz1568/getInfo.php?workbook=12_05.xlsx&amp;sheet=U0&amp;row=9069&amp;col=7&amp;number=0.000201&amp;sourceID=14","0.000201")</f>
        <v>0.000201</v>
      </c>
    </row>
    <row r="9070" spans="1:7">
      <c r="A9070" s="3"/>
      <c r="B9070" s="3"/>
      <c r="C9070" s="3"/>
      <c r="D9070" s="3"/>
      <c r="E9070" s="3">
        <v>7</v>
      </c>
      <c r="F9070" s="4" t="str">
        <f>HYPERLINK("http://141.218.60.56/~jnz1568/getInfo.php?workbook=12_05.xlsx&amp;sheet=U0&amp;row=9070&amp;col=6&amp;number=3.6&amp;sourceID=14","3.6")</f>
        <v>3.6</v>
      </c>
      <c r="G9070" s="4" t="str">
        <f>HYPERLINK("http://141.218.60.56/~jnz1568/getInfo.php?workbook=12_05.xlsx&amp;sheet=U0&amp;row=9070&amp;col=7&amp;number=0.000201&amp;sourceID=14","0.000201")</f>
        <v>0.000201</v>
      </c>
    </row>
    <row r="9071" spans="1:7">
      <c r="A9071" s="3"/>
      <c r="B9071" s="3"/>
      <c r="C9071" s="3"/>
      <c r="D9071" s="3"/>
      <c r="E9071" s="3">
        <v>8</v>
      </c>
      <c r="F9071" s="4" t="str">
        <f>HYPERLINK("http://141.218.60.56/~jnz1568/getInfo.php?workbook=12_05.xlsx&amp;sheet=U0&amp;row=9071&amp;col=6&amp;number=3.7&amp;sourceID=14","3.7")</f>
        <v>3.7</v>
      </c>
      <c r="G9071" s="4" t="str">
        <f>HYPERLINK("http://141.218.60.56/~jnz1568/getInfo.php?workbook=12_05.xlsx&amp;sheet=U0&amp;row=9071&amp;col=7&amp;number=0.0002&amp;sourceID=14","0.0002")</f>
        <v>0.0002</v>
      </c>
    </row>
    <row r="9072" spans="1:7">
      <c r="A9072" s="3"/>
      <c r="B9072" s="3"/>
      <c r="C9072" s="3"/>
      <c r="D9072" s="3"/>
      <c r="E9072" s="3">
        <v>9</v>
      </c>
      <c r="F9072" s="4" t="str">
        <f>HYPERLINK("http://141.218.60.56/~jnz1568/getInfo.php?workbook=12_05.xlsx&amp;sheet=U0&amp;row=9072&amp;col=6&amp;number=3.8&amp;sourceID=14","3.8")</f>
        <v>3.8</v>
      </c>
      <c r="G9072" s="4" t="str">
        <f>HYPERLINK("http://141.218.60.56/~jnz1568/getInfo.php?workbook=12_05.xlsx&amp;sheet=U0&amp;row=9072&amp;col=7&amp;number=0.0002&amp;sourceID=14","0.0002")</f>
        <v>0.0002</v>
      </c>
    </row>
    <row r="9073" spans="1:7">
      <c r="A9073" s="3"/>
      <c r="B9073" s="3"/>
      <c r="C9073" s="3"/>
      <c r="D9073" s="3"/>
      <c r="E9073" s="3">
        <v>10</v>
      </c>
      <c r="F9073" s="4" t="str">
        <f>HYPERLINK("http://141.218.60.56/~jnz1568/getInfo.php?workbook=12_05.xlsx&amp;sheet=U0&amp;row=9073&amp;col=6&amp;number=3.9&amp;sourceID=14","3.9")</f>
        <v>3.9</v>
      </c>
      <c r="G9073" s="4" t="str">
        <f>HYPERLINK("http://141.218.60.56/~jnz1568/getInfo.php?workbook=12_05.xlsx&amp;sheet=U0&amp;row=9073&amp;col=7&amp;number=0.0002&amp;sourceID=14","0.0002")</f>
        <v>0.0002</v>
      </c>
    </row>
    <row r="9074" spans="1:7">
      <c r="A9074" s="3"/>
      <c r="B9074" s="3"/>
      <c r="C9074" s="3"/>
      <c r="D9074" s="3"/>
      <c r="E9074" s="3">
        <v>11</v>
      </c>
      <c r="F9074" s="4" t="str">
        <f>HYPERLINK("http://141.218.60.56/~jnz1568/getInfo.php?workbook=12_05.xlsx&amp;sheet=U0&amp;row=9074&amp;col=6&amp;number=4&amp;sourceID=14","4")</f>
        <v>4</v>
      </c>
      <c r="G9074" s="4" t="str">
        <f>HYPERLINK("http://141.218.60.56/~jnz1568/getInfo.php?workbook=12_05.xlsx&amp;sheet=U0&amp;row=9074&amp;col=7&amp;number=0.000199&amp;sourceID=14","0.000199")</f>
        <v>0.000199</v>
      </c>
    </row>
    <row r="9075" spans="1:7">
      <c r="A9075" s="3"/>
      <c r="B9075" s="3"/>
      <c r="C9075" s="3"/>
      <c r="D9075" s="3"/>
      <c r="E9075" s="3">
        <v>12</v>
      </c>
      <c r="F9075" s="4" t="str">
        <f>HYPERLINK("http://141.218.60.56/~jnz1568/getInfo.php?workbook=12_05.xlsx&amp;sheet=U0&amp;row=9075&amp;col=6&amp;number=4.1&amp;sourceID=14","4.1")</f>
        <v>4.1</v>
      </c>
      <c r="G9075" s="4" t="str">
        <f>HYPERLINK("http://141.218.60.56/~jnz1568/getInfo.php?workbook=12_05.xlsx&amp;sheet=U0&amp;row=9075&amp;col=7&amp;number=0.000199&amp;sourceID=14","0.000199")</f>
        <v>0.000199</v>
      </c>
    </row>
    <row r="9076" spans="1:7">
      <c r="A9076" s="3"/>
      <c r="B9076" s="3"/>
      <c r="C9076" s="3"/>
      <c r="D9076" s="3"/>
      <c r="E9076" s="3">
        <v>13</v>
      </c>
      <c r="F9076" s="4" t="str">
        <f>HYPERLINK("http://141.218.60.56/~jnz1568/getInfo.php?workbook=12_05.xlsx&amp;sheet=U0&amp;row=9076&amp;col=6&amp;number=4.2&amp;sourceID=14","4.2")</f>
        <v>4.2</v>
      </c>
      <c r="G9076" s="4" t="str">
        <f>HYPERLINK("http://141.218.60.56/~jnz1568/getInfo.php?workbook=12_05.xlsx&amp;sheet=U0&amp;row=9076&amp;col=7&amp;number=0.000198&amp;sourceID=14","0.000198")</f>
        <v>0.000198</v>
      </c>
    </row>
    <row r="9077" spans="1:7">
      <c r="A9077" s="3"/>
      <c r="B9077" s="3"/>
      <c r="C9077" s="3"/>
      <c r="D9077" s="3"/>
      <c r="E9077" s="3">
        <v>14</v>
      </c>
      <c r="F9077" s="4" t="str">
        <f>HYPERLINK("http://141.218.60.56/~jnz1568/getInfo.php?workbook=12_05.xlsx&amp;sheet=U0&amp;row=9077&amp;col=6&amp;number=4.3&amp;sourceID=14","4.3")</f>
        <v>4.3</v>
      </c>
      <c r="G9077" s="4" t="str">
        <f>HYPERLINK("http://141.218.60.56/~jnz1568/getInfo.php?workbook=12_05.xlsx&amp;sheet=U0&amp;row=9077&amp;col=7&amp;number=0.000198&amp;sourceID=14","0.000198")</f>
        <v>0.000198</v>
      </c>
    </row>
    <row r="9078" spans="1:7">
      <c r="A9078" s="3"/>
      <c r="B9078" s="3"/>
      <c r="C9078" s="3"/>
      <c r="D9078" s="3"/>
      <c r="E9078" s="3">
        <v>15</v>
      </c>
      <c r="F9078" s="4" t="str">
        <f>HYPERLINK("http://141.218.60.56/~jnz1568/getInfo.php?workbook=12_05.xlsx&amp;sheet=U0&amp;row=9078&amp;col=6&amp;number=4.4&amp;sourceID=14","4.4")</f>
        <v>4.4</v>
      </c>
      <c r="G9078" s="4" t="str">
        <f>HYPERLINK("http://141.218.60.56/~jnz1568/getInfo.php?workbook=12_05.xlsx&amp;sheet=U0&amp;row=9078&amp;col=7&amp;number=0.000197&amp;sourceID=14","0.000197")</f>
        <v>0.000197</v>
      </c>
    </row>
    <row r="9079" spans="1:7">
      <c r="A9079" s="3"/>
      <c r="B9079" s="3"/>
      <c r="C9079" s="3"/>
      <c r="D9079" s="3"/>
      <c r="E9079" s="3">
        <v>16</v>
      </c>
      <c r="F9079" s="4" t="str">
        <f>HYPERLINK("http://141.218.60.56/~jnz1568/getInfo.php?workbook=12_05.xlsx&amp;sheet=U0&amp;row=9079&amp;col=6&amp;number=4.5&amp;sourceID=14","4.5")</f>
        <v>4.5</v>
      </c>
      <c r="G9079" s="4" t="str">
        <f>HYPERLINK("http://141.218.60.56/~jnz1568/getInfo.php?workbook=12_05.xlsx&amp;sheet=U0&amp;row=9079&amp;col=7&amp;number=0.000195&amp;sourceID=14","0.000195")</f>
        <v>0.000195</v>
      </c>
    </row>
    <row r="9080" spans="1:7">
      <c r="A9080" s="3"/>
      <c r="B9080" s="3"/>
      <c r="C9080" s="3"/>
      <c r="D9080" s="3"/>
      <c r="E9080" s="3">
        <v>17</v>
      </c>
      <c r="F9080" s="4" t="str">
        <f>HYPERLINK("http://141.218.60.56/~jnz1568/getInfo.php?workbook=12_05.xlsx&amp;sheet=U0&amp;row=9080&amp;col=6&amp;number=4.6&amp;sourceID=14","4.6")</f>
        <v>4.6</v>
      </c>
      <c r="G9080" s="4" t="str">
        <f>HYPERLINK("http://141.218.60.56/~jnz1568/getInfo.php?workbook=12_05.xlsx&amp;sheet=U0&amp;row=9080&amp;col=7&amp;number=0.000194&amp;sourceID=14","0.000194")</f>
        <v>0.000194</v>
      </c>
    </row>
    <row r="9081" spans="1:7">
      <c r="A9081" s="3"/>
      <c r="B9081" s="3"/>
      <c r="C9081" s="3"/>
      <c r="D9081" s="3"/>
      <c r="E9081" s="3">
        <v>18</v>
      </c>
      <c r="F9081" s="4" t="str">
        <f>HYPERLINK("http://141.218.60.56/~jnz1568/getInfo.php?workbook=12_05.xlsx&amp;sheet=U0&amp;row=9081&amp;col=6&amp;number=4.7&amp;sourceID=14","4.7")</f>
        <v>4.7</v>
      </c>
      <c r="G9081" s="4" t="str">
        <f>HYPERLINK("http://141.218.60.56/~jnz1568/getInfo.php?workbook=12_05.xlsx&amp;sheet=U0&amp;row=9081&amp;col=7&amp;number=0.000192&amp;sourceID=14","0.000192")</f>
        <v>0.000192</v>
      </c>
    </row>
    <row r="9082" spans="1:7">
      <c r="A9082" s="3"/>
      <c r="B9082" s="3"/>
      <c r="C9082" s="3"/>
      <c r="D9082" s="3"/>
      <c r="E9082" s="3">
        <v>19</v>
      </c>
      <c r="F9082" s="4" t="str">
        <f>HYPERLINK("http://141.218.60.56/~jnz1568/getInfo.php?workbook=12_05.xlsx&amp;sheet=U0&amp;row=9082&amp;col=6&amp;number=4.8&amp;sourceID=14","4.8")</f>
        <v>4.8</v>
      </c>
      <c r="G9082" s="4" t="str">
        <f>HYPERLINK("http://141.218.60.56/~jnz1568/getInfo.php?workbook=12_05.xlsx&amp;sheet=U0&amp;row=9082&amp;col=7&amp;number=0.00019&amp;sourceID=14","0.00019")</f>
        <v>0.00019</v>
      </c>
    </row>
    <row r="9083" spans="1:7">
      <c r="A9083" s="3"/>
      <c r="B9083" s="3"/>
      <c r="C9083" s="3"/>
      <c r="D9083" s="3"/>
      <c r="E9083" s="3">
        <v>20</v>
      </c>
      <c r="F9083" s="4" t="str">
        <f>HYPERLINK("http://141.218.60.56/~jnz1568/getInfo.php?workbook=12_05.xlsx&amp;sheet=U0&amp;row=9083&amp;col=6&amp;number=4.9&amp;sourceID=14","4.9")</f>
        <v>4.9</v>
      </c>
      <c r="G9083" s="4" t="str">
        <f>HYPERLINK("http://141.218.60.56/~jnz1568/getInfo.php?workbook=12_05.xlsx&amp;sheet=U0&amp;row=9083&amp;col=7&amp;number=0.000187&amp;sourceID=14","0.000187")</f>
        <v>0.000187</v>
      </c>
    </row>
    <row r="9084" spans="1:7">
      <c r="A9084" s="3">
        <v>12</v>
      </c>
      <c r="B9084" s="3">
        <v>5</v>
      </c>
      <c r="C9084" s="3">
        <v>5</v>
      </c>
      <c r="D9084" s="3">
        <v>23</v>
      </c>
      <c r="E9084" s="3">
        <v>1</v>
      </c>
      <c r="F9084" s="4" t="str">
        <f>HYPERLINK("http://141.218.60.56/~jnz1568/getInfo.php?workbook=12_05.xlsx&amp;sheet=U0&amp;row=9084&amp;col=6&amp;number=3&amp;sourceID=14","3")</f>
        <v>3</v>
      </c>
      <c r="G9084" s="4" t="str">
        <f>HYPERLINK("http://141.218.60.56/~jnz1568/getInfo.php?workbook=12_05.xlsx&amp;sheet=U0&amp;row=9084&amp;col=7&amp;number=0.00022&amp;sourceID=14","0.00022")</f>
        <v>0.00022</v>
      </c>
    </row>
    <row r="9085" spans="1:7">
      <c r="A9085" s="3"/>
      <c r="B9085" s="3"/>
      <c r="C9085" s="3"/>
      <c r="D9085" s="3"/>
      <c r="E9085" s="3">
        <v>2</v>
      </c>
      <c r="F9085" s="4" t="str">
        <f>HYPERLINK("http://141.218.60.56/~jnz1568/getInfo.php?workbook=12_05.xlsx&amp;sheet=U0&amp;row=9085&amp;col=6&amp;number=3.1&amp;sourceID=14","3.1")</f>
        <v>3.1</v>
      </c>
      <c r="G9085" s="4" t="str">
        <f>HYPERLINK("http://141.218.60.56/~jnz1568/getInfo.php?workbook=12_05.xlsx&amp;sheet=U0&amp;row=9085&amp;col=7&amp;number=0.00022&amp;sourceID=14","0.00022")</f>
        <v>0.00022</v>
      </c>
    </row>
    <row r="9086" spans="1:7">
      <c r="A9086" s="3"/>
      <c r="B9086" s="3"/>
      <c r="C9086" s="3"/>
      <c r="D9086" s="3"/>
      <c r="E9086" s="3">
        <v>3</v>
      </c>
      <c r="F9086" s="4" t="str">
        <f>HYPERLINK("http://141.218.60.56/~jnz1568/getInfo.php?workbook=12_05.xlsx&amp;sheet=U0&amp;row=9086&amp;col=6&amp;number=3.2&amp;sourceID=14","3.2")</f>
        <v>3.2</v>
      </c>
      <c r="G9086" s="4" t="str">
        <f>HYPERLINK("http://141.218.60.56/~jnz1568/getInfo.php?workbook=12_05.xlsx&amp;sheet=U0&amp;row=9086&amp;col=7&amp;number=0.00022&amp;sourceID=14","0.00022")</f>
        <v>0.00022</v>
      </c>
    </row>
    <row r="9087" spans="1:7">
      <c r="A9087" s="3"/>
      <c r="B9087" s="3"/>
      <c r="C9087" s="3"/>
      <c r="D9087" s="3"/>
      <c r="E9087" s="3">
        <v>4</v>
      </c>
      <c r="F9087" s="4" t="str">
        <f>HYPERLINK("http://141.218.60.56/~jnz1568/getInfo.php?workbook=12_05.xlsx&amp;sheet=U0&amp;row=9087&amp;col=6&amp;number=3.3&amp;sourceID=14","3.3")</f>
        <v>3.3</v>
      </c>
      <c r="G9087" s="4" t="str">
        <f>HYPERLINK("http://141.218.60.56/~jnz1568/getInfo.php?workbook=12_05.xlsx&amp;sheet=U0&amp;row=9087&amp;col=7&amp;number=0.00022&amp;sourceID=14","0.00022")</f>
        <v>0.00022</v>
      </c>
    </row>
    <row r="9088" spans="1:7">
      <c r="A9088" s="3"/>
      <c r="B9088" s="3"/>
      <c r="C9088" s="3"/>
      <c r="D9088" s="3"/>
      <c r="E9088" s="3">
        <v>5</v>
      </c>
      <c r="F9088" s="4" t="str">
        <f>HYPERLINK("http://141.218.60.56/~jnz1568/getInfo.php?workbook=12_05.xlsx&amp;sheet=U0&amp;row=9088&amp;col=6&amp;number=3.4&amp;sourceID=14","3.4")</f>
        <v>3.4</v>
      </c>
      <c r="G9088" s="4" t="str">
        <f>HYPERLINK("http://141.218.60.56/~jnz1568/getInfo.php?workbook=12_05.xlsx&amp;sheet=U0&amp;row=9088&amp;col=7&amp;number=0.00022&amp;sourceID=14","0.00022")</f>
        <v>0.00022</v>
      </c>
    </row>
    <row r="9089" spans="1:7">
      <c r="A9089" s="3"/>
      <c r="B9089" s="3"/>
      <c r="C9089" s="3"/>
      <c r="D9089" s="3"/>
      <c r="E9089" s="3">
        <v>6</v>
      </c>
      <c r="F9089" s="4" t="str">
        <f>HYPERLINK("http://141.218.60.56/~jnz1568/getInfo.php?workbook=12_05.xlsx&amp;sheet=U0&amp;row=9089&amp;col=6&amp;number=3.5&amp;sourceID=14","3.5")</f>
        <v>3.5</v>
      </c>
      <c r="G9089" s="4" t="str">
        <f>HYPERLINK("http://141.218.60.56/~jnz1568/getInfo.php?workbook=12_05.xlsx&amp;sheet=U0&amp;row=9089&amp;col=7&amp;number=0.00022&amp;sourceID=14","0.00022")</f>
        <v>0.00022</v>
      </c>
    </row>
    <row r="9090" spans="1:7">
      <c r="A9090" s="3"/>
      <c r="B9090" s="3"/>
      <c r="C9090" s="3"/>
      <c r="D9090" s="3"/>
      <c r="E9090" s="3">
        <v>7</v>
      </c>
      <c r="F9090" s="4" t="str">
        <f>HYPERLINK("http://141.218.60.56/~jnz1568/getInfo.php?workbook=12_05.xlsx&amp;sheet=U0&amp;row=9090&amp;col=6&amp;number=3.6&amp;sourceID=14","3.6")</f>
        <v>3.6</v>
      </c>
      <c r="G9090" s="4" t="str">
        <f>HYPERLINK("http://141.218.60.56/~jnz1568/getInfo.php?workbook=12_05.xlsx&amp;sheet=U0&amp;row=9090&amp;col=7&amp;number=0.00022&amp;sourceID=14","0.00022")</f>
        <v>0.00022</v>
      </c>
    </row>
    <row r="9091" spans="1:7">
      <c r="A9091" s="3"/>
      <c r="B9091" s="3"/>
      <c r="C9091" s="3"/>
      <c r="D9091" s="3"/>
      <c r="E9091" s="3">
        <v>8</v>
      </c>
      <c r="F9091" s="4" t="str">
        <f>HYPERLINK("http://141.218.60.56/~jnz1568/getInfo.php?workbook=12_05.xlsx&amp;sheet=U0&amp;row=9091&amp;col=6&amp;number=3.7&amp;sourceID=14","3.7")</f>
        <v>3.7</v>
      </c>
      <c r="G9091" s="4" t="str">
        <f>HYPERLINK("http://141.218.60.56/~jnz1568/getInfo.php?workbook=12_05.xlsx&amp;sheet=U0&amp;row=9091&amp;col=7&amp;number=0.000221&amp;sourceID=14","0.000221")</f>
        <v>0.000221</v>
      </c>
    </row>
    <row r="9092" spans="1:7">
      <c r="A9092" s="3"/>
      <c r="B9092" s="3"/>
      <c r="C9092" s="3"/>
      <c r="D9092" s="3"/>
      <c r="E9092" s="3">
        <v>9</v>
      </c>
      <c r="F9092" s="4" t="str">
        <f>HYPERLINK("http://141.218.60.56/~jnz1568/getInfo.php?workbook=12_05.xlsx&amp;sheet=U0&amp;row=9092&amp;col=6&amp;number=3.8&amp;sourceID=14","3.8")</f>
        <v>3.8</v>
      </c>
      <c r="G9092" s="4" t="str">
        <f>HYPERLINK("http://141.218.60.56/~jnz1568/getInfo.php?workbook=12_05.xlsx&amp;sheet=U0&amp;row=9092&amp;col=7&amp;number=0.000221&amp;sourceID=14","0.000221")</f>
        <v>0.000221</v>
      </c>
    </row>
    <row r="9093" spans="1:7">
      <c r="A9093" s="3"/>
      <c r="B9093" s="3"/>
      <c r="C9093" s="3"/>
      <c r="D9093" s="3"/>
      <c r="E9093" s="3">
        <v>10</v>
      </c>
      <c r="F9093" s="4" t="str">
        <f>HYPERLINK("http://141.218.60.56/~jnz1568/getInfo.php?workbook=12_05.xlsx&amp;sheet=U0&amp;row=9093&amp;col=6&amp;number=3.9&amp;sourceID=14","3.9")</f>
        <v>3.9</v>
      </c>
      <c r="G9093" s="4" t="str">
        <f>HYPERLINK("http://141.218.60.56/~jnz1568/getInfo.php?workbook=12_05.xlsx&amp;sheet=U0&amp;row=9093&amp;col=7&amp;number=0.000221&amp;sourceID=14","0.000221")</f>
        <v>0.000221</v>
      </c>
    </row>
    <row r="9094" spans="1:7">
      <c r="A9094" s="3"/>
      <c r="B9094" s="3"/>
      <c r="C9094" s="3"/>
      <c r="D9094" s="3"/>
      <c r="E9094" s="3">
        <v>11</v>
      </c>
      <c r="F9094" s="4" t="str">
        <f>HYPERLINK("http://141.218.60.56/~jnz1568/getInfo.php?workbook=12_05.xlsx&amp;sheet=U0&amp;row=9094&amp;col=6&amp;number=4&amp;sourceID=14","4")</f>
        <v>4</v>
      </c>
      <c r="G9094" s="4" t="str">
        <f>HYPERLINK("http://141.218.60.56/~jnz1568/getInfo.php?workbook=12_05.xlsx&amp;sheet=U0&amp;row=9094&amp;col=7&amp;number=0.000221&amp;sourceID=14","0.000221")</f>
        <v>0.000221</v>
      </c>
    </row>
    <row r="9095" spans="1:7">
      <c r="A9095" s="3"/>
      <c r="B9095" s="3"/>
      <c r="C9095" s="3"/>
      <c r="D9095" s="3"/>
      <c r="E9095" s="3">
        <v>12</v>
      </c>
      <c r="F9095" s="4" t="str">
        <f>HYPERLINK("http://141.218.60.56/~jnz1568/getInfo.php?workbook=12_05.xlsx&amp;sheet=U0&amp;row=9095&amp;col=6&amp;number=4.1&amp;sourceID=14","4.1")</f>
        <v>4.1</v>
      </c>
      <c r="G9095" s="4" t="str">
        <f>HYPERLINK("http://141.218.60.56/~jnz1568/getInfo.php?workbook=12_05.xlsx&amp;sheet=U0&amp;row=9095&amp;col=7&amp;number=0.000221&amp;sourceID=14","0.000221")</f>
        <v>0.000221</v>
      </c>
    </row>
    <row r="9096" spans="1:7">
      <c r="A9096" s="3"/>
      <c r="B9096" s="3"/>
      <c r="C9096" s="3"/>
      <c r="D9096" s="3"/>
      <c r="E9096" s="3">
        <v>13</v>
      </c>
      <c r="F9096" s="4" t="str">
        <f>HYPERLINK("http://141.218.60.56/~jnz1568/getInfo.php?workbook=12_05.xlsx&amp;sheet=U0&amp;row=9096&amp;col=6&amp;number=4.2&amp;sourceID=14","4.2")</f>
        <v>4.2</v>
      </c>
      <c r="G9096" s="4" t="str">
        <f>HYPERLINK("http://141.218.60.56/~jnz1568/getInfo.php?workbook=12_05.xlsx&amp;sheet=U0&amp;row=9096&amp;col=7&amp;number=0.000221&amp;sourceID=14","0.000221")</f>
        <v>0.000221</v>
      </c>
    </row>
    <row r="9097" spans="1:7">
      <c r="A9097" s="3"/>
      <c r="B9097" s="3"/>
      <c r="C9097" s="3"/>
      <c r="D9097" s="3"/>
      <c r="E9097" s="3">
        <v>14</v>
      </c>
      <c r="F9097" s="4" t="str">
        <f>HYPERLINK("http://141.218.60.56/~jnz1568/getInfo.php?workbook=12_05.xlsx&amp;sheet=U0&amp;row=9097&amp;col=6&amp;number=4.3&amp;sourceID=14","4.3")</f>
        <v>4.3</v>
      </c>
      <c r="G9097" s="4" t="str">
        <f>HYPERLINK("http://141.218.60.56/~jnz1568/getInfo.php?workbook=12_05.xlsx&amp;sheet=U0&amp;row=9097&amp;col=7&amp;number=0.000222&amp;sourceID=14","0.000222")</f>
        <v>0.000222</v>
      </c>
    </row>
    <row r="9098" spans="1:7">
      <c r="A9098" s="3"/>
      <c r="B9098" s="3"/>
      <c r="C9098" s="3"/>
      <c r="D9098" s="3"/>
      <c r="E9098" s="3">
        <v>15</v>
      </c>
      <c r="F9098" s="4" t="str">
        <f>HYPERLINK("http://141.218.60.56/~jnz1568/getInfo.php?workbook=12_05.xlsx&amp;sheet=U0&amp;row=9098&amp;col=6&amp;number=4.4&amp;sourceID=14","4.4")</f>
        <v>4.4</v>
      </c>
      <c r="G9098" s="4" t="str">
        <f>HYPERLINK("http://141.218.60.56/~jnz1568/getInfo.php?workbook=12_05.xlsx&amp;sheet=U0&amp;row=9098&amp;col=7&amp;number=0.000222&amp;sourceID=14","0.000222")</f>
        <v>0.000222</v>
      </c>
    </row>
    <row r="9099" spans="1:7">
      <c r="A9099" s="3"/>
      <c r="B9099" s="3"/>
      <c r="C9099" s="3"/>
      <c r="D9099" s="3"/>
      <c r="E9099" s="3">
        <v>16</v>
      </c>
      <c r="F9099" s="4" t="str">
        <f>HYPERLINK("http://141.218.60.56/~jnz1568/getInfo.php?workbook=12_05.xlsx&amp;sheet=U0&amp;row=9099&amp;col=6&amp;number=4.5&amp;sourceID=14","4.5")</f>
        <v>4.5</v>
      </c>
      <c r="G9099" s="4" t="str">
        <f>HYPERLINK("http://141.218.60.56/~jnz1568/getInfo.php?workbook=12_05.xlsx&amp;sheet=U0&amp;row=9099&amp;col=7&amp;number=0.000223&amp;sourceID=14","0.000223")</f>
        <v>0.000223</v>
      </c>
    </row>
    <row r="9100" spans="1:7">
      <c r="A9100" s="3"/>
      <c r="B9100" s="3"/>
      <c r="C9100" s="3"/>
      <c r="D9100" s="3"/>
      <c r="E9100" s="3">
        <v>17</v>
      </c>
      <c r="F9100" s="4" t="str">
        <f>HYPERLINK("http://141.218.60.56/~jnz1568/getInfo.php?workbook=12_05.xlsx&amp;sheet=U0&amp;row=9100&amp;col=6&amp;number=4.6&amp;sourceID=14","4.6")</f>
        <v>4.6</v>
      </c>
      <c r="G9100" s="4" t="str">
        <f>HYPERLINK("http://141.218.60.56/~jnz1568/getInfo.php?workbook=12_05.xlsx&amp;sheet=U0&amp;row=9100&amp;col=7&amp;number=0.000224&amp;sourceID=14","0.000224")</f>
        <v>0.000224</v>
      </c>
    </row>
    <row r="9101" spans="1:7">
      <c r="A9101" s="3"/>
      <c r="B9101" s="3"/>
      <c r="C9101" s="3"/>
      <c r="D9101" s="3"/>
      <c r="E9101" s="3">
        <v>18</v>
      </c>
      <c r="F9101" s="4" t="str">
        <f>HYPERLINK("http://141.218.60.56/~jnz1568/getInfo.php?workbook=12_05.xlsx&amp;sheet=U0&amp;row=9101&amp;col=6&amp;number=4.7&amp;sourceID=14","4.7")</f>
        <v>4.7</v>
      </c>
      <c r="G9101" s="4" t="str">
        <f>HYPERLINK("http://141.218.60.56/~jnz1568/getInfo.php?workbook=12_05.xlsx&amp;sheet=U0&amp;row=9101&amp;col=7&amp;number=0.000224&amp;sourceID=14","0.000224")</f>
        <v>0.000224</v>
      </c>
    </row>
    <row r="9102" spans="1:7">
      <c r="A9102" s="3"/>
      <c r="B9102" s="3"/>
      <c r="C9102" s="3"/>
      <c r="D9102" s="3"/>
      <c r="E9102" s="3">
        <v>19</v>
      </c>
      <c r="F9102" s="4" t="str">
        <f>HYPERLINK("http://141.218.60.56/~jnz1568/getInfo.php?workbook=12_05.xlsx&amp;sheet=U0&amp;row=9102&amp;col=6&amp;number=4.8&amp;sourceID=14","4.8")</f>
        <v>4.8</v>
      </c>
      <c r="G9102" s="4" t="str">
        <f>HYPERLINK("http://141.218.60.56/~jnz1568/getInfo.php?workbook=12_05.xlsx&amp;sheet=U0&amp;row=9102&amp;col=7&amp;number=0.000226&amp;sourceID=14","0.000226")</f>
        <v>0.000226</v>
      </c>
    </row>
    <row r="9103" spans="1:7">
      <c r="A9103" s="3"/>
      <c r="B9103" s="3"/>
      <c r="C9103" s="3"/>
      <c r="D9103" s="3"/>
      <c r="E9103" s="3">
        <v>20</v>
      </c>
      <c r="F9103" s="4" t="str">
        <f>HYPERLINK("http://141.218.60.56/~jnz1568/getInfo.php?workbook=12_05.xlsx&amp;sheet=U0&amp;row=9103&amp;col=6&amp;number=4.9&amp;sourceID=14","4.9")</f>
        <v>4.9</v>
      </c>
      <c r="G9103" s="4" t="str">
        <f>HYPERLINK("http://141.218.60.56/~jnz1568/getInfo.php?workbook=12_05.xlsx&amp;sheet=U0&amp;row=9103&amp;col=7&amp;number=0.000227&amp;sourceID=14","0.000227")</f>
        <v>0.000227</v>
      </c>
    </row>
    <row r="9104" spans="1:7">
      <c r="A9104" s="3">
        <v>12</v>
      </c>
      <c r="B9104" s="3">
        <v>5</v>
      </c>
      <c r="C9104" s="3">
        <v>5</v>
      </c>
      <c r="D9104" s="3">
        <v>24</v>
      </c>
      <c r="E9104" s="3">
        <v>1</v>
      </c>
      <c r="F9104" s="4" t="str">
        <f>HYPERLINK("http://141.218.60.56/~jnz1568/getInfo.php?workbook=12_05.xlsx&amp;sheet=U0&amp;row=9104&amp;col=6&amp;number=3&amp;sourceID=14","3")</f>
        <v>3</v>
      </c>
      <c r="G9104" s="4" t="str">
        <f>HYPERLINK("http://141.218.60.56/~jnz1568/getInfo.php?workbook=12_05.xlsx&amp;sheet=U0&amp;row=9104&amp;col=7&amp;number=0.000338&amp;sourceID=14","0.000338")</f>
        <v>0.000338</v>
      </c>
    </row>
    <row r="9105" spans="1:7">
      <c r="A9105" s="3"/>
      <c r="B9105" s="3"/>
      <c r="C9105" s="3"/>
      <c r="D9105" s="3"/>
      <c r="E9105" s="3">
        <v>2</v>
      </c>
      <c r="F9105" s="4" t="str">
        <f>HYPERLINK("http://141.218.60.56/~jnz1568/getInfo.php?workbook=12_05.xlsx&amp;sheet=U0&amp;row=9105&amp;col=6&amp;number=3.1&amp;sourceID=14","3.1")</f>
        <v>3.1</v>
      </c>
      <c r="G9105" s="4" t="str">
        <f>HYPERLINK("http://141.218.60.56/~jnz1568/getInfo.php?workbook=12_05.xlsx&amp;sheet=U0&amp;row=9105&amp;col=7&amp;number=0.000338&amp;sourceID=14","0.000338")</f>
        <v>0.000338</v>
      </c>
    </row>
    <row r="9106" spans="1:7">
      <c r="A9106" s="3"/>
      <c r="B9106" s="3"/>
      <c r="C9106" s="3"/>
      <c r="D9106" s="3"/>
      <c r="E9106" s="3">
        <v>3</v>
      </c>
      <c r="F9106" s="4" t="str">
        <f>HYPERLINK("http://141.218.60.56/~jnz1568/getInfo.php?workbook=12_05.xlsx&amp;sheet=U0&amp;row=9106&amp;col=6&amp;number=3.2&amp;sourceID=14","3.2")</f>
        <v>3.2</v>
      </c>
      <c r="G9106" s="4" t="str">
        <f>HYPERLINK("http://141.218.60.56/~jnz1568/getInfo.php?workbook=12_05.xlsx&amp;sheet=U0&amp;row=9106&amp;col=7&amp;number=0.000338&amp;sourceID=14","0.000338")</f>
        <v>0.000338</v>
      </c>
    </row>
    <row r="9107" spans="1:7">
      <c r="A9107" s="3"/>
      <c r="B9107" s="3"/>
      <c r="C9107" s="3"/>
      <c r="D9107" s="3"/>
      <c r="E9107" s="3">
        <v>4</v>
      </c>
      <c r="F9107" s="4" t="str">
        <f>HYPERLINK("http://141.218.60.56/~jnz1568/getInfo.php?workbook=12_05.xlsx&amp;sheet=U0&amp;row=9107&amp;col=6&amp;number=3.3&amp;sourceID=14","3.3")</f>
        <v>3.3</v>
      </c>
      <c r="G9107" s="4" t="str">
        <f>HYPERLINK("http://141.218.60.56/~jnz1568/getInfo.php?workbook=12_05.xlsx&amp;sheet=U0&amp;row=9107&amp;col=7&amp;number=0.000338&amp;sourceID=14","0.000338")</f>
        <v>0.000338</v>
      </c>
    </row>
    <row r="9108" spans="1:7">
      <c r="A9108" s="3"/>
      <c r="B9108" s="3"/>
      <c r="C9108" s="3"/>
      <c r="D9108" s="3"/>
      <c r="E9108" s="3">
        <v>5</v>
      </c>
      <c r="F9108" s="4" t="str">
        <f>HYPERLINK("http://141.218.60.56/~jnz1568/getInfo.php?workbook=12_05.xlsx&amp;sheet=U0&amp;row=9108&amp;col=6&amp;number=3.4&amp;sourceID=14","3.4")</f>
        <v>3.4</v>
      </c>
      <c r="G9108" s="4" t="str">
        <f>HYPERLINK("http://141.218.60.56/~jnz1568/getInfo.php?workbook=12_05.xlsx&amp;sheet=U0&amp;row=9108&amp;col=7&amp;number=0.000337&amp;sourceID=14","0.000337")</f>
        <v>0.000337</v>
      </c>
    </row>
    <row r="9109" spans="1:7">
      <c r="A9109" s="3"/>
      <c r="B9109" s="3"/>
      <c r="C9109" s="3"/>
      <c r="D9109" s="3"/>
      <c r="E9109" s="3">
        <v>6</v>
      </c>
      <c r="F9109" s="4" t="str">
        <f>HYPERLINK("http://141.218.60.56/~jnz1568/getInfo.php?workbook=12_05.xlsx&amp;sheet=U0&amp;row=9109&amp;col=6&amp;number=3.5&amp;sourceID=14","3.5")</f>
        <v>3.5</v>
      </c>
      <c r="G9109" s="4" t="str">
        <f>HYPERLINK("http://141.218.60.56/~jnz1568/getInfo.php?workbook=12_05.xlsx&amp;sheet=U0&amp;row=9109&amp;col=7&amp;number=0.000337&amp;sourceID=14","0.000337")</f>
        <v>0.000337</v>
      </c>
    </row>
    <row r="9110" spans="1:7">
      <c r="A9110" s="3"/>
      <c r="B9110" s="3"/>
      <c r="C9110" s="3"/>
      <c r="D9110" s="3"/>
      <c r="E9110" s="3">
        <v>7</v>
      </c>
      <c r="F9110" s="4" t="str">
        <f>HYPERLINK("http://141.218.60.56/~jnz1568/getInfo.php?workbook=12_05.xlsx&amp;sheet=U0&amp;row=9110&amp;col=6&amp;number=3.6&amp;sourceID=14","3.6")</f>
        <v>3.6</v>
      </c>
      <c r="G9110" s="4" t="str">
        <f>HYPERLINK("http://141.218.60.56/~jnz1568/getInfo.php?workbook=12_05.xlsx&amp;sheet=U0&amp;row=9110&amp;col=7&amp;number=0.000337&amp;sourceID=14","0.000337")</f>
        <v>0.000337</v>
      </c>
    </row>
    <row r="9111" spans="1:7">
      <c r="A9111" s="3"/>
      <c r="B9111" s="3"/>
      <c r="C9111" s="3"/>
      <c r="D9111" s="3"/>
      <c r="E9111" s="3">
        <v>8</v>
      </c>
      <c r="F9111" s="4" t="str">
        <f>HYPERLINK("http://141.218.60.56/~jnz1568/getInfo.php?workbook=12_05.xlsx&amp;sheet=U0&amp;row=9111&amp;col=6&amp;number=3.7&amp;sourceID=14","3.7")</f>
        <v>3.7</v>
      </c>
      <c r="G9111" s="4" t="str">
        <f>HYPERLINK("http://141.218.60.56/~jnz1568/getInfo.php?workbook=12_05.xlsx&amp;sheet=U0&amp;row=9111&amp;col=7&amp;number=0.000337&amp;sourceID=14","0.000337")</f>
        <v>0.000337</v>
      </c>
    </row>
    <row r="9112" spans="1:7">
      <c r="A9112" s="3"/>
      <c r="B9112" s="3"/>
      <c r="C9112" s="3"/>
      <c r="D9112" s="3"/>
      <c r="E9112" s="3">
        <v>9</v>
      </c>
      <c r="F9112" s="4" t="str">
        <f>HYPERLINK("http://141.218.60.56/~jnz1568/getInfo.php?workbook=12_05.xlsx&amp;sheet=U0&amp;row=9112&amp;col=6&amp;number=3.8&amp;sourceID=14","3.8")</f>
        <v>3.8</v>
      </c>
      <c r="G9112" s="4" t="str">
        <f>HYPERLINK("http://141.218.60.56/~jnz1568/getInfo.php?workbook=12_05.xlsx&amp;sheet=U0&amp;row=9112&amp;col=7&amp;number=0.000336&amp;sourceID=14","0.000336")</f>
        <v>0.000336</v>
      </c>
    </row>
    <row r="9113" spans="1:7">
      <c r="A9113" s="3"/>
      <c r="B9113" s="3"/>
      <c r="C9113" s="3"/>
      <c r="D9113" s="3"/>
      <c r="E9113" s="3">
        <v>10</v>
      </c>
      <c r="F9113" s="4" t="str">
        <f>HYPERLINK("http://141.218.60.56/~jnz1568/getInfo.php?workbook=12_05.xlsx&amp;sheet=U0&amp;row=9113&amp;col=6&amp;number=3.9&amp;sourceID=14","3.9")</f>
        <v>3.9</v>
      </c>
      <c r="G9113" s="4" t="str">
        <f>HYPERLINK("http://141.218.60.56/~jnz1568/getInfo.php?workbook=12_05.xlsx&amp;sheet=U0&amp;row=9113&amp;col=7&amp;number=0.000336&amp;sourceID=14","0.000336")</f>
        <v>0.000336</v>
      </c>
    </row>
    <row r="9114" spans="1:7">
      <c r="A9114" s="3"/>
      <c r="B9114" s="3"/>
      <c r="C9114" s="3"/>
      <c r="D9114" s="3"/>
      <c r="E9114" s="3">
        <v>11</v>
      </c>
      <c r="F9114" s="4" t="str">
        <f>HYPERLINK("http://141.218.60.56/~jnz1568/getInfo.php?workbook=12_05.xlsx&amp;sheet=U0&amp;row=9114&amp;col=6&amp;number=4&amp;sourceID=14","4")</f>
        <v>4</v>
      </c>
      <c r="G9114" s="4" t="str">
        <f>HYPERLINK("http://141.218.60.56/~jnz1568/getInfo.php?workbook=12_05.xlsx&amp;sheet=U0&amp;row=9114&amp;col=7&amp;number=0.000335&amp;sourceID=14","0.000335")</f>
        <v>0.000335</v>
      </c>
    </row>
    <row r="9115" spans="1:7">
      <c r="A9115" s="3"/>
      <c r="B9115" s="3"/>
      <c r="C9115" s="3"/>
      <c r="D9115" s="3"/>
      <c r="E9115" s="3">
        <v>12</v>
      </c>
      <c r="F9115" s="4" t="str">
        <f>HYPERLINK("http://141.218.60.56/~jnz1568/getInfo.php?workbook=12_05.xlsx&amp;sheet=U0&amp;row=9115&amp;col=6&amp;number=4.1&amp;sourceID=14","4.1")</f>
        <v>4.1</v>
      </c>
      <c r="G9115" s="4" t="str">
        <f>HYPERLINK("http://141.218.60.56/~jnz1568/getInfo.php?workbook=12_05.xlsx&amp;sheet=U0&amp;row=9115&amp;col=7&amp;number=0.000334&amp;sourceID=14","0.000334")</f>
        <v>0.000334</v>
      </c>
    </row>
    <row r="9116" spans="1:7">
      <c r="A9116" s="3"/>
      <c r="B9116" s="3"/>
      <c r="C9116" s="3"/>
      <c r="D9116" s="3"/>
      <c r="E9116" s="3">
        <v>13</v>
      </c>
      <c r="F9116" s="4" t="str">
        <f>HYPERLINK("http://141.218.60.56/~jnz1568/getInfo.php?workbook=12_05.xlsx&amp;sheet=U0&amp;row=9116&amp;col=6&amp;number=4.2&amp;sourceID=14","4.2")</f>
        <v>4.2</v>
      </c>
      <c r="G9116" s="4" t="str">
        <f>HYPERLINK("http://141.218.60.56/~jnz1568/getInfo.php?workbook=12_05.xlsx&amp;sheet=U0&amp;row=9116&amp;col=7&amp;number=0.000333&amp;sourceID=14","0.000333")</f>
        <v>0.000333</v>
      </c>
    </row>
    <row r="9117" spans="1:7">
      <c r="A9117" s="3"/>
      <c r="B9117" s="3"/>
      <c r="C9117" s="3"/>
      <c r="D9117" s="3"/>
      <c r="E9117" s="3">
        <v>14</v>
      </c>
      <c r="F9117" s="4" t="str">
        <f>HYPERLINK("http://141.218.60.56/~jnz1568/getInfo.php?workbook=12_05.xlsx&amp;sheet=U0&amp;row=9117&amp;col=6&amp;number=4.3&amp;sourceID=14","4.3")</f>
        <v>4.3</v>
      </c>
      <c r="G9117" s="4" t="str">
        <f>HYPERLINK("http://141.218.60.56/~jnz1568/getInfo.php?workbook=12_05.xlsx&amp;sheet=U0&amp;row=9117&amp;col=7&amp;number=0.000332&amp;sourceID=14","0.000332")</f>
        <v>0.000332</v>
      </c>
    </row>
    <row r="9118" spans="1:7">
      <c r="A9118" s="3"/>
      <c r="B9118" s="3"/>
      <c r="C9118" s="3"/>
      <c r="D9118" s="3"/>
      <c r="E9118" s="3">
        <v>15</v>
      </c>
      <c r="F9118" s="4" t="str">
        <f>HYPERLINK("http://141.218.60.56/~jnz1568/getInfo.php?workbook=12_05.xlsx&amp;sheet=U0&amp;row=9118&amp;col=6&amp;number=4.4&amp;sourceID=14","4.4")</f>
        <v>4.4</v>
      </c>
      <c r="G9118" s="4" t="str">
        <f>HYPERLINK("http://141.218.60.56/~jnz1568/getInfo.php?workbook=12_05.xlsx&amp;sheet=U0&amp;row=9118&amp;col=7&amp;number=0.00033&amp;sourceID=14","0.00033")</f>
        <v>0.00033</v>
      </c>
    </row>
    <row r="9119" spans="1:7">
      <c r="A9119" s="3"/>
      <c r="B9119" s="3"/>
      <c r="C9119" s="3"/>
      <c r="D9119" s="3"/>
      <c r="E9119" s="3">
        <v>16</v>
      </c>
      <c r="F9119" s="4" t="str">
        <f>HYPERLINK("http://141.218.60.56/~jnz1568/getInfo.php?workbook=12_05.xlsx&amp;sheet=U0&amp;row=9119&amp;col=6&amp;number=4.5&amp;sourceID=14","4.5")</f>
        <v>4.5</v>
      </c>
      <c r="G9119" s="4" t="str">
        <f>HYPERLINK("http://141.218.60.56/~jnz1568/getInfo.php?workbook=12_05.xlsx&amp;sheet=U0&amp;row=9119&amp;col=7&amp;number=0.000328&amp;sourceID=14","0.000328")</f>
        <v>0.000328</v>
      </c>
    </row>
    <row r="9120" spans="1:7">
      <c r="A9120" s="3"/>
      <c r="B9120" s="3"/>
      <c r="C9120" s="3"/>
      <c r="D9120" s="3"/>
      <c r="E9120" s="3">
        <v>17</v>
      </c>
      <c r="F9120" s="4" t="str">
        <f>HYPERLINK("http://141.218.60.56/~jnz1568/getInfo.php?workbook=12_05.xlsx&amp;sheet=U0&amp;row=9120&amp;col=6&amp;number=4.6&amp;sourceID=14","4.6")</f>
        <v>4.6</v>
      </c>
      <c r="G9120" s="4" t="str">
        <f>HYPERLINK("http://141.218.60.56/~jnz1568/getInfo.php?workbook=12_05.xlsx&amp;sheet=U0&amp;row=9120&amp;col=7&amp;number=0.000326&amp;sourceID=14","0.000326")</f>
        <v>0.000326</v>
      </c>
    </row>
    <row r="9121" spans="1:7">
      <c r="A9121" s="3"/>
      <c r="B9121" s="3"/>
      <c r="C9121" s="3"/>
      <c r="D9121" s="3"/>
      <c r="E9121" s="3">
        <v>18</v>
      </c>
      <c r="F9121" s="4" t="str">
        <f>HYPERLINK("http://141.218.60.56/~jnz1568/getInfo.php?workbook=12_05.xlsx&amp;sheet=U0&amp;row=9121&amp;col=6&amp;number=4.7&amp;sourceID=14","4.7")</f>
        <v>4.7</v>
      </c>
      <c r="G9121" s="4" t="str">
        <f>HYPERLINK("http://141.218.60.56/~jnz1568/getInfo.php?workbook=12_05.xlsx&amp;sheet=U0&amp;row=9121&amp;col=7&amp;number=0.000323&amp;sourceID=14","0.000323")</f>
        <v>0.000323</v>
      </c>
    </row>
    <row r="9122" spans="1:7">
      <c r="A9122" s="3"/>
      <c r="B9122" s="3"/>
      <c r="C9122" s="3"/>
      <c r="D9122" s="3"/>
      <c r="E9122" s="3">
        <v>19</v>
      </c>
      <c r="F9122" s="4" t="str">
        <f>HYPERLINK("http://141.218.60.56/~jnz1568/getInfo.php?workbook=12_05.xlsx&amp;sheet=U0&amp;row=9122&amp;col=6&amp;number=4.8&amp;sourceID=14","4.8")</f>
        <v>4.8</v>
      </c>
      <c r="G9122" s="4" t="str">
        <f>HYPERLINK("http://141.218.60.56/~jnz1568/getInfo.php?workbook=12_05.xlsx&amp;sheet=U0&amp;row=9122&amp;col=7&amp;number=0.000319&amp;sourceID=14","0.000319")</f>
        <v>0.000319</v>
      </c>
    </row>
    <row r="9123" spans="1:7">
      <c r="A9123" s="3"/>
      <c r="B9123" s="3"/>
      <c r="C9123" s="3"/>
      <c r="D9123" s="3"/>
      <c r="E9123" s="3">
        <v>20</v>
      </c>
      <c r="F9123" s="4" t="str">
        <f>HYPERLINK("http://141.218.60.56/~jnz1568/getInfo.php?workbook=12_05.xlsx&amp;sheet=U0&amp;row=9123&amp;col=6&amp;number=4.9&amp;sourceID=14","4.9")</f>
        <v>4.9</v>
      </c>
      <c r="G9123" s="4" t="str">
        <f>HYPERLINK("http://141.218.60.56/~jnz1568/getInfo.php?workbook=12_05.xlsx&amp;sheet=U0&amp;row=9123&amp;col=7&amp;number=0.000314&amp;sourceID=14","0.000314")</f>
        <v>0.000314</v>
      </c>
    </row>
    <row r="9124" spans="1:7">
      <c r="A9124" s="3">
        <v>12</v>
      </c>
      <c r="B9124" s="3">
        <v>5</v>
      </c>
      <c r="C9124" s="3">
        <v>5</v>
      </c>
      <c r="D9124" s="3">
        <v>25</v>
      </c>
      <c r="E9124" s="3">
        <v>1</v>
      </c>
      <c r="F9124" s="4" t="str">
        <f>HYPERLINK("http://141.218.60.56/~jnz1568/getInfo.php?workbook=12_05.xlsx&amp;sheet=U0&amp;row=9124&amp;col=6&amp;number=3&amp;sourceID=14","3")</f>
        <v>3</v>
      </c>
      <c r="G9124" s="4" t="str">
        <f>HYPERLINK("http://141.218.60.56/~jnz1568/getInfo.php?workbook=12_05.xlsx&amp;sheet=U0&amp;row=9124&amp;col=7&amp;number=0.00107&amp;sourceID=14","0.00107")</f>
        <v>0.00107</v>
      </c>
    </row>
    <row r="9125" spans="1:7">
      <c r="A9125" s="3"/>
      <c r="B9125" s="3"/>
      <c r="C9125" s="3"/>
      <c r="D9125" s="3"/>
      <c r="E9125" s="3">
        <v>2</v>
      </c>
      <c r="F9125" s="4" t="str">
        <f>HYPERLINK("http://141.218.60.56/~jnz1568/getInfo.php?workbook=12_05.xlsx&amp;sheet=U0&amp;row=9125&amp;col=6&amp;number=3.1&amp;sourceID=14","3.1")</f>
        <v>3.1</v>
      </c>
      <c r="G9125" s="4" t="str">
        <f>HYPERLINK("http://141.218.60.56/~jnz1568/getInfo.php?workbook=12_05.xlsx&amp;sheet=U0&amp;row=9125&amp;col=7&amp;number=0.00107&amp;sourceID=14","0.00107")</f>
        <v>0.00107</v>
      </c>
    </row>
    <row r="9126" spans="1:7">
      <c r="A9126" s="3"/>
      <c r="B9126" s="3"/>
      <c r="C9126" s="3"/>
      <c r="D9126" s="3"/>
      <c r="E9126" s="3">
        <v>3</v>
      </c>
      <c r="F9126" s="4" t="str">
        <f>HYPERLINK("http://141.218.60.56/~jnz1568/getInfo.php?workbook=12_05.xlsx&amp;sheet=U0&amp;row=9126&amp;col=6&amp;number=3.2&amp;sourceID=14","3.2")</f>
        <v>3.2</v>
      </c>
      <c r="G9126" s="4" t="str">
        <f>HYPERLINK("http://141.218.60.56/~jnz1568/getInfo.php?workbook=12_05.xlsx&amp;sheet=U0&amp;row=9126&amp;col=7&amp;number=0.00107&amp;sourceID=14","0.00107")</f>
        <v>0.00107</v>
      </c>
    </row>
    <row r="9127" spans="1:7">
      <c r="A9127" s="3"/>
      <c r="B9127" s="3"/>
      <c r="C9127" s="3"/>
      <c r="D9127" s="3"/>
      <c r="E9127" s="3">
        <v>4</v>
      </c>
      <c r="F9127" s="4" t="str">
        <f>HYPERLINK("http://141.218.60.56/~jnz1568/getInfo.php?workbook=12_05.xlsx&amp;sheet=U0&amp;row=9127&amp;col=6&amp;number=3.3&amp;sourceID=14","3.3")</f>
        <v>3.3</v>
      </c>
      <c r="G9127" s="4" t="str">
        <f>HYPERLINK("http://141.218.60.56/~jnz1568/getInfo.php?workbook=12_05.xlsx&amp;sheet=U0&amp;row=9127&amp;col=7&amp;number=0.00107&amp;sourceID=14","0.00107")</f>
        <v>0.00107</v>
      </c>
    </row>
    <row r="9128" spans="1:7">
      <c r="A9128" s="3"/>
      <c r="B9128" s="3"/>
      <c r="C9128" s="3"/>
      <c r="D9128" s="3"/>
      <c r="E9128" s="3">
        <v>5</v>
      </c>
      <c r="F9128" s="4" t="str">
        <f>HYPERLINK("http://141.218.60.56/~jnz1568/getInfo.php?workbook=12_05.xlsx&amp;sheet=U0&amp;row=9128&amp;col=6&amp;number=3.4&amp;sourceID=14","3.4")</f>
        <v>3.4</v>
      </c>
      <c r="G9128" s="4" t="str">
        <f>HYPERLINK("http://141.218.60.56/~jnz1568/getInfo.php?workbook=12_05.xlsx&amp;sheet=U0&amp;row=9128&amp;col=7&amp;number=0.00107&amp;sourceID=14","0.00107")</f>
        <v>0.00107</v>
      </c>
    </row>
    <row r="9129" spans="1:7">
      <c r="A9129" s="3"/>
      <c r="B9129" s="3"/>
      <c r="C9129" s="3"/>
      <c r="D9129" s="3"/>
      <c r="E9129" s="3">
        <v>6</v>
      </c>
      <c r="F9129" s="4" t="str">
        <f>HYPERLINK("http://141.218.60.56/~jnz1568/getInfo.php?workbook=12_05.xlsx&amp;sheet=U0&amp;row=9129&amp;col=6&amp;number=3.5&amp;sourceID=14","3.5")</f>
        <v>3.5</v>
      </c>
      <c r="G9129" s="4" t="str">
        <f>HYPERLINK("http://141.218.60.56/~jnz1568/getInfo.php?workbook=12_05.xlsx&amp;sheet=U0&amp;row=9129&amp;col=7&amp;number=0.00107&amp;sourceID=14","0.00107")</f>
        <v>0.00107</v>
      </c>
    </row>
    <row r="9130" spans="1:7">
      <c r="A9130" s="3"/>
      <c r="B9130" s="3"/>
      <c r="C9130" s="3"/>
      <c r="D9130" s="3"/>
      <c r="E9130" s="3">
        <v>7</v>
      </c>
      <c r="F9130" s="4" t="str">
        <f>HYPERLINK("http://141.218.60.56/~jnz1568/getInfo.php?workbook=12_05.xlsx&amp;sheet=U0&amp;row=9130&amp;col=6&amp;number=3.6&amp;sourceID=14","3.6")</f>
        <v>3.6</v>
      </c>
      <c r="G9130" s="4" t="str">
        <f>HYPERLINK("http://141.218.60.56/~jnz1568/getInfo.php?workbook=12_05.xlsx&amp;sheet=U0&amp;row=9130&amp;col=7&amp;number=0.00107&amp;sourceID=14","0.00107")</f>
        <v>0.00107</v>
      </c>
    </row>
    <row r="9131" spans="1:7">
      <c r="A9131" s="3"/>
      <c r="B9131" s="3"/>
      <c r="C9131" s="3"/>
      <c r="D9131" s="3"/>
      <c r="E9131" s="3">
        <v>8</v>
      </c>
      <c r="F9131" s="4" t="str">
        <f>HYPERLINK("http://141.218.60.56/~jnz1568/getInfo.php?workbook=12_05.xlsx&amp;sheet=U0&amp;row=9131&amp;col=6&amp;number=3.7&amp;sourceID=14","3.7")</f>
        <v>3.7</v>
      </c>
      <c r="G9131" s="4" t="str">
        <f>HYPERLINK("http://141.218.60.56/~jnz1568/getInfo.php?workbook=12_05.xlsx&amp;sheet=U0&amp;row=9131&amp;col=7&amp;number=0.00107&amp;sourceID=14","0.00107")</f>
        <v>0.00107</v>
      </c>
    </row>
    <row r="9132" spans="1:7">
      <c r="A9132" s="3"/>
      <c r="B9132" s="3"/>
      <c r="C9132" s="3"/>
      <c r="D9132" s="3"/>
      <c r="E9132" s="3">
        <v>9</v>
      </c>
      <c r="F9132" s="4" t="str">
        <f>HYPERLINK("http://141.218.60.56/~jnz1568/getInfo.php?workbook=12_05.xlsx&amp;sheet=U0&amp;row=9132&amp;col=6&amp;number=3.8&amp;sourceID=14","3.8")</f>
        <v>3.8</v>
      </c>
      <c r="G9132" s="4" t="str">
        <f>HYPERLINK("http://141.218.60.56/~jnz1568/getInfo.php?workbook=12_05.xlsx&amp;sheet=U0&amp;row=9132&amp;col=7&amp;number=0.00107&amp;sourceID=14","0.00107")</f>
        <v>0.00107</v>
      </c>
    </row>
    <row r="9133" spans="1:7">
      <c r="A9133" s="3"/>
      <c r="B9133" s="3"/>
      <c r="C9133" s="3"/>
      <c r="D9133" s="3"/>
      <c r="E9133" s="3">
        <v>10</v>
      </c>
      <c r="F9133" s="4" t="str">
        <f>HYPERLINK("http://141.218.60.56/~jnz1568/getInfo.php?workbook=12_05.xlsx&amp;sheet=U0&amp;row=9133&amp;col=6&amp;number=3.9&amp;sourceID=14","3.9")</f>
        <v>3.9</v>
      </c>
      <c r="G9133" s="4" t="str">
        <f>HYPERLINK("http://141.218.60.56/~jnz1568/getInfo.php?workbook=12_05.xlsx&amp;sheet=U0&amp;row=9133&amp;col=7&amp;number=0.00107&amp;sourceID=14","0.00107")</f>
        <v>0.00107</v>
      </c>
    </row>
    <row r="9134" spans="1:7">
      <c r="A9134" s="3"/>
      <c r="B9134" s="3"/>
      <c r="C9134" s="3"/>
      <c r="D9134" s="3"/>
      <c r="E9134" s="3">
        <v>11</v>
      </c>
      <c r="F9134" s="4" t="str">
        <f>HYPERLINK("http://141.218.60.56/~jnz1568/getInfo.php?workbook=12_05.xlsx&amp;sheet=U0&amp;row=9134&amp;col=6&amp;number=4&amp;sourceID=14","4")</f>
        <v>4</v>
      </c>
      <c r="G9134" s="4" t="str">
        <f>HYPERLINK("http://141.218.60.56/~jnz1568/getInfo.php?workbook=12_05.xlsx&amp;sheet=U0&amp;row=9134&amp;col=7&amp;number=0.00107&amp;sourceID=14","0.00107")</f>
        <v>0.00107</v>
      </c>
    </row>
    <row r="9135" spans="1:7">
      <c r="A9135" s="3"/>
      <c r="B9135" s="3"/>
      <c r="C9135" s="3"/>
      <c r="D9135" s="3"/>
      <c r="E9135" s="3">
        <v>12</v>
      </c>
      <c r="F9135" s="4" t="str">
        <f>HYPERLINK("http://141.218.60.56/~jnz1568/getInfo.php?workbook=12_05.xlsx&amp;sheet=U0&amp;row=9135&amp;col=6&amp;number=4.1&amp;sourceID=14","4.1")</f>
        <v>4.1</v>
      </c>
      <c r="G9135" s="4" t="str">
        <f>HYPERLINK("http://141.218.60.56/~jnz1568/getInfo.php?workbook=12_05.xlsx&amp;sheet=U0&amp;row=9135&amp;col=7&amp;number=0.00107&amp;sourceID=14","0.00107")</f>
        <v>0.00107</v>
      </c>
    </row>
    <row r="9136" spans="1:7">
      <c r="A9136" s="3"/>
      <c r="B9136" s="3"/>
      <c r="C9136" s="3"/>
      <c r="D9136" s="3"/>
      <c r="E9136" s="3">
        <v>13</v>
      </c>
      <c r="F9136" s="4" t="str">
        <f>HYPERLINK("http://141.218.60.56/~jnz1568/getInfo.php?workbook=12_05.xlsx&amp;sheet=U0&amp;row=9136&amp;col=6&amp;number=4.2&amp;sourceID=14","4.2")</f>
        <v>4.2</v>
      </c>
      <c r="G9136" s="4" t="str">
        <f>HYPERLINK("http://141.218.60.56/~jnz1568/getInfo.php?workbook=12_05.xlsx&amp;sheet=U0&amp;row=9136&amp;col=7&amp;number=0.00107&amp;sourceID=14","0.00107")</f>
        <v>0.00107</v>
      </c>
    </row>
    <row r="9137" spans="1:7">
      <c r="A9137" s="3"/>
      <c r="B9137" s="3"/>
      <c r="C9137" s="3"/>
      <c r="D9137" s="3"/>
      <c r="E9137" s="3">
        <v>14</v>
      </c>
      <c r="F9137" s="4" t="str">
        <f>HYPERLINK("http://141.218.60.56/~jnz1568/getInfo.php?workbook=12_05.xlsx&amp;sheet=U0&amp;row=9137&amp;col=6&amp;number=4.3&amp;sourceID=14","4.3")</f>
        <v>4.3</v>
      </c>
      <c r="G9137" s="4" t="str">
        <f>HYPERLINK("http://141.218.60.56/~jnz1568/getInfo.php?workbook=12_05.xlsx&amp;sheet=U0&amp;row=9137&amp;col=7&amp;number=0.00107&amp;sourceID=14","0.00107")</f>
        <v>0.00107</v>
      </c>
    </row>
    <row r="9138" spans="1:7">
      <c r="A9138" s="3"/>
      <c r="B9138" s="3"/>
      <c r="C9138" s="3"/>
      <c r="D9138" s="3"/>
      <c r="E9138" s="3">
        <v>15</v>
      </c>
      <c r="F9138" s="4" t="str">
        <f>HYPERLINK("http://141.218.60.56/~jnz1568/getInfo.php?workbook=12_05.xlsx&amp;sheet=U0&amp;row=9138&amp;col=6&amp;number=4.4&amp;sourceID=14","4.4")</f>
        <v>4.4</v>
      </c>
      <c r="G9138" s="4" t="str">
        <f>HYPERLINK("http://141.218.60.56/~jnz1568/getInfo.php?workbook=12_05.xlsx&amp;sheet=U0&amp;row=9138&amp;col=7&amp;number=0.00107&amp;sourceID=14","0.00107")</f>
        <v>0.00107</v>
      </c>
    </row>
    <row r="9139" spans="1:7">
      <c r="A9139" s="3"/>
      <c r="B9139" s="3"/>
      <c r="C9139" s="3"/>
      <c r="D9139" s="3"/>
      <c r="E9139" s="3">
        <v>16</v>
      </c>
      <c r="F9139" s="4" t="str">
        <f>HYPERLINK("http://141.218.60.56/~jnz1568/getInfo.php?workbook=12_05.xlsx&amp;sheet=U0&amp;row=9139&amp;col=6&amp;number=4.5&amp;sourceID=14","4.5")</f>
        <v>4.5</v>
      </c>
      <c r="G9139" s="4" t="str">
        <f>HYPERLINK("http://141.218.60.56/~jnz1568/getInfo.php?workbook=12_05.xlsx&amp;sheet=U0&amp;row=9139&amp;col=7&amp;number=0.00107&amp;sourceID=14","0.00107")</f>
        <v>0.00107</v>
      </c>
    </row>
    <row r="9140" spans="1:7">
      <c r="A9140" s="3"/>
      <c r="B9140" s="3"/>
      <c r="C9140" s="3"/>
      <c r="D9140" s="3"/>
      <c r="E9140" s="3">
        <v>17</v>
      </c>
      <c r="F9140" s="4" t="str">
        <f>HYPERLINK("http://141.218.60.56/~jnz1568/getInfo.php?workbook=12_05.xlsx&amp;sheet=U0&amp;row=9140&amp;col=6&amp;number=4.6&amp;sourceID=14","4.6")</f>
        <v>4.6</v>
      </c>
      <c r="G9140" s="4" t="str">
        <f>HYPERLINK("http://141.218.60.56/~jnz1568/getInfo.php?workbook=12_05.xlsx&amp;sheet=U0&amp;row=9140&amp;col=7&amp;number=0.00108&amp;sourceID=14","0.00108")</f>
        <v>0.00108</v>
      </c>
    </row>
    <row r="9141" spans="1:7">
      <c r="A9141" s="3"/>
      <c r="B9141" s="3"/>
      <c r="C9141" s="3"/>
      <c r="D9141" s="3"/>
      <c r="E9141" s="3">
        <v>18</v>
      </c>
      <c r="F9141" s="4" t="str">
        <f>HYPERLINK("http://141.218.60.56/~jnz1568/getInfo.php?workbook=12_05.xlsx&amp;sheet=U0&amp;row=9141&amp;col=6&amp;number=4.7&amp;sourceID=14","4.7")</f>
        <v>4.7</v>
      </c>
      <c r="G9141" s="4" t="str">
        <f>HYPERLINK("http://141.218.60.56/~jnz1568/getInfo.php?workbook=12_05.xlsx&amp;sheet=U0&amp;row=9141&amp;col=7&amp;number=0.00108&amp;sourceID=14","0.00108")</f>
        <v>0.00108</v>
      </c>
    </row>
    <row r="9142" spans="1:7">
      <c r="A9142" s="3"/>
      <c r="B9142" s="3"/>
      <c r="C9142" s="3"/>
      <c r="D9142" s="3"/>
      <c r="E9142" s="3">
        <v>19</v>
      </c>
      <c r="F9142" s="4" t="str">
        <f>HYPERLINK("http://141.218.60.56/~jnz1568/getInfo.php?workbook=12_05.xlsx&amp;sheet=U0&amp;row=9142&amp;col=6&amp;number=4.8&amp;sourceID=14","4.8")</f>
        <v>4.8</v>
      </c>
      <c r="G9142" s="4" t="str">
        <f>HYPERLINK("http://141.218.60.56/~jnz1568/getInfo.php?workbook=12_05.xlsx&amp;sheet=U0&amp;row=9142&amp;col=7&amp;number=0.00108&amp;sourceID=14","0.00108")</f>
        <v>0.00108</v>
      </c>
    </row>
    <row r="9143" spans="1:7">
      <c r="A9143" s="3"/>
      <c r="B9143" s="3"/>
      <c r="C9143" s="3"/>
      <c r="D9143" s="3"/>
      <c r="E9143" s="3">
        <v>20</v>
      </c>
      <c r="F9143" s="4" t="str">
        <f>HYPERLINK("http://141.218.60.56/~jnz1568/getInfo.php?workbook=12_05.xlsx&amp;sheet=U0&amp;row=9143&amp;col=6&amp;number=4.9&amp;sourceID=14","4.9")</f>
        <v>4.9</v>
      </c>
      <c r="G9143" s="4" t="str">
        <f>HYPERLINK("http://141.218.60.56/~jnz1568/getInfo.php?workbook=12_05.xlsx&amp;sheet=U0&amp;row=9143&amp;col=7&amp;number=0.00109&amp;sourceID=14","0.00109")</f>
        <v>0.00109</v>
      </c>
    </row>
    <row r="9144" spans="1:7">
      <c r="A9144" s="3">
        <v>12</v>
      </c>
      <c r="B9144" s="3">
        <v>5</v>
      </c>
      <c r="C9144" s="3">
        <v>5</v>
      </c>
      <c r="D9144" s="3">
        <v>26</v>
      </c>
      <c r="E9144" s="3">
        <v>1</v>
      </c>
      <c r="F9144" s="4" t="str">
        <f>HYPERLINK("http://141.218.60.56/~jnz1568/getInfo.php?workbook=12_05.xlsx&amp;sheet=U0&amp;row=9144&amp;col=6&amp;number=3&amp;sourceID=14","3")</f>
        <v>3</v>
      </c>
      <c r="G9144" s="4" t="str">
        <f>HYPERLINK("http://141.218.60.56/~jnz1568/getInfo.php?workbook=12_05.xlsx&amp;sheet=U0&amp;row=9144&amp;col=7&amp;number=0.00799&amp;sourceID=14","0.00799")</f>
        <v>0.00799</v>
      </c>
    </row>
    <row r="9145" spans="1:7">
      <c r="A9145" s="3"/>
      <c r="B9145" s="3"/>
      <c r="C9145" s="3"/>
      <c r="D9145" s="3"/>
      <c r="E9145" s="3">
        <v>2</v>
      </c>
      <c r="F9145" s="4" t="str">
        <f>HYPERLINK("http://141.218.60.56/~jnz1568/getInfo.php?workbook=12_05.xlsx&amp;sheet=U0&amp;row=9145&amp;col=6&amp;number=3.1&amp;sourceID=14","3.1")</f>
        <v>3.1</v>
      </c>
      <c r="G9145" s="4" t="str">
        <f>HYPERLINK("http://141.218.60.56/~jnz1568/getInfo.php?workbook=12_05.xlsx&amp;sheet=U0&amp;row=9145&amp;col=7&amp;number=0.00799&amp;sourceID=14","0.00799")</f>
        <v>0.00799</v>
      </c>
    </row>
    <row r="9146" spans="1:7">
      <c r="A9146" s="3"/>
      <c r="B9146" s="3"/>
      <c r="C9146" s="3"/>
      <c r="D9146" s="3"/>
      <c r="E9146" s="3">
        <v>3</v>
      </c>
      <c r="F9146" s="4" t="str">
        <f>HYPERLINK("http://141.218.60.56/~jnz1568/getInfo.php?workbook=12_05.xlsx&amp;sheet=U0&amp;row=9146&amp;col=6&amp;number=3.2&amp;sourceID=14","3.2")</f>
        <v>3.2</v>
      </c>
      <c r="G9146" s="4" t="str">
        <f>HYPERLINK("http://141.218.60.56/~jnz1568/getInfo.php?workbook=12_05.xlsx&amp;sheet=U0&amp;row=9146&amp;col=7&amp;number=0.00799&amp;sourceID=14","0.00799")</f>
        <v>0.00799</v>
      </c>
    </row>
    <row r="9147" spans="1:7">
      <c r="A9147" s="3"/>
      <c r="B9147" s="3"/>
      <c r="C9147" s="3"/>
      <c r="D9147" s="3"/>
      <c r="E9147" s="3">
        <v>4</v>
      </c>
      <c r="F9147" s="4" t="str">
        <f>HYPERLINK("http://141.218.60.56/~jnz1568/getInfo.php?workbook=12_05.xlsx&amp;sheet=U0&amp;row=9147&amp;col=6&amp;number=3.3&amp;sourceID=14","3.3")</f>
        <v>3.3</v>
      </c>
      <c r="G9147" s="4" t="str">
        <f>HYPERLINK("http://141.218.60.56/~jnz1568/getInfo.php?workbook=12_05.xlsx&amp;sheet=U0&amp;row=9147&amp;col=7&amp;number=0.00798&amp;sourceID=14","0.00798")</f>
        <v>0.00798</v>
      </c>
    </row>
    <row r="9148" spans="1:7">
      <c r="A9148" s="3"/>
      <c r="B9148" s="3"/>
      <c r="C9148" s="3"/>
      <c r="D9148" s="3"/>
      <c r="E9148" s="3">
        <v>5</v>
      </c>
      <c r="F9148" s="4" t="str">
        <f>HYPERLINK("http://141.218.60.56/~jnz1568/getInfo.php?workbook=12_05.xlsx&amp;sheet=U0&amp;row=9148&amp;col=6&amp;number=3.4&amp;sourceID=14","3.4")</f>
        <v>3.4</v>
      </c>
      <c r="G9148" s="4" t="str">
        <f>HYPERLINK("http://141.218.60.56/~jnz1568/getInfo.php?workbook=12_05.xlsx&amp;sheet=U0&amp;row=9148&amp;col=7&amp;number=0.00798&amp;sourceID=14","0.00798")</f>
        <v>0.00798</v>
      </c>
    </row>
    <row r="9149" spans="1:7">
      <c r="A9149" s="3"/>
      <c r="B9149" s="3"/>
      <c r="C9149" s="3"/>
      <c r="D9149" s="3"/>
      <c r="E9149" s="3">
        <v>6</v>
      </c>
      <c r="F9149" s="4" t="str">
        <f>HYPERLINK("http://141.218.60.56/~jnz1568/getInfo.php?workbook=12_05.xlsx&amp;sheet=U0&amp;row=9149&amp;col=6&amp;number=3.5&amp;sourceID=14","3.5")</f>
        <v>3.5</v>
      </c>
      <c r="G9149" s="4" t="str">
        <f>HYPERLINK("http://141.218.60.56/~jnz1568/getInfo.php?workbook=12_05.xlsx&amp;sheet=U0&amp;row=9149&amp;col=7&amp;number=0.00797&amp;sourceID=14","0.00797")</f>
        <v>0.00797</v>
      </c>
    </row>
    <row r="9150" spans="1:7">
      <c r="A9150" s="3"/>
      <c r="B9150" s="3"/>
      <c r="C9150" s="3"/>
      <c r="D9150" s="3"/>
      <c r="E9150" s="3">
        <v>7</v>
      </c>
      <c r="F9150" s="4" t="str">
        <f>HYPERLINK("http://141.218.60.56/~jnz1568/getInfo.php?workbook=12_05.xlsx&amp;sheet=U0&amp;row=9150&amp;col=6&amp;number=3.6&amp;sourceID=14","3.6")</f>
        <v>3.6</v>
      </c>
      <c r="G9150" s="4" t="str">
        <f>HYPERLINK("http://141.218.60.56/~jnz1568/getInfo.php?workbook=12_05.xlsx&amp;sheet=U0&amp;row=9150&amp;col=7&amp;number=0.00797&amp;sourceID=14","0.00797")</f>
        <v>0.00797</v>
      </c>
    </row>
    <row r="9151" spans="1:7">
      <c r="A9151" s="3"/>
      <c r="B9151" s="3"/>
      <c r="C9151" s="3"/>
      <c r="D9151" s="3"/>
      <c r="E9151" s="3">
        <v>8</v>
      </c>
      <c r="F9151" s="4" t="str">
        <f>HYPERLINK("http://141.218.60.56/~jnz1568/getInfo.php?workbook=12_05.xlsx&amp;sheet=U0&amp;row=9151&amp;col=6&amp;number=3.7&amp;sourceID=14","3.7")</f>
        <v>3.7</v>
      </c>
      <c r="G9151" s="4" t="str">
        <f>HYPERLINK("http://141.218.60.56/~jnz1568/getInfo.php?workbook=12_05.xlsx&amp;sheet=U0&amp;row=9151&amp;col=7&amp;number=0.00796&amp;sourceID=14","0.00796")</f>
        <v>0.00796</v>
      </c>
    </row>
    <row r="9152" spans="1:7">
      <c r="A9152" s="3"/>
      <c r="B9152" s="3"/>
      <c r="C9152" s="3"/>
      <c r="D9152" s="3"/>
      <c r="E9152" s="3">
        <v>9</v>
      </c>
      <c r="F9152" s="4" t="str">
        <f>HYPERLINK("http://141.218.60.56/~jnz1568/getInfo.php?workbook=12_05.xlsx&amp;sheet=U0&amp;row=9152&amp;col=6&amp;number=3.8&amp;sourceID=14","3.8")</f>
        <v>3.8</v>
      </c>
      <c r="G9152" s="4" t="str">
        <f>HYPERLINK("http://141.218.60.56/~jnz1568/getInfo.php?workbook=12_05.xlsx&amp;sheet=U0&amp;row=9152&amp;col=7&amp;number=0.00795&amp;sourceID=14","0.00795")</f>
        <v>0.00795</v>
      </c>
    </row>
    <row r="9153" spans="1:7">
      <c r="A9153" s="3"/>
      <c r="B9153" s="3"/>
      <c r="C9153" s="3"/>
      <c r="D9153" s="3"/>
      <c r="E9153" s="3">
        <v>10</v>
      </c>
      <c r="F9153" s="4" t="str">
        <f>HYPERLINK("http://141.218.60.56/~jnz1568/getInfo.php?workbook=12_05.xlsx&amp;sheet=U0&amp;row=9153&amp;col=6&amp;number=3.9&amp;sourceID=14","3.9")</f>
        <v>3.9</v>
      </c>
      <c r="G9153" s="4" t="str">
        <f>HYPERLINK("http://141.218.60.56/~jnz1568/getInfo.php?workbook=12_05.xlsx&amp;sheet=U0&amp;row=9153&amp;col=7&amp;number=0.00794&amp;sourceID=14","0.00794")</f>
        <v>0.00794</v>
      </c>
    </row>
    <row r="9154" spans="1:7">
      <c r="A9154" s="3"/>
      <c r="B9154" s="3"/>
      <c r="C9154" s="3"/>
      <c r="D9154" s="3"/>
      <c r="E9154" s="3">
        <v>11</v>
      </c>
      <c r="F9154" s="4" t="str">
        <f>HYPERLINK("http://141.218.60.56/~jnz1568/getInfo.php?workbook=12_05.xlsx&amp;sheet=U0&amp;row=9154&amp;col=6&amp;number=4&amp;sourceID=14","4")</f>
        <v>4</v>
      </c>
      <c r="G9154" s="4" t="str">
        <f>HYPERLINK("http://141.218.60.56/~jnz1568/getInfo.php?workbook=12_05.xlsx&amp;sheet=U0&amp;row=9154&amp;col=7&amp;number=0.00793&amp;sourceID=14","0.00793")</f>
        <v>0.00793</v>
      </c>
    </row>
    <row r="9155" spans="1:7">
      <c r="A9155" s="3"/>
      <c r="B9155" s="3"/>
      <c r="C9155" s="3"/>
      <c r="D9155" s="3"/>
      <c r="E9155" s="3">
        <v>12</v>
      </c>
      <c r="F9155" s="4" t="str">
        <f>HYPERLINK("http://141.218.60.56/~jnz1568/getInfo.php?workbook=12_05.xlsx&amp;sheet=U0&amp;row=9155&amp;col=6&amp;number=4.1&amp;sourceID=14","4.1")</f>
        <v>4.1</v>
      </c>
      <c r="G9155" s="4" t="str">
        <f>HYPERLINK("http://141.218.60.56/~jnz1568/getInfo.php?workbook=12_05.xlsx&amp;sheet=U0&amp;row=9155&amp;col=7&amp;number=0.00791&amp;sourceID=14","0.00791")</f>
        <v>0.00791</v>
      </c>
    </row>
    <row r="9156" spans="1:7">
      <c r="A9156" s="3"/>
      <c r="B9156" s="3"/>
      <c r="C9156" s="3"/>
      <c r="D9156" s="3"/>
      <c r="E9156" s="3">
        <v>13</v>
      </c>
      <c r="F9156" s="4" t="str">
        <f>HYPERLINK("http://141.218.60.56/~jnz1568/getInfo.php?workbook=12_05.xlsx&amp;sheet=U0&amp;row=9156&amp;col=6&amp;number=4.2&amp;sourceID=14","4.2")</f>
        <v>4.2</v>
      </c>
      <c r="G9156" s="4" t="str">
        <f>HYPERLINK("http://141.218.60.56/~jnz1568/getInfo.php?workbook=12_05.xlsx&amp;sheet=U0&amp;row=9156&amp;col=7&amp;number=0.00789&amp;sourceID=14","0.00789")</f>
        <v>0.00789</v>
      </c>
    </row>
    <row r="9157" spans="1:7">
      <c r="A9157" s="3"/>
      <c r="B9157" s="3"/>
      <c r="C9157" s="3"/>
      <c r="D9157" s="3"/>
      <c r="E9157" s="3">
        <v>14</v>
      </c>
      <c r="F9157" s="4" t="str">
        <f>HYPERLINK("http://141.218.60.56/~jnz1568/getInfo.php?workbook=12_05.xlsx&amp;sheet=U0&amp;row=9157&amp;col=6&amp;number=4.3&amp;sourceID=14","4.3")</f>
        <v>4.3</v>
      </c>
      <c r="G9157" s="4" t="str">
        <f>HYPERLINK("http://141.218.60.56/~jnz1568/getInfo.php?workbook=12_05.xlsx&amp;sheet=U0&amp;row=9157&amp;col=7&amp;number=0.00786&amp;sourceID=14","0.00786")</f>
        <v>0.00786</v>
      </c>
    </row>
    <row r="9158" spans="1:7">
      <c r="A9158" s="3"/>
      <c r="B9158" s="3"/>
      <c r="C9158" s="3"/>
      <c r="D9158" s="3"/>
      <c r="E9158" s="3">
        <v>15</v>
      </c>
      <c r="F9158" s="4" t="str">
        <f>HYPERLINK("http://141.218.60.56/~jnz1568/getInfo.php?workbook=12_05.xlsx&amp;sheet=U0&amp;row=9158&amp;col=6&amp;number=4.4&amp;sourceID=14","4.4")</f>
        <v>4.4</v>
      </c>
      <c r="G9158" s="4" t="str">
        <f>HYPERLINK("http://141.218.60.56/~jnz1568/getInfo.php?workbook=12_05.xlsx&amp;sheet=U0&amp;row=9158&amp;col=7&amp;number=0.00783&amp;sourceID=14","0.00783")</f>
        <v>0.00783</v>
      </c>
    </row>
    <row r="9159" spans="1:7">
      <c r="A9159" s="3"/>
      <c r="B9159" s="3"/>
      <c r="C9159" s="3"/>
      <c r="D9159" s="3"/>
      <c r="E9159" s="3">
        <v>16</v>
      </c>
      <c r="F9159" s="4" t="str">
        <f>HYPERLINK("http://141.218.60.56/~jnz1568/getInfo.php?workbook=12_05.xlsx&amp;sheet=U0&amp;row=9159&amp;col=6&amp;number=4.5&amp;sourceID=14","4.5")</f>
        <v>4.5</v>
      </c>
      <c r="G9159" s="4" t="str">
        <f>HYPERLINK("http://141.218.60.56/~jnz1568/getInfo.php?workbook=12_05.xlsx&amp;sheet=U0&amp;row=9159&amp;col=7&amp;number=0.00779&amp;sourceID=14","0.00779")</f>
        <v>0.00779</v>
      </c>
    </row>
    <row r="9160" spans="1:7">
      <c r="A9160" s="3"/>
      <c r="B9160" s="3"/>
      <c r="C9160" s="3"/>
      <c r="D9160" s="3"/>
      <c r="E9160" s="3">
        <v>17</v>
      </c>
      <c r="F9160" s="4" t="str">
        <f>HYPERLINK("http://141.218.60.56/~jnz1568/getInfo.php?workbook=12_05.xlsx&amp;sheet=U0&amp;row=9160&amp;col=6&amp;number=4.6&amp;sourceID=14","4.6")</f>
        <v>4.6</v>
      </c>
      <c r="G9160" s="4" t="str">
        <f>HYPERLINK("http://141.218.60.56/~jnz1568/getInfo.php?workbook=12_05.xlsx&amp;sheet=U0&amp;row=9160&amp;col=7&amp;number=0.00773&amp;sourceID=14","0.00773")</f>
        <v>0.00773</v>
      </c>
    </row>
    <row r="9161" spans="1:7">
      <c r="A9161" s="3"/>
      <c r="B9161" s="3"/>
      <c r="C9161" s="3"/>
      <c r="D9161" s="3"/>
      <c r="E9161" s="3">
        <v>18</v>
      </c>
      <c r="F9161" s="4" t="str">
        <f>HYPERLINK("http://141.218.60.56/~jnz1568/getInfo.php?workbook=12_05.xlsx&amp;sheet=U0&amp;row=9161&amp;col=6&amp;number=4.7&amp;sourceID=14","4.7")</f>
        <v>4.7</v>
      </c>
      <c r="G9161" s="4" t="str">
        <f>HYPERLINK("http://141.218.60.56/~jnz1568/getInfo.php?workbook=12_05.xlsx&amp;sheet=U0&amp;row=9161&amp;col=7&amp;number=0.00767&amp;sourceID=14","0.00767")</f>
        <v>0.00767</v>
      </c>
    </row>
    <row r="9162" spans="1:7">
      <c r="A9162" s="3"/>
      <c r="B9162" s="3"/>
      <c r="C9162" s="3"/>
      <c r="D9162" s="3"/>
      <c r="E9162" s="3">
        <v>19</v>
      </c>
      <c r="F9162" s="4" t="str">
        <f>HYPERLINK("http://141.218.60.56/~jnz1568/getInfo.php?workbook=12_05.xlsx&amp;sheet=U0&amp;row=9162&amp;col=6&amp;number=4.8&amp;sourceID=14","4.8")</f>
        <v>4.8</v>
      </c>
      <c r="G9162" s="4" t="str">
        <f>HYPERLINK("http://141.218.60.56/~jnz1568/getInfo.php?workbook=12_05.xlsx&amp;sheet=U0&amp;row=9162&amp;col=7&amp;number=0.00758&amp;sourceID=14","0.00758")</f>
        <v>0.00758</v>
      </c>
    </row>
    <row r="9163" spans="1:7">
      <c r="A9163" s="3"/>
      <c r="B9163" s="3"/>
      <c r="C9163" s="3"/>
      <c r="D9163" s="3"/>
      <c r="E9163" s="3">
        <v>20</v>
      </c>
      <c r="F9163" s="4" t="str">
        <f>HYPERLINK("http://141.218.60.56/~jnz1568/getInfo.php?workbook=12_05.xlsx&amp;sheet=U0&amp;row=9163&amp;col=6&amp;number=4.9&amp;sourceID=14","4.9")</f>
        <v>4.9</v>
      </c>
      <c r="G9163" s="4" t="str">
        <f>HYPERLINK("http://141.218.60.56/~jnz1568/getInfo.php?workbook=12_05.xlsx&amp;sheet=U0&amp;row=9163&amp;col=7&amp;number=0.00748&amp;sourceID=14","0.00748")</f>
        <v>0.00748</v>
      </c>
    </row>
    <row r="9164" spans="1:7">
      <c r="A9164" s="3">
        <v>12</v>
      </c>
      <c r="B9164" s="3">
        <v>5</v>
      </c>
      <c r="C9164" s="3">
        <v>5</v>
      </c>
      <c r="D9164" s="3">
        <v>27</v>
      </c>
      <c r="E9164" s="3">
        <v>1</v>
      </c>
      <c r="F9164" s="4" t="str">
        <f>HYPERLINK("http://141.218.60.56/~jnz1568/getInfo.php?workbook=12_05.xlsx&amp;sheet=U0&amp;row=9164&amp;col=6&amp;number=3&amp;sourceID=14","3")</f>
        <v>3</v>
      </c>
      <c r="G9164" s="4" t="str">
        <f>HYPERLINK("http://141.218.60.56/~jnz1568/getInfo.php?workbook=12_05.xlsx&amp;sheet=U0&amp;row=9164&amp;col=7&amp;number=0.0155&amp;sourceID=14","0.0155")</f>
        <v>0.0155</v>
      </c>
    </row>
    <row r="9165" spans="1:7">
      <c r="A9165" s="3"/>
      <c r="B9165" s="3"/>
      <c r="C9165" s="3"/>
      <c r="D9165" s="3"/>
      <c r="E9165" s="3">
        <v>2</v>
      </c>
      <c r="F9165" s="4" t="str">
        <f>HYPERLINK("http://141.218.60.56/~jnz1568/getInfo.php?workbook=12_05.xlsx&amp;sheet=U0&amp;row=9165&amp;col=6&amp;number=3.1&amp;sourceID=14","3.1")</f>
        <v>3.1</v>
      </c>
      <c r="G9165" s="4" t="str">
        <f>HYPERLINK("http://141.218.60.56/~jnz1568/getInfo.php?workbook=12_05.xlsx&amp;sheet=U0&amp;row=9165&amp;col=7&amp;number=0.0155&amp;sourceID=14","0.0155")</f>
        <v>0.0155</v>
      </c>
    </row>
    <row r="9166" spans="1:7">
      <c r="A9166" s="3"/>
      <c r="B9166" s="3"/>
      <c r="C9166" s="3"/>
      <c r="D9166" s="3"/>
      <c r="E9166" s="3">
        <v>3</v>
      </c>
      <c r="F9166" s="4" t="str">
        <f>HYPERLINK("http://141.218.60.56/~jnz1568/getInfo.php?workbook=12_05.xlsx&amp;sheet=U0&amp;row=9166&amp;col=6&amp;number=3.2&amp;sourceID=14","3.2")</f>
        <v>3.2</v>
      </c>
      <c r="G9166" s="4" t="str">
        <f>HYPERLINK("http://141.218.60.56/~jnz1568/getInfo.php?workbook=12_05.xlsx&amp;sheet=U0&amp;row=9166&amp;col=7&amp;number=0.0156&amp;sourceID=14","0.0156")</f>
        <v>0.0156</v>
      </c>
    </row>
    <row r="9167" spans="1:7">
      <c r="A9167" s="3"/>
      <c r="B9167" s="3"/>
      <c r="C9167" s="3"/>
      <c r="D9167" s="3"/>
      <c r="E9167" s="3">
        <v>4</v>
      </c>
      <c r="F9167" s="4" t="str">
        <f>HYPERLINK("http://141.218.60.56/~jnz1568/getInfo.php?workbook=12_05.xlsx&amp;sheet=U0&amp;row=9167&amp;col=6&amp;number=3.3&amp;sourceID=14","3.3")</f>
        <v>3.3</v>
      </c>
      <c r="G9167" s="4" t="str">
        <f>HYPERLINK("http://141.218.60.56/~jnz1568/getInfo.php?workbook=12_05.xlsx&amp;sheet=U0&amp;row=9167&amp;col=7&amp;number=0.0156&amp;sourceID=14","0.0156")</f>
        <v>0.0156</v>
      </c>
    </row>
    <row r="9168" spans="1:7">
      <c r="A9168" s="3"/>
      <c r="B9168" s="3"/>
      <c r="C9168" s="3"/>
      <c r="D9168" s="3"/>
      <c r="E9168" s="3">
        <v>5</v>
      </c>
      <c r="F9168" s="4" t="str">
        <f>HYPERLINK("http://141.218.60.56/~jnz1568/getInfo.php?workbook=12_05.xlsx&amp;sheet=U0&amp;row=9168&amp;col=6&amp;number=3.4&amp;sourceID=14","3.4")</f>
        <v>3.4</v>
      </c>
      <c r="G9168" s="4" t="str">
        <f>HYPERLINK("http://141.218.60.56/~jnz1568/getInfo.php?workbook=12_05.xlsx&amp;sheet=U0&amp;row=9168&amp;col=7&amp;number=0.0156&amp;sourceID=14","0.0156")</f>
        <v>0.0156</v>
      </c>
    </row>
    <row r="9169" spans="1:7">
      <c r="A9169" s="3"/>
      <c r="B9169" s="3"/>
      <c r="C9169" s="3"/>
      <c r="D9169" s="3"/>
      <c r="E9169" s="3">
        <v>6</v>
      </c>
      <c r="F9169" s="4" t="str">
        <f>HYPERLINK("http://141.218.60.56/~jnz1568/getInfo.php?workbook=12_05.xlsx&amp;sheet=U0&amp;row=9169&amp;col=6&amp;number=3.5&amp;sourceID=14","3.5")</f>
        <v>3.5</v>
      </c>
      <c r="G9169" s="4" t="str">
        <f>HYPERLINK("http://141.218.60.56/~jnz1568/getInfo.php?workbook=12_05.xlsx&amp;sheet=U0&amp;row=9169&amp;col=7&amp;number=0.0156&amp;sourceID=14","0.0156")</f>
        <v>0.0156</v>
      </c>
    </row>
    <row r="9170" spans="1:7">
      <c r="A9170" s="3"/>
      <c r="B9170" s="3"/>
      <c r="C9170" s="3"/>
      <c r="D9170" s="3"/>
      <c r="E9170" s="3">
        <v>7</v>
      </c>
      <c r="F9170" s="4" t="str">
        <f>HYPERLINK("http://141.218.60.56/~jnz1568/getInfo.php?workbook=12_05.xlsx&amp;sheet=U0&amp;row=9170&amp;col=6&amp;number=3.6&amp;sourceID=14","3.6")</f>
        <v>3.6</v>
      </c>
      <c r="G9170" s="4" t="str">
        <f>HYPERLINK("http://141.218.60.56/~jnz1568/getInfo.php?workbook=12_05.xlsx&amp;sheet=U0&amp;row=9170&amp;col=7&amp;number=0.0156&amp;sourceID=14","0.0156")</f>
        <v>0.0156</v>
      </c>
    </row>
    <row r="9171" spans="1:7">
      <c r="A9171" s="3"/>
      <c r="B9171" s="3"/>
      <c r="C9171" s="3"/>
      <c r="D9171" s="3"/>
      <c r="E9171" s="3">
        <v>8</v>
      </c>
      <c r="F9171" s="4" t="str">
        <f>HYPERLINK("http://141.218.60.56/~jnz1568/getInfo.php?workbook=12_05.xlsx&amp;sheet=U0&amp;row=9171&amp;col=6&amp;number=3.7&amp;sourceID=14","3.7")</f>
        <v>3.7</v>
      </c>
      <c r="G9171" s="4" t="str">
        <f>HYPERLINK("http://141.218.60.56/~jnz1568/getInfo.php?workbook=12_05.xlsx&amp;sheet=U0&amp;row=9171&amp;col=7&amp;number=0.0156&amp;sourceID=14","0.0156")</f>
        <v>0.0156</v>
      </c>
    </row>
    <row r="9172" spans="1:7">
      <c r="A9172" s="3"/>
      <c r="B9172" s="3"/>
      <c r="C9172" s="3"/>
      <c r="D9172" s="3"/>
      <c r="E9172" s="3">
        <v>9</v>
      </c>
      <c r="F9172" s="4" t="str">
        <f>HYPERLINK("http://141.218.60.56/~jnz1568/getInfo.php?workbook=12_05.xlsx&amp;sheet=U0&amp;row=9172&amp;col=6&amp;number=3.8&amp;sourceID=14","3.8")</f>
        <v>3.8</v>
      </c>
      <c r="G9172" s="4" t="str">
        <f>HYPERLINK("http://141.218.60.56/~jnz1568/getInfo.php?workbook=12_05.xlsx&amp;sheet=U0&amp;row=9172&amp;col=7&amp;number=0.0156&amp;sourceID=14","0.0156")</f>
        <v>0.0156</v>
      </c>
    </row>
    <row r="9173" spans="1:7">
      <c r="A9173" s="3"/>
      <c r="B9173" s="3"/>
      <c r="C9173" s="3"/>
      <c r="D9173" s="3"/>
      <c r="E9173" s="3">
        <v>10</v>
      </c>
      <c r="F9173" s="4" t="str">
        <f>HYPERLINK("http://141.218.60.56/~jnz1568/getInfo.php?workbook=12_05.xlsx&amp;sheet=U0&amp;row=9173&amp;col=6&amp;number=3.9&amp;sourceID=14","3.9")</f>
        <v>3.9</v>
      </c>
      <c r="G9173" s="4" t="str">
        <f>HYPERLINK("http://141.218.60.56/~jnz1568/getInfo.php?workbook=12_05.xlsx&amp;sheet=U0&amp;row=9173&amp;col=7&amp;number=0.0156&amp;sourceID=14","0.0156")</f>
        <v>0.0156</v>
      </c>
    </row>
    <row r="9174" spans="1:7">
      <c r="A9174" s="3"/>
      <c r="B9174" s="3"/>
      <c r="C9174" s="3"/>
      <c r="D9174" s="3"/>
      <c r="E9174" s="3">
        <v>11</v>
      </c>
      <c r="F9174" s="4" t="str">
        <f>HYPERLINK("http://141.218.60.56/~jnz1568/getInfo.php?workbook=12_05.xlsx&amp;sheet=U0&amp;row=9174&amp;col=6&amp;number=4&amp;sourceID=14","4")</f>
        <v>4</v>
      </c>
      <c r="G9174" s="4" t="str">
        <f>HYPERLINK("http://141.218.60.56/~jnz1568/getInfo.php?workbook=12_05.xlsx&amp;sheet=U0&amp;row=9174&amp;col=7&amp;number=0.0156&amp;sourceID=14","0.0156")</f>
        <v>0.0156</v>
      </c>
    </row>
    <row r="9175" spans="1:7">
      <c r="A9175" s="3"/>
      <c r="B9175" s="3"/>
      <c r="C9175" s="3"/>
      <c r="D9175" s="3"/>
      <c r="E9175" s="3">
        <v>12</v>
      </c>
      <c r="F9175" s="4" t="str">
        <f>HYPERLINK("http://141.218.60.56/~jnz1568/getInfo.php?workbook=12_05.xlsx&amp;sheet=U0&amp;row=9175&amp;col=6&amp;number=4.1&amp;sourceID=14","4.1")</f>
        <v>4.1</v>
      </c>
      <c r="G9175" s="4" t="str">
        <f>HYPERLINK("http://141.218.60.56/~jnz1568/getInfo.php?workbook=12_05.xlsx&amp;sheet=U0&amp;row=9175&amp;col=7&amp;number=0.0156&amp;sourceID=14","0.0156")</f>
        <v>0.0156</v>
      </c>
    </row>
    <row r="9176" spans="1:7">
      <c r="A9176" s="3"/>
      <c r="B9176" s="3"/>
      <c r="C9176" s="3"/>
      <c r="D9176" s="3"/>
      <c r="E9176" s="3">
        <v>13</v>
      </c>
      <c r="F9176" s="4" t="str">
        <f>HYPERLINK("http://141.218.60.56/~jnz1568/getInfo.php?workbook=12_05.xlsx&amp;sheet=U0&amp;row=9176&amp;col=6&amp;number=4.2&amp;sourceID=14","4.2")</f>
        <v>4.2</v>
      </c>
      <c r="G9176" s="4" t="str">
        <f>HYPERLINK("http://141.218.60.56/~jnz1568/getInfo.php?workbook=12_05.xlsx&amp;sheet=U0&amp;row=9176&amp;col=7&amp;number=0.0157&amp;sourceID=14","0.0157")</f>
        <v>0.0157</v>
      </c>
    </row>
    <row r="9177" spans="1:7">
      <c r="A9177" s="3"/>
      <c r="B9177" s="3"/>
      <c r="C9177" s="3"/>
      <c r="D9177" s="3"/>
      <c r="E9177" s="3">
        <v>14</v>
      </c>
      <c r="F9177" s="4" t="str">
        <f>HYPERLINK("http://141.218.60.56/~jnz1568/getInfo.php?workbook=12_05.xlsx&amp;sheet=U0&amp;row=9177&amp;col=6&amp;number=4.3&amp;sourceID=14","4.3")</f>
        <v>4.3</v>
      </c>
      <c r="G9177" s="4" t="str">
        <f>HYPERLINK("http://141.218.60.56/~jnz1568/getInfo.php?workbook=12_05.xlsx&amp;sheet=U0&amp;row=9177&amp;col=7&amp;number=0.0157&amp;sourceID=14","0.0157")</f>
        <v>0.0157</v>
      </c>
    </row>
    <row r="9178" spans="1:7">
      <c r="A9178" s="3"/>
      <c r="B9178" s="3"/>
      <c r="C9178" s="3"/>
      <c r="D9178" s="3"/>
      <c r="E9178" s="3">
        <v>15</v>
      </c>
      <c r="F9178" s="4" t="str">
        <f>HYPERLINK("http://141.218.60.56/~jnz1568/getInfo.php?workbook=12_05.xlsx&amp;sheet=U0&amp;row=9178&amp;col=6&amp;number=4.4&amp;sourceID=14","4.4")</f>
        <v>4.4</v>
      </c>
      <c r="G9178" s="4" t="str">
        <f>HYPERLINK("http://141.218.60.56/~jnz1568/getInfo.php?workbook=12_05.xlsx&amp;sheet=U0&amp;row=9178&amp;col=7&amp;number=0.0157&amp;sourceID=14","0.0157")</f>
        <v>0.0157</v>
      </c>
    </row>
    <row r="9179" spans="1:7">
      <c r="A9179" s="3"/>
      <c r="B9179" s="3"/>
      <c r="C9179" s="3"/>
      <c r="D9179" s="3"/>
      <c r="E9179" s="3">
        <v>16</v>
      </c>
      <c r="F9179" s="4" t="str">
        <f>HYPERLINK("http://141.218.60.56/~jnz1568/getInfo.php?workbook=12_05.xlsx&amp;sheet=U0&amp;row=9179&amp;col=6&amp;number=4.5&amp;sourceID=14","4.5")</f>
        <v>4.5</v>
      </c>
      <c r="G9179" s="4" t="str">
        <f>HYPERLINK("http://141.218.60.56/~jnz1568/getInfo.php?workbook=12_05.xlsx&amp;sheet=U0&amp;row=9179&amp;col=7&amp;number=0.0158&amp;sourceID=14","0.0158")</f>
        <v>0.0158</v>
      </c>
    </row>
    <row r="9180" spans="1:7">
      <c r="A9180" s="3"/>
      <c r="B9180" s="3"/>
      <c r="C9180" s="3"/>
      <c r="D9180" s="3"/>
      <c r="E9180" s="3">
        <v>17</v>
      </c>
      <c r="F9180" s="4" t="str">
        <f>HYPERLINK("http://141.218.60.56/~jnz1568/getInfo.php?workbook=12_05.xlsx&amp;sheet=U0&amp;row=9180&amp;col=6&amp;number=4.6&amp;sourceID=14","4.6")</f>
        <v>4.6</v>
      </c>
      <c r="G9180" s="4" t="str">
        <f>HYPERLINK("http://141.218.60.56/~jnz1568/getInfo.php?workbook=12_05.xlsx&amp;sheet=U0&amp;row=9180&amp;col=7&amp;number=0.0158&amp;sourceID=14","0.0158")</f>
        <v>0.0158</v>
      </c>
    </row>
    <row r="9181" spans="1:7">
      <c r="A9181" s="3"/>
      <c r="B9181" s="3"/>
      <c r="C9181" s="3"/>
      <c r="D9181" s="3"/>
      <c r="E9181" s="3">
        <v>18</v>
      </c>
      <c r="F9181" s="4" t="str">
        <f>HYPERLINK("http://141.218.60.56/~jnz1568/getInfo.php?workbook=12_05.xlsx&amp;sheet=U0&amp;row=9181&amp;col=6&amp;number=4.7&amp;sourceID=14","4.7")</f>
        <v>4.7</v>
      </c>
      <c r="G9181" s="4" t="str">
        <f>HYPERLINK("http://141.218.60.56/~jnz1568/getInfo.php?workbook=12_05.xlsx&amp;sheet=U0&amp;row=9181&amp;col=7&amp;number=0.0159&amp;sourceID=14","0.0159")</f>
        <v>0.0159</v>
      </c>
    </row>
    <row r="9182" spans="1:7">
      <c r="A9182" s="3"/>
      <c r="B9182" s="3"/>
      <c r="C9182" s="3"/>
      <c r="D9182" s="3"/>
      <c r="E9182" s="3">
        <v>19</v>
      </c>
      <c r="F9182" s="4" t="str">
        <f>HYPERLINK("http://141.218.60.56/~jnz1568/getInfo.php?workbook=12_05.xlsx&amp;sheet=U0&amp;row=9182&amp;col=6&amp;number=4.8&amp;sourceID=14","4.8")</f>
        <v>4.8</v>
      </c>
      <c r="G9182" s="4" t="str">
        <f>HYPERLINK("http://141.218.60.56/~jnz1568/getInfo.php?workbook=12_05.xlsx&amp;sheet=U0&amp;row=9182&amp;col=7&amp;number=0.016&amp;sourceID=14","0.016")</f>
        <v>0.016</v>
      </c>
    </row>
    <row r="9183" spans="1:7">
      <c r="A9183" s="3"/>
      <c r="B9183" s="3"/>
      <c r="C9183" s="3"/>
      <c r="D9183" s="3"/>
      <c r="E9183" s="3">
        <v>20</v>
      </c>
      <c r="F9183" s="4" t="str">
        <f>HYPERLINK("http://141.218.60.56/~jnz1568/getInfo.php?workbook=12_05.xlsx&amp;sheet=U0&amp;row=9183&amp;col=6&amp;number=4.9&amp;sourceID=14","4.9")</f>
        <v>4.9</v>
      </c>
      <c r="G9183" s="4" t="str">
        <f>HYPERLINK("http://141.218.60.56/~jnz1568/getInfo.php?workbook=12_05.xlsx&amp;sheet=U0&amp;row=9183&amp;col=7&amp;number=0.0161&amp;sourceID=14","0.0161")</f>
        <v>0.0161</v>
      </c>
    </row>
    <row r="9184" spans="1:7">
      <c r="A9184" s="3">
        <v>12</v>
      </c>
      <c r="B9184" s="3">
        <v>5</v>
      </c>
      <c r="C9184" s="3">
        <v>5</v>
      </c>
      <c r="D9184" s="3">
        <v>29</v>
      </c>
      <c r="E9184" s="3">
        <v>1</v>
      </c>
      <c r="F9184" s="4" t="str">
        <f>HYPERLINK("http://141.218.60.56/~jnz1568/getInfo.php?workbook=12_05.xlsx&amp;sheet=U0&amp;row=9184&amp;col=6&amp;number=3&amp;sourceID=14","3")</f>
        <v>3</v>
      </c>
      <c r="G9184" s="4" t="str">
        <f>HYPERLINK("http://141.218.60.56/~jnz1568/getInfo.php?workbook=12_05.xlsx&amp;sheet=U0&amp;row=9184&amp;col=7&amp;number=0.000255&amp;sourceID=14","0.000255")</f>
        <v>0.000255</v>
      </c>
    </row>
    <row r="9185" spans="1:7">
      <c r="A9185" s="3"/>
      <c r="B9185" s="3"/>
      <c r="C9185" s="3"/>
      <c r="D9185" s="3"/>
      <c r="E9185" s="3">
        <v>2</v>
      </c>
      <c r="F9185" s="4" t="str">
        <f>HYPERLINK("http://141.218.60.56/~jnz1568/getInfo.php?workbook=12_05.xlsx&amp;sheet=U0&amp;row=9185&amp;col=6&amp;number=3.1&amp;sourceID=14","3.1")</f>
        <v>3.1</v>
      </c>
      <c r="G9185" s="4" t="str">
        <f>HYPERLINK("http://141.218.60.56/~jnz1568/getInfo.php?workbook=12_05.xlsx&amp;sheet=U0&amp;row=9185&amp;col=7&amp;number=0.000255&amp;sourceID=14","0.000255")</f>
        <v>0.000255</v>
      </c>
    </row>
    <row r="9186" spans="1:7">
      <c r="A9186" s="3"/>
      <c r="B9186" s="3"/>
      <c r="C9186" s="3"/>
      <c r="D9186" s="3"/>
      <c r="E9186" s="3">
        <v>3</v>
      </c>
      <c r="F9186" s="4" t="str">
        <f>HYPERLINK("http://141.218.60.56/~jnz1568/getInfo.php?workbook=12_05.xlsx&amp;sheet=U0&amp;row=9186&amp;col=6&amp;number=3.2&amp;sourceID=14","3.2")</f>
        <v>3.2</v>
      </c>
      <c r="G9186" s="4" t="str">
        <f>HYPERLINK("http://141.218.60.56/~jnz1568/getInfo.php?workbook=12_05.xlsx&amp;sheet=U0&amp;row=9186&amp;col=7&amp;number=0.000255&amp;sourceID=14","0.000255")</f>
        <v>0.000255</v>
      </c>
    </row>
    <row r="9187" spans="1:7">
      <c r="A9187" s="3"/>
      <c r="B9187" s="3"/>
      <c r="C9187" s="3"/>
      <c r="D9187" s="3"/>
      <c r="E9187" s="3">
        <v>4</v>
      </c>
      <c r="F9187" s="4" t="str">
        <f>HYPERLINK("http://141.218.60.56/~jnz1568/getInfo.php?workbook=12_05.xlsx&amp;sheet=U0&amp;row=9187&amp;col=6&amp;number=3.3&amp;sourceID=14","3.3")</f>
        <v>3.3</v>
      </c>
      <c r="G9187" s="4" t="str">
        <f>HYPERLINK("http://141.218.60.56/~jnz1568/getInfo.php?workbook=12_05.xlsx&amp;sheet=U0&amp;row=9187&amp;col=7&amp;number=0.000254&amp;sourceID=14","0.000254")</f>
        <v>0.000254</v>
      </c>
    </row>
    <row r="9188" spans="1:7">
      <c r="A9188" s="3"/>
      <c r="B9188" s="3"/>
      <c r="C9188" s="3"/>
      <c r="D9188" s="3"/>
      <c r="E9188" s="3">
        <v>5</v>
      </c>
      <c r="F9188" s="4" t="str">
        <f>HYPERLINK("http://141.218.60.56/~jnz1568/getInfo.php?workbook=12_05.xlsx&amp;sheet=U0&amp;row=9188&amp;col=6&amp;number=3.4&amp;sourceID=14","3.4")</f>
        <v>3.4</v>
      </c>
      <c r="G9188" s="4" t="str">
        <f>HYPERLINK("http://141.218.60.56/~jnz1568/getInfo.php?workbook=12_05.xlsx&amp;sheet=U0&amp;row=9188&amp;col=7&amp;number=0.000254&amp;sourceID=14","0.000254")</f>
        <v>0.000254</v>
      </c>
    </row>
    <row r="9189" spans="1:7">
      <c r="A9189" s="3"/>
      <c r="B9189" s="3"/>
      <c r="C9189" s="3"/>
      <c r="D9189" s="3"/>
      <c r="E9189" s="3">
        <v>6</v>
      </c>
      <c r="F9189" s="4" t="str">
        <f>HYPERLINK("http://141.218.60.56/~jnz1568/getInfo.php?workbook=12_05.xlsx&amp;sheet=U0&amp;row=9189&amp;col=6&amp;number=3.5&amp;sourceID=14","3.5")</f>
        <v>3.5</v>
      </c>
      <c r="G9189" s="4" t="str">
        <f>HYPERLINK("http://141.218.60.56/~jnz1568/getInfo.php?workbook=12_05.xlsx&amp;sheet=U0&amp;row=9189&amp;col=7&amp;number=0.000254&amp;sourceID=14","0.000254")</f>
        <v>0.000254</v>
      </c>
    </row>
    <row r="9190" spans="1:7">
      <c r="A9190" s="3"/>
      <c r="B9190" s="3"/>
      <c r="C9190" s="3"/>
      <c r="D9190" s="3"/>
      <c r="E9190" s="3">
        <v>7</v>
      </c>
      <c r="F9190" s="4" t="str">
        <f>HYPERLINK("http://141.218.60.56/~jnz1568/getInfo.php?workbook=12_05.xlsx&amp;sheet=U0&amp;row=9190&amp;col=6&amp;number=3.6&amp;sourceID=14","3.6")</f>
        <v>3.6</v>
      </c>
      <c r="G9190" s="4" t="str">
        <f>HYPERLINK("http://141.218.60.56/~jnz1568/getInfo.php?workbook=12_05.xlsx&amp;sheet=U0&amp;row=9190&amp;col=7&amp;number=0.000254&amp;sourceID=14","0.000254")</f>
        <v>0.000254</v>
      </c>
    </row>
    <row r="9191" spans="1:7">
      <c r="A9191" s="3"/>
      <c r="B9191" s="3"/>
      <c r="C9191" s="3"/>
      <c r="D9191" s="3"/>
      <c r="E9191" s="3">
        <v>8</v>
      </c>
      <c r="F9191" s="4" t="str">
        <f>HYPERLINK("http://141.218.60.56/~jnz1568/getInfo.php?workbook=12_05.xlsx&amp;sheet=U0&amp;row=9191&amp;col=6&amp;number=3.7&amp;sourceID=14","3.7")</f>
        <v>3.7</v>
      </c>
      <c r="G9191" s="4" t="str">
        <f>HYPERLINK("http://141.218.60.56/~jnz1568/getInfo.php?workbook=12_05.xlsx&amp;sheet=U0&amp;row=9191&amp;col=7&amp;number=0.000254&amp;sourceID=14","0.000254")</f>
        <v>0.000254</v>
      </c>
    </row>
    <row r="9192" spans="1:7">
      <c r="A9192" s="3"/>
      <c r="B9192" s="3"/>
      <c r="C9192" s="3"/>
      <c r="D9192" s="3"/>
      <c r="E9192" s="3">
        <v>9</v>
      </c>
      <c r="F9192" s="4" t="str">
        <f>HYPERLINK("http://141.218.60.56/~jnz1568/getInfo.php?workbook=12_05.xlsx&amp;sheet=U0&amp;row=9192&amp;col=6&amp;number=3.8&amp;sourceID=14","3.8")</f>
        <v>3.8</v>
      </c>
      <c r="G9192" s="4" t="str">
        <f>HYPERLINK("http://141.218.60.56/~jnz1568/getInfo.php?workbook=12_05.xlsx&amp;sheet=U0&amp;row=9192&amp;col=7&amp;number=0.000253&amp;sourceID=14","0.000253")</f>
        <v>0.000253</v>
      </c>
    </row>
    <row r="9193" spans="1:7">
      <c r="A9193" s="3"/>
      <c r="B9193" s="3"/>
      <c r="C9193" s="3"/>
      <c r="D9193" s="3"/>
      <c r="E9193" s="3">
        <v>10</v>
      </c>
      <c r="F9193" s="4" t="str">
        <f>HYPERLINK("http://141.218.60.56/~jnz1568/getInfo.php?workbook=12_05.xlsx&amp;sheet=U0&amp;row=9193&amp;col=6&amp;number=3.9&amp;sourceID=14","3.9")</f>
        <v>3.9</v>
      </c>
      <c r="G9193" s="4" t="str">
        <f>HYPERLINK("http://141.218.60.56/~jnz1568/getInfo.php?workbook=12_05.xlsx&amp;sheet=U0&amp;row=9193&amp;col=7&amp;number=0.000253&amp;sourceID=14","0.000253")</f>
        <v>0.000253</v>
      </c>
    </row>
    <row r="9194" spans="1:7">
      <c r="A9194" s="3"/>
      <c r="B9194" s="3"/>
      <c r="C9194" s="3"/>
      <c r="D9194" s="3"/>
      <c r="E9194" s="3">
        <v>11</v>
      </c>
      <c r="F9194" s="4" t="str">
        <f>HYPERLINK("http://141.218.60.56/~jnz1568/getInfo.php?workbook=12_05.xlsx&amp;sheet=U0&amp;row=9194&amp;col=6&amp;number=4&amp;sourceID=14","4")</f>
        <v>4</v>
      </c>
      <c r="G9194" s="4" t="str">
        <f>HYPERLINK("http://141.218.60.56/~jnz1568/getInfo.php?workbook=12_05.xlsx&amp;sheet=U0&amp;row=9194&amp;col=7&amp;number=0.000253&amp;sourceID=14","0.000253")</f>
        <v>0.000253</v>
      </c>
    </row>
    <row r="9195" spans="1:7">
      <c r="A9195" s="3"/>
      <c r="B9195" s="3"/>
      <c r="C9195" s="3"/>
      <c r="D9195" s="3"/>
      <c r="E9195" s="3">
        <v>12</v>
      </c>
      <c r="F9195" s="4" t="str">
        <f>HYPERLINK("http://141.218.60.56/~jnz1568/getInfo.php?workbook=12_05.xlsx&amp;sheet=U0&amp;row=9195&amp;col=6&amp;number=4.1&amp;sourceID=14","4.1")</f>
        <v>4.1</v>
      </c>
      <c r="G9195" s="4" t="str">
        <f>HYPERLINK("http://141.218.60.56/~jnz1568/getInfo.php?workbook=12_05.xlsx&amp;sheet=U0&amp;row=9195&amp;col=7&amp;number=0.000252&amp;sourceID=14","0.000252")</f>
        <v>0.000252</v>
      </c>
    </row>
    <row r="9196" spans="1:7">
      <c r="A9196" s="3"/>
      <c r="B9196" s="3"/>
      <c r="C9196" s="3"/>
      <c r="D9196" s="3"/>
      <c r="E9196" s="3">
        <v>13</v>
      </c>
      <c r="F9196" s="4" t="str">
        <f>HYPERLINK("http://141.218.60.56/~jnz1568/getInfo.php?workbook=12_05.xlsx&amp;sheet=U0&amp;row=9196&amp;col=6&amp;number=4.2&amp;sourceID=14","4.2")</f>
        <v>4.2</v>
      </c>
      <c r="G9196" s="4" t="str">
        <f>HYPERLINK("http://141.218.60.56/~jnz1568/getInfo.php?workbook=12_05.xlsx&amp;sheet=U0&amp;row=9196&amp;col=7&amp;number=0.000251&amp;sourceID=14","0.000251")</f>
        <v>0.000251</v>
      </c>
    </row>
    <row r="9197" spans="1:7">
      <c r="A9197" s="3"/>
      <c r="B9197" s="3"/>
      <c r="C9197" s="3"/>
      <c r="D9197" s="3"/>
      <c r="E9197" s="3">
        <v>14</v>
      </c>
      <c r="F9197" s="4" t="str">
        <f>HYPERLINK("http://141.218.60.56/~jnz1568/getInfo.php?workbook=12_05.xlsx&amp;sheet=U0&amp;row=9197&amp;col=6&amp;number=4.3&amp;sourceID=14","4.3")</f>
        <v>4.3</v>
      </c>
      <c r="G9197" s="4" t="str">
        <f>HYPERLINK("http://141.218.60.56/~jnz1568/getInfo.php?workbook=12_05.xlsx&amp;sheet=U0&amp;row=9197&amp;col=7&amp;number=0.00025&amp;sourceID=14","0.00025")</f>
        <v>0.00025</v>
      </c>
    </row>
    <row r="9198" spans="1:7">
      <c r="A9198" s="3"/>
      <c r="B9198" s="3"/>
      <c r="C9198" s="3"/>
      <c r="D9198" s="3"/>
      <c r="E9198" s="3">
        <v>15</v>
      </c>
      <c r="F9198" s="4" t="str">
        <f>HYPERLINK("http://141.218.60.56/~jnz1568/getInfo.php?workbook=12_05.xlsx&amp;sheet=U0&amp;row=9198&amp;col=6&amp;number=4.4&amp;sourceID=14","4.4")</f>
        <v>4.4</v>
      </c>
      <c r="G9198" s="4" t="str">
        <f>HYPERLINK("http://141.218.60.56/~jnz1568/getInfo.php?workbook=12_05.xlsx&amp;sheet=U0&amp;row=9198&amp;col=7&amp;number=0.000249&amp;sourceID=14","0.000249")</f>
        <v>0.000249</v>
      </c>
    </row>
    <row r="9199" spans="1:7">
      <c r="A9199" s="3"/>
      <c r="B9199" s="3"/>
      <c r="C9199" s="3"/>
      <c r="D9199" s="3"/>
      <c r="E9199" s="3">
        <v>16</v>
      </c>
      <c r="F9199" s="4" t="str">
        <f>HYPERLINK("http://141.218.60.56/~jnz1568/getInfo.php?workbook=12_05.xlsx&amp;sheet=U0&amp;row=9199&amp;col=6&amp;number=4.5&amp;sourceID=14","4.5")</f>
        <v>4.5</v>
      </c>
      <c r="G9199" s="4" t="str">
        <f>HYPERLINK("http://141.218.60.56/~jnz1568/getInfo.php?workbook=12_05.xlsx&amp;sheet=U0&amp;row=9199&amp;col=7&amp;number=0.000248&amp;sourceID=14","0.000248")</f>
        <v>0.000248</v>
      </c>
    </row>
    <row r="9200" spans="1:7">
      <c r="A9200" s="3"/>
      <c r="B9200" s="3"/>
      <c r="C9200" s="3"/>
      <c r="D9200" s="3"/>
      <c r="E9200" s="3">
        <v>17</v>
      </c>
      <c r="F9200" s="4" t="str">
        <f>HYPERLINK("http://141.218.60.56/~jnz1568/getInfo.php?workbook=12_05.xlsx&amp;sheet=U0&amp;row=9200&amp;col=6&amp;number=4.6&amp;sourceID=14","4.6")</f>
        <v>4.6</v>
      </c>
      <c r="G9200" s="4" t="str">
        <f>HYPERLINK("http://141.218.60.56/~jnz1568/getInfo.php?workbook=12_05.xlsx&amp;sheet=U0&amp;row=9200&amp;col=7&amp;number=0.000246&amp;sourceID=14","0.000246")</f>
        <v>0.000246</v>
      </c>
    </row>
    <row r="9201" spans="1:7">
      <c r="A9201" s="3"/>
      <c r="B9201" s="3"/>
      <c r="C9201" s="3"/>
      <c r="D9201" s="3"/>
      <c r="E9201" s="3">
        <v>18</v>
      </c>
      <c r="F9201" s="4" t="str">
        <f>HYPERLINK("http://141.218.60.56/~jnz1568/getInfo.php?workbook=12_05.xlsx&amp;sheet=U0&amp;row=9201&amp;col=6&amp;number=4.7&amp;sourceID=14","4.7")</f>
        <v>4.7</v>
      </c>
      <c r="G9201" s="4" t="str">
        <f>HYPERLINK("http://141.218.60.56/~jnz1568/getInfo.php?workbook=12_05.xlsx&amp;sheet=U0&amp;row=9201&amp;col=7&amp;number=0.000244&amp;sourceID=14","0.000244")</f>
        <v>0.000244</v>
      </c>
    </row>
    <row r="9202" spans="1:7">
      <c r="A9202" s="3"/>
      <c r="B9202" s="3"/>
      <c r="C9202" s="3"/>
      <c r="D9202" s="3"/>
      <c r="E9202" s="3">
        <v>19</v>
      </c>
      <c r="F9202" s="4" t="str">
        <f>HYPERLINK("http://141.218.60.56/~jnz1568/getInfo.php?workbook=12_05.xlsx&amp;sheet=U0&amp;row=9202&amp;col=6&amp;number=4.8&amp;sourceID=14","4.8")</f>
        <v>4.8</v>
      </c>
      <c r="G9202" s="4" t="str">
        <f>HYPERLINK("http://141.218.60.56/~jnz1568/getInfo.php?workbook=12_05.xlsx&amp;sheet=U0&amp;row=9202&amp;col=7&amp;number=0.000241&amp;sourceID=14","0.000241")</f>
        <v>0.000241</v>
      </c>
    </row>
    <row r="9203" spans="1:7">
      <c r="A9203" s="3"/>
      <c r="B9203" s="3"/>
      <c r="C9203" s="3"/>
      <c r="D9203" s="3"/>
      <c r="E9203" s="3">
        <v>20</v>
      </c>
      <c r="F9203" s="4" t="str">
        <f>HYPERLINK("http://141.218.60.56/~jnz1568/getInfo.php?workbook=12_05.xlsx&amp;sheet=U0&amp;row=9203&amp;col=6&amp;number=4.9&amp;sourceID=14","4.9")</f>
        <v>4.9</v>
      </c>
      <c r="G9203" s="4" t="str">
        <f>HYPERLINK("http://141.218.60.56/~jnz1568/getInfo.php?workbook=12_05.xlsx&amp;sheet=U0&amp;row=9203&amp;col=7&amp;number=0.000238&amp;sourceID=14","0.000238")</f>
        <v>0.000238</v>
      </c>
    </row>
    <row r="9204" spans="1:7">
      <c r="A9204" s="3">
        <v>12</v>
      </c>
      <c r="B9204" s="3">
        <v>5</v>
      </c>
      <c r="C9204" s="3">
        <v>5</v>
      </c>
      <c r="D9204" s="3">
        <v>32</v>
      </c>
      <c r="E9204" s="3">
        <v>1</v>
      </c>
      <c r="F9204" s="4" t="str">
        <f>HYPERLINK("http://141.218.60.56/~jnz1568/getInfo.php?workbook=12_05.xlsx&amp;sheet=U0&amp;row=9204&amp;col=6&amp;number=3&amp;sourceID=14","3")</f>
        <v>3</v>
      </c>
      <c r="G9204" s="4" t="str">
        <f>HYPERLINK("http://141.218.60.56/~jnz1568/getInfo.php?workbook=12_05.xlsx&amp;sheet=U0&amp;row=9204&amp;col=7&amp;number=0.0266&amp;sourceID=14","0.0266")</f>
        <v>0.0266</v>
      </c>
    </row>
    <row r="9205" spans="1:7">
      <c r="A9205" s="3"/>
      <c r="B9205" s="3"/>
      <c r="C9205" s="3"/>
      <c r="D9205" s="3"/>
      <c r="E9205" s="3">
        <v>2</v>
      </c>
      <c r="F9205" s="4" t="str">
        <f>HYPERLINK("http://141.218.60.56/~jnz1568/getInfo.php?workbook=12_05.xlsx&amp;sheet=U0&amp;row=9205&amp;col=6&amp;number=3.1&amp;sourceID=14","3.1")</f>
        <v>3.1</v>
      </c>
      <c r="G9205" s="4" t="str">
        <f>HYPERLINK("http://141.218.60.56/~jnz1568/getInfo.php?workbook=12_05.xlsx&amp;sheet=U0&amp;row=9205&amp;col=7&amp;number=0.0265&amp;sourceID=14","0.0265")</f>
        <v>0.0265</v>
      </c>
    </row>
    <row r="9206" spans="1:7">
      <c r="A9206" s="3"/>
      <c r="B9206" s="3"/>
      <c r="C9206" s="3"/>
      <c r="D9206" s="3"/>
      <c r="E9206" s="3">
        <v>3</v>
      </c>
      <c r="F9206" s="4" t="str">
        <f>HYPERLINK("http://141.218.60.56/~jnz1568/getInfo.php?workbook=12_05.xlsx&amp;sheet=U0&amp;row=9206&amp;col=6&amp;number=3.2&amp;sourceID=14","3.2")</f>
        <v>3.2</v>
      </c>
      <c r="G9206" s="4" t="str">
        <f>HYPERLINK("http://141.218.60.56/~jnz1568/getInfo.php?workbook=12_05.xlsx&amp;sheet=U0&amp;row=9206&amp;col=7&amp;number=0.0265&amp;sourceID=14","0.0265")</f>
        <v>0.0265</v>
      </c>
    </row>
    <row r="9207" spans="1:7">
      <c r="A9207" s="3"/>
      <c r="B9207" s="3"/>
      <c r="C9207" s="3"/>
      <c r="D9207" s="3"/>
      <c r="E9207" s="3">
        <v>4</v>
      </c>
      <c r="F9207" s="4" t="str">
        <f>HYPERLINK("http://141.218.60.56/~jnz1568/getInfo.php?workbook=12_05.xlsx&amp;sheet=U0&amp;row=9207&amp;col=6&amp;number=3.3&amp;sourceID=14","3.3")</f>
        <v>3.3</v>
      </c>
      <c r="G9207" s="4" t="str">
        <f>HYPERLINK("http://141.218.60.56/~jnz1568/getInfo.php?workbook=12_05.xlsx&amp;sheet=U0&amp;row=9207&amp;col=7&amp;number=0.0265&amp;sourceID=14","0.0265")</f>
        <v>0.0265</v>
      </c>
    </row>
    <row r="9208" spans="1:7">
      <c r="A9208" s="3"/>
      <c r="B9208" s="3"/>
      <c r="C9208" s="3"/>
      <c r="D9208" s="3"/>
      <c r="E9208" s="3">
        <v>5</v>
      </c>
      <c r="F9208" s="4" t="str">
        <f>HYPERLINK("http://141.218.60.56/~jnz1568/getInfo.php?workbook=12_05.xlsx&amp;sheet=U0&amp;row=9208&amp;col=6&amp;number=3.4&amp;sourceID=14","3.4")</f>
        <v>3.4</v>
      </c>
      <c r="G9208" s="4" t="str">
        <f>HYPERLINK("http://141.218.60.56/~jnz1568/getInfo.php?workbook=12_05.xlsx&amp;sheet=U0&amp;row=9208&amp;col=7&amp;number=0.0265&amp;sourceID=14","0.0265")</f>
        <v>0.0265</v>
      </c>
    </row>
    <row r="9209" spans="1:7">
      <c r="A9209" s="3"/>
      <c r="B9209" s="3"/>
      <c r="C9209" s="3"/>
      <c r="D9209" s="3"/>
      <c r="E9209" s="3">
        <v>6</v>
      </c>
      <c r="F9209" s="4" t="str">
        <f>HYPERLINK("http://141.218.60.56/~jnz1568/getInfo.php?workbook=12_05.xlsx&amp;sheet=U0&amp;row=9209&amp;col=6&amp;number=3.5&amp;sourceID=14","3.5")</f>
        <v>3.5</v>
      </c>
      <c r="G9209" s="4" t="str">
        <f>HYPERLINK("http://141.218.60.56/~jnz1568/getInfo.php?workbook=12_05.xlsx&amp;sheet=U0&amp;row=9209&amp;col=7&amp;number=0.0265&amp;sourceID=14","0.0265")</f>
        <v>0.0265</v>
      </c>
    </row>
    <row r="9210" spans="1:7">
      <c r="A9210" s="3"/>
      <c r="B9210" s="3"/>
      <c r="C9210" s="3"/>
      <c r="D9210" s="3"/>
      <c r="E9210" s="3">
        <v>7</v>
      </c>
      <c r="F9210" s="4" t="str">
        <f>HYPERLINK("http://141.218.60.56/~jnz1568/getInfo.php?workbook=12_05.xlsx&amp;sheet=U0&amp;row=9210&amp;col=6&amp;number=3.6&amp;sourceID=14","3.6")</f>
        <v>3.6</v>
      </c>
      <c r="G9210" s="4" t="str">
        <f>HYPERLINK("http://141.218.60.56/~jnz1568/getInfo.php?workbook=12_05.xlsx&amp;sheet=U0&amp;row=9210&amp;col=7&amp;number=0.0265&amp;sourceID=14","0.0265")</f>
        <v>0.0265</v>
      </c>
    </row>
    <row r="9211" spans="1:7">
      <c r="A9211" s="3"/>
      <c r="B9211" s="3"/>
      <c r="C9211" s="3"/>
      <c r="D9211" s="3"/>
      <c r="E9211" s="3">
        <v>8</v>
      </c>
      <c r="F9211" s="4" t="str">
        <f>HYPERLINK("http://141.218.60.56/~jnz1568/getInfo.php?workbook=12_05.xlsx&amp;sheet=U0&amp;row=9211&amp;col=6&amp;number=3.7&amp;sourceID=14","3.7")</f>
        <v>3.7</v>
      </c>
      <c r="G9211" s="4" t="str">
        <f>HYPERLINK("http://141.218.60.56/~jnz1568/getInfo.php?workbook=12_05.xlsx&amp;sheet=U0&amp;row=9211&amp;col=7&amp;number=0.0265&amp;sourceID=14","0.0265")</f>
        <v>0.0265</v>
      </c>
    </row>
    <row r="9212" spans="1:7">
      <c r="A9212" s="3"/>
      <c r="B9212" s="3"/>
      <c r="C9212" s="3"/>
      <c r="D9212" s="3"/>
      <c r="E9212" s="3">
        <v>9</v>
      </c>
      <c r="F9212" s="4" t="str">
        <f>HYPERLINK("http://141.218.60.56/~jnz1568/getInfo.php?workbook=12_05.xlsx&amp;sheet=U0&amp;row=9212&amp;col=6&amp;number=3.8&amp;sourceID=14","3.8")</f>
        <v>3.8</v>
      </c>
      <c r="G9212" s="4" t="str">
        <f>HYPERLINK("http://141.218.60.56/~jnz1568/getInfo.php?workbook=12_05.xlsx&amp;sheet=U0&amp;row=9212&amp;col=7&amp;number=0.0264&amp;sourceID=14","0.0264")</f>
        <v>0.0264</v>
      </c>
    </row>
    <row r="9213" spans="1:7">
      <c r="A9213" s="3"/>
      <c r="B9213" s="3"/>
      <c r="C9213" s="3"/>
      <c r="D9213" s="3"/>
      <c r="E9213" s="3">
        <v>10</v>
      </c>
      <c r="F9213" s="4" t="str">
        <f>HYPERLINK("http://141.218.60.56/~jnz1568/getInfo.php?workbook=12_05.xlsx&amp;sheet=U0&amp;row=9213&amp;col=6&amp;number=3.9&amp;sourceID=14","3.9")</f>
        <v>3.9</v>
      </c>
      <c r="G9213" s="4" t="str">
        <f>HYPERLINK("http://141.218.60.56/~jnz1568/getInfo.php?workbook=12_05.xlsx&amp;sheet=U0&amp;row=9213&amp;col=7&amp;number=0.0264&amp;sourceID=14","0.0264")</f>
        <v>0.0264</v>
      </c>
    </row>
    <row r="9214" spans="1:7">
      <c r="A9214" s="3"/>
      <c r="B9214" s="3"/>
      <c r="C9214" s="3"/>
      <c r="D9214" s="3"/>
      <c r="E9214" s="3">
        <v>11</v>
      </c>
      <c r="F9214" s="4" t="str">
        <f>HYPERLINK("http://141.218.60.56/~jnz1568/getInfo.php?workbook=12_05.xlsx&amp;sheet=U0&amp;row=9214&amp;col=6&amp;number=4&amp;sourceID=14","4")</f>
        <v>4</v>
      </c>
      <c r="G9214" s="4" t="str">
        <f>HYPERLINK("http://141.218.60.56/~jnz1568/getInfo.php?workbook=12_05.xlsx&amp;sheet=U0&amp;row=9214&amp;col=7&amp;number=0.0264&amp;sourceID=14","0.0264")</f>
        <v>0.0264</v>
      </c>
    </row>
    <row r="9215" spans="1:7">
      <c r="A9215" s="3"/>
      <c r="B9215" s="3"/>
      <c r="C9215" s="3"/>
      <c r="D9215" s="3"/>
      <c r="E9215" s="3">
        <v>12</v>
      </c>
      <c r="F9215" s="4" t="str">
        <f>HYPERLINK("http://141.218.60.56/~jnz1568/getInfo.php?workbook=12_05.xlsx&amp;sheet=U0&amp;row=9215&amp;col=6&amp;number=4.1&amp;sourceID=14","4.1")</f>
        <v>4.1</v>
      </c>
      <c r="G9215" s="4" t="str">
        <f>HYPERLINK("http://141.218.60.56/~jnz1568/getInfo.php?workbook=12_05.xlsx&amp;sheet=U0&amp;row=9215&amp;col=7&amp;number=0.0263&amp;sourceID=14","0.0263")</f>
        <v>0.0263</v>
      </c>
    </row>
    <row r="9216" spans="1:7">
      <c r="A9216" s="3"/>
      <c r="B9216" s="3"/>
      <c r="C9216" s="3"/>
      <c r="D9216" s="3"/>
      <c r="E9216" s="3">
        <v>13</v>
      </c>
      <c r="F9216" s="4" t="str">
        <f>HYPERLINK("http://141.218.60.56/~jnz1568/getInfo.php?workbook=12_05.xlsx&amp;sheet=U0&amp;row=9216&amp;col=6&amp;number=4.2&amp;sourceID=14","4.2")</f>
        <v>4.2</v>
      </c>
      <c r="G9216" s="4" t="str">
        <f>HYPERLINK("http://141.218.60.56/~jnz1568/getInfo.php?workbook=12_05.xlsx&amp;sheet=U0&amp;row=9216&amp;col=7&amp;number=0.0263&amp;sourceID=14","0.0263")</f>
        <v>0.0263</v>
      </c>
    </row>
    <row r="9217" spans="1:7">
      <c r="A9217" s="3"/>
      <c r="B9217" s="3"/>
      <c r="C9217" s="3"/>
      <c r="D9217" s="3"/>
      <c r="E9217" s="3">
        <v>14</v>
      </c>
      <c r="F9217" s="4" t="str">
        <f>HYPERLINK("http://141.218.60.56/~jnz1568/getInfo.php?workbook=12_05.xlsx&amp;sheet=U0&amp;row=9217&amp;col=6&amp;number=4.3&amp;sourceID=14","4.3")</f>
        <v>4.3</v>
      </c>
      <c r="G9217" s="4" t="str">
        <f>HYPERLINK("http://141.218.60.56/~jnz1568/getInfo.php?workbook=12_05.xlsx&amp;sheet=U0&amp;row=9217&amp;col=7&amp;number=0.0262&amp;sourceID=14","0.0262")</f>
        <v>0.0262</v>
      </c>
    </row>
    <row r="9218" spans="1:7">
      <c r="A9218" s="3"/>
      <c r="B9218" s="3"/>
      <c r="C9218" s="3"/>
      <c r="D9218" s="3"/>
      <c r="E9218" s="3">
        <v>15</v>
      </c>
      <c r="F9218" s="4" t="str">
        <f>HYPERLINK("http://141.218.60.56/~jnz1568/getInfo.php?workbook=12_05.xlsx&amp;sheet=U0&amp;row=9218&amp;col=6&amp;number=4.4&amp;sourceID=14","4.4")</f>
        <v>4.4</v>
      </c>
      <c r="G9218" s="4" t="str">
        <f>HYPERLINK("http://141.218.60.56/~jnz1568/getInfo.php?workbook=12_05.xlsx&amp;sheet=U0&amp;row=9218&amp;col=7&amp;number=0.0261&amp;sourceID=14","0.0261")</f>
        <v>0.0261</v>
      </c>
    </row>
    <row r="9219" spans="1:7">
      <c r="A9219" s="3"/>
      <c r="B9219" s="3"/>
      <c r="C9219" s="3"/>
      <c r="D9219" s="3"/>
      <c r="E9219" s="3">
        <v>16</v>
      </c>
      <c r="F9219" s="4" t="str">
        <f>HYPERLINK("http://141.218.60.56/~jnz1568/getInfo.php?workbook=12_05.xlsx&amp;sheet=U0&amp;row=9219&amp;col=6&amp;number=4.5&amp;sourceID=14","4.5")</f>
        <v>4.5</v>
      </c>
      <c r="G9219" s="4" t="str">
        <f>HYPERLINK("http://141.218.60.56/~jnz1568/getInfo.php?workbook=12_05.xlsx&amp;sheet=U0&amp;row=9219&amp;col=7&amp;number=0.026&amp;sourceID=14","0.026")</f>
        <v>0.026</v>
      </c>
    </row>
    <row r="9220" spans="1:7">
      <c r="A9220" s="3"/>
      <c r="B9220" s="3"/>
      <c r="C9220" s="3"/>
      <c r="D9220" s="3"/>
      <c r="E9220" s="3">
        <v>17</v>
      </c>
      <c r="F9220" s="4" t="str">
        <f>HYPERLINK("http://141.218.60.56/~jnz1568/getInfo.php?workbook=12_05.xlsx&amp;sheet=U0&amp;row=9220&amp;col=6&amp;number=4.6&amp;sourceID=14","4.6")</f>
        <v>4.6</v>
      </c>
      <c r="G9220" s="4" t="str">
        <f>HYPERLINK("http://141.218.60.56/~jnz1568/getInfo.php?workbook=12_05.xlsx&amp;sheet=U0&amp;row=9220&amp;col=7&amp;number=0.0258&amp;sourceID=14","0.0258")</f>
        <v>0.0258</v>
      </c>
    </row>
    <row r="9221" spans="1:7">
      <c r="A9221" s="3"/>
      <c r="B9221" s="3"/>
      <c r="C9221" s="3"/>
      <c r="D9221" s="3"/>
      <c r="E9221" s="3">
        <v>18</v>
      </c>
      <c r="F9221" s="4" t="str">
        <f>HYPERLINK("http://141.218.60.56/~jnz1568/getInfo.php?workbook=12_05.xlsx&amp;sheet=U0&amp;row=9221&amp;col=6&amp;number=4.7&amp;sourceID=14","4.7")</f>
        <v>4.7</v>
      </c>
      <c r="G9221" s="4" t="str">
        <f>HYPERLINK("http://141.218.60.56/~jnz1568/getInfo.php?workbook=12_05.xlsx&amp;sheet=U0&amp;row=9221&amp;col=7&amp;number=0.0256&amp;sourceID=14","0.0256")</f>
        <v>0.0256</v>
      </c>
    </row>
    <row r="9222" spans="1:7">
      <c r="A9222" s="3"/>
      <c r="B9222" s="3"/>
      <c r="C9222" s="3"/>
      <c r="D9222" s="3"/>
      <c r="E9222" s="3">
        <v>19</v>
      </c>
      <c r="F9222" s="4" t="str">
        <f>HYPERLINK("http://141.218.60.56/~jnz1568/getInfo.php?workbook=12_05.xlsx&amp;sheet=U0&amp;row=9222&amp;col=6&amp;number=4.8&amp;sourceID=14","4.8")</f>
        <v>4.8</v>
      </c>
      <c r="G9222" s="4" t="str">
        <f>HYPERLINK("http://141.218.60.56/~jnz1568/getInfo.php?workbook=12_05.xlsx&amp;sheet=U0&amp;row=9222&amp;col=7&amp;number=0.0254&amp;sourceID=14","0.0254")</f>
        <v>0.0254</v>
      </c>
    </row>
    <row r="9223" spans="1:7">
      <c r="A9223" s="3"/>
      <c r="B9223" s="3"/>
      <c r="C9223" s="3"/>
      <c r="D9223" s="3"/>
      <c r="E9223" s="3">
        <v>20</v>
      </c>
      <c r="F9223" s="4" t="str">
        <f>HYPERLINK("http://141.218.60.56/~jnz1568/getInfo.php?workbook=12_05.xlsx&amp;sheet=U0&amp;row=9223&amp;col=6&amp;number=4.9&amp;sourceID=14","4.9")</f>
        <v>4.9</v>
      </c>
      <c r="G9223" s="4" t="str">
        <f>HYPERLINK("http://141.218.60.56/~jnz1568/getInfo.php?workbook=12_05.xlsx&amp;sheet=U0&amp;row=9223&amp;col=7&amp;number=0.0251&amp;sourceID=14","0.0251")</f>
        <v>0.0251</v>
      </c>
    </row>
    <row r="9224" spans="1:7">
      <c r="A9224" s="3">
        <v>12</v>
      </c>
      <c r="B9224" s="3">
        <v>5</v>
      </c>
      <c r="C9224" s="3">
        <v>5</v>
      </c>
      <c r="D9224" s="3">
        <v>33</v>
      </c>
      <c r="E9224" s="3">
        <v>1</v>
      </c>
      <c r="F9224" s="4" t="str">
        <f>HYPERLINK("http://141.218.60.56/~jnz1568/getInfo.php?workbook=12_05.xlsx&amp;sheet=U0&amp;row=9224&amp;col=6&amp;number=3&amp;sourceID=14","3")</f>
        <v>3</v>
      </c>
      <c r="G9224" s="4" t="str">
        <f>HYPERLINK("http://141.218.60.56/~jnz1568/getInfo.php?workbook=12_05.xlsx&amp;sheet=U0&amp;row=9224&amp;col=7&amp;number=0.0182&amp;sourceID=14","0.0182")</f>
        <v>0.0182</v>
      </c>
    </row>
    <row r="9225" spans="1:7">
      <c r="A9225" s="3"/>
      <c r="B9225" s="3"/>
      <c r="C9225" s="3"/>
      <c r="D9225" s="3"/>
      <c r="E9225" s="3">
        <v>2</v>
      </c>
      <c r="F9225" s="4" t="str">
        <f>HYPERLINK("http://141.218.60.56/~jnz1568/getInfo.php?workbook=12_05.xlsx&amp;sheet=U0&amp;row=9225&amp;col=6&amp;number=3.1&amp;sourceID=14","3.1")</f>
        <v>3.1</v>
      </c>
      <c r="G9225" s="4" t="str">
        <f>HYPERLINK("http://141.218.60.56/~jnz1568/getInfo.php?workbook=12_05.xlsx&amp;sheet=U0&amp;row=9225&amp;col=7&amp;number=0.0182&amp;sourceID=14","0.0182")</f>
        <v>0.0182</v>
      </c>
    </row>
    <row r="9226" spans="1:7">
      <c r="A9226" s="3"/>
      <c r="B9226" s="3"/>
      <c r="C9226" s="3"/>
      <c r="D9226" s="3"/>
      <c r="E9226" s="3">
        <v>3</v>
      </c>
      <c r="F9226" s="4" t="str">
        <f>HYPERLINK("http://141.218.60.56/~jnz1568/getInfo.php?workbook=12_05.xlsx&amp;sheet=U0&amp;row=9226&amp;col=6&amp;number=3.2&amp;sourceID=14","3.2")</f>
        <v>3.2</v>
      </c>
      <c r="G9226" s="4" t="str">
        <f>HYPERLINK("http://141.218.60.56/~jnz1568/getInfo.php?workbook=12_05.xlsx&amp;sheet=U0&amp;row=9226&amp;col=7&amp;number=0.0182&amp;sourceID=14","0.0182")</f>
        <v>0.0182</v>
      </c>
    </row>
    <row r="9227" spans="1:7">
      <c r="A9227" s="3"/>
      <c r="B9227" s="3"/>
      <c r="C9227" s="3"/>
      <c r="D9227" s="3"/>
      <c r="E9227" s="3">
        <v>4</v>
      </c>
      <c r="F9227" s="4" t="str">
        <f>HYPERLINK("http://141.218.60.56/~jnz1568/getInfo.php?workbook=12_05.xlsx&amp;sheet=U0&amp;row=9227&amp;col=6&amp;number=3.3&amp;sourceID=14","3.3")</f>
        <v>3.3</v>
      </c>
      <c r="G9227" s="4" t="str">
        <f>HYPERLINK("http://141.218.60.56/~jnz1568/getInfo.php?workbook=12_05.xlsx&amp;sheet=U0&amp;row=9227&amp;col=7&amp;number=0.0182&amp;sourceID=14","0.0182")</f>
        <v>0.0182</v>
      </c>
    </row>
    <row r="9228" spans="1:7">
      <c r="A9228" s="3"/>
      <c r="B9228" s="3"/>
      <c r="C9228" s="3"/>
      <c r="D9228" s="3"/>
      <c r="E9228" s="3">
        <v>5</v>
      </c>
      <c r="F9228" s="4" t="str">
        <f>HYPERLINK("http://141.218.60.56/~jnz1568/getInfo.php?workbook=12_05.xlsx&amp;sheet=U0&amp;row=9228&amp;col=6&amp;number=3.4&amp;sourceID=14","3.4")</f>
        <v>3.4</v>
      </c>
      <c r="G9228" s="4" t="str">
        <f>HYPERLINK("http://141.218.60.56/~jnz1568/getInfo.php?workbook=12_05.xlsx&amp;sheet=U0&amp;row=9228&amp;col=7&amp;number=0.0182&amp;sourceID=14","0.0182")</f>
        <v>0.0182</v>
      </c>
    </row>
    <row r="9229" spans="1:7">
      <c r="A9229" s="3"/>
      <c r="B9229" s="3"/>
      <c r="C9229" s="3"/>
      <c r="D9229" s="3"/>
      <c r="E9229" s="3">
        <v>6</v>
      </c>
      <c r="F9229" s="4" t="str">
        <f>HYPERLINK("http://141.218.60.56/~jnz1568/getInfo.php?workbook=12_05.xlsx&amp;sheet=U0&amp;row=9229&amp;col=6&amp;number=3.5&amp;sourceID=14","3.5")</f>
        <v>3.5</v>
      </c>
      <c r="G9229" s="4" t="str">
        <f>HYPERLINK("http://141.218.60.56/~jnz1568/getInfo.php?workbook=12_05.xlsx&amp;sheet=U0&amp;row=9229&amp;col=7&amp;number=0.0182&amp;sourceID=14","0.0182")</f>
        <v>0.0182</v>
      </c>
    </row>
    <row r="9230" spans="1:7">
      <c r="A9230" s="3"/>
      <c r="B9230" s="3"/>
      <c r="C9230" s="3"/>
      <c r="D9230" s="3"/>
      <c r="E9230" s="3">
        <v>7</v>
      </c>
      <c r="F9230" s="4" t="str">
        <f>HYPERLINK("http://141.218.60.56/~jnz1568/getInfo.php?workbook=12_05.xlsx&amp;sheet=U0&amp;row=9230&amp;col=6&amp;number=3.6&amp;sourceID=14","3.6")</f>
        <v>3.6</v>
      </c>
      <c r="G9230" s="4" t="str">
        <f>HYPERLINK("http://141.218.60.56/~jnz1568/getInfo.php?workbook=12_05.xlsx&amp;sheet=U0&amp;row=9230&amp;col=7&amp;number=0.0182&amp;sourceID=14","0.0182")</f>
        <v>0.0182</v>
      </c>
    </row>
    <row r="9231" spans="1:7">
      <c r="A9231" s="3"/>
      <c r="B9231" s="3"/>
      <c r="C9231" s="3"/>
      <c r="D9231" s="3"/>
      <c r="E9231" s="3">
        <v>8</v>
      </c>
      <c r="F9231" s="4" t="str">
        <f>HYPERLINK("http://141.218.60.56/~jnz1568/getInfo.php?workbook=12_05.xlsx&amp;sheet=U0&amp;row=9231&amp;col=6&amp;number=3.7&amp;sourceID=14","3.7")</f>
        <v>3.7</v>
      </c>
      <c r="G9231" s="4" t="str">
        <f>HYPERLINK("http://141.218.60.56/~jnz1568/getInfo.php?workbook=12_05.xlsx&amp;sheet=U0&amp;row=9231&amp;col=7&amp;number=0.0182&amp;sourceID=14","0.0182")</f>
        <v>0.0182</v>
      </c>
    </row>
    <row r="9232" spans="1:7">
      <c r="A9232" s="3"/>
      <c r="B9232" s="3"/>
      <c r="C9232" s="3"/>
      <c r="D9232" s="3"/>
      <c r="E9232" s="3">
        <v>9</v>
      </c>
      <c r="F9232" s="4" t="str">
        <f>HYPERLINK("http://141.218.60.56/~jnz1568/getInfo.php?workbook=12_05.xlsx&amp;sheet=U0&amp;row=9232&amp;col=6&amp;number=3.8&amp;sourceID=14","3.8")</f>
        <v>3.8</v>
      </c>
      <c r="G9232" s="4" t="str">
        <f>HYPERLINK("http://141.218.60.56/~jnz1568/getInfo.php?workbook=12_05.xlsx&amp;sheet=U0&amp;row=9232&amp;col=7&amp;number=0.0182&amp;sourceID=14","0.0182")</f>
        <v>0.0182</v>
      </c>
    </row>
    <row r="9233" spans="1:7">
      <c r="A9233" s="3"/>
      <c r="B9233" s="3"/>
      <c r="C9233" s="3"/>
      <c r="D9233" s="3"/>
      <c r="E9233" s="3">
        <v>10</v>
      </c>
      <c r="F9233" s="4" t="str">
        <f>HYPERLINK("http://141.218.60.56/~jnz1568/getInfo.php?workbook=12_05.xlsx&amp;sheet=U0&amp;row=9233&amp;col=6&amp;number=3.9&amp;sourceID=14","3.9")</f>
        <v>3.9</v>
      </c>
      <c r="G9233" s="4" t="str">
        <f>HYPERLINK("http://141.218.60.56/~jnz1568/getInfo.php?workbook=12_05.xlsx&amp;sheet=U0&amp;row=9233&amp;col=7&amp;number=0.0181&amp;sourceID=14","0.0181")</f>
        <v>0.0181</v>
      </c>
    </row>
    <row r="9234" spans="1:7">
      <c r="A9234" s="3"/>
      <c r="B9234" s="3"/>
      <c r="C9234" s="3"/>
      <c r="D9234" s="3"/>
      <c r="E9234" s="3">
        <v>11</v>
      </c>
      <c r="F9234" s="4" t="str">
        <f>HYPERLINK("http://141.218.60.56/~jnz1568/getInfo.php?workbook=12_05.xlsx&amp;sheet=U0&amp;row=9234&amp;col=6&amp;number=4&amp;sourceID=14","4")</f>
        <v>4</v>
      </c>
      <c r="G9234" s="4" t="str">
        <f>HYPERLINK("http://141.218.60.56/~jnz1568/getInfo.php?workbook=12_05.xlsx&amp;sheet=U0&amp;row=9234&amp;col=7&amp;number=0.0181&amp;sourceID=14","0.0181")</f>
        <v>0.0181</v>
      </c>
    </row>
    <row r="9235" spans="1:7">
      <c r="A9235" s="3"/>
      <c r="B9235" s="3"/>
      <c r="C9235" s="3"/>
      <c r="D9235" s="3"/>
      <c r="E9235" s="3">
        <v>12</v>
      </c>
      <c r="F9235" s="4" t="str">
        <f>HYPERLINK("http://141.218.60.56/~jnz1568/getInfo.php?workbook=12_05.xlsx&amp;sheet=U0&amp;row=9235&amp;col=6&amp;number=4.1&amp;sourceID=14","4.1")</f>
        <v>4.1</v>
      </c>
      <c r="G9235" s="4" t="str">
        <f>HYPERLINK("http://141.218.60.56/~jnz1568/getInfo.php?workbook=12_05.xlsx&amp;sheet=U0&amp;row=9235&amp;col=7&amp;number=0.0181&amp;sourceID=14","0.0181")</f>
        <v>0.0181</v>
      </c>
    </row>
    <row r="9236" spans="1:7">
      <c r="A9236" s="3"/>
      <c r="B9236" s="3"/>
      <c r="C9236" s="3"/>
      <c r="D9236" s="3"/>
      <c r="E9236" s="3">
        <v>13</v>
      </c>
      <c r="F9236" s="4" t="str">
        <f>HYPERLINK("http://141.218.60.56/~jnz1568/getInfo.php?workbook=12_05.xlsx&amp;sheet=U0&amp;row=9236&amp;col=6&amp;number=4.2&amp;sourceID=14","4.2")</f>
        <v>4.2</v>
      </c>
      <c r="G9236" s="4" t="str">
        <f>HYPERLINK("http://141.218.60.56/~jnz1568/getInfo.php?workbook=12_05.xlsx&amp;sheet=U0&amp;row=9236&amp;col=7&amp;number=0.0181&amp;sourceID=14","0.0181")</f>
        <v>0.0181</v>
      </c>
    </row>
    <row r="9237" spans="1:7">
      <c r="A9237" s="3"/>
      <c r="B9237" s="3"/>
      <c r="C9237" s="3"/>
      <c r="D9237" s="3"/>
      <c r="E9237" s="3">
        <v>14</v>
      </c>
      <c r="F9237" s="4" t="str">
        <f>HYPERLINK("http://141.218.60.56/~jnz1568/getInfo.php?workbook=12_05.xlsx&amp;sheet=U0&amp;row=9237&amp;col=6&amp;number=4.3&amp;sourceID=14","4.3")</f>
        <v>4.3</v>
      </c>
      <c r="G9237" s="4" t="str">
        <f>HYPERLINK("http://141.218.60.56/~jnz1568/getInfo.php?workbook=12_05.xlsx&amp;sheet=U0&amp;row=9237&amp;col=7&amp;number=0.018&amp;sourceID=14","0.018")</f>
        <v>0.018</v>
      </c>
    </row>
    <row r="9238" spans="1:7">
      <c r="A9238" s="3"/>
      <c r="B9238" s="3"/>
      <c r="C9238" s="3"/>
      <c r="D9238" s="3"/>
      <c r="E9238" s="3">
        <v>15</v>
      </c>
      <c r="F9238" s="4" t="str">
        <f>HYPERLINK("http://141.218.60.56/~jnz1568/getInfo.php?workbook=12_05.xlsx&amp;sheet=U0&amp;row=9238&amp;col=6&amp;number=4.4&amp;sourceID=14","4.4")</f>
        <v>4.4</v>
      </c>
      <c r="G9238" s="4" t="str">
        <f>HYPERLINK("http://141.218.60.56/~jnz1568/getInfo.php?workbook=12_05.xlsx&amp;sheet=U0&amp;row=9238&amp;col=7&amp;number=0.018&amp;sourceID=14","0.018")</f>
        <v>0.018</v>
      </c>
    </row>
    <row r="9239" spans="1:7">
      <c r="A9239" s="3"/>
      <c r="B9239" s="3"/>
      <c r="C9239" s="3"/>
      <c r="D9239" s="3"/>
      <c r="E9239" s="3">
        <v>16</v>
      </c>
      <c r="F9239" s="4" t="str">
        <f>HYPERLINK("http://141.218.60.56/~jnz1568/getInfo.php?workbook=12_05.xlsx&amp;sheet=U0&amp;row=9239&amp;col=6&amp;number=4.5&amp;sourceID=14","4.5")</f>
        <v>4.5</v>
      </c>
      <c r="G9239" s="4" t="str">
        <f>HYPERLINK("http://141.218.60.56/~jnz1568/getInfo.php?workbook=12_05.xlsx&amp;sheet=U0&amp;row=9239&amp;col=7&amp;number=0.0179&amp;sourceID=14","0.0179")</f>
        <v>0.0179</v>
      </c>
    </row>
    <row r="9240" spans="1:7">
      <c r="A9240" s="3"/>
      <c r="B9240" s="3"/>
      <c r="C9240" s="3"/>
      <c r="D9240" s="3"/>
      <c r="E9240" s="3">
        <v>17</v>
      </c>
      <c r="F9240" s="4" t="str">
        <f>HYPERLINK("http://141.218.60.56/~jnz1568/getInfo.php?workbook=12_05.xlsx&amp;sheet=U0&amp;row=9240&amp;col=6&amp;number=4.6&amp;sourceID=14","4.6")</f>
        <v>4.6</v>
      </c>
      <c r="G9240" s="4" t="str">
        <f>HYPERLINK("http://141.218.60.56/~jnz1568/getInfo.php?workbook=12_05.xlsx&amp;sheet=U0&amp;row=9240&amp;col=7&amp;number=0.0178&amp;sourceID=14","0.0178")</f>
        <v>0.0178</v>
      </c>
    </row>
    <row r="9241" spans="1:7">
      <c r="A9241" s="3"/>
      <c r="B9241" s="3"/>
      <c r="C9241" s="3"/>
      <c r="D9241" s="3"/>
      <c r="E9241" s="3">
        <v>18</v>
      </c>
      <c r="F9241" s="4" t="str">
        <f>HYPERLINK("http://141.218.60.56/~jnz1568/getInfo.php?workbook=12_05.xlsx&amp;sheet=U0&amp;row=9241&amp;col=6&amp;number=4.7&amp;sourceID=14","4.7")</f>
        <v>4.7</v>
      </c>
      <c r="G9241" s="4" t="str">
        <f>HYPERLINK("http://141.218.60.56/~jnz1568/getInfo.php?workbook=12_05.xlsx&amp;sheet=U0&amp;row=9241&amp;col=7&amp;number=0.0177&amp;sourceID=14","0.0177")</f>
        <v>0.0177</v>
      </c>
    </row>
    <row r="9242" spans="1:7">
      <c r="A9242" s="3"/>
      <c r="B9242" s="3"/>
      <c r="C9242" s="3"/>
      <c r="D9242" s="3"/>
      <c r="E9242" s="3">
        <v>19</v>
      </c>
      <c r="F9242" s="4" t="str">
        <f>HYPERLINK("http://141.218.60.56/~jnz1568/getInfo.php?workbook=12_05.xlsx&amp;sheet=U0&amp;row=9242&amp;col=6&amp;number=4.8&amp;sourceID=14","4.8")</f>
        <v>4.8</v>
      </c>
      <c r="G9242" s="4" t="str">
        <f>HYPERLINK("http://141.218.60.56/~jnz1568/getInfo.php?workbook=12_05.xlsx&amp;sheet=U0&amp;row=9242&amp;col=7&amp;number=0.0176&amp;sourceID=14","0.0176")</f>
        <v>0.0176</v>
      </c>
    </row>
    <row r="9243" spans="1:7">
      <c r="A9243" s="3"/>
      <c r="B9243" s="3"/>
      <c r="C9243" s="3"/>
      <c r="D9243" s="3"/>
      <c r="E9243" s="3">
        <v>20</v>
      </c>
      <c r="F9243" s="4" t="str">
        <f>HYPERLINK("http://141.218.60.56/~jnz1568/getInfo.php?workbook=12_05.xlsx&amp;sheet=U0&amp;row=9243&amp;col=6&amp;number=4.9&amp;sourceID=14","4.9")</f>
        <v>4.9</v>
      </c>
      <c r="G9243" s="4" t="str">
        <f>HYPERLINK("http://141.218.60.56/~jnz1568/getInfo.php?workbook=12_05.xlsx&amp;sheet=U0&amp;row=9243&amp;col=7&amp;number=0.0174&amp;sourceID=14","0.0174")</f>
        <v>0.0174</v>
      </c>
    </row>
    <row r="9244" spans="1:7">
      <c r="A9244" s="3">
        <v>12</v>
      </c>
      <c r="B9244" s="3">
        <v>5</v>
      </c>
      <c r="C9244" s="3">
        <v>5</v>
      </c>
      <c r="D9244" s="3">
        <v>34</v>
      </c>
      <c r="E9244" s="3">
        <v>1</v>
      </c>
      <c r="F9244" s="4" t="str">
        <f>HYPERLINK("http://141.218.60.56/~jnz1568/getInfo.php?workbook=12_05.xlsx&amp;sheet=U0&amp;row=9244&amp;col=6&amp;number=3&amp;sourceID=14","3")</f>
        <v>3</v>
      </c>
      <c r="G9244" s="4" t="str">
        <f>HYPERLINK("http://141.218.60.56/~jnz1568/getInfo.php?workbook=12_05.xlsx&amp;sheet=U0&amp;row=9244&amp;col=7&amp;number=0.0116&amp;sourceID=14","0.0116")</f>
        <v>0.0116</v>
      </c>
    </row>
    <row r="9245" spans="1:7">
      <c r="A9245" s="3"/>
      <c r="B9245" s="3"/>
      <c r="C9245" s="3"/>
      <c r="D9245" s="3"/>
      <c r="E9245" s="3">
        <v>2</v>
      </c>
      <c r="F9245" s="4" t="str">
        <f>HYPERLINK("http://141.218.60.56/~jnz1568/getInfo.php?workbook=12_05.xlsx&amp;sheet=U0&amp;row=9245&amp;col=6&amp;number=3.1&amp;sourceID=14","3.1")</f>
        <v>3.1</v>
      </c>
      <c r="G9245" s="4" t="str">
        <f>HYPERLINK("http://141.218.60.56/~jnz1568/getInfo.php?workbook=12_05.xlsx&amp;sheet=U0&amp;row=9245&amp;col=7&amp;number=0.0116&amp;sourceID=14","0.0116")</f>
        <v>0.0116</v>
      </c>
    </row>
    <row r="9246" spans="1:7">
      <c r="A9246" s="3"/>
      <c r="B9246" s="3"/>
      <c r="C9246" s="3"/>
      <c r="D9246" s="3"/>
      <c r="E9246" s="3">
        <v>3</v>
      </c>
      <c r="F9246" s="4" t="str">
        <f>HYPERLINK("http://141.218.60.56/~jnz1568/getInfo.php?workbook=12_05.xlsx&amp;sheet=U0&amp;row=9246&amp;col=6&amp;number=3.2&amp;sourceID=14","3.2")</f>
        <v>3.2</v>
      </c>
      <c r="G9246" s="4" t="str">
        <f>HYPERLINK("http://141.218.60.56/~jnz1568/getInfo.php?workbook=12_05.xlsx&amp;sheet=U0&amp;row=9246&amp;col=7&amp;number=0.0116&amp;sourceID=14","0.0116")</f>
        <v>0.0116</v>
      </c>
    </row>
    <row r="9247" spans="1:7">
      <c r="A9247" s="3"/>
      <c r="B9247" s="3"/>
      <c r="C9247" s="3"/>
      <c r="D9247" s="3"/>
      <c r="E9247" s="3">
        <v>4</v>
      </c>
      <c r="F9247" s="4" t="str">
        <f>HYPERLINK("http://141.218.60.56/~jnz1568/getInfo.php?workbook=12_05.xlsx&amp;sheet=U0&amp;row=9247&amp;col=6&amp;number=3.3&amp;sourceID=14","3.3")</f>
        <v>3.3</v>
      </c>
      <c r="G9247" s="4" t="str">
        <f>HYPERLINK("http://141.218.60.56/~jnz1568/getInfo.php?workbook=12_05.xlsx&amp;sheet=U0&amp;row=9247&amp;col=7&amp;number=0.0115&amp;sourceID=14","0.0115")</f>
        <v>0.0115</v>
      </c>
    </row>
    <row r="9248" spans="1:7">
      <c r="A9248" s="3"/>
      <c r="B9248" s="3"/>
      <c r="C9248" s="3"/>
      <c r="D9248" s="3"/>
      <c r="E9248" s="3">
        <v>5</v>
      </c>
      <c r="F9248" s="4" t="str">
        <f>HYPERLINK("http://141.218.60.56/~jnz1568/getInfo.php?workbook=12_05.xlsx&amp;sheet=U0&amp;row=9248&amp;col=6&amp;number=3.4&amp;sourceID=14","3.4")</f>
        <v>3.4</v>
      </c>
      <c r="G9248" s="4" t="str">
        <f>HYPERLINK("http://141.218.60.56/~jnz1568/getInfo.php?workbook=12_05.xlsx&amp;sheet=U0&amp;row=9248&amp;col=7&amp;number=0.0115&amp;sourceID=14","0.0115")</f>
        <v>0.0115</v>
      </c>
    </row>
    <row r="9249" spans="1:7">
      <c r="A9249" s="3"/>
      <c r="B9249" s="3"/>
      <c r="C9249" s="3"/>
      <c r="D9249" s="3"/>
      <c r="E9249" s="3">
        <v>6</v>
      </c>
      <c r="F9249" s="4" t="str">
        <f>HYPERLINK("http://141.218.60.56/~jnz1568/getInfo.php?workbook=12_05.xlsx&amp;sheet=U0&amp;row=9249&amp;col=6&amp;number=3.5&amp;sourceID=14","3.5")</f>
        <v>3.5</v>
      </c>
      <c r="G9249" s="4" t="str">
        <f>HYPERLINK("http://141.218.60.56/~jnz1568/getInfo.php?workbook=12_05.xlsx&amp;sheet=U0&amp;row=9249&amp;col=7&amp;number=0.0115&amp;sourceID=14","0.0115")</f>
        <v>0.0115</v>
      </c>
    </row>
    <row r="9250" spans="1:7">
      <c r="A9250" s="3"/>
      <c r="B9250" s="3"/>
      <c r="C9250" s="3"/>
      <c r="D9250" s="3"/>
      <c r="E9250" s="3">
        <v>7</v>
      </c>
      <c r="F9250" s="4" t="str">
        <f>HYPERLINK("http://141.218.60.56/~jnz1568/getInfo.php?workbook=12_05.xlsx&amp;sheet=U0&amp;row=9250&amp;col=6&amp;number=3.6&amp;sourceID=14","3.6")</f>
        <v>3.6</v>
      </c>
      <c r="G9250" s="4" t="str">
        <f>HYPERLINK("http://141.218.60.56/~jnz1568/getInfo.php?workbook=12_05.xlsx&amp;sheet=U0&amp;row=9250&amp;col=7&amp;number=0.0115&amp;sourceID=14","0.0115")</f>
        <v>0.0115</v>
      </c>
    </row>
    <row r="9251" spans="1:7">
      <c r="A9251" s="3"/>
      <c r="B9251" s="3"/>
      <c r="C9251" s="3"/>
      <c r="D9251" s="3"/>
      <c r="E9251" s="3">
        <v>8</v>
      </c>
      <c r="F9251" s="4" t="str">
        <f>HYPERLINK("http://141.218.60.56/~jnz1568/getInfo.php?workbook=12_05.xlsx&amp;sheet=U0&amp;row=9251&amp;col=6&amp;number=3.7&amp;sourceID=14","3.7")</f>
        <v>3.7</v>
      </c>
      <c r="G9251" s="4" t="str">
        <f>HYPERLINK("http://141.218.60.56/~jnz1568/getInfo.php?workbook=12_05.xlsx&amp;sheet=U0&amp;row=9251&amp;col=7&amp;number=0.0115&amp;sourceID=14","0.0115")</f>
        <v>0.0115</v>
      </c>
    </row>
    <row r="9252" spans="1:7">
      <c r="A9252" s="3"/>
      <c r="B9252" s="3"/>
      <c r="C9252" s="3"/>
      <c r="D9252" s="3"/>
      <c r="E9252" s="3">
        <v>9</v>
      </c>
      <c r="F9252" s="4" t="str">
        <f>HYPERLINK("http://141.218.60.56/~jnz1568/getInfo.php?workbook=12_05.xlsx&amp;sheet=U0&amp;row=9252&amp;col=6&amp;number=3.8&amp;sourceID=14","3.8")</f>
        <v>3.8</v>
      </c>
      <c r="G9252" s="4" t="str">
        <f>HYPERLINK("http://141.218.60.56/~jnz1568/getInfo.php?workbook=12_05.xlsx&amp;sheet=U0&amp;row=9252&amp;col=7&amp;number=0.0115&amp;sourceID=14","0.0115")</f>
        <v>0.0115</v>
      </c>
    </row>
    <row r="9253" spans="1:7">
      <c r="A9253" s="3"/>
      <c r="B9253" s="3"/>
      <c r="C9253" s="3"/>
      <c r="D9253" s="3"/>
      <c r="E9253" s="3">
        <v>10</v>
      </c>
      <c r="F9253" s="4" t="str">
        <f>HYPERLINK("http://141.218.60.56/~jnz1568/getInfo.php?workbook=12_05.xlsx&amp;sheet=U0&amp;row=9253&amp;col=6&amp;number=3.9&amp;sourceID=14","3.9")</f>
        <v>3.9</v>
      </c>
      <c r="G9253" s="4" t="str">
        <f>HYPERLINK("http://141.218.60.56/~jnz1568/getInfo.php?workbook=12_05.xlsx&amp;sheet=U0&amp;row=9253&amp;col=7&amp;number=0.0115&amp;sourceID=14","0.0115")</f>
        <v>0.0115</v>
      </c>
    </row>
    <row r="9254" spans="1:7">
      <c r="A9254" s="3"/>
      <c r="B9254" s="3"/>
      <c r="C9254" s="3"/>
      <c r="D9254" s="3"/>
      <c r="E9254" s="3">
        <v>11</v>
      </c>
      <c r="F9254" s="4" t="str">
        <f>HYPERLINK("http://141.218.60.56/~jnz1568/getInfo.php?workbook=12_05.xlsx&amp;sheet=U0&amp;row=9254&amp;col=6&amp;number=4&amp;sourceID=14","4")</f>
        <v>4</v>
      </c>
      <c r="G9254" s="4" t="str">
        <f>HYPERLINK("http://141.218.60.56/~jnz1568/getInfo.php?workbook=12_05.xlsx&amp;sheet=U0&amp;row=9254&amp;col=7&amp;number=0.0115&amp;sourceID=14","0.0115")</f>
        <v>0.0115</v>
      </c>
    </row>
    <row r="9255" spans="1:7">
      <c r="A9255" s="3"/>
      <c r="B9255" s="3"/>
      <c r="C9255" s="3"/>
      <c r="D9255" s="3"/>
      <c r="E9255" s="3">
        <v>12</v>
      </c>
      <c r="F9255" s="4" t="str">
        <f>HYPERLINK("http://141.218.60.56/~jnz1568/getInfo.php?workbook=12_05.xlsx&amp;sheet=U0&amp;row=9255&amp;col=6&amp;number=4.1&amp;sourceID=14","4.1")</f>
        <v>4.1</v>
      </c>
      <c r="G9255" s="4" t="str">
        <f>HYPERLINK("http://141.218.60.56/~jnz1568/getInfo.php?workbook=12_05.xlsx&amp;sheet=U0&amp;row=9255&amp;col=7&amp;number=0.0114&amp;sourceID=14","0.0114")</f>
        <v>0.0114</v>
      </c>
    </row>
    <row r="9256" spans="1:7">
      <c r="A9256" s="3"/>
      <c r="B9256" s="3"/>
      <c r="C9256" s="3"/>
      <c r="D9256" s="3"/>
      <c r="E9256" s="3">
        <v>13</v>
      </c>
      <c r="F9256" s="4" t="str">
        <f>HYPERLINK("http://141.218.60.56/~jnz1568/getInfo.php?workbook=12_05.xlsx&amp;sheet=U0&amp;row=9256&amp;col=6&amp;number=4.2&amp;sourceID=14","4.2")</f>
        <v>4.2</v>
      </c>
      <c r="G9256" s="4" t="str">
        <f>HYPERLINK("http://141.218.60.56/~jnz1568/getInfo.php?workbook=12_05.xlsx&amp;sheet=U0&amp;row=9256&amp;col=7&amp;number=0.0114&amp;sourceID=14","0.0114")</f>
        <v>0.0114</v>
      </c>
    </row>
    <row r="9257" spans="1:7">
      <c r="A9257" s="3"/>
      <c r="B9257" s="3"/>
      <c r="C9257" s="3"/>
      <c r="D9257" s="3"/>
      <c r="E9257" s="3">
        <v>14</v>
      </c>
      <c r="F9257" s="4" t="str">
        <f>HYPERLINK("http://141.218.60.56/~jnz1568/getInfo.php?workbook=12_05.xlsx&amp;sheet=U0&amp;row=9257&amp;col=6&amp;number=4.3&amp;sourceID=14","4.3")</f>
        <v>4.3</v>
      </c>
      <c r="G9257" s="4" t="str">
        <f>HYPERLINK("http://141.218.60.56/~jnz1568/getInfo.php?workbook=12_05.xlsx&amp;sheet=U0&amp;row=9257&amp;col=7&amp;number=0.0114&amp;sourceID=14","0.0114")</f>
        <v>0.0114</v>
      </c>
    </row>
    <row r="9258" spans="1:7">
      <c r="A9258" s="3"/>
      <c r="B9258" s="3"/>
      <c r="C9258" s="3"/>
      <c r="D9258" s="3"/>
      <c r="E9258" s="3">
        <v>15</v>
      </c>
      <c r="F9258" s="4" t="str">
        <f>HYPERLINK("http://141.218.60.56/~jnz1568/getInfo.php?workbook=12_05.xlsx&amp;sheet=U0&amp;row=9258&amp;col=6&amp;number=4.4&amp;sourceID=14","4.4")</f>
        <v>4.4</v>
      </c>
      <c r="G9258" s="4" t="str">
        <f>HYPERLINK("http://141.218.60.56/~jnz1568/getInfo.php?workbook=12_05.xlsx&amp;sheet=U0&amp;row=9258&amp;col=7&amp;number=0.0113&amp;sourceID=14","0.0113")</f>
        <v>0.0113</v>
      </c>
    </row>
    <row r="9259" spans="1:7">
      <c r="A9259" s="3"/>
      <c r="B9259" s="3"/>
      <c r="C9259" s="3"/>
      <c r="D9259" s="3"/>
      <c r="E9259" s="3">
        <v>16</v>
      </c>
      <c r="F9259" s="4" t="str">
        <f>HYPERLINK("http://141.218.60.56/~jnz1568/getInfo.php?workbook=12_05.xlsx&amp;sheet=U0&amp;row=9259&amp;col=6&amp;number=4.5&amp;sourceID=14","4.5")</f>
        <v>4.5</v>
      </c>
      <c r="G9259" s="4" t="str">
        <f>HYPERLINK("http://141.218.60.56/~jnz1568/getInfo.php?workbook=12_05.xlsx&amp;sheet=U0&amp;row=9259&amp;col=7&amp;number=0.0112&amp;sourceID=14","0.0112")</f>
        <v>0.0112</v>
      </c>
    </row>
    <row r="9260" spans="1:7">
      <c r="A9260" s="3"/>
      <c r="B9260" s="3"/>
      <c r="C9260" s="3"/>
      <c r="D9260" s="3"/>
      <c r="E9260" s="3">
        <v>17</v>
      </c>
      <c r="F9260" s="4" t="str">
        <f>HYPERLINK("http://141.218.60.56/~jnz1568/getInfo.php?workbook=12_05.xlsx&amp;sheet=U0&amp;row=9260&amp;col=6&amp;number=4.6&amp;sourceID=14","4.6")</f>
        <v>4.6</v>
      </c>
      <c r="G9260" s="4" t="str">
        <f>HYPERLINK("http://141.218.60.56/~jnz1568/getInfo.php?workbook=12_05.xlsx&amp;sheet=U0&amp;row=9260&amp;col=7&amp;number=0.0112&amp;sourceID=14","0.0112")</f>
        <v>0.0112</v>
      </c>
    </row>
    <row r="9261" spans="1:7">
      <c r="A9261" s="3"/>
      <c r="B9261" s="3"/>
      <c r="C9261" s="3"/>
      <c r="D9261" s="3"/>
      <c r="E9261" s="3">
        <v>18</v>
      </c>
      <c r="F9261" s="4" t="str">
        <f>HYPERLINK("http://141.218.60.56/~jnz1568/getInfo.php?workbook=12_05.xlsx&amp;sheet=U0&amp;row=9261&amp;col=6&amp;number=4.7&amp;sourceID=14","4.7")</f>
        <v>4.7</v>
      </c>
      <c r="G9261" s="4" t="str">
        <f>HYPERLINK("http://141.218.60.56/~jnz1568/getInfo.php?workbook=12_05.xlsx&amp;sheet=U0&amp;row=9261&amp;col=7&amp;number=0.0111&amp;sourceID=14","0.0111")</f>
        <v>0.0111</v>
      </c>
    </row>
    <row r="9262" spans="1:7">
      <c r="A9262" s="3"/>
      <c r="B9262" s="3"/>
      <c r="C9262" s="3"/>
      <c r="D9262" s="3"/>
      <c r="E9262" s="3">
        <v>19</v>
      </c>
      <c r="F9262" s="4" t="str">
        <f>HYPERLINK("http://141.218.60.56/~jnz1568/getInfo.php?workbook=12_05.xlsx&amp;sheet=U0&amp;row=9262&amp;col=6&amp;number=4.8&amp;sourceID=14","4.8")</f>
        <v>4.8</v>
      </c>
      <c r="G9262" s="4" t="str">
        <f>HYPERLINK("http://141.218.60.56/~jnz1568/getInfo.php?workbook=12_05.xlsx&amp;sheet=U0&amp;row=9262&amp;col=7&amp;number=0.0109&amp;sourceID=14","0.0109")</f>
        <v>0.0109</v>
      </c>
    </row>
    <row r="9263" spans="1:7">
      <c r="A9263" s="3"/>
      <c r="B9263" s="3"/>
      <c r="C9263" s="3"/>
      <c r="D9263" s="3"/>
      <c r="E9263" s="3">
        <v>20</v>
      </c>
      <c r="F9263" s="4" t="str">
        <f>HYPERLINK("http://141.218.60.56/~jnz1568/getInfo.php?workbook=12_05.xlsx&amp;sheet=U0&amp;row=9263&amp;col=6&amp;number=4.9&amp;sourceID=14","4.9")</f>
        <v>4.9</v>
      </c>
      <c r="G9263" s="4" t="str">
        <f>HYPERLINK("http://141.218.60.56/~jnz1568/getInfo.php?workbook=12_05.xlsx&amp;sheet=U0&amp;row=9263&amp;col=7&amp;number=0.0108&amp;sourceID=14","0.0108")</f>
        <v>0.0108</v>
      </c>
    </row>
    <row r="9264" spans="1:7">
      <c r="A9264" s="3">
        <v>12</v>
      </c>
      <c r="B9264" s="3">
        <v>5</v>
      </c>
      <c r="C9264" s="3">
        <v>5</v>
      </c>
      <c r="D9264" s="3">
        <v>35</v>
      </c>
      <c r="E9264" s="3">
        <v>1</v>
      </c>
      <c r="F9264" s="4" t="str">
        <f>HYPERLINK("http://141.218.60.56/~jnz1568/getInfo.php?workbook=12_05.xlsx&amp;sheet=U0&amp;row=9264&amp;col=6&amp;number=3&amp;sourceID=14","3")</f>
        <v>3</v>
      </c>
      <c r="G9264" s="4" t="str">
        <f>HYPERLINK("http://141.218.60.56/~jnz1568/getInfo.php?workbook=12_05.xlsx&amp;sheet=U0&amp;row=9264&amp;col=7&amp;number=0.0193&amp;sourceID=14","0.0193")</f>
        <v>0.0193</v>
      </c>
    </row>
    <row r="9265" spans="1:7">
      <c r="A9265" s="3"/>
      <c r="B9265" s="3"/>
      <c r="C9265" s="3"/>
      <c r="D9265" s="3"/>
      <c r="E9265" s="3">
        <v>2</v>
      </c>
      <c r="F9265" s="4" t="str">
        <f>HYPERLINK("http://141.218.60.56/~jnz1568/getInfo.php?workbook=12_05.xlsx&amp;sheet=U0&amp;row=9265&amp;col=6&amp;number=3.1&amp;sourceID=14","3.1")</f>
        <v>3.1</v>
      </c>
      <c r="G9265" s="4" t="str">
        <f>HYPERLINK("http://141.218.60.56/~jnz1568/getInfo.php?workbook=12_05.xlsx&amp;sheet=U0&amp;row=9265&amp;col=7&amp;number=0.0193&amp;sourceID=14","0.0193")</f>
        <v>0.0193</v>
      </c>
    </row>
    <row r="9266" spans="1:7">
      <c r="A9266" s="3"/>
      <c r="B9266" s="3"/>
      <c r="C9266" s="3"/>
      <c r="D9266" s="3"/>
      <c r="E9266" s="3">
        <v>3</v>
      </c>
      <c r="F9266" s="4" t="str">
        <f>HYPERLINK("http://141.218.60.56/~jnz1568/getInfo.php?workbook=12_05.xlsx&amp;sheet=U0&amp;row=9266&amp;col=6&amp;number=3.2&amp;sourceID=14","3.2")</f>
        <v>3.2</v>
      </c>
      <c r="G9266" s="4" t="str">
        <f>HYPERLINK("http://141.218.60.56/~jnz1568/getInfo.php?workbook=12_05.xlsx&amp;sheet=U0&amp;row=9266&amp;col=7&amp;number=0.0193&amp;sourceID=14","0.0193")</f>
        <v>0.0193</v>
      </c>
    </row>
    <row r="9267" spans="1:7">
      <c r="A9267" s="3"/>
      <c r="B9267" s="3"/>
      <c r="C9267" s="3"/>
      <c r="D9267" s="3"/>
      <c r="E9267" s="3">
        <v>4</v>
      </c>
      <c r="F9267" s="4" t="str">
        <f>HYPERLINK("http://141.218.60.56/~jnz1568/getInfo.php?workbook=12_05.xlsx&amp;sheet=U0&amp;row=9267&amp;col=6&amp;number=3.3&amp;sourceID=14","3.3")</f>
        <v>3.3</v>
      </c>
      <c r="G9267" s="4" t="str">
        <f>HYPERLINK("http://141.218.60.56/~jnz1568/getInfo.php?workbook=12_05.xlsx&amp;sheet=U0&amp;row=9267&amp;col=7&amp;number=0.0193&amp;sourceID=14","0.0193")</f>
        <v>0.0193</v>
      </c>
    </row>
    <row r="9268" spans="1:7">
      <c r="A9268" s="3"/>
      <c r="B9268" s="3"/>
      <c r="C9268" s="3"/>
      <c r="D9268" s="3"/>
      <c r="E9268" s="3">
        <v>5</v>
      </c>
      <c r="F9268" s="4" t="str">
        <f>HYPERLINK("http://141.218.60.56/~jnz1568/getInfo.php?workbook=12_05.xlsx&amp;sheet=U0&amp;row=9268&amp;col=6&amp;number=3.4&amp;sourceID=14","3.4")</f>
        <v>3.4</v>
      </c>
      <c r="G9268" s="4" t="str">
        <f>HYPERLINK("http://141.218.60.56/~jnz1568/getInfo.php?workbook=12_05.xlsx&amp;sheet=U0&amp;row=9268&amp;col=7&amp;number=0.0193&amp;sourceID=14","0.0193")</f>
        <v>0.0193</v>
      </c>
    </row>
    <row r="9269" spans="1:7">
      <c r="A9269" s="3"/>
      <c r="B9269" s="3"/>
      <c r="C9269" s="3"/>
      <c r="D9269" s="3"/>
      <c r="E9269" s="3">
        <v>6</v>
      </c>
      <c r="F9269" s="4" t="str">
        <f>HYPERLINK("http://141.218.60.56/~jnz1568/getInfo.php?workbook=12_05.xlsx&amp;sheet=U0&amp;row=9269&amp;col=6&amp;number=3.5&amp;sourceID=14","3.5")</f>
        <v>3.5</v>
      </c>
      <c r="G9269" s="4" t="str">
        <f>HYPERLINK("http://141.218.60.56/~jnz1568/getInfo.php?workbook=12_05.xlsx&amp;sheet=U0&amp;row=9269&amp;col=7&amp;number=0.0193&amp;sourceID=14","0.0193")</f>
        <v>0.0193</v>
      </c>
    </row>
    <row r="9270" spans="1:7">
      <c r="A9270" s="3"/>
      <c r="B9270" s="3"/>
      <c r="C9270" s="3"/>
      <c r="D9270" s="3"/>
      <c r="E9270" s="3">
        <v>7</v>
      </c>
      <c r="F9270" s="4" t="str">
        <f>HYPERLINK("http://141.218.60.56/~jnz1568/getInfo.php?workbook=12_05.xlsx&amp;sheet=U0&amp;row=9270&amp;col=6&amp;number=3.6&amp;sourceID=14","3.6")</f>
        <v>3.6</v>
      </c>
      <c r="G9270" s="4" t="str">
        <f>HYPERLINK("http://141.218.60.56/~jnz1568/getInfo.php?workbook=12_05.xlsx&amp;sheet=U0&amp;row=9270&amp;col=7&amp;number=0.0193&amp;sourceID=14","0.0193")</f>
        <v>0.0193</v>
      </c>
    </row>
    <row r="9271" spans="1:7">
      <c r="A9271" s="3"/>
      <c r="B9271" s="3"/>
      <c r="C9271" s="3"/>
      <c r="D9271" s="3"/>
      <c r="E9271" s="3">
        <v>8</v>
      </c>
      <c r="F9271" s="4" t="str">
        <f>HYPERLINK("http://141.218.60.56/~jnz1568/getInfo.php?workbook=12_05.xlsx&amp;sheet=U0&amp;row=9271&amp;col=6&amp;number=3.7&amp;sourceID=14","3.7")</f>
        <v>3.7</v>
      </c>
      <c r="G9271" s="4" t="str">
        <f>HYPERLINK("http://141.218.60.56/~jnz1568/getInfo.php?workbook=12_05.xlsx&amp;sheet=U0&amp;row=9271&amp;col=7&amp;number=0.0193&amp;sourceID=14","0.0193")</f>
        <v>0.0193</v>
      </c>
    </row>
    <row r="9272" spans="1:7">
      <c r="A9272" s="3"/>
      <c r="B9272" s="3"/>
      <c r="C9272" s="3"/>
      <c r="D9272" s="3"/>
      <c r="E9272" s="3">
        <v>9</v>
      </c>
      <c r="F9272" s="4" t="str">
        <f>HYPERLINK("http://141.218.60.56/~jnz1568/getInfo.php?workbook=12_05.xlsx&amp;sheet=U0&amp;row=9272&amp;col=6&amp;number=3.8&amp;sourceID=14","3.8")</f>
        <v>3.8</v>
      </c>
      <c r="G9272" s="4" t="str">
        <f>HYPERLINK("http://141.218.60.56/~jnz1568/getInfo.php?workbook=12_05.xlsx&amp;sheet=U0&amp;row=9272&amp;col=7&amp;number=0.0193&amp;sourceID=14","0.0193")</f>
        <v>0.0193</v>
      </c>
    </row>
    <row r="9273" spans="1:7">
      <c r="A9273" s="3"/>
      <c r="B9273" s="3"/>
      <c r="C9273" s="3"/>
      <c r="D9273" s="3"/>
      <c r="E9273" s="3">
        <v>10</v>
      </c>
      <c r="F9273" s="4" t="str">
        <f>HYPERLINK("http://141.218.60.56/~jnz1568/getInfo.php?workbook=12_05.xlsx&amp;sheet=U0&amp;row=9273&amp;col=6&amp;number=3.9&amp;sourceID=14","3.9")</f>
        <v>3.9</v>
      </c>
      <c r="G9273" s="4" t="str">
        <f>HYPERLINK("http://141.218.60.56/~jnz1568/getInfo.php?workbook=12_05.xlsx&amp;sheet=U0&amp;row=9273&amp;col=7&amp;number=0.0193&amp;sourceID=14","0.0193")</f>
        <v>0.0193</v>
      </c>
    </row>
    <row r="9274" spans="1:7">
      <c r="A9274" s="3"/>
      <c r="B9274" s="3"/>
      <c r="C9274" s="3"/>
      <c r="D9274" s="3"/>
      <c r="E9274" s="3">
        <v>11</v>
      </c>
      <c r="F9274" s="4" t="str">
        <f>HYPERLINK("http://141.218.60.56/~jnz1568/getInfo.php?workbook=12_05.xlsx&amp;sheet=U0&amp;row=9274&amp;col=6&amp;number=4&amp;sourceID=14","4")</f>
        <v>4</v>
      </c>
      <c r="G9274" s="4" t="str">
        <f>HYPERLINK("http://141.218.60.56/~jnz1568/getInfo.php?workbook=12_05.xlsx&amp;sheet=U0&amp;row=9274&amp;col=7&amp;number=0.0192&amp;sourceID=14","0.0192")</f>
        <v>0.0192</v>
      </c>
    </row>
    <row r="9275" spans="1:7">
      <c r="A9275" s="3"/>
      <c r="B9275" s="3"/>
      <c r="C9275" s="3"/>
      <c r="D9275" s="3"/>
      <c r="E9275" s="3">
        <v>12</v>
      </c>
      <c r="F9275" s="4" t="str">
        <f>HYPERLINK("http://141.218.60.56/~jnz1568/getInfo.php?workbook=12_05.xlsx&amp;sheet=U0&amp;row=9275&amp;col=6&amp;number=4.1&amp;sourceID=14","4.1")</f>
        <v>4.1</v>
      </c>
      <c r="G9275" s="4" t="str">
        <f>HYPERLINK("http://141.218.60.56/~jnz1568/getInfo.php?workbook=12_05.xlsx&amp;sheet=U0&amp;row=9275&amp;col=7&amp;number=0.0192&amp;sourceID=14","0.0192")</f>
        <v>0.0192</v>
      </c>
    </row>
    <row r="9276" spans="1:7">
      <c r="A9276" s="3"/>
      <c r="B9276" s="3"/>
      <c r="C9276" s="3"/>
      <c r="D9276" s="3"/>
      <c r="E9276" s="3">
        <v>13</v>
      </c>
      <c r="F9276" s="4" t="str">
        <f>HYPERLINK("http://141.218.60.56/~jnz1568/getInfo.php?workbook=12_05.xlsx&amp;sheet=U0&amp;row=9276&amp;col=6&amp;number=4.2&amp;sourceID=14","4.2")</f>
        <v>4.2</v>
      </c>
      <c r="G9276" s="4" t="str">
        <f>HYPERLINK("http://141.218.60.56/~jnz1568/getInfo.php?workbook=12_05.xlsx&amp;sheet=U0&amp;row=9276&amp;col=7&amp;number=0.0192&amp;sourceID=14","0.0192")</f>
        <v>0.0192</v>
      </c>
    </row>
    <row r="9277" spans="1:7">
      <c r="A9277" s="3"/>
      <c r="B9277" s="3"/>
      <c r="C9277" s="3"/>
      <c r="D9277" s="3"/>
      <c r="E9277" s="3">
        <v>14</v>
      </c>
      <c r="F9277" s="4" t="str">
        <f>HYPERLINK("http://141.218.60.56/~jnz1568/getInfo.php?workbook=12_05.xlsx&amp;sheet=U0&amp;row=9277&amp;col=6&amp;number=4.3&amp;sourceID=14","4.3")</f>
        <v>4.3</v>
      </c>
      <c r="G9277" s="4" t="str">
        <f>HYPERLINK("http://141.218.60.56/~jnz1568/getInfo.php?workbook=12_05.xlsx&amp;sheet=U0&amp;row=9277&amp;col=7&amp;number=0.0192&amp;sourceID=14","0.0192")</f>
        <v>0.0192</v>
      </c>
    </row>
    <row r="9278" spans="1:7">
      <c r="A9278" s="3"/>
      <c r="B9278" s="3"/>
      <c r="C9278" s="3"/>
      <c r="D9278" s="3"/>
      <c r="E9278" s="3">
        <v>15</v>
      </c>
      <c r="F9278" s="4" t="str">
        <f>HYPERLINK("http://141.218.60.56/~jnz1568/getInfo.php?workbook=12_05.xlsx&amp;sheet=U0&amp;row=9278&amp;col=6&amp;number=4.4&amp;sourceID=14","4.4")</f>
        <v>4.4</v>
      </c>
      <c r="G9278" s="4" t="str">
        <f>HYPERLINK("http://141.218.60.56/~jnz1568/getInfo.php?workbook=12_05.xlsx&amp;sheet=U0&amp;row=9278&amp;col=7&amp;number=0.0191&amp;sourceID=14","0.0191")</f>
        <v>0.0191</v>
      </c>
    </row>
    <row r="9279" spans="1:7">
      <c r="A9279" s="3"/>
      <c r="B9279" s="3"/>
      <c r="C9279" s="3"/>
      <c r="D9279" s="3"/>
      <c r="E9279" s="3">
        <v>16</v>
      </c>
      <c r="F9279" s="4" t="str">
        <f>HYPERLINK("http://141.218.60.56/~jnz1568/getInfo.php?workbook=12_05.xlsx&amp;sheet=U0&amp;row=9279&amp;col=6&amp;number=4.5&amp;sourceID=14","4.5")</f>
        <v>4.5</v>
      </c>
      <c r="G9279" s="4" t="str">
        <f>HYPERLINK("http://141.218.60.56/~jnz1568/getInfo.php?workbook=12_05.xlsx&amp;sheet=U0&amp;row=9279&amp;col=7&amp;number=0.0191&amp;sourceID=14","0.0191")</f>
        <v>0.0191</v>
      </c>
    </row>
    <row r="9280" spans="1:7">
      <c r="A9280" s="3"/>
      <c r="B9280" s="3"/>
      <c r="C9280" s="3"/>
      <c r="D9280" s="3"/>
      <c r="E9280" s="3">
        <v>17</v>
      </c>
      <c r="F9280" s="4" t="str">
        <f>HYPERLINK("http://141.218.60.56/~jnz1568/getInfo.php?workbook=12_05.xlsx&amp;sheet=U0&amp;row=9280&amp;col=6&amp;number=4.6&amp;sourceID=14","4.6")</f>
        <v>4.6</v>
      </c>
      <c r="G9280" s="4" t="str">
        <f>HYPERLINK("http://141.218.60.56/~jnz1568/getInfo.php?workbook=12_05.xlsx&amp;sheet=U0&amp;row=9280&amp;col=7&amp;number=0.019&amp;sourceID=14","0.019")</f>
        <v>0.019</v>
      </c>
    </row>
    <row r="9281" spans="1:7">
      <c r="A9281" s="3"/>
      <c r="B9281" s="3"/>
      <c r="C9281" s="3"/>
      <c r="D9281" s="3"/>
      <c r="E9281" s="3">
        <v>18</v>
      </c>
      <c r="F9281" s="4" t="str">
        <f>HYPERLINK("http://141.218.60.56/~jnz1568/getInfo.php?workbook=12_05.xlsx&amp;sheet=U0&amp;row=9281&amp;col=6&amp;number=4.7&amp;sourceID=14","4.7")</f>
        <v>4.7</v>
      </c>
      <c r="G9281" s="4" t="str">
        <f>HYPERLINK("http://141.218.60.56/~jnz1568/getInfo.php?workbook=12_05.xlsx&amp;sheet=U0&amp;row=9281&amp;col=7&amp;number=0.0189&amp;sourceID=14","0.0189")</f>
        <v>0.0189</v>
      </c>
    </row>
    <row r="9282" spans="1:7">
      <c r="A9282" s="3"/>
      <c r="B9282" s="3"/>
      <c r="C9282" s="3"/>
      <c r="D9282" s="3"/>
      <c r="E9282" s="3">
        <v>19</v>
      </c>
      <c r="F9282" s="4" t="str">
        <f>HYPERLINK("http://141.218.60.56/~jnz1568/getInfo.php?workbook=12_05.xlsx&amp;sheet=U0&amp;row=9282&amp;col=6&amp;number=4.8&amp;sourceID=14","4.8")</f>
        <v>4.8</v>
      </c>
      <c r="G9282" s="4" t="str">
        <f>HYPERLINK("http://141.218.60.56/~jnz1568/getInfo.php?workbook=12_05.xlsx&amp;sheet=U0&amp;row=9282&amp;col=7&amp;number=0.0188&amp;sourceID=14","0.0188")</f>
        <v>0.0188</v>
      </c>
    </row>
    <row r="9283" spans="1:7">
      <c r="A9283" s="3"/>
      <c r="B9283" s="3"/>
      <c r="C9283" s="3"/>
      <c r="D9283" s="3"/>
      <c r="E9283" s="3">
        <v>20</v>
      </c>
      <c r="F9283" s="4" t="str">
        <f>HYPERLINK("http://141.218.60.56/~jnz1568/getInfo.php?workbook=12_05.xlsx&amp;sheet=U0&amp;row=9283&amp;col=6&amp;number=4.9&amp;sourceID=14","4.9")</f>
        <v>4.9</v>
      </c>
      <c r="G9283" s="4" t="str">
        <f>HYPERLINK("http://141.218.60.56/~jnz1568/getInfo.php?workbook=12_05.xlsx&amp;sheet=U0&amp;row=9283&amp;col=7&amp;number=0.0187&amp;sourceID=14","0.0187")</f>
        <v>0.0187</v>
      </c>
    </row>
    <row r="9284" spans="1:7">
      <c r="A9284" s="3">
        <v>12</v>
      </c>
      <c r="B9284" s="3">
        <v>5</v>
      </c>
      <c r="C9284" s="3">
        <v>5</v>
      </c>
      <c r="D9284" s="3">
        <v>36</v>
      </c>
      <c r="E9284" s="3">
        <v>1</v>
      </c>
      <c r="F9284" s="4" t="str">
        <f>HYPERLINK("http://141.218.60.56/~jnz1568/getInfo.php?workbook=12_05.xlsx&amp;sheet=U0&amp;row=9284&amp;col=6&amp;number=3&amp;sourceID=14","3")</f>
        <v>3</v>
      </c>
      <c r="G9284" s="4" t="str">
        <f>HYPERLINK("http://141.218.60.56/~jnz1568/getInfo.php?workbook=12_05.xlsx&amp;sheet=U0&amp;row=9284&amp;col=7&amp;number=0.0119&amp;sourceID=14","0.0119")</f>
        <v>0.0119</v>
      </c>
    </row>
    <row r="9285" spans="1:7">
      <c r="A9285" s="3"/>
      <c r="B9285" s="3"/>
      <c r="C9285" s="3"/>
      <c r="D9285" s="3"/>
      <c r="E9285" s="3">
        <v>2</v>
      </c>
      <c r="F9285" s="4" t="str">
        <f>HYPERLINK("http://141.218.60.56/~jnz1568/getInfo.php?workbook=12_05.xlsx&amp;sheet=U0&amp;row=9285&amp;col=6&amp;number=3.1&amp;sourceID=14","3.1")</f>
        <v>3.1</v>
      </c>
      <c r="G9285" s="4" t="str">
        <f>HYPERLINK("http://141.218.60.56/~jnz1568/getInfo.php?workbook=12_05.xlsx&amp;sheet=U0&amp;row=9285&amp;col=7&amp;number=0.0119&amp;sourceID=14","0.0119")</f>
        <v>0.0119</v>
      </c>
    </row>
    <row r="9286" spans="1:7">
      <c r="A9286" s="3"/>
      <c r="B9286" s="3"/>
      <c r="C9286" s="3"/>
      <c r="D9286" s="3"/>
      <c r="E9286" s="3">
        <v>3</v>
      </c>
      <c r="F9286" s="4" t="str">
        <f>HYPERLINK("http://141.218.60.56/~jnz1568/getInfo.php?workbook=12_05.xlsx&amp;sheet=U0&amp;row=9286&amp;col=6&amp;number=3.2&amp;sourceID=14","3.2")</f>
        <v>3.2</v>
      </c>
      <c r="G9286" s="4" t="str">
        <f>HYPERLINK("http://141.218.60.56/~jnz1568/getInfo.php?workbook=12_05.xlsx&amp;sheet=U0&amp;row=9286&amp;col=7&amp;number=0.0119&amp;sourceID=14","0.0119")</f>
        <v>0.0119</v>
      </c>
    </row>
    <row r="9287" spans="1:7">
      <c r="A9287" s="3"/>
      <c r="B9287" s="3"/>
      <c r="C9287" s="3"/>
      <c r="D9287" s="3"/>
      <c r="E9287" s="3">
        <v>4</v>
      </c>
      <c r="F9287" s="4" t="str">
        <f>HYPERLINK("http://141.218.60.56/~jnz1568/getInfo.php?workbook=12_05.xlsx&amp;sheet=U0&amp;row=9287&amp;col=6&amp;number=3.3&amp;sourceID=14","3.3")</f>
        <v>3.3</v>
      </c>
      <c r="G9287" s="4" t="str">
        <f>HYPERLINK("http://141.218.60.56/~jnz1568/getInfo.php?workbook=12_05.xlsx&amp;sheet=U0&amp;row=9287&amp;col=7&amp;number=0.0119&amp;sourceID=14","0.0119")</f>
        <v>0.0119</v>
      </c>
    </row>
    <row r="9288" spans="1:7">
      <c r="A9288" s="3"/>
      <c r="B9288" s="3"/>
      <c r="C9288" s="3"/>
      <c r="D9288" s="3"/>
      <c r="E9288" s="3">
        <v>5</v>
      </c>
      <c r="F9288" s="4" t="str">
        <f>HYPERLINK("http://141.218.60.56/~jnz1568/getInfo.php?workbook=12_05.xlsx&amp;sheet=U0&amp;row=9288&amp;col=6&amp;number=3.4&amp;sourceID=14","3.4")</f>
        <v>3.4</v>
      </c>
      <c r="G9288" s="4" t="str">
        <f>HYPERLINK("http://141.218.60.56/~jnz1568/getInfo.php?workbook=12_05.xlsx&amp;sheet=U0&amp;row=9288&amp;col=7&amp;number=0.0119&amp;sourceID=14","0.0119")</f>
        <v>0.0119</v>
      </c>
    </row>
    <row r="9289" spans="1:7">
      <c r="A9289" s="3"/>
      <c r="B9289" s="3"/>
      <c r="C9289" s="3"/>
      <c r="D9289" s="3"/>
      <c r="E9289" s="3">
        <v>6</v>
      </c>
      <c r="F9289" s="4" t="str">
        <f>HYPERLINK("http://141.218.60.56/~jnz1568/getInfo.php?workbook=12_05.xlsx&amp;sheet=U0&amp;row=9289&amp;col=6&amp;number=3.5&amp;sourceID=14","3.5")</f>
        <v>3.5</v>
      </c>
      <c r="G9289" s="4" t="str">
        <f>HYPERLINK("http://141.218.60.56/~jnz1568/getInfo.php?workbook=12_05.xlsx&amp;sheet=U0&amp;row=9289&amp;col=7&amp;number=0.0119&amp;sourceID=14","0.0119")</f>
        <v>0.0119</v>
      </c>
    </row>
    <row r="9290" spans="1:7">
      <c r="A9290" s="3"/>
      <c r="B9290" s="3"/>
      <c r="C9290" s="3"/>
      <c r="D9290" s="3"/>
      <c r="E9290" s="3">
        <v>7</v>
      </c>
      <c r="F9290" s="4" t="str">
        <f>HYPERLINK("http://141.218.60.56/~jnz1568/getInfo.php?workbook=12_05.xlsx&amp;sheet=U0&amp;row=9290&amp;col=6&amp;number=3.6&amp;sourceID=14","3.6")</f>
        <v>3.6</v>
      </c>
      <c r="G9290" s="4" t="str">
        <f>HYPERLINK("http://141.218.60.56/~jnz1568/getInfo.php?workbook=12_05.xlsx&amp;sheet=U0&amp;row=9290&amp;col=7&amp;number=0.0119&amp;sourceID=14","0.0119")</f>
        <v>0.0119</v>
      </c>
    </row>
    <row r="9291" spans="1:7">
      <c r="A9291" s="3"/>
      <c r="B9291" s="3"/>
      <c r="C9291" s="3"/>
      <c r="D9291" s="3"/>
      <c r="E9291" s="3">
        <v>8</v>
      </c>
      <c r="F9291" s="4" t="str">
        <f>HYPERLINK("http://141.218.60.56/~jnz1568/getInfo.php?workbook=12_05.xlsx&amp;sheet=U0&amp;row=9291&amp;col=6&amp;number=3.7&amp;sourceID=14","3.7")</f>
        <v>3.7</v>
      </c>
      <c r="G9291" s="4" t="str">
        <f>HYPERLINK("http://141.218.60.56/~jnz1568/getInfo.php?workbook=12_05.xlsx&amp;sheet=U0&amp;row=9291&amp;col=7&amp;number=0.0119&amp;sourceID=14","0.0119")</f>
        <v>0.0119</v>
      </c>
    </row>
    <row r="9292" spans="1:7">
      <c r="A9292" s="3"/>
      <c r="B9292" s="3"/>
      <c r="C9292" s="3"/>
      <c r="D9292" s="3"/>
      <c r="E9292" s="3">
        <v>9</v>
      </c>
      <c r="F9292" s="4" t="str">
        <f>HYPERLINK("http://141.218.60.56/~jnz1568/getInfo.php?workbook=12_05.xlsx&amp;sheet=U0&amp;row=9292&amp;col=6&amp;number=3.8&amp;sourceID=14","3.8")</f>
        <v>3.8</v>
      </c>
      <c r="G9292" s="4" t="str">
        <f>HYPERLINK("http://141.218.60.56/~jnz1568/getInfo.php?workbook=12_05.xlsx&amp;sheet=U0&amp;row=9292&amp;col=7&amp;number=0.0119&amp;sourceID=14","0.0119")</f>
        <v>0.0119</v>
      </c>
    </row>
    <row r="9293" spans="1:7">
      <c r="A9293" s="3"/>
      <c r="B9293" s="3"/>
      <c r="C9293" s="3"/>
      <c r="D9293" s="3"/>
      <c r="E9293" s="3">
        <v>10</v>
      </c>
      <c r="F9293" s="4" t="str">
        <f>HYPERLINK("http://141.218.60.56/~jnz1568/getInfo.php?workbook=12_05.xlsx&amp;sheet=U0&amp;row=9293&amp;col=6&amp;number=3.9&amp;sourceID=14","3.9")</f>
        <v>3.9</v>
      </c>
      <c r="G9293" s="4" t="str">
        <f>HYPERLINK("http://141.218.60.56/~jnz1568/getInfo.php?workbook=12_05.xlsx&amp;sheet=U0&amp;row=9293&amp;col=7&amp;number=0.0118&amp;sourceID=14","0.0118")</f>
        <v>0.0118</v>
      </c>
    </row>
    <row r="9294" spans="1:7">
      <c r="A9294" s="3"/>
      <c r="B9294" s="3"/>
      <c r="C9294" s="3"/>
      <c r="D9294" s="3"/>
      <c r="E9294" s="3">
        <v>11</v>
      </c>
      <c r="F9294" s="4" t="str">
        <f>HYPERLINK("http://141.218.60.56/~jnz1568/getInfo.php?workbook=12_05.xlsx&amp;sheet=U0&amp;row=9294&amp;col=6&amp;number=4&amp;sourceID=14","4")</f>
        <v>4</v>
      </c>
      <c r="G9294" s="4" t="str">
        <f>HYPERLINK("http://141.218.60.56/~jnz1568/getInfo.php?workbook=12_05.xlsx&amp;sheet=U0&amp;row=9294&amp;col=7&amp;number=0.0118&amp;sourceID=14","0.0118")</f>
        <v>0.0118</v>
      </c>
    </row>
    <row r="9295" spans="1:7">
      <c r="A9295" s="3"/>
      <c r="B9295" s="3"/>
      <c r="C9295" s="3"/>
      <c r="D9295" s="3"/>
      <c r="E9295" s="3">
        <v>12</v>
      </c>
      <c r="F9295" s="4" t="str">
        <f>HYPERLINK("http://141.218.60.56/~jnz1568/getInfo.php?workbook=12_05.xlsx&amp;sheet=U0&amp;row=9295&amp;col=6&amp;number=4.1&amp;sourceID=14","4.1")</f>
        <v>4.1</v>
      </c>
      <c r="G9295" s="4" t="str">
        <f>HYPERLINK("http://141.218.60.56/~jnz1568/getInfo.php?workbook=12_05.xlsx&amp;sheet=U0&amp;row=9295&amp;col=7&amp;number=0.0118&amp;sourceID=14","0.0118")</f>
        <v>0.0118</v>
      </c>
    </row>
    <row r="9296" spans="1:7">
      <c r="A9296" s="3"/>
      <c r="B9296" s="3"/>
      <c r="C9296" s="3"/>
      <c r="D9296" s="3"/>
      <c r="E9296" s="3">
        <v>13</v>
      </c>
      <c r="F9296" s="4" t="str">
        <f>HYPERLINK("http://141.218.60.56/~jnz1568/getInfo.php?workbook=12_05.xlsx&amp;sheet=U0&amp;row=9296&amp;col=6&amp;number=4.2&amp;sourceID=14","4.2")</f>
        <v>4.2</v>
      </c>
      <c r="G9296" s="4" t="str">
        <f>HYPERLINK("http://141.218.60.56/~jnz1568/getInfo.php?workbook=12_05.xlsx&amp;sheet=U0&amp;row=9296&amp;col=7&amp;number=0.0118&amp;sourceID=14","0.0118")</f>
        <v>0.0118</v>
      </c>
    </row>
    <row r="9297" spans="1:7">
      <c r="A9297" s="3"/>
      <c r="B9297" s="3"/>
      <c r="C9297" s="3"/>
      <c r="D9297" s="3"/>
      <c r="E9297" s="3">
        <v>14</v>
      </c>
      <c r="F9297" s="4" t="str">
        <f>HYPERLINK("http://141.218.60.56/~jnz1568/getInfo.php?workbook=12_05.xlsx&amp;sheet=U0&amp;row=9297&amp;col=6&amp;number=4.3&amp;sourceID=14","4.3")</f>
        <v>4.3</v>
      </c>
      <c r="G9297" s="4" t="str">
        <f>HYPERLINK("http://141.218.60.56/~jnz1568/getInfo.php?workbook=12_05.xlsx&amp;sheet=U0&amp;row=9297&amp;col=7&amp;number=0.0117&amp;sourceID=14","0.0117")</f>
        <v>0.0117</v>
      </c>
    </row>
    <row r="9298" spans="1:7">
      <c r="A9298" s="3"/>
      <c r="B9298" s="3"/>
      <c r="C9298" s="3"/>
      <c r="D9298" s="3"/>
      <c r="E9298" s="3">
        <v>15</v>
      </c>
      <c r="F9298" s="4" t="str">
        <f>HYPERLINK("http://141.218.60.56/~jnz1568/getInfo.php?workbook=12_05.xlsx&amp;sheet=U0&amp;row=9298&amp;col=6&amp;number=4.4&amp;sourceID=14","4.4")</f>
        <v>4.4</v>
      </c>
      <c r="G9298" s="4" t="str">
        <f>HYPERLINK("http://141.218.60.56/~jnz1568/getInfo.php?workbook=12_05.xlsx&amp;sheet=U0&amp;row=9298&amp;col=7&amp;number=0.0117&amp;sourceID=14","0.0117")</f>
        <v>0.0117</v>
      </c>
    </row>
    <row r="9299" spans="1:7">
      <c r="A9299" s="3"/>
      <c r="B9299" s="3"/>
      <c r="C9299" s="3"/>
      <c r="D9299" s="3"/>
      <c r="E9299" s="3">
        <v>16</v>
      </c>
      <c r="F9299" s="4" t="str">
        <f>HYPERLINK("http://141.218.60.56/~jnz1568/getInfo.php?workbook=12_05.xlsx&amp;sheet=U0&amp;row=9299&amp;col=6&amp;number=4.5&amp;sourceID=14","4.5")</f>
        <v>4.5</v>
      </c>
      <c r="G9299" s="4" t="str">
        <f>HYPERLINK("http://141.218.60.56/~jnz1568/getInfo.php?workbook=12_05.xlsx&amp;sheet=U0&amp;row=9299&amp;col=7&amp;number=0.0116&amp;sourceID=14","0.0116")</f>
        <v>0.0116</v>
      </c>
    </row>
    <row r="9300" spans="1:7">
      <c r="A9300" s="3"/>
      <c r="B9300" s="3"/>
      <c r="C9300" s="3"/>
      <c r="D9300" s="3"/>
      <c r="E9300" s="3">
        <v>17</v>
      </c>
      <c r="F9300" s="4" t="str">
        <f>HYPERLINK("http://141.218.60.56/~jnz1568/getInfo.php?workbook=12_05.xlsx&amp;sheet=U0&amp;row=9300&amp;col=6&amp;number=4.6&amp;sourceID=14","4.6")</f>
        <v>4.6</v>
      </c>
      <c r="G9300" s="4" t="str">
        <f>HYPERLINK("http://141.218.60.56/~jnz1568/getInfo.php?workbook=12_05.xlsx&amp;sheet=U0&amp;row=9300&amp;col=7&amp;number=0.0115&amp;sourceID=14","0.0115")</f>
        <v>0.0115</v>
      </c>
    </row>
    <row r="9301" spans="1:7">
      <c r="A9301" s="3"/>
      <c r="B9301" s="3"/>
      <c r="C9301" s="3"/>
      <c r="D9301" s="3"/>
      <c r="E9301" s="3">
        <v>18</v>
      </c>
      <c r="F9301" s="4" t="str">
        <f>HYPERLINK("http://141.218.60.56/~jnz1568/getInfo.php?workbook=12_05.xlsx&amp;sheet=U0&amp;row=9301&amp;col=6&amp;number=4.7&amp;sourceID=14","4.7")</f>
        <v>4.7</v>
      </c>
      <c r="G9301" s="4" t="str">
        <f>HYPERLINK("http://141.218.60.56/~jnz1568/getInfo.php?workbook=12_05.xlsx&amp;sheet=U0&amp;row=9301&amp;col=7&amp;number=0.0114&amp;sourceID=14","0.0114")</f>
        <v>0.0114</v>
      </c>
    </row>
    <row r="9302" spans="1:7">
      <c r="A9302" s="3"/>
      <c r="B9302" s="3"/>
      <c r="C9302" s="3"/>
      <c r="D9302" s="3"/>
      <c r="E9302" s="3">
        <v>19</v>
      </c>
      <c r="F9302" s="4" t="str">
        <f>HYPERLINK("http://141.218.60.56/~jnz1568/getInfo.php?workbook=12_05.xlsx&amp;sheet=U0&amp;row=9302&amp;col=6&amp;number=4.8&amp;sourceID=14","4.8")</f>
        <v>4.8</v>
      </c>
      <c r="G9302" s="4" t="str">
        <f>HYPERLINK("http://141.218.60.56/~jnz1568/getInfo.php?workbook=12_05.xlsx&amp;sheet=U0&amp;row=9302&amp;col=7&amp;number=0.0112&amp;sourceID=14","0.0112")</f>
        <v>0.0112</v>
      </c>
    </row>
    <row r="9303" spans="1:7">
      <c r="A9303" s="3"/>
      <c r="B9303" s="3"/>
      <c r="C9303" s="3"/>
      <c r="D9303" s="3"/>
      <c r="E9303" s="3">
        <v>20</v>
      </c>
      <c r="F9303" s="4" t="str">
        <f>HYPERLINK("http://141.218.60.56/~jnz1568/getInfo.php?workbook=12_05.xlsx&amp;sheet=U0&amp;row=9303&amp;col=6&amp;number=4.9&amp;sourceID=14","4.9")</f>
        <v>4.9</v>
      </c>
      <c r="G9303" s="4" t="str">
        <f>HYPERLINK("http://141.218.60.56/~jnz1568/getInfo.php?workbook=12_05.xlsx&amp;sheet=U0&amp;row=9303&amp;col=7&amp;number=0.0111&amp;sourceID=14","0.0111")</f>
        <v>0.0111</v>
      </c>
    </row>
    <row r="9304" spans="1:7">
      <c r="A9304" s="3">
        <v>12</v>
      </c>
      <c r="B9304" s="3">
        <v>5</v>
      </c>
      <c r="C9304" s="3">
        <v>5</v>
      </c>
      <c r="D9304" s="3">
        <v>37</v>
      </c>
      <c r="E9304" s="3">
        <v>1</v>
      </c>
      <c r="F9304" s="4" t="str">
        <f>HYPERLINK("http://141.218.60.56/~jnz1568/getInfo.php?workbook=12_05.xlsx&amp;sheet=U0&amp;row=9304&amp;col=6&amp;number=3&amp;sourceID=14","3")</f>
        <v>3</v>
      </c>
      <c r="G9304" s="4" t="str">
        <f>HYPERLINK("http://141.218.60.56/~jnz1568/getInfo.php?workbook=12_05.xlsx&amp;sheet=U0&amp;row=9304&amp;col=7&amp;number=0.000884&amp;sourceID=14","0.000884")</f>
        <v>0.000884</v>
      </c>
    </row>
    <row r="9305" spans="1:7">
      <c r="A9305" s="3"/>
      <c r="B9305" s="3"/>
      <c r="C9305" s="3"/>
      <c r="D9305" s="3"/>
      <c r="E9305" s="3">
        <v>2</v>
      </c>
      <c r="F9305" s="4" t="str">
        <f>HYPERLINK("http://141.218.60.56/~jnz1568/getInfo.php?workbook=12_05.xlsx&amp;sheet=U0&amp;row=9305&amp;col=6&amp;number=3.1&amp;sourceID=14","3.1")</f>
        <v>3.1</v>
      </c>
      <c r="G9305" s="4" t="str">
        <f>HYPERLINK("http://141.218.60.56/~jnz1568/getInfo.php?workbook=12_05.xlsx&amp;sheet=U0&amp;row=9305&amp;col=7&amp;number=0.000884&amp;sourceID=14","0.000884")</f>
        <v>0.000884</v>
      </c>
    </row>
    <row r="9306" spans="1:7">
      <c r="A9306" s="3"/>
      <c r="B9306" s="3"/>
      <c r="C9306" s="3"/>
      <c r="D9306" s="3"/>
      <c r="E9306" s="3">
        <v>3</v>
      </c>
      <c r="F9306" s="4" t="str">
        <f>HYPERLINK("http://141.218.60.56/~jnz1568/getInfo.php?workbook=12_05.xlsx&amp;sheet=U0&amp;row=9306&amp;col=6&amp;number=3.2&amp;sourceID=14","3.2")</f>
        <v>3.2</v>
      </c>
      <c r="G9306" s="4" t="str">
        <f>HYPERLINK("http://141.218.60.56/~jnz1568/getInfo.php?workbook=12_05.xlsx&amp;sheet=U0&amp;row=9306&amp;col=7&amp;number=0.000884&amp;sourceID=14","0.000884")</f>
        <v>0.000884</v>
      </c>
    </row>
    <row r="9307" spans="1:7">
      <c r="A9307" s="3"/>
      <c r="B9307" s="3"/>
      <c r="C9307" s="3"/>
      <c r="D9307" s="3"/>
      <c r="E9307" s="3">
        <v>4</v>
      </c>
      <c r="F9307" s="4" t="str">
        <f>HYPERLINK("http://141.218.60.56/~jnz1568/getInfo.php?workbook=12_05.xlsx&amp;sheet=U0&amp;row=9307&amp;col=6&amp;number=3.3&amp;sourceID=14","3.3")</f>
        <v>3.3</v>
      </c>
      <c r="G9307" s="4" t="str">
        <f>HYPERLINK("http://141.218.60.56/~jnz1568/getInfo.php?workbook=12_05.xlsx&amp;sheet=U0&amp;row=9307&amp;col=7&amp;number=0.000883&amp;sourceID=14","0.000883")</f>
        <v>0.000883</v>
      </c>
    </row>
    <row r="9308" spans="1:7">
      <c r="A9308" s="3"/>
      <c r="B9308" s="3"/>
      <c r="C9308" s="3"/>
      <c r="D9308" s="3"/>
      <c r="E9308" s="3">
        <v>5</v>
      </c>
      <c r="F9308" s="4" t="str">
        <f>HYPERLINK("http://141.218.60.56/~jnz1568/getInfo.php?workbook=12_05.xlsx&amp;sheet=U0&amp;row=9308&amp;col=6&amp;number=3.4&amp;sourceID=14","3.4")</f>
        <v>3.4</v>
      </c>
      <c r="G9308" s="4" t="str">
        <f>HYPERLINK("http://141.218.60.56/~jnz1568/getInfo.php?workbook=12_05.xlsx&amp;sheet=U0&amp;row=9308&amp;col=7&amp;number=0.000883&amp;sourceID=14","0.000883")</f>
        <v>0.000883</v>
      </c>
    </row>
    <row r="9309" spans="1:7">
      <c r="A9309" s="3"/>
      <c r="B9309" s="3"/>
      <c r="C9309" s="3"/>
      <c r="D9309" s="3"/>
      <c r="E9309" s="3">
        <v>6</v>
      </c>
      <c r="F9309" s="4" t="str">
        <f>HYPERLINK("http://141.218.60.56/~jnz1568/getInfo.php?workbook=12_05.xlsx&amp;sheet=U0&amp;row=9309&amp;col=6&amp;number=3.5&amp;sourceID=14","3.5")</f>
        <v>3.5</v>
      </c>
      <c r="G9309" s="4" t="str">
        <f>HYPERLINK("http://141.218.60.56/~jnz1568/getInfo.php?workbook=12_05.xlsx&amp;sheet=U0&amp;row=9309&amp;col=7&amp;number=0.000883&amp;sourceID=14","0.000883")</f>
        <v>0.000883</v>
      </c>
    </row>
    <row r="9310" spans="1:7">
      <c r="A9310" s="3"/>
      <c r="B9310" s="3"/>
      <c r="C9310" s="3"/>
      <c r="D9310" s="3"/>
      <c r="E9310" s="3">
        <v>7</v>
      </c>
      <c r="F9310" s="4" t="str">
        <f>HYPERLINK("http://141.218.60.56/~jnz1568/getInfo.php?workbook=12_05.xlsx&amp;sheet=U0&amp;row=9310&amp;col=6&amp;number=3.6&amp;sourceID=14","3.6")</f>
        <v>3.6</v>
      </c>
      <c r="G9310" s="4" t="str">
        <f>HYPERLINK("http://141.218.60.56/~jnz1568/getInfo.php?workbook=12_05.xlsx&amp;sheet=U0&amp;row=9310&amp;col=7&amp;number=0.000882&amp;sourceID=14","0.000882")</f>
        <v>0.000882</v>
      </c>
    </row>
    <row r="9311" spans="1:7">
      <c r="A9311" s="3"/>
      <c r="B9311" s="3"/>
      <c r="C9311" s="3"/>
      <c r="D9311" s="3"/>
      <c r="E9311" s="3">
        <v>8</v>
      </c>
      <c r="F9311" s="4" t="str">
        <f>HYPERLINK("http://141.218.60.56/~jnz1568/getInfo.php?workbook=12_05.xlsx&amp;sheet=U0&amp;row=9311&amp;col=6&amp;number=3.7&amp;sourceID=14","3.7")</f>
        <v>3.7</v>
      </c>
      <c r="G9311" s="4" t="str">
        <f>HYPERLINK("http://141.218.60.56/~jnz1568/getInfo.php?workbook=12_05.xlsx&amp;sheet=U0&amp;row=9311&amp;col=7&amp;number=0.000881&amp;sourceID=14","0.000881")</f>
        <v>0.000881</v>
      </c>
    </row>
    <row r="9312" spans="1:7">
      <c r="A9312" s="3"/>
      <c r="B9312" s="3"/>
      <c r="C9312" s="3"/>
      <c r="D9312" s="3"/>
      <c r="E9312" s="3">
        <v>9</v>
      </c>
      <c r="F9312" s="4" t="str">
        <f>HYPERLINK("http://141.218.60.56/~jnz1568/getInfo.php?workbook=12_05.xlsx&amp;sheet=U0&amp;row=9312&amp;col=6&amp;number=3.8&amp;sourceID=14","3.8")</f>
        <v>3.8</v>
      </c>
      <c r="G9312" s="4" t="str">
        <f>HYPERLINK("http://141.218.60.56/~jnz1568/getInfo.php?workbook=12_05.xlsx&amp;sheet=U0&amp;row=9312&amp;col=7&amp;number=0.00088&amp;sourceID=14","0.00088")</f>
        <v>0.00088</v>
      </c>
    </row>
    <row r="9313" spans="1:7">
      <c r="A9313" s="3"/>
      <c r="B9313" s="3"/>
      <c r="C9313" s="3"/>
      <c r="D9313" s="3"/>
      <c r="E9313" s="3">
        <v>10</v>
      </c>
      <c r="F9313" s="4" t="str">
        <f>HYPERLINK("http://141.218.60.56/~jnz1568/getInfo.php?workbook=12_05.xlsx&amp;sheet=U0&amp;row=9313&amp;col=6&amp;number=3.9&amp;sourceID=14","3.9")</f>
        <v>3.9</v>
      </c>
      <c r="G9313" s="4" t="str">
        <f>HYPERLINK("http://141.218.60.56/~jnz1568/getInfo.php?workbook=12_05.xlsx&amp;sheet=U0&amp;row=9313&amp;col=7&amp;number=0.000879&amp;sourceID=14","0.000879")</f>
        <v>0.000879</v>
      </c>
    </row>
    <row r="9314" spans="1:7">
      <c r="A9314" s="3"/>
      <c r="B9314" s="3"/>
      <c r="C9314" s="3"/>
      <c r="D9314" s="3"/>
      <c r="E9314" s="3">
        <v>11</v>
      </c>
      <c r="F9314" s="4" t="str">
        <f>HYPERLINK("http://141.218.60.56/~jnz1568/getInfo.php?workbook=12_05.xlsx&amp;sheet=U0&amp;row=9314&amp;col=6&amp;number=4&amp;sourceID=14","4")</f>
        <v>4</v>
      </c>
      <c r="G9314" s="4" t="str">
        <f>HYPERLINK("http://141.218.60.56/~jnz1568/getInfo.php?workbook=12_05.xlsx&amp;sheet=U0&amp;row=9314&amp;col=7&amp;number=0.000877&amp;sourceID=14","0.000877")</f>
        <v>0.000877</v>
      </c>
    </row>
    <row r="9315" spans="1:7">
      <c r="A9315" s="3"/>
      <c r="B9315" s="3"/>
      <c r="C9315" s="3"/>
      <c r="D9315" s="3"/>
      <c r="E9315" s="3">
        <v>12</v>
      </c>
      <c r="F9315" s="4" t="str">
        <f>HYPERLINK("http://141.218.60.56/~jnz1568/getInfo.php?workbook=12_05.xlsx&amp;sheet=U0&amp;row=9315&amp;col=6&amp;number=4.1&amp;sourceID=14","4.1")</f>
        <v>4.1</v>
      </c>
      <c r="G9315" s="4" t="str">
        <f>HYPERLINK("http://141.218.60.56/~jnz1568/getInfo.php?workbook=12_05.xlsx&amp;sheet=U0&amp;row=9315&amp;col=7&amp;number=0.000875&amp;sourceID=14","0.000875")</f>
        <v>0.000875</v>
      </c>
    </row>
    <row r="9316" spans="1:7">
      <c r="A9316" s="3"/>
      <c r="B9316" s="3"/>
      <c r="C9316" s="3"/>
      <c r="D9316" s="3"/>
      <c r="E9316" s="3">
        <v>13</v>
      </c>
      <c r="F9316" s="4" t="str">
        <f>HYPERLINK("http://141.218.60.56/~jnz1568/getInfo.php?workbook=12_05.xlsx&amp;sheet=U0&amp;row=9316&amp;col=6&amp;number=4.2&amp;sourceID=14","4.2")</f>
        <v>4.2</v>
      </c>
      <c r="G9316" s="4" t="str">
        <f>HYPERLINK("http://141.218.60.56/~jnz1568/getInfo.php?workbook=12_05.xlsx&amp;sheet=U0&amp;row=9316&amp;col=7&amp;number=0.000872&amp;sourceID=14","0.000872")</f>
        <v>0.000872</v>
      </c>
    </row>
    <row r="9317" spans="1:7">
      <c r="A9317" s="3"/>
      <c r="B9317" s="3"/>
      <c r="C9317" s="3"/>
      <c r="D9317" s="3"/>
      <c r="E9317" s="3">
        <v>14</v>
      </c>
      <c r="F9317" s="4" t="str">
        <f>HYPERLINK("http://141.218.60.56/~jnz1568/getInfo.php?workbook=12_05.xlsx&amp;sheet=U0&amp;row=9317&amp;col=6&amp;number=4.3&amp;sourceID=14","4.3")</f>
        <v>4.3</v>
      </c>
      <c r="G9317" s="4" t="str">
        <f>HYPERLINK("http://141.218.60.56/~jnz1568/getInfo.php?workbook=12_05.xlsx&amp;sheet=U0&amp;row=9317&amp;col=7&amp;number=0.000869&amp;sourceID=14","0.000869")</f>
        <v>0.000869</v>
      </c>
    </row>
    <row r="9318" spans="1:7">
      <c r="A9318" s="3"/>
      <c r="B9318" s="3"/>
      <c r="C9318" s="3"/>
      <c r="D9318" s="3"/>
      <c r="E9318" s="3">
        <v>15</v>
      </c>
      <c r="F9318" s="4" t="str">
        <f>HYPERLINK("http://141.218.60.56/~jnz1568/getInfo.php?workbook=12_05.xlsx&amp;sheet=U0&amp;row=9318&amp;col=6&amp;number=4.4&amp;sourceID=14","4.4")</f>
        <v>4.4</v>
      </c>
      <c r="G9318" s="4" t="str">
        <f>HYPERLINK("http://141.218.60.56/~jnz1568/getInfo.php?workbook=12_05.xlsx&amp;sheet=U0&amp;row=9318&amp;col=7&amp;number=0.000865&amp;sourceID=14","0.000865")</f>
        <v>0.000865</v>
      </c>
    </row>
    <row r="9319" spans="1:7">
      <c r="A9319" s="3"/>
      <c r="B9319" s="3"/>
      <c r="C9319" s="3"/>
      <c r="D9319" s="3"/>
      <c r="E9319" s="3">
        <v>16</v>
      </c>
      <c r="F9319" s="4" t="str">
        <f>HYPERLINK("http://141.218.60.56/~jnz1568/getInfo.php?workbook=12_05.xlsx&amp;sheet=U0&amp;row=9319&amp;col=6&amp;number=4.5&amp;sourceID=14","4.5")</f>
        <v>4.5</v>
      </c>
      <c r="G9319" s="4" t="str">
        <f>HYPERLINK("http://141.218.60.56/~jnz1568/getInfo.php?workbook=12_05.xlsx&amp;sheet=U0&amp;row=9319&amp;col=7&amp;number=0.00086&amp;sourceID=14","0.00086")</f>
        <v>0.00086</v>
      </c>
    </row>
    <row r="9320" spans="1:7">
      <c r="A9320" s="3"/>
      <c r="B9320" s="3"/>
      <c r="C9320" s="3"/>
      <c r="D9320" s="3"/>
      <c r="E9320" s="3">
        <v>17</v>
      </c>
      <c r="F9320" s="4" t="str">
        <f>HYPERLINK("http://141.218.60.56/~jnz1568/getInfo.php?workbook=12_05.xlsx&amp;sheet=U0&amp;row=9320&amp;col=6&amp;number=4.6&amp;sourceID=14","4.6")</f>
        <v>4.6</v>
      </c>
      <c r="G9320" s="4" t="str">
        <f>HYPERLINK("http://141.218.60.56/~jnz1568/getInfo.php?workbook=12_05.xlsx&amp;sheet=U0&amp;row=9320&amp;col=7&amp;number=0.000854&amp;sourceID=14","0.000854")</f>
        <v>0.000854</v>
      </c>
    </row>
    <row r="9321" spans="1:7">
      <c r="A9321" s="3"/>
      <c r="B9321" s="3"/>
      <c r="C9321" s="3"/>
      <c r="D9321" s="3"/>
      <c r="E9321" s="3">
        <v>18</v>
      </c>
      <c r="F9321" s="4" t="str">
        <f>HYPERLINK("http://141.218.60.56/~jnz1568/getInfo.php?workbook=12_05.xlsx&amp;sheet=U0&amp;row=9321&amp;col=6&amp;number=4.7&amp;sourceID=14","4.7")</f>
        <v>4.7</v>
      </c>
      <c r="G9321" s="4" t="str">
        <f>HYPERLINK("http://141.218.60.56/~jnz1568/getInfo.php?workbook=12_05.xlsx&amp;sheet=U0&amp;row=9321&amp;col=7&amp;number=0.000846&amp;sourceID=14","0.000846")</f>
        <v>0.000846</v>
      </c>
    </row>
    <row r="9322" spans="1:7">
      <c r="A9322" s="3"/>
      <c r="B9322" s="3"/>
      <c r="C9322" s="3"/>
      <c r="D9322" s="3"/>
      <c r="E9322" s="3">
        <v>19</v>
      </c>
      <c r="F9322" s="4" t="str">
        <f>HYPERLINK("http://141.218.60.56/~jnz1568/getInfo.php?workbook=12_05.xlsx&amp;sheet=U0&amp;row=9322&amp;col=6&amp;number=4.8&amp;sourceID=14","4.8")</f>
        <v>4.8</v>
      </c>
      <c r="G9322" s="4" t="str">
        <f>HYPERLINK("http://141.218.60.56/~jnz1568/getInfo.php?workbook=12_05.xlsx&amp;sheet=U0&amp;row=9322&amp;col=7&amp;number=0.000836&amp;sourceID=14","0.000836")</f>
        <v>0.000836</v>
      </c>
    </row>
    <row r="9323" spans="1:7">
      <c r="A9323" s="3"/>
      <c r="B9323" s="3"/>
      <c r="C9323" s="3"/>
      <c r="D9323" s="3"/>
      <c r="E9323" s="3">
        <v>20</v>
      </c>
      <c r="F9323" s="4" t="str">
        <f>HYPERLINK("http://141.218.60.56/~jnz1568/getInfo.php?workbook=12_05.xlsx&amp;sheet=U0&amp;row=9323&amp;col=6&amp;number=4.9&amp;sourceID=14","4.9")</f>
        <v>4.9</v>
      </c>
      <c r="G9323" s="4" t="str">
        <f>HYPERLINK("http://141.218.60.56/~jnz1568/getInfo.php?workbook=12_05.xlsx&amp;sheet=U0&amp;row=9323&amp;col=7&amp;number=0.000824&amp;sourceID=14","0.000824")</f>
        <v>0.000824</v>
      </c>
    </row>
    <row r="9324" spans="1:7">
      <c r="A9324" s="3">
        <v>12</v>
      </c>
      <c r="B9324" s="3">
        <v>5</v>
      </c>
      <c r="C9324" s="3">
        <v>5</v>
      </c>
      <c r="D9324" s="3">
        <v>38</v>
      </c>
      <c r="E9324" s="3">
        <v>1</v>
      </c>
      <c r="F9324" s="4" t="str">
        <f>HYPERLINK("http://141.218.60.56/~jnz1568/getInfo.php?workbook=12_05.xlsx&amp;sheet=U0&amp;row=9324&amp;col=6&amp;number=3&amp;sourceID=14","3")</f>
        <v>3</v>
      </c>
      <c r="G9324" s="4" t="str">
        <f>HYPERLINK("http://141.218.60.56/~jnz1568/getInfo.php?workbook=12_05.xlsx&amp;sheet=U0&amp;row=9324&amp;col=7&amp;number=0.000443&amp;sourceID=14","0.000443")</f>
        <v>0.000443</v>
      </c>
    </row>
    <row r="9325" spans="1:7">
      <c r="A9325" s="3"/>
      <c r="B9325" s="3"/>
      <c r="C9325" s="3"/>
      <c r="D9325" s="3"/>
      <c r="E9325" s="3">
        <v>2</v>
      </c>
      <c r="F9325" s="4" t="str">
        <f>HYPERLINK("http://141.218.60.56/~jnz1568/getInfo.php?workbook=12_05.xlsx&amp;sheet=U0&amp;row=9325&amp;col=6&amp;number=3.1&amp;sourceID=14","3.1")</f>
        <v>3.1</v>
      </c>
      <c r="G9325" s="4" t="str">
        <f>HYPERLINK("http://141.218.60.56/~jnz1568/getInfo.php?workbook=12_05.xlsx&amp;sheet=U0&amp;row=9325&amp;col=7&amp;number=0.000443&amp;sourceID=14","0.000443")</f>
        <v>0.000443</v>
      </c>
    </row>
    <row r="9326" spans="1:7">
      <c r="A9326" s="3"/>
      <c r="B9326" s="3"/>
      <c r="C9326" s="3"/>
      <c r="D9326" s="3"/>
      <c r="E9326" s="3">
        <v>3</v>
      </c>
      <c r="F9326" s="4" t="str">
        <f>HYPERLINK("http://141.218.60.56/~jnz1568/getInfo.php?workbook=12_05.xlsx&amp;sheet=U0&amp;row=9326&amp;col=6&amp;number=3.2&amp;sourceID=14","3.2")</f>
        <v>3.2</v>
      </c>
      <c r="G9326" s="4" t="str">
        <f>HYPERLINK("http://141.218.60.56/~jnz1568/getInfo.php?workbook=12_05.xlsx&amp;sheet=U0&amp;row=9326&amp;col=7&amp;number=0.000442&amp;sourceID=14","0.000442")</f>
        <v>0.000442</v>
      </c>
    </row>
    <row r="9327" spans="1:7">
      <c r="A9327" s="3"/>
      <c r="B9327" s="3"/>
      <c r="C9327" s="3"/>
      <c r="D9327" s="3"/>
      <c r="E9327" s="3">
        <v>4</v>
      </c>
      <c r="F9327" s="4" t="str">
        <f>HYPERLINK("http://141.218.60.56/~jnz1568/getInfo.php?workbook=12_05.xlsx&amp;sheet=U0&amp;row=9327&amp;col=6&amp;number=3.3&amp;sourceID=14","3.3")</f>
        <v>3.3</v>
      </c>
      <c r="G9327" s="4" t="str">
        <f>HYPERLINK("http://141.218.60.56/~jnz1568/getInfo.php?workbook=12_05.xlsx&amp;sheet=U0&amp;row=9327&amp;col=7&amp;number=0.000442&amp;sourceID=14","0.000442")</f>
        <v>0.000442</v>
      </c>
    </row>
    <row r="9328" spans="1:7">
      <c r="A9328" s="3"/>
      <c r="B9328" s="3"/>
      <c r="C9328" s="3"/>
      <c r="D9328" s="3"/>
      <c r="E9328" s="3">
        <v>5</v>
      </c>
      <c r="F9328" s="4" t="str">
        <f>HYPERLINK("http://141.218.60.56/~jnz1568/getInfo.php?workbook=12_05.xlsx&amp;sheet=U0&amp;row=9328&amp;col=6&amp;number=3.4&amp;sourceID=14","3.4")</f>
        <v>3.4</v>
      </c>
      <c r="G9328" s="4" t="str">
        <f>HYPERLINK("http://141.218.60.56/~jnz1568/getInfo.php?workbook=12_05.xlsx&amp;sheet=U0&amp;row=9328&amp;col=7&amp;number=0.000442&amp;sourceID=14","0.000442")</f>
        <v>0.000442</v>
      </c>
    </row>
    <row r="9329" spans="1:7">
      <c r="A9329" s="3"/>
      <c r="B9329" s="3"/>
      <c r="C9329" s="3"/>
      <c r="D9329" s="3"/>
      <c r="E9329" s="3">
        <v>6</v>
      </c>
      <c r="F9329" s="4" t="str">
        <f>HYPERLINK("http://141.218.60.56/~jnz1568/getInfo.php?workbook=12_05.xlsx&amp;sheet=U0&amp;row=9329&amp;col=6&amp;number=3.5&amp;sourceID=14","3.5")</f>
        <v>3.5</v>
      </c>
      <c r="G9329" s="4" t="str">
        <f>HYPERLINK("http://141.218.60.56/~jnz1568/getInfo.php?workbook=12_05.xlsx&amp;sheet=U0&amp;row=9329&amp;col=7&amp;number=0.000442&amp;sourceID=14","0.000442")</f>
        <v>0.000442</v>
      </c>
    </row>
    <row r="9330" spans="1:7">
      <c r="A9330" s="3"/>
      <c r="B9330" s="3"/>
      <c r="C9330" s="3"/>
      <c r="D9330" s="3"/>
      <c r="E9330" s="3">
        <v>7</v>
      </c>
      <c r="F9330" s="4" t="str">
        <f>HYPERLINK("http://141.218.60.56/~jnz1568/getInfo.php?workbook=12_05.xlsx&amp;sheet=U0&amp;row=9330&amp;col=6&amp;number=3.6&amp;sourceID=14","3.6")</f>
        <v>3.6</v>
      </c>
      <c r="G9330" s="4" t="str">
        <f>HYPERLINK("http://141.218.60.56/~jnz1568/getInfo.php?workbook=12_05.xlsx&amp;sheet=U0&amp;row=9330&amp;col=7&amp;number=0.000441&amp;sourceID=14","0.000441")</f>
        <v>0.000441</v>
      </c>
    </row>
    <row r="9331" spans="1:7">
      <c r="A9331" s="3"/>
      <c r="B9331" s="3"/>
      <c r="C9331" s="3"/>
      <c r="D9331" s="3"/>
      <c r="E9331" s="3">
        <v>8</v>
      </c>
      <c r="F9331" s="4" t="str">
        <f>HYPERLINK("http://141.218.60.56/~jnz1568/getInfo.php?workbook=12_05.xlsx&amp;sheet=U0&amp;row=9331&amp;col=6&amp;number=3.7&amp;sourceID=14","3.7")</f>
        <v>3.7</v>
      </c>
      <c r="G9331" s="4" t="str">
        <f>HYPERLINK("http://141.218.60.56/~jnz1568/getInfo.php?workbook=12_05.xlsx&amp;sheet=U0&amp;row=9331&amp;col=7&amp;number=0.000441&amp;sourceID=14","0.000441")</f>
        <v>0.000441</v>
      </c>
    </row>
    <row r="9332" spans="1:7">
      <c r="A9332" s="3"/>
      <c r="B9332" s="3"/>
      <c r="C9332" s="3"/>
      <c r="D9332" s="3"/>
      <c r="E9332" s="3">
        <v>9</v>
      </c>
      <c r="F9332" s="4" t="str">
        <f>HYPERLINK("http://141.218.60.56/~jnz1568/getInfo.php?workbook=12_05.xlsx&amp;sheet=U0&amp;row=9332&amp;col=6&amp;number=3.8&amp;sourceID=14","3.8")</f>
        <v>3.8</v>
      </c>
      <c r="G9332" s="4" t="str">
        <f>HYPERLINK("http://141.218.60.56/~jnz1568/getInfo.php?workbook=12_05.xlsx&amp;sheet=U0&amp;row=9332&amp;col=7&amp;number=0.000441&amp;sourceID=14","0.000441")</f>
        <v>0.000441</v>
      </c>
    </row>
    <row r="9333" spans="1:7">
      <c r="A9333" s="3"/>
      <c r="B9333" s="3"/>
      <c r="C9333" s="3"/>
      <c r="D9333" s="3"/>
      <c r="E9333" s="3">
        <v>10</v>
      </c>
      <c r="F9333" s="4" t="str">
        <f>HYPERLINK("http://141.218.60.56/~jnz1568/getInfo.php?workbook=12_05.xlsx&amp;sheet=U0&amp;row=9333&amp;col=6&amp;number=3.9&amp;sourceID=14","3.9")</f>
        <v>3.9</v>
      </c>
      <c r="G9333" s="4" t="str">
        <f>HYPERLINK("http://141.218.60.56/~jnz1568/getInfo.php?workbook=12_05.xlsx&amp;sheet=U0&amp;row=9333&amp;col=7&amp;number=0.00044&amp;sourceID=14","0.00044")</f>
        <v>0.00044</v>
      </c>
    </row>
    <row r="9334" spans="1:7">
      <c r="A9334" s="3"/>
      <c r="B9334" s="3"/>
      <c r="C9334" s="3"/>
      <c r="D9334" s="3"/>
      <c r="E9334" s="3">
        <v>11</v>
      </c>
      <c r="F9334" s="4" t="str">
        <f>HYPERLINK("http://141.218.60.56/~jnz1568/getInfo.php?workbook=12_05.xlsx&amp;sheet=U0&amp;row=9334&amp;col=6&amp;number=4&amp;sourceID=14","4")</f>
        <v>4</v>
      </c>
      <c r="G9334" s="4" t="str">
        <f>HYPERLINK("http://141.218.60.56/~jnz1568/getInfo.php?workbook=12_05.xlsx&amp;sheet=U0&amp;row=9334&amp;col=7&amp;number=0.000439&amp;sourceID=14","0.000439")</f>
        <v>0.000439</v>
      </c>
    </row>
    <row r="9335" spans="1:7">
      <c r="A9335" s="3"/>
      <c r="B9335" s="3"/>
      <c r="C9335" s="3"/>
      <c r="D9335" s="3"/>
      <c r="E9335" s="3">
        <v>12</v>
      </c>
      <c r="F9335" s="4" t="str">
        <f>HYPERLINK("http://141.218.60.56/~jnz1568/getInfo.php?workbook=12_05.xlsx&amp;sheet=U0&amp;row=9335&amp;col=6&amp;number=4.1&amp;sourceID=14","4.1")</f>
        <v>4.1</v>
      </c>
      <c r="G9335" s="4" t="str">
        <f>HYPERLINK("http://141.218.60.56/~jnz1568/getInfo.php?workbook=12_05.xlsx&amp;sheet=U0&amp;row=9335&amp;col=7&amp;number=0.000438&amp;sourceID=14","0.000438")</f>
        <v>0.000438</v>
      </c>
    </row>
    <row r="9336" spans="1:7">
      <c r="A9336" s="3"/>
      <c r="B9336" s="3"/>
      <c r="C9336" s="3"/>
      <c r="D9336" s="3"/>
      <c r="E9336" s="3">
        <v>13</v>
      </c>
      <c r="F9336" s="4" t="str">
        <f>HYPERLINK("http://141.218.60.56/~jnz1568/getInfo.php?workbook=12_05.xlsx&amp;sheet=U0&amp;row=9336&amp;col=6&amp;number=4.2&amp;sourceID=14","4.2")</f>
        <v>4.2</v>
      </c>
      <c r="G9336" s="4" t="str">
        <f>HYPERLINK("http://141.218.60.56/~jnz1568/getInfo.php?workbook=12_05.xlsx&amp;sheet=U0&amp;row=9336&amp;col=7&amp;number=0.000437&amp;sourceID=14","0.000437")</f>
        <v>0.000437</v>
      </c>
    </row>
    <row r="9337" spans="1:7">
      <c r="A9337" s="3"/>
      <c r="B9337" s="3"/>
      <c r="C9337" s="3"/>
      <c r="D9337" s="3"/>
      <c r="E9337" s="3">
        <v>14</v>
      </c>
      <c r="F9337" s="4" t="str">
        <f>HYPERLINK("http://141.218.60.56/~jnz1568/getInfo.php?workbook=12_05.xlsx&amp;sheet=U0&amp;row=9337&amp;col=6&amp;number=4.3&amp;sourceID=14","4.3")</f>
        <v>4.3</v>
      </c>
      <c r="G9337" s="4" t="str">
        <f>HYPERLINK("http://141.218.60.56/~jnz1568/getInfo.php?workbook=12_05.xlsx&amp;sheet=U0&amp;row=9337&amp;col=7&amp;number=0.000435&amp;sourceID=14","0.000435")</f>
        <v>0.000435</v>
      </c>
    </row>
    <row r="9338" spans="1:7">
      <c r="A9338" s="3"/>
      <c r="B9338" s="3"/>
      <c r="C9338" s="3"/>
      <c r="D9338" s="3"/>
      <c r="E9338" s="3">
        <v>15</v>
      </c>
      <c r="F9338" s="4" t="str">
        <f>HYPERLINK("http://141.218.60.56/~jnz1568/getInfo.php?workbook=12_05.xlsx&amp;sheet=U0&amp;row=9338&amp;col=6&amp;number=4.4&amp;sourceID=14","4.4")</f>
        <v>4.4</v>
      </c>
      <c r="G9338" s="4" t="str">
        <f>HYPERLINK("http://141.218.60.56/~jnz1568/getInfo.php?workbook=12_05.xlsx&amp;sheet=U0&amp;row=9338&amp;col=7&amp;number=0.000433&amp;sourceID=14","0.000433")</f>
        <v>0.000433</v>
      </c>
    </row>
    <row r="9339" spans="1:7">
      <c r="A9339" s="3"/>
      <c r="B9339" s="3"/>
      <c r="C9339" s="3"/>
      <c r="D9339" s="3"/>
      <c r="E9339" s="3">
        <v>16</v>
      </c>
      <c r="F9339" s="4" t="str">
        <f>HYPERLINK("http://141.218.60.56/~jnz1568/getInfo.php?workbook=12_05.xlsx&amp;sheet=U0&amp;row=9339&amp;col=6&amp;number=4.5&amp;sourceID=14","4.5")</f>
        <v>4.5</v>
      </c>
      <c r="G9339" s="4" t="str">
        <f>HYPERLINK("http://141.218.60.56/~jnz1568/getInfo.php?workbook=12_05.xlsx&amp;sheet=U0&amp;row=9339&amp;col=7&amp;number=0.000431&amp;sourceID=14","0.000431")</f>
        <v>0.000431</v>
      </c>
    </row>
    <row r="9340" spans="1:7">
      <c r="A9340" s="3"/>
      <c r="B9340" s="3"/>
      <c r="C9340" s="3"/>
      <c r="D9340" s="3"/>
      <c r="E9340" s="3">
        <v>17</v>
      </c>
      <c r="F9340" s="4" t="str">
        <f>HYPERLINK("http://141.218.60.56/~jnz1568/getInfo.php?workbook=12_05.xlsx&amp;sheet=U0&amp;row=9340&amp;col=6&amp;number=4.6&amp;sourceID=14","4.6")</f>
        <v>4.6</v>
      </c>
      <c r="G9340" s="4" t="str">
        <f>HYPERLINK("http://141.218.60.56/~jnz1568/getInfo.php?workbook=12_05.xlsx&amp;sheet=U0&amp;row=9340&amp;col=7&amp;number=0.000427&amp;sourceID=14","0.000427")</f>
        <v>0.000427</v>
      </c>
    </row>
    <row r="9341" spans="1:7">
      <c r="A9341" s="3"/>
      <c r="B9341" s="3"/>
      <c r="C9341" s="3"/>
      <c r="D9341" s="3"/>
      <c r="E9341" s="3">
        <v>18</v>
      </c>
      <c r="F9341" s="4" t="str">
        <f>HYPERLINK("http://141.218.60.56/~jnz1568/getInfo.php?workbook=12_05.xlsx&amp;sheet=U0&amp;row=9341&amp;col=6&amp;number=4.7&amp;sourceID=14","4.7")</f>
        <v>4.7</v>
      </c>
      <c r="G9341" s="4" t="str">
        <f>HYPERLINK("http://141.218.60.56/~jnz1568/getInfo.php?workbook=12_05.xlsx&amp;sheet=U0&amp;row=9341&amp;col=7&amp;number=0.000424&amp;sourceID=14","0.000424")</f>
        <v>0.000424</v>
      </c>
    </row>
    <row r="9342" spans="1:7">
      <c r="A9342" s="3"/>
      <c r="B9342" s="3"/>
      <c r="C9342" s="3"/>
      <c r="D9342" s="3"/>
      <c r="E9342" s="3">
        <v>19</v>
      </c>
      <c r="F9342" s="4" t="str">
        <f>HYPERLINK("http://141.218.60.56/~jnz1568/getInfo.php?workbook=12_05.xlsx&amp;sheet=U0&amp;row=9342&amp;col=6&amp;number=4.8&amp;sourceID=14","4.8")</f>
        <v>4.8</v>
      </c>
      <c r="G9342" s="4" t="str">
        <f>HYPERLINK("http://141.218.60.56/~jnz1568/getInfo.php?workbook=12_05.xlsx&amp;sheet=U0&amp;row=9342&amp;col=7&amp;number=0.000419&amp;sourceID=14","0.000419")</f>
        <v>0.000419</v>
      </c>
    </row>
    <row r="9343" spans="1:7">
      <c r="A9343" s="3"/>
      <c r="B9343" s="3"/>
      <c r="C9343" s="3"/>
      <c r="D9343" s="3"/>
      <c r="E9343" s="3">
        <v>20</v>
      </c>
      <c r="F9343" s="4" t="str">
        <f>HYPERLINK("http://141.218.60.56/~jnz1568/getInfo.php?workbook=12_05.xlsx&amp;sheet=U0&amp;row=9343&amp;col=6&amp;number=4.9&amp;sourceID=14","4.9")</f>
        <v>4.9</v>
      </c>
      <c r="G9343" s="4" t="str">
        <f>HYPERLINK("http://141.218.60.56/~jnz1568/getInfo.php?workbook=12_05.xlsx&amp;sheet=U0&amp;row=9343&amp;col=7&amp;number=0.000413&amp;sourceID=14","0.000413")</f>
        <v>0.000413</v>
      </c>
    </row>
    <row r="9344" spans="1:7">
      <c r="A9344" s="3">
        <v>12</v>
      </c>
      <c r="B9344" s="3">
        <v>5</v>
      </c>
      <c r="C9344" s="3">
        <v>5</v>
      </c>
      <c r="D9344" s="3">
        <v>39</v>
      </c>
      <c r="E9344" s="3">
        <v>1</v>
      </c>
      <c r="F9344" s="4" t="str">
        <f>HYPERLINK("http://141.218.60.56/~jnz1568/getInfo.php?workbook=12_05.xlsx&amp;sheet=U0&amp;row=9344&amp;col=6&amp;number=3&amp;sourceID=14","3")</f>
        <v>3</v>
      </c>
      <c r="G9344" s="4" t="str">
        <f>HYPERLINK("http://141.218.60.56/~jnz1568/getInfo.php?workbook=12_05.xlsx&amp;sheet=U0&amp;row=9344&amp;col=7&amp;number=0.00196&amp;sourceID=14","0.00196")</f>
        <v>0.00196</v>
      </c>
    </row>
    <row r="9345" spans="1:7">
      <c r="A9345" s="3"/>
      <c r="B9345" s="3"/>
      <c r="C9345" s="3"/>
      <c r="D9345" s="3"/>
      <c r="E9345" s="3">
        <v>2</v>
      </c>
      <c r="F9345" s="4" t="str">
        <f>HYPERLINK("http://141.218.60.56/~jnz1568/getInfo.php?workbook=12_05.xlsx&amp;sheet=U0&amp;row=9345&amp;col=6&amp;number=3.1&amp;sourceID=14","3.1")</f>
        <v>3.1</v>
      </c>
      <c r="G9345" s="4" t="str">
        <f>HYPERLINK("http://141.218.60.56/~jnz1568/getInfo.php?workbook=12_05.xlsx&amp;sheet=U0&amp;row=9345&amp;col=7&amp;number=0.00196&amp;sourceID=14","0.00196")</f>
        <v>0.00196</v>
      </c>
    </row>
    <row r="9346" spans="1:7">
      <c r="A9346" s="3"/>
      <c r="B9346" s="3"/>
      <c r="C9346" s="3"/>
      <c r="D9346" s="3"/>
      <c r="E9346" s="3">
        <v>3</v>
      </c>
      <c r="F9346" s="4" t="str">
        <f>HYPERLINK("http://141.218.60.56/~jnz1568/getInfo.php?workbook=12_05.xlsx&amp;sheet=U0&amp;row=9346&amp;col=6&amp;number=3.2&amp;sourceID=14","3.2")</f>
        <v>3.2</v>
      </c>
      <c r="G9346" s="4" t="str">
        <f>HYPERLINK("http://141.218.60.56/~jnz1568/getInfo.php?workbook=12_05.xlsx&amp;sheet=U0&amp;row=9346&amp;col=7&amp;number=0.00196&amp;sourceID=14","0.00196")</f>
        <v>0.00196</v>
      </c>
    </row>
    <row r="9347" spans="1:7">
      <c r="A9347" s="3"/>
      <c r="B9347" s="3"/>
      <c r="C9347" s="3"/>
      <c r="D9347" s="3"/>
      <c r="E9347" s="3">
        <v>4</v>
      </c>
      <c r="F9347" s="4" t="str">
        <f>HYPERLINK("http://141.218.60.56/~jnz1568/getInfo.php?workbook=12_05.xlsx&amp;sheet=U0&amp;row=9347&amp;col=6&amp;number=3.3&amp;sourceID=14","3.3")</f>
        <v>3.3</v>
      </c>
      <c r="G9347" s="4" t="str">
        <f>HYPERLINK("http://141.218.60.56/~jnz1568/getInfo.php?workbook=12_05.xlsx&amp;sheet=U0&amp;row=9347&amp;col=7&amp;number=0.00196&amp;sourceID=14","0.00196")</f>
        <v>0.00196</v>
      </c>
    </row>
    <row r="9348" spans="1:7">
      <c r="A9348" s="3"/>
      <c r="B9348" s="3"/>
      <c r="C9348" s="3"/>
      <c r="D9348" s="3"/>
      <c r="E9348" s="3">
        <v>5</v>
      </c>
      <c r="F9348" s="4" t="str">
        <f>HYPERLINK("http://141.218.60.56/~jnz1568/getInfo.php?workbook=12_05.xlsx&amp;sheet=U0&amp;row=9348&amp;col=6&amp;number=3.4&amp;sourceID=14","3.4")</f>
        <v>3.4</v>
      </c>
      <c r="G9348" s="4" t="str">
        <f>HYPERLINK("http://141.218.60.56/~jnz1568/getInfo.php?workbook=12_05.xlsx&amp;sheet=U0&amp;row=9348&amp;col=7&amp;number=0.00196&amp;sourceID=14","0.00196")</f>
        <v>0.00196</v>
      </c>
    </row>
    <row r="9349" spans="1:7">
      <c r="A9349" s="3"/>
      <c r="B9349" s="3"/>
      <c r="C9349" s="3"/>
      <c r="D9349" s="3"/>
      <c r="E9349" s="3">
        <v>6</v>
      </c>
      <c r="F9349" s="4" t="str">
        <f>HYPERLINK("http://141.218.60.56/~jnz1568/getInfo.php?workbook=12_05.xlsx&amp;sheet=U0&amp;row=9349&amp;col=6&amp;number=3.5&amp;sourceID=14","3.5")</f>
        <v>3.5</v>
      </c>
      <c r="G9349" s="4" t="str">
        <f>HYPERLINK("http://141.218.60.56/~jnz1568/getInfo.php?workbook=12_05.xlsx&amp;sheet=U0&amp;row=9349&amp;col=7&amp;number=0.00196&amp;sourceID=14","0.00196")</f>
        <v>0.00196</v>
      </c>
    </row>
    <row r="9350" spans="1:7">
      <c r="A9350" s="3"/>
      <c r="B9350" s="3"/>
      <c r="C9350" s="3"/>
      <c r="D9350" s="3"/>
      <c r="E9350" s="3">
        <v>7</v>
      </c>
      <c r="F9350" s="4" t="str">
        <f>HYPERLINK("http://141.218.60.56/~jnz1568/getInfo.php?workbook=12_05.xlsx&amp;sheet=U0&amp;row=9350&amp;col=6&amp;number=3.6&amp;sourceID=14","3.6")</f>
        <v>3.6</v>
      </c>
      <c r="G9350" s="4" t="str">
        <f>HYPERLINK("http://141.218.60.56/~jnz1568/getInfo.php?workbook=12_05.xlsx&amp;sheet=U0&amp;row=9350&amp;col=7&amp;number=0.00196&amp;sourceID=14","0.00196")</f>
        <v>0.00196</v>
      </c>
    </row>
    <row r="9351" spans="1:7">
      <c r="A9351" s="3"/>
      <c r="B9351" s="3"/>
      <c r="C9351" s="3"/>
      <c r="D9351" s="3"/>
      <c r="E9351" s="3">
        <v>8</v>
      </c>
      <c r="F9351" s="4" t="str">
        <f>HYPERLINK("http://141.218.60.56/~jnz1568/getInfo.php?workbook=12_05.xlsx&amp;sheet=U0&amp;row=9351&amp;col=6&amp;number=3.7&amp;sourceID=14","3.7")</f>
        <v>3.7</v>
      </c>
      <c r="G9351" s="4" t="str">
        <f>HYPERLINK("http://141.218.60.56/~jnz1568/getInfo.php?workbook=12_05.xlsx&amp;sheet=U0&amp;row=9351&amp;col=7&amp;number=0.00195&amp;sourceID=14","0.00195")</f>
        <v>0.00195</v>
      </c>
    </row>
    <row r="9352" spans="1:7">
      <c r="A9352" s="3"/>
      <c r="B9352" s="3"/>
      <c r="C9352" s="3"/>
      <c r="D9352" s="3"/>
      <c r="E9352" s="3">
        <v>9</v>
      </c>
      <c r="F9352" s="4" t="str">
        <f>HYPERLINK("http://141.218.60.56/~jnz1568/getInfo.php?workbook=12_05.xlsx&amp;sheet=U0&amp;row=9352&amp;col=6&amp;number=3.8&amp;sourceID=14","3.8")</f>
        <v>3.8</v>
      </c>
      <c r="G9352" s="4" t="str">
        <f>HYPERLINK("http://141.218.60.56/~jnz1568/getInfo.php?workbook=12_05.xlsx&amp;sheet=U0&amp;row=9352&amp;col=7&amp;number=0.00195&amp;sourceID=14","0.00195")</f>
        <v>0.00195</v>
      </c>
    </row>
    <row r="9353" spans="1:7">
      <c r="A9353" s="3"/>
      <c r="B9353" s="3"/>
      <c r="C9353" s="3"/>
      <c r="D9353" s="3"/>
      <c r="E9353" s="3">
        <v>10</v>
      </c>
      <c r="F9353" s="4" t="str">
        <f>HYPERLINK("http://141.218.60.56/~jnz1568/getInfo.php?workbook=12_05.xlsx&amp;sheet=U0&amp;row=9353&amp;col=6&amp;number=3.9&amp;sourceID=14","3.9")</f>
        <v>3.9</v>
      </c>
      <c r="G9353" s="4" t="str">
        <f>HYPERLINK("http://141.218.60.56/~jnz1568/getInfo.php?workbook=12_05.xlsx&amp;sheet=U0&amp;row=9353&amp;col=7&amp;number=0.00195&amp;sourceID=14","0.00195")</f>
        <v>0.00195</v>
      </c>
    </row>
    <row r="9354" spans="1:7">
      <c r="A9354" s="3"/>
      <c r="B9354" s="3"/>
      <c r="C9354" s="3"/>
      <c r="D9354" s="3"/>
      <c r="E9354" s="3">
        <v>11</v>
      </c>
      <c r="F9354" s="4" t="str">
        <f>HYPERLINK("http://141.218.60.56/~jnz1568/getInfo.php?workbook=12_05.xlsx&amp;sheet=U0&amp;row=9354&amp;col=6&amp;number=4&amp;sourceID=14","4")</f>
        <v>4</v>
      </c>
      <c r="G9354" s="4" t="str">
        <f>HYPERLINK("http://141.218.60.56/~jnz1568/getInfo.php?workbook=12_05.xlsx&amp;sheet=U0&amp;row=9354&amp;col=7&amp;number=0.00195&amp;sourceID=14","0.00195")</f>
        <v>0.00195</v>
      </c>
    </row>
    <row r="9355" spans="1:7">
      <c r="A9355" s="3"/>
      <c r="B9355" s="3"/>
      <c r="C9355" s="3"/>
      <c r="D9355" s="3"/>
      <c r="E9355" s="3">
        <v>12</v>
      </c>
      <c r="F9355" s="4" t="str">
        <f>HYPERLINK("http://141.218.60.56/~jnz1568/getInfo.php?workbook=12_05.xlsx&amp;sheet=U0&amp;row=9355&amp;col=6&amp;number=4.1&amp;sourceID=14","4.1")</f>
        <v>4.1</v>
      </c>
      <c r="G9355" s="4" t="str">
        <f>HYPERLINK("http://141.218.60.56/~jnz1568/getInfo.php?workbook=12_05.xlsx&amp;sheet=U0&amp;row=9355&amp;col=7&amp;number=0.00194&amp;sourceID=14","0.00194")</f>
        <v>0.00194</v>
      </c>
    </row>
    <row r="9356" spans="1:7">
      <c r="A9356" s="3"/>
      <c r="B9356" s="3"/>
      <c r="C9356" s="3"/>
      <c r="D9356" s="3"/>
      <c r="E9356" s="3">
        <v>13</v>
      </c>
      <c r="F9356" s="4" t="str">
        <f>HYPERLINK("http://141.218.60.56/~jnz1568/getInfo.php?workbook=12_05.xlsx&amp;sheet=U0&amp;row=9356&amp;col=6&amp;number=4.2&amp;sourceID=14","4.2")</f>
        <v>4.2</v>
      </c>
      <c r="G9356" s="4" t="str">
        <f>HYPERLINK("http://141.218.60.56/~jnz1568/getInfo.php?workbook=12_05.xlsx&amp;sheet=U0&amp;row=9356&amp;col=7&amp;number=0.00194&amp;sourceID=14","0.00194")</f>
        <v>0.00194</v>
      </c>
    </row>
    <row r="9357" spans="1:7">
      <c r="A9357" s="3"/>
      <c r="B9357" s="3"/>
      <c r="C9357" s="3"/>
      <c r="D9357" s="3"/>
      <c r="E9357" s="3">
        <v>14</v>
      </c>
      <c r="F9357" s="4" t="str">
        <f>HYPERLINK("http://141.218.60.56/~jnz1568/getInfo.php?workbook=12_05.xlsx&amp;sheet=U0&amp;row=9357&amp;col=6&amp;number=4.3&amp;sourceID=14","4.3")</f>
        <v>4.3</v>
      </c>
      <c r="G9357" s="4" t="str">
        <f>HYPERLINK("http://141.218.60.56/~jnz1568/getInfo.php?workbook=12_05.xlsx&amp;sheet=U0&amp;row=9357&amp;col=7&amp;number=0.00193&amp;sourceID=14","0.00193")</f>
        <v>0.00193</v>
      </c>
    </row>
    <row r="9358" spans="1:7">
      <c r="A9358" s="3"/>
      <c r="B9358" s="3"/>
      <c r="C9358" s="3"/>
      <c r="D9358" s="3"/>
      <c r="E9358" s="3">
        <v>15</v>
      </c>
      <c r="F9358" s="4" t="str">
        <f>HYPERLINK("http://141.218.60.56/~jnz1568/getInfo.php?workbook=12_05.xlsx&amp;sheet=U0&amp;row=9358&amp;col=6&amp;number=4.4&amp;sourceID=14","4.4")</f>
        <v>4.4</v>
      </c>
      <c r="G9358" s="4" t="str">
        <f>HYPERLINK("http://141.218.60.56/~jnz1568/getInfo.php?workbook=12_05.xlsx&amp;sheet=U0&amp;row=9358&amp;col=7&amp;number=0.00193&amp;sourceID=14","0.00193")</f>
        <v>0.00193</v>
      </c>
    </row>
    <row r="9359" spans="1:7">
      <c r="A9359" s="3"/>
      <c r="B9359" s="3"/>
      <c r="C9359" s="3"/>
      <c r="D9359" s="3"/>
      <c r="E9359" s="3">
        <v>16</v>
      </c>
      <c r="F9359" s="4" t="str">
        <f>HYPERLINK("http://141.218.60.56/~jnz1568/getInfo.php?workbook=12_05.xlsx&amp;sheet=U0&amp;row=9359&amp;col=6&amp;number=4.5&amp;sourceID=14","4.5")</f>
        <v>4.5</v>
      </c>
      <c r="G9359" s="4" t="str">
        <f>HYPERLINK("http://141.218.60.56/~jnz1568/getInfo.php?workbook=12_05.xlsx&amp;sheet=U0&amp;row=9359&amp;col=7&amp;number=0.00192&amp;sourceID=14","0.00192")</f>
        <v>0.00192</v>
      </c>
    </row>
    <row r="9360" spans="1:7">
      <c r="A9360" s="3"/>
      <c r="B9360" s="3"/>
      <c r="C9360" s="3"/>
      <c r="D9360" s="3"/>
      <c r="E9360" s="3">
        <v>17</v>
      </c>
      <c r="F9360" s="4" t="str">
        <f>HYPERLINK("http://141.218.60.56/~jnz1568/getInfo.php?workbook=12_05.xlsx&amp;sheet=U0&amp;row=9360&amp;col=6&amp;number=4.6&amp;sourceID=14","4.6")</f>
        <v>4.6</v>
      </c>
      <c r="G9360" s="4" t="str">
        <f>HYPERLINK("http://141.218.60.56/~jnz1568/getInfo.php?workbook=12_05.xlsx&amp;sheet=U0&amp;row=9360&amp;col=7&amp;number=0.00191&amp;sourceID=14","0.00191")</f>
        <v>0.00191</v>
      </c>
    </row>
    <row r="9361" spans="1:7">
      <c r="A9361" s="3"/>
      <c r="B9361" s="3"/>
      <c r="C9361" s="3"/>
      <c r="D9361" s="3"/>
      <c r="E9361" s="3">
        <v>18</v>
      </c>
      <c r="F9361" s="4" t="str">
        <f>HYPERLINK("http://141.218.60.56/~jnz1568/getInfo.php?workbook=12_05.xlsx&amp;sheet=U0&amp;row=9361&amp;col=6&amp;number=4.7&amp;sourceID=14","4.7")</f>
        <v>4.7</v>
      </c>
      <c r="G9361" s="4" t="str">
        <f>HYPERLINK("http://141.218.60.56/~jnz1568/getInfo.php?workbook=12_05.xlsx&amp;sheet=U0&amp;row=9361&amp;col=7&amp;number=0.00189&amp;sourceID=14","0.00189")</f>
        <v>0.00189</v>
      </c>
    </row>
    <row r="9362" spans="1:7">
      <c r="A9362" s="3"/>
      <c r="B9362" s="3"/>
      <c r="C9362" s="3"/>
      <c r="D9362" s="3"/>
      <c r="E9362" s="3">
        <v>19</v>
      </c>
      <c r="F9362" s="4" t="str">
        <f>HYPERLINK("http://141.218.60.56/~jnz1568/getInfo.php?workbook=12_05.xlsx&amp;sheet=U0&amp;row=9362&amp;col=6&amp;number=4.8&amp;sourceID=14","4.8")</f>
        <v>4.8</v>
      </c>
      <c r="G9362" s="4" t="str">
        <f>HYPERLINK("http://141.218.60.56/~jnz1568/getInfo.php?workbook=12_05.xlsx&amp;sheet=U0&amp;row=9362&amp;col=7&amp;number=0.00187&amp;sourceID=14","0.00187")</f>
        <v>0.00187</v>
      </c>
    </row>
    <row r="9363" spans="1:7">
      <c r="A9363" s="3"/>
      <c r="B9363" s="3"/>
      <c r="C9363" s="3"/>
      <c r="D9363" s="3"/>
      <c r="E9363" s="3">
        <v>20</v>
      </c>
      <c r="F9363" s="4" t="str">
        <f>HYPERLINK("http://141.218.60.56/~jnz1568/getInfo.php?workbook=12_05.xlsx&amp;sheet=U0&amp;row=9363&amp;col=6&amp;number=4.9&amp;sourceID=14","4.9")</f>
        <v>4.9</v>
      </c>
      <c r="G9363" s="4" t="str">
        <f>HYPERLINK("http://141.218.60.56/~jnz1568/getInfo.php?workbook=12_05.xlsx&amp;sheet=U0&amp;row=9363&amp;col=7&amp;number=0.00185&amp;sourceID=14","0.00185")</f>
        <v>0.00185</v>
      </c>
    </row>
    <row r="9364" spans="1:7">
      <c r="A9364" s="3">
        <v>12</v>
      </c>
      <c r="B9364" s="3">
        <v>5</v>
      </c>
      <c r="C9364" s="3">
        <v>5</v>
      </c>
      <c r="D9364" s="3">
        <v>40</v>
      </c>
      <c r="E9364" s="3">
        <v>1</v>
      </c>
      <c r="F9364" s="4" t="str">
        <f>HYPERLINK("http://141.218.60.56/~jnz1568/getInfo.php?workbook=12_05.xlsx&amp;sheet=U0&amp;row=9364&amp;col=6&amp;number=3&amp;sourceID=14","3")</f>
        <v>3</v>
      </c>
      <c r="G9364" s="4" t="str">
        <f>HYPERLINK("http://141.218.60.56/~jnz1568/getInfo.php?workbook=12_05.xlsx&amp;sheet=U0&amp;row=9364&amp;col=7&amp;number=0.00518&amp;sourceID=14","0.00518")</f>
        <v>0.00518</v>
      </c>
    </row>
    <row r="9365" spans="1:7">
      <c r="A9365" s="3"/>
      <c r="B9365" s="3"/>
      <c r="C9365" s="3"/>
      <c r="D9365" s="3"/>
      <c r="E9365" s="3">
        <v>2</v>
      </c>
      <c r="F9365" s="4" t="str">
        <f>HYPERLINK("http://141.218.60.56/~jnz1568/getInfo.php?workbook=12_05.xlsx&amp;sheet=U0&amp;row=9365&amp;col=6&amp;number=3.1&amp;sourceID=14","3.1")</f>
        <v>3.1</v>
      </c>
      <c r="G9365" s="4" t="str">
        <f>HYPERLINK("http://141.218.60.56/~jnz1568/getInfo.php?workbook=12_05.xlsx&amp;sheet=U0&amp;row=9365&amp;col=7&amp;number=0.00518&amp;sourceID=14","0.00518")</f>
        <v>0.00518</v>
      </c>
    </row>
    <row r="9366" spans="1:7">
      <c r="A9366" s="3"/>
      <c r="B9366" s="3"/>
      <c r="C9366" s="3"/>
      <c r="D9366" s="3"/>
      <c r="E9366" s="3">
        <v>3</v>
      </c>
      <c r="F9366" s="4" t="str">
        <f>HYPERLINK("http://141.218.60.56/~jnz1568/getInfo.php?workbook=12_05.xlsx&amp;sheet=U0&amp;row=9366&amp;col=6&amp;number=3.2&amp;sourceID=14","3.2")</f>
        <v>3.2</v>
      </c>
      <c r="G9366" s="4" t="str">
        <f>HYPERLINK("http://141.218.60.56/~jnz1568/getInfo.php?workbook=12_05.xlsx&amp;sheet=U0&amp;row=9366&amp;col=7&amp;number=0.00518&amp;sourceID=14","0.00518")</f>
        <v>0.00518</v>
      </c>
    </row>
    <row r="9367" spans="1:7">
      <c r="A9367" s="3"/>
      <c r="B9367" s="3"/>
      <c r="C9367" s="3"/>
      <c r="D9367" s="3"/>
      <c r="E9367" s="3">
        <v>4</v>
      </c>
      <c r="F9367" s="4" t="str">
        <f>HYPERLINK("http://141.218.60.56/~jnz1568/getInfo.php?workbook=12_05.xlsx&amp;sheet=U0&amp;row=9367&amp;col=6&amp;number=3.3&amp;sourceID=14","3.3")</f>
        <v>3.3</v>
      </c>
      <c r="G9367" s="4" t="str">
        <f>HYPERLINK("http://141.218.60.56/~jnz1568/getInfo.php?workbook=12_05.xlsx&amp;sheet=U0&amp;row=9367&amp;col=7&amp;number=0.00518&amp;sourceID=14","0.00518")</f>
        <v>0.00518</v>
      </c>
    </row>
    <row r="9368" spans="1:7">
      <c r="A9368" s="3"/>
      <c r="B9368" s="3"/>
      <c r="C9368" s="3"/>
      <c r="D9368" s="3"/>
      <c r="E9368" s="3">
        <v>5</v>
      </c>
      <c r="F9368" s="4" t="str">
        <f>HYPERLINK("http://141.218.60.56/~jnz1568/getInfo.php?workbook=12_05.xlsx&amp;sheet=U0&amp;row=9368&amp;col=6&amp;number=3.4&amp;sourceID=14","3.4")</f>
        <v>3.4</v>
      </c>
      <c r="G9368" s="4" t="str">
        <f>HYPERLINK("http://141.218.60.56/~jnz1568/getInfo.php?workbook=12_05.xlsx&amp;sheet=U0&amp;row=9368&amp;col=7&amp;number=0.00517&amp;sourceID=14","0.00517")</f>
        <v>0.00517</v>
      </c>
    </row>
    <row r="9369" spans="1:7">
      <c r="A9369" s="3"/>
      <c r="B9369" s="3"/>
      <c r="C9369" s="3"/>
      <c r="D9369" s="3"/>
      <c r="E9369" s="3">
        <v>6</v>
      </c>
      <c r="F9369" s="4" t="str">
        <f>HYPERLINK("http://141.218.60.56/~jnz1568/getInfo.php?workbook=12_05.xlsx&amp;sheet=U0&amp;row=9369&amp;col=6&amp;number=3.5&amp;sourceID=14","3.5")</f>
        <v>3.5</v>
      </c>
      <c r="G9369" s="4" t="str">
        <f>HYPERLINK("http://141.218.60.56/~jnz1568/getInfo.php?workbook=12_05.xlsx&amp;sheet=U0&amp;row=9369&amp;col=7&amp;number=0.00517&amp;sourceID=14","0.00517")</f>
        <v>0.00517</v>
      </c>
    </row>
    <row r="9370" spans="1:7">
      <c r="A9370" s="3"/>
      <c r="B9370" s="3"/>
      <c r="C9370" s="3"/>
      <c r="D9370" s="3"/>
      <c r="E9370" s="3">
        <v>7</v>
      </c>
      <c r="F9370" s="4" t="str">
        <f>HYPERLINK("http://141.218.60.56/~jnz1568/getInfo.php?workbook=12_05.xlsx&amp;sheet=U0&amp;row=9370&amp;col=6&amp;number=3.6&amp;sourceID=14","3.6")</f>
        <v>3.6</v>
      </c>
      <c r="G9370" s="4" t="str">
        <f>HYPERLINK("http://141.218.60.56/~jnz1568/getInfo.php?workbook=12_05.xlsx&amp;sheet=U0&amp;row=9370&amp;col=7&amp;number=0.00517&amp;sourceID=14","0.00517")</f>
        <v>0.00517</v>
      </c>
    </row>
    <row r="9371" spans="1:7">
      <c r="A9371" s="3"/>
      <c r="B9371" s="3"/>
      <c r="C9371" s="3"/>
      <c r="D9371" s="3"/>
      <c r="E9371" s="3">
        <v>8</v>
      </c>
      <c r="F9371" s="4" t="str">
        <f>HYPERLINK("http://141.218.60.56/~jnz1568/getInfo.php?workbook=12_05.xlsx&amp;sheet=U0&amp;row=9371&amp;col=6&amp;number=3.7&amp;sourceID=14","3.7")</f>
        <v>3.7</v>
      </c>
      <c r="G9371" s="4" t="str">
        <f>HYPERLINK("http://141.218.60.56/~jnz1568/getInfo.php?workbook=12_05.xlsx&amp;sheet=U0&amp;row=9371&amp;col=7&amp;number=0.00516&amp;sourceID=14","0.00516")</f>
        <v>0.00516</v>
      </c>
    </row>
    <row r="9372" spans="1:7">
      <c r="A9372" s="3"/>
      <c r="B9372" s="3"/>
      <c r="C9372" s="3"/>
      <c r="D9372" s="3"/>
      <c r="E9372" s="3">
        <v>9</v>
      </c>
      <c r="F9372" s="4" t="str">
        <f>HYPERLINK("http://141.218.60.56/~jnz1568/getInfo.php?workbook=12_05.xlsx&amp;sheet=U0&amp;row=9372&amp;col=6&amp;number=3.8&amp;sourceID=14","3.8")</f>
        <v>3.8</v>
      </c>
      <c r="G9372" s="4" t="str">
        <f>HYPERLINK("http://141.218.60.56/~jnz1568/getInfo.php?workbook=12_05.xlsx&amp;sheet=U0&amp;row=9372&amp;col=7&amp;number=0.00515&amp;sourceID=14","0.00515")</f>
        <v>0.00515</v>
      </c>
    </row>
    <row r="9373" spans="1:7">
      <c r="A9373" s="3"/>
      <c r="B9373" s="3"/>
      <c r="C9373" s="3"/>
      <c r="D9373" s="3"/>
      <c r="E9373" s="3">
        <v>10</v>
      </c>
      <c r="F9373" s="4" t="str">
        <f>HYPERLINK("http://141.218.60.56/~jnz1568/getInfo.php?workbook=12_05.xlsx&amp;sheet=U0&amp;row=9373&amp;col=6&amp;number=3.9&amp;sourceID=14","3.9")</f>
        <v>3.9</v>
      </c>
      <c r="G9373" s="4" t="str">
        <f>HYPERLINK("http://141.218.60.56/~jnz1568/getInfo.php?workbook=12_05.xlsx&amp;sheet=U0&amp;row=9373&amp;col=7&amp;number=0.00514&amp;sourceID=14","0.00514")</f>
        <v>0.00514</v>
      </c>
    </row>
    <row r="9374" spans="1:7">
      <c r="A9374" s="3"/>
      <c r="B9374" s="3"/>
      <c r="C9374" s="3"/>
      <c r="D9374" s="3"/>
      <c r="E9374" s="3">
        <v>11</v>
      </c>
      <c r="F9374" s="4" t="str">
        <f>HYPERLINK("http://141.218.60.56/~jnz1568/getInfo.php?workbook=12_05.xlsx&amp;sheet=U0&amp;row=9374&amp;col=6&amp;number=4&amp;sourceID=14","4")</f>
        <v>4</v>
      </c>
      <c r="G9374" s="4" t="str">
        <f>HYPERLINK("http://141.218.60.56/~jnz1568/getInfo.php?workbook=12_05.xlsx&amp;sheet=U0&amp;row=9374&amp;col=7&amp;number=0.00513&amp;sourceID=14","0.00513")</f>
        <v>0.00513</v>
      </c>
    </row>
    <row r="9375" spans="1:7">
      <c r="A9375" s="3"/>
      <c r="B9375" s="3"/>
      <c r="C9375" s="3"/>
      <c r="D9375" s="3"/>
      <c r="E9375" s="3">
        <v>12</v>
      </c>
      <c r="F9375" s="4" t="str">
        <f>HYPERLINK("http://141.218.60.56/~jnz1568/getInfo.php?workbook=12_05.xlsx&amp;sheet=U0&amp;row=9375&amp;col=6&amp;number=4.1&amp;sourceID=14","4.1")</f>
        <v>4.1</v>
      </c>
      <c r="G9375" s="4" t="str">
        <f>HYPERLINK("http://141.218.60.56/~jnz1568/getInfo.php?workbook=12_05.xlsx&amp;sheet=U0&amp;row=9375&amp;col=7&amp;number=0.00512&amp;sourceID=14","0.00512")</f>
        <v>0.00512</v>
      </c>
    </row>
    <row r="9376" spans="1:7">
      <c r="A9376" s="3"/>
      <c r="B9376" s="3"/>
      <c r="C9376" s="3"/>
      <c r="D9376" s="3"/>
      <c r="E9376" s="3">
        <v>13</v>
      </c>
      <c r="F9376" s="4" t="str">
        <f>HYPERLINK("http://141.218.60.56/~jnz1568/getInfo.php?workbook=12_05.xlsx&amp;sheet=U0&amp;row=9376&amp;col=6&amp;number=4.2&amp;sourceID=14","4.2")</f>
        <v>4.2</v>
      </c>
      <c r="G9376" s="4" t="str">
        <f>HYPERLINK("http://141.218.60.56/~jnz1568/getInfo.php?workbook=12_05.xlsx&amp;sheet=U0&amp;row=9376&amp;col=7&amp;number=0.0051&amp;sourceID=14","0.0051")</f>
        <v>0.0051</v>
      </c>
    </row>
    <row r="9377" spans="1:7">
      <c r="A9377" s="3"/>
      <c r="B9377" s="3"/>
      <c r="C9377" s="3"/>
      <c r="D9377" s="3"/>
      <c r="E9377" s="3">
        <v>14</v>
      </c>
      <c r="F9377" s="4" t="str">
        <f>HYPERLINK("http://141.218.60.56/~jnz1568/getInfo.php?workbook=12_05.xlsx&amp;sheet=U0&amp;row=9377&amp;col=6&amp;number=4.3&amp;sourceID=14","4.3")</f>
        <v>4.3</v>
      </c>
      <c r="G9377" s="4" t="str">
        <f>HYPERLINK("http://141.218.60.56/~jnz1568/getInfo.php?workbook=12_05.xlsx&amp;sheet=U0&amp;row=9377&amp;col=7&amp;number=0.00508&amp;sourceID=14","0.00508")</f>
        <v>0.00508</v>
      </c>
    </row>
    <row r="9378" spans="1:7">
      <c r="A9378" s="3"/>
      <c r="B9378" s="3"/>
      <c r="C9378" s="3"/>
      <c r="D9378" s="3"/>
      <c r="E9378" s="3">
        <v>15</v>
      </c>
      <c r="F9378" s="4" t="str">
        <f>HYPERLINK("http://141.218.60.56/~jnz1568/getInfo.php?workbook=12_05.xlsx&amp;sheet=U0&amp;row=9378&amp;col=6&amp;number=4.4&amp;sourceID=14","4.4")</f>
        <v>4.4</v>
      </c>
      <c r="G9378" s="4" t="str">
        <f>HYPERLINK("http://141.218.60.56/~jnz1568/getInfo.php?workbook=12_05.xlsx&amp;sheet=U0&amp;row=9378&amp;col=7&amp;number=0.00506&amp;sourceID=14","0.00506")</f>
        <v>0.00506</v>
      </c>
    </row>
    <row r="9379" spans="1:7">
      <c r="A9379" s="3"/>
      <c r="B9379" s="3"/>
      <c r="C9379" s="3"/>
      <c r="D9379" s="3"/>
      <c r="E9379" s="3">
        <v>16</v>
      </c>
      <c r="F9379" s="4" t="str">
        <f>HYPERLINK("http://141.218.60.56/~jnz1568/getInfo.php?workbook=12_05.xlsx&amp;sheet=U0&amp;row=9379&amp;col=6&amp;number=4.5&amp;sourceID=14","4.5")</f>
        <v>4.5</v>
      </c>
      <c r="G9379" s="4" t="str">
        <f>HYPERLINK("http://141.218.60.56/~jnz1568/getInfo.php?workbook=12_05.xlsx&amp;sheet=U0&amp;row=9379&amp;col=7&amp;number=0.00502&amp;sourceID=14","0.00502")</f>
        <v>0.00502</v>
      </c>
    </row>
    <row r="9380" spans="1:7">
      <c r="A9380" s="3"/>
      <c r="B9380" s="3"/>
      <c r="C9380" s="3"/>
      <c r="D9380" s="3"/>
      <c r="E9380" s="3">
        <v>17</v>
      </c>
      <c r="F9380" s="4" t="str">
        <f>HYPERLINK("http://141.218.60.56/~jnz1568/getInfo.php?workbook=12_05.xlsx&amp;sheet=U0&amp;row=9380&amp;col=6&amp;number=4.6&amp;sourceID=14","4.6")</f>
        <v>4.6</v>
      </c>
      <c r="G9380" s="4" t="str">
        <f>HYPERLINK("http://141.218.60.56/~jnz1568/getInfo.php?workbook=12_05.xlsx&amp;sheet=U0&amp;row=9380&amp;col=7&amp;number=0.00498&amp;sourceID=14","0.00498")</f>
        <v>0.00498</v>
      </c>
    </row>
    <row r="9381" spans="1:7">
      <c r="A9381" s="3"/>
      <c r="B9381" s="3"/>
      <c r="C9381" s="3"/>
      <c r="D9381" s="3"/>
      <c r="E9381" s="3">
        <v>18</v>
      </c>
      <c r="F9381" s="4" t="str">
        <f>HYPERLINK("http://141.218.60.56/~jnz1568/getInfo.php?workbook=12_05.xlsx&amp;sheet=U0&amp;row=9381&amp;col=6&amp;number=4.7&amp;sourceID=14","4.7")</f>
        <v>4.7</v>
      </c>
      <c r="G9381" s="4" t="str">
        <f>HYPERLINK("http://141.218.60.56/~jnz1568/getInfo.php?workbook=12_05.xlsx&amp;sheet=U0&amp;row=9381&amp;col=7&amp;number=0.00493&amp;sourceID=14","0.00493")</f>
        <v>0.00493</v>
      </c>
    </row>
    <row r="9382" spans="1:7">
      <c r="A9382" s="3"/>
      <c r="B9382" s="3"/>
      <c r="C9382" s="3"/>
      <c r="D9382" s="3"/>
      <c r="E9382" s="3">
        <v>19</v>
      </c>
      <c r="F9382" s="4" t="str">
        <f>HYPERLINK("http://141.218.60.56/~jnz1568/getInfo.php?workbook=12_05.xlsx&amp;sheet=U0&amp;row=9382&amp;col=6&amp;number=4.8&amp;sourceID=14","4.8")</f>
        <v>4.8</v>
      </c>
      <c r="G9382" s="4" t="str">
        <f>HYPERLINK("http://141.218.60.56/~jnz1568/getInfo.php?workbook=12_05.xlsx&amp;sheet=U0&amp;row=9382&amp;col=7&amp;number=0.00487&amp;sourceID=14","0.00487")</f>
        <v>0.00487</v>
      </c>
    </row>
    <row r="9383" spans="1:7">
      <c r="A9383" s="3"/>
      <c r="B9383" s="3"/>
      <c r="C9383" s="3"/>
      <c r="D9383" s="3"/>
      <c r="E9383" s="3">
        <v>20</v>
      </c>
      <c r="F9383" s="4" t="str">
        <f>HYPERLINK("http://141.218.60.56/~jnz1568/getInfo.php?workbook=12_05.xlsx&amp;sheet=U0&amp;row=9383&amp;col=6&amp;number=4.9&amp;sourceID=14","4.9")</f>
        <v>4.9</v>
      </c>
      <c r="G9383" s="4" t="str">
        <f>HYPERLINK("http://141.218.60.56/~jnz1568/getInfo.php?workbook=12_05.xlsx&amp;sheet=U0&amp;row=9383&amp;col=7&amp;number=0.00479&amp;sourceID=14","0.00479")</f>
        <v>0.00479</v>
      </c>
    </row>
    <row r="9384" spans="1:7">
      <c r="A9384" s="3">
        <v>12</v>
      </c>
      <c r="B9384" s="3">
        <v>5</v>
      </c>
      <c r="C9384" s="3">
        <v>5</v>
      </c>
      <c r="D9384" s="3">
        <v>41</v>
      </c>
      <c r="E9384" s="3">
        <v>1</v>
      </c>
      <c r="F9384" s="4" t="str">
        <f>HYPERLINK("http://141.218.60.56/~jnz1568/getInfo.php?workbook=12_05.xlsx&amp;sheet=U0&amp;row=9384&amp;col=6&amp;number=3&amp;sourceID=14","3")</f>
        <v>3</v>
      </c>
      <c r="G9384" s="4" t="str">
        <f>HYPERLINK("http://141.218.60.56/~jnz1568/getInfo.php?workbook=12_05.xlsx&amp;sheet=U0&amp;row=9384&amp;col=7&amp;number=9.46e-05&amp;sourceID=14","9.46e-05")</f>
        <v>9.46e-05</v>
      </c>
    </row>
    <row r="9385" spans="1:7">
      <c r="A9385" s="3"/>
      <c r="B9385" s="3"/>
      <c r="C9385" s="3"/>
      <c r="D9385" s="3"/>
      <c r="E9385" s="3">
        <v>2</v>
      </c>
      <c r="F9385" s="4" t="str">
        <f>HYPERLINK("http://141.218.60.56/~jnz1568/getInfo.php?workbook=12_05.xlsx&amp;sheet=U0&amp;row=9385&amp;col=6&amp;number=3.1&amp;sourceID=14","3.1")</f>
        <v>3.1</v>
      </c>
      <c r="G9385" s="4" t="str">
        <f>HYPERLINK("http://141.218.60.56/~jnz1568/getInfo.php?workbook=12_05.xlsx&amp;sheet=U0&amp;row=9385&amp;col=7&amp;number=9.46e-05&amp;sourceID=14","9.46e-05")</f>
        <v>9.46e-05</v>
      </c>
    </row>
    <row r="9386" spans="1:7">
      <c r="A9386" s="3"/>
      <c r="B9386" s="3"/>
      <c r="C9386" s="3"/>
      <c r="D9386" s="3"/>
      <c r="E9386" s="3">
        <v>3</v>
      </c>
      <c r="F9386" s="4" t="str">
        <f>HYPERLINK("http://141.218.60.56/~jnz1568/getInfo.php?workbook=12_05.xlsx&amp;sheet=U0&amp;row=9386&amp;col=6&amp;number=3.2&amp;sourceID=14","3.2")</f>
        <v>3.2</v>
      </c>
      <c r="G9386" s="4" t="str">
        <f>HYPERLINK("http://141.218.60.56/~jnz1568/getInfo.php?workbook=12_05.xlsx&amp;sheet=U0&amp;row=9386&amp;col=7&amp;number=9.45e-05&amp;sourceID=14","9.45e-05")</f>
        <v>9.45e-05</v>
      </c>
    </row>
    <row r="9387" spans="1:7">
      <c r="A9387" s="3"/>
      <c r="B9387" s="3"/>
      <c r="C9387" s="3"/>
      <c r="D9387" s="3"/>
      <c r="E9387" s="3">
        <v>4</v>
      </c>
      <c r="F9387" s="4" t="str">
        <f>HYPERLINK("http://141.218.60.56/~jnz1568/getInfo.php?workbook=12_05.xlsx&amp;sheet=U0&amp;row=9387&amp;col=6&amp;number=3.3&amp;sourceID=14","3.3")</f>
        <v>3.3</v>
      </c>
      <c r="G9387" s="4" t="str">
        <f>HYPERLINK("http://141.218.60.56/~jnz1568/getInfo.php?workbook=12_05.xlsx&amp;sheet=U0&amp;row=9387&amp;col=7&amp;number=9.45e-05&amp;sourceID=14","9.45e-05")</f>
        <v>9.45e-05</v>
      </c>
    </row>
    <row r="9388" spans="1:7">
      <c r="A9388" s="3"/>
      <c r="B9388" s="3"/>
      <c r="C9388" s="3"/>
      <c r="D9388" s="3"/>
      <c r="E9388" s="3">
        <v>5</v>
      </c>
      <c r="F9388" s="4" t="str">
        <f>HYPERLINK("http://141.218.60.56/~jnz1568/getInfo.php?workbook=12_05.xlsx&amp;sheet=U0&amp;row=9388&amp;col=6&amp;number=3.4&amp;sourceID=14","3.4")</f>
        <v>3.4</v>
      </c>
      <c r="G9388" s="4" t="str">
        <f>HYPERLINK("http://141.218.60.56/~jnz1568/getInfo.php?workbook=12_05.xlsx&amp;sheet=U0&amp;row=9388&amp;col=7&amp;number=9.45e-05&amp;sourceID=14","9.45e-05")</f>
        <v>9.45e-05</v>
      </c>
    </row>
    <row r="9389" spans="1:7">
      <c r="A9389" s="3"/>
      <c r="B9389" s="3"/>
      <c r="C9389" s="3"/>
      <c r="D9389" s="3"/>
      <c r="E9389" s="3">
        <v>6</v>
      </c>
      <c r="F9389" s="4" t="str">
        <f>HYPERLINK("http://141.218.60.56/~jnz1568/getInfo.php?workbook=12_05.xlsx&amp;sheet=U0&amp;row=9389&amp;col=6&amp;number=3.5&amp;sourceID=14","3.5")</f>
        <v>3.5</v>
      </c>
      <c r="G9389" s="4" t="str">
        <f>HYPERLINK("http://141.218.60.56/~jnz1568/getInfo.php?workbook=12_05.xlsx&amp;sheet=U0&amp;row=9389&amp;col=7&amp;number=9.44e-05&amp;sourceID=14","9.44e-05")</f>
        <v>9.44e-05</v>
      </c>
    </row>
    <row r="9390" spans="1:7">
      <c r="A9390" s="3"/>
      <c r="B9390" s="3"/>
      <c r="C9390" s="3"/>
      <c r="D9390" s="3"/>
      <c r="E9390" s="3">
        <v>7</v>
      </c>
      <c r="F9390" s="4" t="str">
        <f>HYPERLINK("http://141.218.60.56/~jnz1568/getInfo.php?workbook=12_05.xlsx&amp;sheet=U0&amp;row=9390&amp;col=6&amp;number=3.6&amp;sourceID=14","3.6")</f>
        <v>3.6</v>
      </c>
      <c r="G9390" s="4" t="str">
        <f>HYPERLINK("http://141.218.60.56/~jnz1568/getInfo.php?workbook=12_05.xlsx&amp;sheet=U0&amp;row=9390&amp;col=7&amp;number=9.43e-05&amp;sourceID=14","9.43e-05")</f>
        <v>9.43e-05</v>
      </c>
    </row>
    <row r="9391" spans="1:7">
      <c r="A9391" s="3"/>
      <c r="B9391" s="3"/>
      <c r="C9391" s="3"/>
      <c r="D9391" s="3"/>
      <c r="E9391" s="3">
        <v>8</v>
      </c>
      <c r="F9391" s="4" t="str">
        <f>HYPERLINK("http://141.218.60.56/~jnz1568/getInfo.php?workbook=12_05.xlsx&amp;sheet=U0&amp;row=9391&amp;col=6&amp;number=3.7&amp;sourceID=14","3.7")</f>
        <v>3.7</v>
      </c>
      <c r="G9391" s="4" t="str">
        <f>HYPERLINK("http://141.218.60.56/~jnz1568/getInfo.php?workbook=12_05.xlsx&amp;sheet=U0&amp;row=9391&amp;col=7&amp;number=9.42e-05&amp;sourceID=14","9.42e-05")</f>
        <v>9.42e-05</v>
      </c>
    </row>
    <row r="9392" spans="1:7">
      <c r="A9392" s="3"/>
      <c r="B9392" s="3"/>
      <c r="C9392" s="3"/>
      <c r="D9392" s="3"/>
      <c r="E9392" s="3">
        <v>9</v>
      </c>
      <c r="F9392" s="4" t="str">
        <f>HYPERLINK("http://141.218.60.56/~jnz1568/getInfo.php?workbook=12_05.xlsx&amp;sheet=U0&amp;row=9392&amp;col=6&amp;number=3.8&amp;sourceID=14","3.8")</f>
        <v>3.8</v>
      </c>
      <c r="G9392" s="4" t="str">
        <f>HYPERLINK("http://141.218.60.56/~jnz1568/getInfo.php?workbook=12_05.xlsx&amp;sheet=U0&amp;row=9392&amp;col=7&amp;number=9.41e-05&amp;sourceID=14","9.41e-05")</f>
        <v>9.41e-05</v>
      </c>
    </row>
    <row r="9393" spans="1:7">
      <c r="A9393" s="3"/>
      <c r="B9393" s="3"/>
      <c r="C9393" s="3"/>
      <c r="D9393" s="3"/>
      <c r="E9393" s="3">
        <v>10</v>
      </c>
      <c r="F9393" s="4" t="str">
        <f>HYPERLINK("http://141.218.60.56/~jnz1568/getInfo.php?workbook=12_05.xlsx&amp;sheet=U0&amp;row=9393&amp;col=6&amp;number=3.9&amp;sourceID=14","3.9")</f>
        <v>3.9</v>
      </c>
      <c r="G9393" s="4" t="str">
        <f>HYPERLINK("http://141.218.60.56/~jnz1568/getInfo.php?workbook=12_05.xlsx&amp;sheet=U0&amp;row=9393&amp;col=7&amp;number=9.4e-05&amp;sourceID=14","9.4e-05")</f>
        <v>9.4e-05</v>
      </c>
    </row>
    <row r="9394" spans="1:7">
      <c r="A9394" s="3"/>
      <c r="B9394" s="3"/>
      <c r="C9394" s="3"/>
      <c r="D9394" s="3"/>
      <c r="E9394" s="3">
        <v>11</v>
      </c>
      <c r="F9394" s="4" t="str">
        <f>HYPERLINK("http://141.218.60.56/~jnz1568/getInfo.php?workbook=12_05.xlsx&amp;sheet=U0&amp;row=9394&amp;col=6&amp;number=4&amp;sourceID=14","4")</f>
        <v>4</v>
      </c>
      <c r="G9394" s="4" t="str">
        <f>HYPERLINK("http://141.218.60.56/~jnz1568/getInfo.php?workbook=12_05.xlsx&amp;sheet=U0&amp;row=9394&amp;col=7&amp;number=9.38e-05&amp;sourceID=14","9.38e-05")</f>
        <v>9.38e-05</v>
      </c>
    </row>
    <row r="9395" spans="1:7">
      <c r="A9395" s="3"/>
      <c r="B9395" s="3"/>
      <c r="C9395" s="3"/>
      <c r="D9395" s="3"/>
      <c r="E9395" s="3">
        <v>12</v>
      </c>
      <c r="F9395" s="4" t="str">
        <f>HYPERLINK("http://141.218.60.56/~jnz1568/getInfo.php?workbook=12_05.xlsx&amp;sheet=U0&amp;row=9395&amp;col=6&amp;number=4.1&amp;sourceID=14","4.1")</f>
        <v>4.1</v>
      </c>
      <c r="G9395" s="4" t="str">
        <f>HYPERLINK("http://141.218.60.56/~jnz1568/getInfo.php?workbook=12_05.xlsx&amp;sheet=U0&amp;row=9395&amp;col=7&amp;number=9.36e-05&amp;sourceID=14","9.36e-05")</f>
        <v>9.36e-05</v>
      </c>
    </row>
    <row r="9396" spans="1:7">
      <c r="A9396" s="3"/>
      <c r="B9396" s="3"/>
      <c r="C9396" s="3"/>
      <c r="D9396" s="3"/>
      <c r="E9396" s="3">
        <v>13</v>
      </c>
      <c r="F9396" s="4" t="str">
        <f>HYPERLINK("http://141.218.60.56/~jnz1568/getInfo.php?workbook=12_05.xlsx&amp;sheet=U0&amp;row=9396&amp;col=6&amp;number=4.2&amp;sourceID=14","4.2")</f>
        <v>4.2</v>
      </c>
      <c r="G9396" s="4" t="str">
        <f>HYPERLINK("http://141.218.60.56/~jnz1568/getInfo.php?workbook=12_05.xlsx&amp;sheet=U0&amp;row=9396&amp;col=7&amp;number=9.34e-05&amp;sourceID=14","9.34e-05")</f>
        <v>9.34e-05</v>
      </c>
    </row>
    <row r="9397" spans="1:7">
      <c r="A9397" s="3"/>
      <c r="B9397" s="3"/>
      <c r="C9397" s="3"/>
      <c r="D9397" s="3"/>
      <c r="E9397" s="3">
        <v>14</v>
      </c>
      <c r="F9397" s="4" t="str">
        <f>HYPERLINK("http://141.218.60.56/~jnz1568/getInfo.php?workbook=12_05.xlsx&amp;sheet=U0&amp;row=9397&amp;col=6&amp;number=4.3&amp;sourceID=14","4.3")</f>
        <v>4.3</v>
      </c>
      <c r="G9397" s="4" t="str">
        <f>HYPERLINK("http://141.218.60.56/~jnz1568/getInfo.php?workbook=12_05.xlsx&amp;sheet=U0&amp;row=9397&amp;col=7&amp;number=9.3e-05&amp;sourceID=14","9.3e-05")</f>
        <v>9.3e-05</v>
      </c>
    </row>
    <row r="9398" spans="1:7">
      <c r="A9398" s="3"/>
      <c r="B9398" s="3"/>
      <c r="C9398" s="3"/>
      <c r="D9398" s="3"/>
      <c r="E9398" s="3">
        <v>15</v>
      </c>
      <c r="F9398" s="4" t="str">
        <f>HYPERLINK("http://141.218.60.56/~jnz1568/getInfo.php?workbook=12_05.xlsx&amp;sheet=U0&amp;row=9398&amp;col=6&amp;number=4.4&amp;sourceID=14","4.4")</f>
        <v>4.4</v>
      </c>
      <c r="G9398" s="4" t="str">
        <f>HYPERLINK("http://141.218.60.56/~jnz1568/getInfo.php?workbook=12_05.xlsx&amp;sheet=U0&amp;row=9398&amp;col=7&amp;number=9.26e-05&amp;sourceID=14","9.26e-05")</f>
        <v>9.26e-05</v>
      </c>
    </row>
    <row r="9399" spans="1:7">
      <c r="A9399" s="3"/>
      <c r="B9399" s="3"/>
      <c r="C9399" s="3"/>
      <c r="D9399" s="3"/>
      <c r="E9399" s="3">
        <v>16</v>
      </c>
      <c r="F9399" s="4" t="str">
        <f>HYPERLINK("http://141.218.60.56/~jnz1568/getInfo.php?workbook=12_05.xlsx&amp;sheet=U0&amp;row=9399&amp;col=6&amp;number=4.5&amp;sourceID=14","4.5")</f>
        <v>4.5</v>
      </c>
      <c r="G9399" s="4" t="str">
        <f>HYPERLINK("http://141.218.60.56/~jnz1568/getInfo.php?workbook=12_05.xlsx&amp;sheet=U0&amp;row=9399&amp;col=7&amp;number=9.21e-05&amp;sourceID=14","9.21e-05")</f>
        <v>9.21e-05</v>
      </c>
    </row>
    <row r="9400" spans="1:7">
      <c r="A9400" s="3"/>
      <c r="B9400" s="3"/>
      <c r="C9400" s="3"/>
      <c r="D9400" s="3"/>
      <c r="E9400" s="3">
        <v>17</v>
      </c>
      <c r="F9400" s="4" t="str">
        <f>HYPERLINK("http://141.218.60.56/~jnz1568/getInfo.php?workbook=12_05.xlsx&amp;sheet=U0&amp;row=9400&amp;col=6&amp;number=4.6&amp;sourceID=14","4.6")</f>
        <v>4.6</v>
      </c>
      <c r="G9400" s="4" t="str">
        <f>HYPERLINK("http://141.218.60.56/~jnz1568/getInfo.php?workbook=12_05.xlsx&amp;sheet=U0&amp;row=9400&amp;col=7&amp;number=9.14e-05&amp;sourceID=14","9.14e-05")</f>
        <v>9.14e-05</v>
      </c>
    </row>
    <row r="9401" spans="1:7">
      <c r="A9401" s="3"/>
      <c r="B9401" s="3"/>
      <c r="C9401" s="3"/>
      <c r="D9401" s="3"/>
      <c r="E9401" s="3">
        <v>18</v>
      </c>
      <c r="F9401" s="4" t="str">
        <f>HYPERLINK("http://141.218.60.56/~jnz1568/getInfo.php?workbook=12_05.xlsx&amp;sheet=U0&amp;row=9401&amp;col=6&amp;number=4.7&amp;sourceID=14","4.7")</f>
        <v>4.7</v>
      </c>
      <c r="G9401" s="4" t="str">
        <f>HYPERLINK("http://141.218.60.56/~jnz1568/getInfo.php?workbook=12_05.xlsx&amp;sheet=U0&amp;row=9401&amp;col=7&amp;number=9.06e-05&amp;sourceID=14","9.06e-05")</f>
        <v>9.06e-05</v>
      </c>
    </row>
    <row r="9402" spans="1:7">
      <c r="A9402" s="3"/>
      <c r="B9402" s="3"/>
      <c r="C9402" s="3"/>
      <c r="D9402" s="3"/>
      <c r="E9402" s="3">
        <v>19</v>
      </c>
      <c r="F9402" s="4" t="str">
        <f>HYPERLINK("http://141.218.60.56/~jnz1568/getInfo.php?workbook=12_05.xlsx&amp;sheet=U0&amp;row=9402&amp;col=6&amp;number=4.8&amp;sourceID=14","4.8")</f>
        <v>4.8</v>
      </c>
      <c r="G9402" s="4" t="str">
        <f>HYPERLINK("http://141.218.60.56/~jnz1568/getInfo.php?workbook=12_05.xlsx&amp;sheet=U0&amp;row=9402&amp;col=7&amp;number=8.96e-05&amp;sourceID=14","8.96e-05")</f>
        <v>8.96e-05</v>
      </c>
    </row>
    <row r="9403" spans="1:7">
      <c r="A9403" s="3"/>
      <c r="B9403" s="3"/>
      <c r="C9403" s="3"/>
      <c r="D9403" s="3"/>
      <c r="E9403" s="3">
        <v>20</v>
      </c>
      <c r="F9403" s="4" t="str">
        <f>HYPERLINK("http://141.218.60.56/~jnz1568/getInfo.php?workbook=12_05.xlsx&amp;sheet=U0&amp;row=9403&amp;col=6&amp;number=4.9&amp;sourceID=14","4.9")</f>
        <v>4.9</v>
      </c>
      <c r="G9403" s="4" t="str">
        <f>HYPERLINK("http://141.218.60.56/~jnz1568/getInfo.php?workbook=12_05.xlsx&amp;sheet=U0&amp;row=9403&amp;col=7&amp;number=8.84e-05&amp;sourceID=14","8.84e-05")</f>
        <v>8.84e-05</v>
      </c>
    </row>
    <row r="9404" spans="1:7">
      <c r="A9404" s="3">
        <v>12</v>
      </c>
      <c r="B9404" s="3">
        <v>5</v>
      </c>
      <c r="C9404" s="3">
        <v>5</v>
      </c>
      <c r="D9404" s="3">
        <v>42</v>
      </c>
      <c r="E9404" s="3">
        <v>1</v>
      </c>
      <c r="F9404" s="4" t="str">
        <f>HYPERLINK("http://141.218.60.56/~jnz1568/getInfo.php?workbook=12_05.xlsx&amp;sheet=U0&amp;row=9404&amp;col=6&amp;number=3&amp;sourceID=14","3")</f>
        <v>3</v>
      </c>
      <c r="G9404" s="4" t="str">
        <f>HYPERLINK("http://141.218.60.56/~jnz1568/getInfo.php?workbook=12_05.xlsx&amp;sheet=U0&amp;row=9404&amp;col=7&amp;number=0.00111&amp;sourceID=14","0.00111")</f>
        <v>0.00111</v>
      </c>
    </row>
    <row r="9405" spans="1:7">
      <c r="A9405" s="3"/>
      <c r="B9405" s="3"/>
      <c r="C9405" s="3"/>
      <c r="D9405" s="3"/>
      <c r="E9405" s="3">
        <v>2</v>
      </c>
      <c r="F9405" s="4" t="str">
        <f>HYPERLINK("http://141.218.60.56/~jnz1568/getInfo.php?workbook=12_05.xlsx&amp;sheet=U0&amp;row=9405&amp;col=6&amp;number=3.1&amp;sourceID=14","3.1")</f>
        <v>3.1</v>
      </c>
      <c r="G9405" s="4" t="str">
        <f>HYPERLINK("http://141.218.60.56/~jnz1568/getInfo.php?workbook=12_05.xlsx&amp;sheet=U0&amp;row=9405&amp;col=7&amp;number=0.00111&amp;sourceID=14","0.00111")</f>
        <v>0.00111</v>
      </c>
    </row>
    <row r="9406" spans="1:7">
      <c r="A9406" s="3"/>
      <c r="B9406" s="3"/>
      <c r="C9406" s="3"/>
      <c r="D9406" s="3"/>
      <c r="E9406" s="3">
        <v>3</v>
      </c>
      <c r="F9406" s="4" t="str">
        <f>HYPERLINK("http://141.218.60.56/~jnz1568/getInfo.php?workbook=12_05.xlsx&amp;sheet=U0&amp;row=9406&amp;col=6&amp;number=3.2&amp;sourceID=14","3.2")</f>
        <v>3.2</v>
      </c>
      <c r="G9406" s="4" t="str">
        <f>HYPERLINK("http://141.218.60.56/~jnz1568/getInfo.php?workbook=12_05.xlsx&amp;sheet=U0&amp;row=9406&amp;col=7&amp;number=0.00111&amp;sourceID=14","0.00111")</f>
        <v>0.00111</v>
      </c>
    </row>
    <row r="9407" spans="1:7">
      <c r="A9407" s="3"/>
      <c r="B9407" s="3"/>
      <c r="C9407" s="3"/>
      <c r="D9407" s="3"/>
      <c r="E9407" s="3">
        <v>4</v>
      </c>
      <c r="F9407" s="4" t="str">
        <f>HYPERLINK("http://141.218.60.56/~jnz1568/getInfo.php?workbook=12_05.xlsx&amp;sheet=U0&amp;row=9407&amp;col=6&amp;number=3.3&amp;sourceID=14","3.3")</f>
        <v>3.3</v>
      </c>
      <c r="G9407" s="4" t="str">
        <f>HYPERLINK("http://141.218.60.56/~jnz1568/getInfo.php?workbook=12_05.xlsx&amp;sheet=U0&amp;row=9407&amp;col=7&amp;number=0.00111&amp;sourceID=14","0.00111")</f>
        <v>0.00111</v>
      </c>
    </row>
    <row r="9408" spans="1:7">
      <c r="A9408" s="3"/>
      <c r="B9408" s="3"/>
      <c r="C9408" s="3"/>
      <c r="D9408" s="3"/>
      <c r="E9408" s="3">
        <v>5</v>
      </c>
      <c r="F9408" s="4" t="str">
        <f>HYPERLINK("http://141.218.60.56/~jnz1568/getInfo.php?workbook=12_05.xlsx&amp;sheet=U0&amp;row=9408&amp;col=6&amp;number=3.4&amp;sourceID=14","3.4")</f>
        <v>3.4</v>
      </c>
      <c r="G9408" s="4" t="str">
        <f>HYPERLINK("http://141.218.60.56/~jnz1568/getInfo.php?workbook=12_05.xlsx&amp;sheet=U0&amp;row=9408&amp;col=7&amp;number=0.00111&amp;sourceID=14","0.00111")</f>
        <v>0.00111</v>
      </c>
    </row>
    <row r="9409" spans="1:7">
      <c r="A9409" s="3"/>
      <c r="B9409" s="3"/>
      <c r="C9409" s="3"/>
      <c r="D9409" s="3"/>
      <c r="E9409" s="3">
        <v>6</v>
      </c>
      <c r="F9409" s="4" t="str">
        <f>HYPERLINK("http://141.218.60.56/~jnz1568/getInfo.php?workbook=12_05.xlsx&amp;sheet=U0&amp;row=9409&amp;col=6&amp;number=3.5&amp;sourceID=14","3.5")</f>
        <v>3.5</v>
      </c>
      <c r="G9409" s="4" t="str">
        <f>HYPERLINK("http://141.218.60.56/~jnz1568/getInfo.php?workbook=12_05.xlsx&amp;sheet=U0&amp;row=9409&amp;col=7&amp;number=0.00111&amp;sourceID=14","0.00111")</f>
        <v>0.00111</v>
      </c>
    </row>
    <row r="9410" spans="1:7">
      <c r="A9410" s="3"/>
      <c r="B9410" s="3"/>
      <c r="C9410" s="3"/>
      <c r="D9410" s="3"/>
      <c r="E9410" s="3">
        <v>7</v>
      </c>
      <c r="F9410" s="4" t="str">
        <f>HYPERLINK("http://141.218.60.56/~jnz1568/getInfo.php?workbook=12_05.xlsx&amp;sheet=U0&amp;row=9410&amp;col=6&amp;number=3.6&amp;sourceID=14","3.6")</f>
        <v>3.6</v>
      </c>
      <c r="G9410" s="4" t="str">
        <f>HYPERLINK("http://141.218.60.56/~jnz1568/getInfo.php?workbook=12_05.xlsx&amp;sheet=U0&amp;row=9410&amp;col=7&amp;number=0.00111&amp;sourceID=14","0.00111")</f>
        <v>0.00111</v>
      </c>
    </row>
    <row r="9411" spans="1:7">
      <c r="A9411" s="3"/>
      <c r="B9411" s="3"/>
      <c r="C9411" s="3"/>
      <c r="D9411" s="3"/>
      <c r="E9411" s="3">
        <v>8</v>
      </c>
      <c r="F9411" s="4" t="str">
        <f>HYPERLINK("http://141.218.60.56/~jnz1568/getInfo.php?workbook=12_05.xlsx&amp;sheet=U0&amp;row=9411&amp;col=6&amp;number=3.7&amp;sourceID=14","3.7")</f>
        <v>3.7</v>
      </c>
      <c r="G9411" s="4" t="str">
        <f>HYPERLINK("http://141.218.60.56/~jnz1568/getInfo.php?workbook=12_05.xlsx&amp;sheet=U0&amp;row=9411&amp;col=7&amp;number=0.00111&amp;sourceID=14","0.00111")</f>
        <v>0.00111</v>
      </c>
    </row>
    <row r="9412" spans="1:7">
      <c r="A9412" s="3"/>
      <c r="B9412" s="3"/>
      <c r="C9412" s="3"/>
      <c r="D9412" s="3"/>
      <c r="E9412" s="3">
        <v>9</v>
      </c>
      <c r="F9412" s="4" t="str">
        <f>HYPERLINK("http://141.218.60.56/~jnz1568/getInfo.php?workbook=12_05.xlsx&amp;sheet=U0&amp;row=9412&amp;col=6&amp;number=3.8&amp;sourceID=14","3.8")</f>
        <v>3.8</v>
      </c>
      <c r="G9412" s="4" t="str">
        <f>HYPERLINK("http://141.218.60.56/~jnz1568/getInfo.php?workbook=12_05.xlsx&amp;sheet=U0&amp;row=9412&amp;col=7&amp;number=0.00111&amp;sourceID=14","0.00111")</f>
        <v>0.00111</v>
      </c>
    </row>
    <row r="9413" spans="1:7">
      <c r="A9413" s="3"/>
      <c r="B9413" s="3"/>
      <c r="C9413" s="3"/>
      <c r="D9413" s="3"/>
      <c r="E9413" s="3">
        <v>10</v>
      </c>
      <c r="F9413" s="4" t="str">
        <f>HYPERLINK("http://141.218.60.56/~jnz1568/getInfo.php?workbook=12_05.xlsx&amp;sheet=U0&amp;row=9413&amp;col=6&amp;number=3.9&amp;sourceID=14","3.9")</f>
        <v>3.9</v>
      </c>
      <c r="G9413" s="4" t="str">
        <f>HYPERLINK("http://141.218.60.56/~jnz1568/getInfo.php?workbook=12_05.xlsx&amp;sheet=U0&amp;row=9413&amp;col=7&amp;number=0.00111&amp;sourceID=14","0.00111")</f>
        <v>0.00111</v>
      </c>
    </row>
    <row r="9414" spans="1:7">
      <c r="A9414" s="3"/>
      <c r="B9414" s="3"/>
      <c r="C9414" s="3"/>
      <c r="D9414" s="3"/>
      <c r="E9414" s="3">
        <v>11</v>
      </c>
      <c r="F9414" s="4" t="str">
        <f>HYPERLINK("http://141.218.60.56/~jnz1568/getInfo.php?workbook=12_05.xlsx&amp;sheet=U0&amp;row=9414&amp;col=6&amp;number=4&amp;sourceID=14","4")</f>
        <v>4</v>
      </c>
      <c r="G9414" s="4" t="str">
        <f>HYPERLINK("http://141.218.60.56/~jnz1568/getInfo.php?workbook=12_05.xlsx&amp;sheet=U0&amp;row=9414&amp;col=7&amp;number=0.00111&amp;sourceID=14","0.00111")</f>
        <v>0.00111</v>
      </c>
    </row>
    <row r="9415" spans="1:7">
      <c r="A9415" s="3"/>
      <c r="B9415" s="3"/>
      <c r="C9415" s="3"/>
      <c r="D9415" s="3"/>
      <c r="E9415" s="3">
        <v>12</v>
      </c>
      <c r="F9415" s="4" t="str">
        <f>HYPERLINK("http://141.218.60.56/~jnz1568/getInfo.php?workbook=12_05.xlsx&amp;sheet=U0&amp;row=9415&amp;col=6&amp;number=4.1&amp;sourceID=14","4.1")</f>
        <v>4.1</v>
      </c>
      <c r="G9415" s="4" t="str">
        <f>HYPERLINK("http://141.218.60.56/~jnz1568/getInfo.php?workbook=12_05.xlsx&amp;sheet=U0&amp;row=9415&amp;col=7&amp;number=0.00111&amp;sourceID=14","0.00111")</f>
        <v>0.00111</v>
      </c>
    </row>
    <row r="9416" spans="1:7">
      <c r="A9416" s="3"/>
      <c r="B9416" s="3"/>
      <c r="C9416" s="3"/>
      <c r="D9416" s="3"/>
      <c r="E9416" s="3">
        <v>13</v>
      </c>
      <c r="F9416" s="4" t="str">
        <f>HYPERLINK("http://141.218.60.56/~jnz1568/getInfo.php?workbook=12_05.xlsx&amp;sheet=U0&amp;row=9416&amp;col=6&amp;number=4.2&amp;sourceID=14","4.2")</f>
        <v>4.2</v>
      </c>
      <c r="G9416" s="4" t="str">
        <f>HYPERLINK("http://141.218.60.56/~jnz1568/getInfo.php?workbook=12_05.xlsx&amp;sheet=U0&amp;row=9416&amp;col=7&amp;number=0.00111&amp;sourceID=14","0.00111")</f>
        <v>0.00111</v>
      </c>
    </row>
    <row r="9417" spans="1:7">
      <c r="A9417" s="3"/>
      <c r="B9417" s="3"/>
      <c r="C9417" s="3"/>
      <c r="D9417" s="3"/>
      <c r="E9417" s="3">
        <v>14</v>
      </c>
      <c r="F9417" s="4" t="str">
        <f>HYPERLINK("http://141.218.60.56/~jnz1568/getInfo.php?workbook=12_05.xlsx&amp;sheet=U0&amp;row=9417&amp;col=6&amp;number=4.3&amp;sourceID=14","4.3")</f>
        <v>4.3</v>
      </c>
      <c r="G9417" s="4" t="str">
        <f>HYPERLINK("http://141.218.60.56/~jnz1568/getInfo.php?workbook=12_05.xlsx&amp;sheet=U0&amp;row=9417&amp;col=7&amp;number=0.00111&amp;sourceID=14","0.00111")</f>
        <v>0.00111</v>
      </c>
    </row>
    <row r="9418" spans="1:7">
      <c r="A9418" s="3"/>
      <c r="B9418" s="3"/>
      <c r="C9418" s="3"/>
      <c r="D9418" s="3"/>
      <c r="E9418" s="3">
        <v>15</v>
      </c>
      <c r="F9418" s="4" t="str">
        <f>HYPERLINK("http://141.218.60.56/~jnz1568/getInfo.php?workbook=12_05.xlsx&amp;sheet=U0&amp;row=9418&amp;col=6&amp;number=4.4&amp;sourceID=14","4.4")</f>
        <v>4.4</v>
      </c>
      <c r="G9418" s="4" t="str">
        <f>HYPERLINK("http://141.218.60.56/~jnz1568/getInfo.php?workbook=12_05.xlsx&amp;sheet=U0&amp;row=9418&amp;col=7&amp;number=0.0011&amp;sourceID=14","0.0011")</f>
        <v>0.0011</v>
      </c>
    </row>
    <row r="9419" spans="1:7">
      <c r="A9419" s="3"/>
      <c r="B9419" s="3"/>
      <c r="C9419" s="3"/>
      <c r="D9419" s="3"/>
      <c r="E9419" s="3">
        <v>16</v>
      </c>
      <c r="F9419" s="4" t="str">
        <f>HYPERLINK("http://141.218.60.56/~jnz1568/getInfo.php?workbook=12_05.xlsx&amp;sheet=U0&amp;row=9419&amp;col=6&amp;number=4.5&amp;sourceID=14","4.5")</f>
        <v>4.5</v>
      </c>
      <c r="G9419" s="4" t="str">
        <f>HYPERLINK("http://141.218.60.56/~jnz1568/getInfo.php?workbook=12_05.xlsx&amp;sheet=U0&amp;row=9419&amp;col=7&amp;number=0.0011&amp;sourceID=14","0.0011")</f>
        <v>0.0011</v>
      </c>
    </row>
    <row r="9420" spans="1:7">
      <c r="A9420" s="3"/>
      <c r="B9420" s="3"/>
      <c r="C9420" s="3"/>
      <c r="D9420" s="3"/>
      <c r="E9420" s="3">
        <v>17</v>
      </c>
      <c r="F9420" s="4" t="str">
        <f>HYPERLINK("http://141.218.60.56/~jnz1568/getInfo.php?workbook=12_05.xlsx&amp;sheet=U0&amp;row=9420&amp;col=6&amp;number=4.6&amp;sourceID=14","4.6")</f>
        <v>4.6</v>
      </c>
      <c r="G9420" s="4" t="str">
        <f>HYPERLINK("http://141.218.60.56/~jnz1568/getInfo.php?workbook=12_05.xlsx&amp;sheet=U0&amp;row=9420&amp;col=7&amp;number=0.0011&amp;sourceID=14","0.0011")</f>
        <v>0.0011</v>
      </c>
    </row>
    <row r="9421" spans="1:7">
      <c r="A9421" s="3"/>
      <c r="B9421" s="3"/>
      <c r="C9421" s="3"/>
      <c r="D9421" s="3"/>
      <c r="E9421" s="3">
        <v>18</v>
      </c>
      <c r="F9421" s="4" t="str">
        <f>HYPERLINK("http://141.218.60.56/~jnz1568/getInfo.php?workbook=12_05.xlsx&amp;sheet=U0&amp;row=9421&amp;col=6&amp;number=4.7&amp;sourceID=14","4.7")</f>
        <v>4.7</v>
      </c>
      <c r="G9421" s="4" t="str">
        <f>HYPERLINK("http://141.218.60.56/~jnz1568/getInfo.php?workbook=12_05.xlsx&amp;sheet=U0&amp;row=9421&amp;col=7&amp;number=0.0011&amp;sourceID=14","0.0011")</f>
        <v>0.0011</v>
      </c>
    </row>
    <row r="9422" spans="1:7">
      <c r="A9422" s="3"/>
      <c r="B9422" s="3"/>
      <c r="C9422" s="3"/>
      <c r="D9422" s="3"/>
      <c r="E9422" s="3">
        <v>19</v>
      </c>
      <c r="F9422" s="4" t="str">
        <f>HYPERLINK("http://141.218.60.56/~jnz1568/getInfo.php?workbook=12_05.xlsx&amp;sheet=U0&amp;row=9422&amp;col=6&amp;number=4.8&amp;sourceID=14","4.8")</f>
        <v>4.8</v>
      </c>
      <c r="G9422" s="4" t="str">
        <f>HYPERLINK("http://141.218.60.56/~jnz1568/getInfo.php?workbook=12_05.xlsx&amp;sheet=U0&amp;row=9422&amp;col=7&amp;number=0.00109&amp;sourceID=14","0.00109")</f>
        <v>0.00109</v>
      </c>
    </row>
    <row r="9423" spans="1:7">
      <c r="A9423" s="3"/>
      <c r="B9423" s="3"/>
      <c r="C9423" s="3"/>
      <c r="D9423" s="3"/>
      <c r="E9423" s="3">
        <v>20</v>
      </c>
      <c r="F9423" s="4" t="str">
        <f>HYPERLINK("http://141.218.60.56/~jnz1568/getInfo.php?workbook=12_05.xlsx&amp;sheet=U0&amp;row=9423&amp;col=6&amp;number=4.9&amp;sourceID=14","4.9")</f>
        <v>4.9</v>
      </c>
      <c r="G9423" s="4" t="str">
        <f>HYPERLINK("http://141.218.60.56/~jnz1568/getInfo.php?workbook=12_05.xlsx&amp;sheet=U0&amp;row=9423&amp;col=7&amp;number=0.00109&amp;sourceID=14","0.00109")</f>
        <v>0.00109</v>
      </c>
    </row>
    <row r="9424" spans="1:7">
      <c r="A9424" s="3">
        <v>12</v>
      </c>
      <c r="B9424" s="3">
        <v>5</v>
      </c>
      <c r="C9424" s="3">
        <v>5</v>
      </c>
      <c r="D9424" s="3">
        <v>43</v>
      </c>
      <c r="E9424" s="3">
        <v>1</v>
      </c>
      <c r="F9424" s="4" t="str">
        <f>HYPERLINK("http://141.218.60.56/~jnz1568/getInfo.php?workbook=12_05.xlsx&amp;sheet=U0&amp;row=9424&amp;col=6&amp;number=3&amp;sourceID=14","3")</f>
        <v>3</v>
      </c>
      <c r="G9424" s="4" t="str">
        <f>HYPERLINK("http://141.218.60.56/~jnz1568/getInfo.php?workbook=12_05.xlsx&amp;sheet=U0&amp;row=9424&amp;col=7&amp;number=0.00468&amp;sourceID=14","0.00468")</f>
        <v>0.00468</v>
      </c>
    </row>
    <row r="9425" spans="1:7">
      <c r="A9425" s="3"/>
      <c r="B9425" s="3"/>
      <c r="C9425" s="3"/>
      <c r="D9425" s="3"/>
      <c r="E9425" s="3">
        <v>2</v>
      </c>
      <c r="F9425" s="4" t="str">
        <f>HYPERLINK("http://141.218.60.56/~jnz1568/getInfo.php?workbook=12_05.xlsx&amp;sheet=U0&amp;row=9425&amp;col=6&amp;number=3.1&amp;sourceID=14","3.1")</f>
        <v>3.1</v>
      </c>
      <c r="G9425" s="4" t="str">
        <f>HYPERLINK("http://141.218.60.56/~jnz1568/getInfo.php?workbook=12_05.xlsx&amp;sheet=U0&amp;row=9425&amp;col=7&amp;number=0.00467&amp;sourceID=14","0.00467")</f>
        <v>0.00467</v>
      </c>
    </row>
    <row r="9426" spans="1:7">
      <c r="A9426" s="3"/>
      <c r="B9426" s="3"/>
      <c r="C9426" s="3"/>
      <c r="D9426" s="3"/>
      <c r="E9426" s="3">
        <v>3</v>
      </c>
      <c r="F9426" s="4" t="str">
        <f>HYPERLINK("http://141.218.60.56/~jnz1568/getInfo.php?workbook=12_05.xlsx&amp;sheet=U0&amp;row=9426&amp;col=6&amp;number=3.2&amp;sourceID=14","3.2")</f>
        <v>3.2</v>
      </c>
      <c r="G9426" s="4" t="str">
        <f>HYPERLINK("http://141.218.60.56/~jnz1568/getInfo.php?workbook=12_05.xlsx&amp;sheet=U0&amp;row=9426&amp;col=7&amp;number=0.00467&amp;sourceID=14","0.00467")</f>
        <v>0.00467</v>
      </c>
    </row>
    <row r="9427" spans="1:7">
      <c r="A9427" s="3"/>
      <c r="B9427" s="3"/>
      <c r="C9427" s="3"/>
      <c r="D9427" s="3"/>
      <c r="E9427" s="3">
        <v>4</v>
      </c>
      <c r="F9427" s="4" t="str">
        <f>HYPERLINK("http://141.218.60.56/~jnz1568/getInfo.php?workbook=12_05.xlsx&amp;sheet=U0&amp;row=9427&amp;col=6&amp;number=3.3&amp;sourceID=14","3.3")</f>
        <v>3.3</v>
      </c>
      <c r="G9427" s="4" t="str">
        <f>HYPERLINK("http://141.218.60.56/~jnz1568/getInfo.php?workbook=12_05.xlsx&amp;sheet=U0&amp;row=9427&amp;col=7&amp;number=0.00467&amp;sourceID=14","0.00467")</f>
        <v>0.00467</v>
      </c>
    </row>
    <row r="9428" spans="1:7">
      <c r="A9428" s="3"/>
      <c r="B9428" s="3"/>
      <c r="C9428" s="3"/>
      <c r="D9428" s="3"/>
      <c r="E9428" s="3">
        <v>5</v>
      </c>
      <c r="F9428" s="4" t="str">
        <f>HYPERLINK("http://141.218.60.56/~jnz1568/getInfo.php?workbook=12_05.xlsx&amp;sheet=U0&amp;row=9428&amp;col=6&amp;number=3.4&amp;sourceID=14","3.4")</f>
        <v>3.4</v>
      </c>
      <c r="G9428" s="4" t="str">
        <f>HYPERLINK("http://141.218.60.56/~jnz1568/getInfo.php?workbook=12_05.xlsx&amp;sheet=U0&amp;row=9428&amp;col=7&amp;number=0.00467&amp;sourceID=14","0.00467")</f>
        <v>0.00467</v>
      </c>
    </row>
    <row r="9429" spans="1:7">
      <c r="A9429" s="3"/>
      <c r="B9429" s="3"/>
      <c r="C9429" s="3"/>
      <c r="D9429" s="3"/>
      <c r="E9429" s="3">
        <v>6</v>
      </c>
      <c r="F9429" s="4" t="str">
        <f>HYPERLINK("http://141.218.60.56/~jnz1568/getInfo.php?workbook=12_05.xlsx&amp;sheet=U0&amp;row=9429&amp;col=6&amp;number=3.5&amp;sourceID=14","3.5")</f>
        <v>3.5</v>
      </c>
      <c r="G9429" s="4" t="str">
        <f>HYPERLINK("http://141.218.60.56/~jnz1568/getInfo.php?workbook=12_05.xlsx&amp;sheet=U0&amp;row=9429&amp;col=7&amp;number=0.00467&amp;sourceID=14","0.00467")</f>
        <v>0.00467</v>
      </c>
    </row>
    <row r="9430" spans="1:7">
      <c r="A9430" s="3"/>
      <c r="B9430" s="3"/>
      <c r="C9430" s="3"/>
      <c r="D9430" s="3"/>
      <c r="E9430" s="3">
        <v>7</v>
      </c>
      <c r="F9430" s="4" t="str">
        <f>HYPERLINK("http://141.218.60.56/~jnz1568/getInfo.php?workbook=12_05.xlsx&amp;sheet=U0&amp;row=9430&amp;col=6&amp;number=3.6&amp;sourceID=14","3.6")</f>
        <v>3.6</v>
      </c>
      <c r="G9430" s="4" t="str">
        <f>HYPERLINK("http://141.218.60.56/~jnz1568/getInfo.php?workbook=12_05.xlsx&amp;sheet=U0&amp;row=9430&amp;col=7&amp;number=0.00467&amp;sourceID=14","0.00467")</f>
        <v>0.00467</v>
      </c>
    </row>
    <row r="9431" spans="1:7">
      <c r="A9431" s="3"/>
      <c r="B9431" s="3"/>
      <c r="C9431" s="3"/>
      <c r="D9431" s="3"/>
      <c r="E9431" s="3">
        <v>8</v>
      </c>
      <c r="F9431" s="4" t="str">
        <f>HYPERLINK("http://141.218.60.56/~jnz1568/getInfo.php?workbook=12_05.xlsx&amp;sheet=U0&amp;row=9431&amp;col=6&amp;number=3.7&amp;sourceID=14","3.7")</f>
        <v>3.7</v>
      </c>
      <c r="G9431" s="4" t="str">
        <f>HYPERLINK("http://141.218.60.56/~jnz1568/getInfo.php?workbook=12_05.xlsx&amp;sheet=U0&amp;row=9431&amp;col=7&amp;number=0.00467&amp;sourceID=14","0.00467")</f>
        <v>0.00467</v>
      </c>
    </row>
    <row r="9432" spans="1:7">
      <c r="A9432" s="3"/>
      <c r="B9432" s="3"/>
      <c r="C9432" s="3"/>
      <c r="D9432" s="3"/>
      <c r="E9432" s="3">
        <v>9</v>
      </c>
      <c r="F9432" s="4" t="str">
        <f>HYPERLINK("http://141.218.60.56/~jnz1568/getInfo.php?workbook=12_05.xlsx&amp;sheet=U0&amp;row=9432&amp;col=6&amp;number=3.8&amp;sourceID=14","3.8")</f>
        <v>3.8</v>
      </c>
      <c r="G9432" s="4" t="str">
        <f>HYPERLINK("http://141.218.60.56/~jnz1568/getInfo.php?workbook=12_05.xlsx&amp;sheet=U0&amp;row=9432&amp;col=7&amp;number=0.00467&amp;sourceID=14","0.00467")</f>
        <v>0.00467</v>
      </c>
    </row>
    <row r="9433" spans="1:7">
      <c r="A9433" s="3"/>
      <c r="B9433" s="3"/>
      <c r="C9433" s="3"/>
      <c r="D9433" s="3"/>
      <c r="E9433" s="3">
        <v>10</v>
      </c>
      <c r="F9433" s="4" t="str">
        <f>HYPERLINK("http://141.218.60.56/~jnz1568/getInfo.php?workbook=12_05.xlsx&amp;sheet=U0&amp;row=9433&amp;col=6&amp;number=3.9&amp;sourceID=14","3.9")</f>
        <v>3.9</v>
      </c>
      <c r="G9433" s="4" t="str">
        <f>HYPERLINK("http://141.218.60.56/~jnz1568/getInfo.php?workbook=12_05.xlsx&amp;sheet=U0&amp;row=9433&amp;col=7&amp;number=0.00466&amp;sourceID=14","0.00466")</f>
        <v>0.00466</v>
      </c>
    </row>
    <row r="9434" spans="1:7">
      <c r="A9434" s="3"/>
      <c r="B9434" s="3"/>
      <c r="C9434" s="3"/>
      <c r="D9434" s="3"/>
      <c r="E9434" s="3">
        <v>11</v>
      </c>
      <c r="F9434" s="4" t="str">
        <f>HYPERLINK("http://141.218.60.56/~jnz1568/getInfo.php?workbook=12_05.xlsx&amp;sheet=U0&amp;row=9434&amp;col=6&amp;number=4&amp;sourceID=14","4")</f>
        <v>4</v>
      </c>
      <c r="G9434" s="4" t="str">
        <f>HYPERLINK("http://141.218.60.56/~jnz1568/getInfo.php?workbook=12_05.xlsx&amp;sheet=U0&amp;row=9434&amp;col=7&amp;number=0.00466&amp;sourceID=14","0.00466")</f>
        <v>0.00466</v>
      </c>
    </row>
    <row r="9435" spans="1:7">
      <c r="A9435" s="3"/>
      <c r="B9435" s="3"/>
      <c r="C9435" s="3"/>
      <c r="D9435" s="3"/>
      <c r="E9435" s="3">
        <v>12</v>
      </c>
      <c r="F9435" s="4" t="str">
        <f>HYPERLINK("http://141.218.60.56/~jnz1568/getInfo.php?workbook=12_05.xlsx&amp;sheet=U0&amp;row=9435&amp;col=6&amp;number=4.1&amp;sourceID=14","4.1")</f>
        <v>4.1</v>
      </c>
      <c r="G9435" s="4" t="str">
        <f>HYPERLINK("http://141.218.60.56/~jnz1568/getInfo.php?workbook=12_05.xlsx&amp;sheet=U0&amp;row=9435&amp;col=7&amp;number=0.00466&amp;sourceID=14","0.00466")</f>
        <v>0.00466</v>
      </c>
    </row>
    <row r="9436" spans="1:7">
      <c r="A9436" s="3"/>
      <c r="B9436" s="3"/>
      <c r="C9436" s="3"/>
      <c r="D9436" s="3"/>
      <c r="E9436" s="3">
        <v>13</v>
      </c>
      <c r="F9436" s="4" t="str">
        <f>HYPERLINK("http://141.218.60.56/~jnz1568/getInfo.php?workbook=12_05.xlsx&amp;sheet=U0&amp;row=9436&amp;col=6&amp;number=4.2&amp;sourceID=14","4.2")</f>
        <v>4.2</v>
      </c>
      <c r="G9436" s="4" t="str">
        <f>HYPERLINK("http://141.218.60.56/~jnz1568/getInfo.php?workbook=12_05.xlsx&amp;sheet=U0&amp;row=9436&amp;col=7&amp;number=0.00465&amp;sourceID=14","0.00465")</f>
        <v>0.00465</v>
      </c>
    </row>
    <row r="9437" spans="1:7">
      <c r="A9437" s="3"/>
      <c r="B9437" s="3"/>
      <c r="C9437" s="3"/>
      <c r="D9437" s="3"/>
      <c r="E9437" s="3">
        <v>14</v>
      </c>
      <c r="F9437" s="4" t="str">
        <f>HYPERLINK("http://141.218.60.56/~jnz1568/getInfo.php?workbook=12_05.xlsx&amp;sheet=U0&amp;row=9437&amp;col=6&amp;number=4.3&amp;sourceID=14","4.3")</f>
        <v>4.3</v>
      </c>
      <c r="G9437" s="4" t="str">
        <f>HYPERLINK("http://141.218.60.56/~jnz1568/getInfo.php?workbook=12_05.xlsx&amp;sheet=U0&amp;row=9437&amp;col=7&amp;number=0.00465&amp;sourceID=14","0.00465")</f>
        <v>0.00465</v>
      </c>
    </row>
    <row r="9438" spans="1:7">
      <c r="A9438" s="3"/>
      <c r="B9438" s="3"/>
      <c r="C9438" s="3"/>
      <c r="D9438" s="3"/>
      <c r="E9438" s="3">
        <v>15</v>
      </c>
      <c r="F9438" s="4" t="str">
        <f>HYPERLINK("http://141.218.60.56/~jnz1568/getInfo.php?workbook=12_05.xlsx&amp;sheet=U0&amp;row=9438&amp;col=6&amp;number=4.4&amp;sourceID=14","4.4")</f>
        <v>4.4</v>
      </c>
      <c r="G9438" s="4" t="str">
        <f>HYPERLINK("http://141.218.60.56/~jnz1568/getInfo.php?workbook=12_05.xlsx&amp;sheet=U0&amp;row=9438&amp;col=7&amp;number=0.00464&amp;sourceID=14","0.00464")</f>
        <v>0.00464</v>
      </c>
    </row>
    <row r="9439" spans="1:7">
      <c r="A9439" s="3"/>
      <c r="B9439" s="3"/>
      <c r="C9439" s="3"/>
      <c r="D9439" s="3"/>
      <c r="E9439" s="3">
        <v>16</v>
      </c>
      <c r="F9439" s="4" t="str">
        <f>HYPERLINK("http://141.218.60.56/~jnz1568/getInfo.php?workbook=12_05.xlsx&amp;sheet=U0&amp;row=9439&amp;col=6&amp;number=4.5&amp;sourceID=14","4.5")</f>
        <v>4.5</v>
      </c>
      <c r="G9439" s="4" t="str">
        <f>HYPERLINK("http://141.218.60.56/~jnz1568/getInfo.php?workbook=12_05.xlsx&amp;sheet=U0&amp;row=9439&amp;col=7&amp;number=0.00463&amp;sourceID=14","0.00463")</f>
        <v>0.00463</v>
      </c>
    </row>
    <row r="9440" spans="1:7">
      <c r="A9440" s="3"/>
      <c r="B9440" s="3"/>
      <c r="C9440" s="3"/>
      <c r="D9440" s="3"/>
      <c r="E9440" s="3">
        <v>17</v>
      </c>
      <c r="F9440" s="4" t="str">
        <f>HYPERLINK("http://141.218.60.56/~jnz1568/getInfo.php?workbook=12_05.xlsx&amp;sheet=U0&amp;row=9440&amp;col=6&amp;number=4.6&amp;sourceID=14","4.6")</f>
        <v>4.6</v>
      </c>
      <c r="G9440" s="4" t="str">
        <f>HYPERLINK("http://141.218.60.56/~jnz1568/getInfo.php?workbook=12_05.xlsx&amp;sheet=U0&amp;row=9440&amp;col=7&amp;number=0.00461&amp;sourceID=14","0.00461")</f>
        <v>0.00461</v>
      </c>
    </row>
    <row r="9441" spans="1:7">
      <c r="A9441" s="3"/>
      <c r="B9441" s="3"/>
      <c r="C9441" s="3"/>
      <c r="D9441" s="3"/>
      <c r="E9441" s="3">
        <v>18</v>
      </c>
      <c r="F9441" s="4" t="str">
        <f>HYPERLINK("http://141.218.60.56/~jnz1568/getInfo.php?workbook=12_05.xlsx&amp;sheet=U0&amp;row=9441&amp;col=6&amp;number=4.7&amp;sourceID=14","4.7")</f>
        <v>4.7</v>
      </c>
      <c r="G9441" s="4" t="str">
        <f>HYPERLINK("http://141.218.60.56/~jnz1568/getInfo.php?workbook=12_05.xlsx&amp;sheet=U0&amp;row=9441&amp;col=7&amp;number=0.0046&amp;sourceID=14","0.0046")</f>
        <v>0.0046</v>
      </c>
    </row>
    <row r="9442" spans="1:7">
      <c r="A9442" s="3"/>
      <c r="B9442" s="3"/>
      <c r="C9442" s="3"/>
      <c r="D9442" s="3"/>
      <c r="E9442" s="3">
        <v>19</v>
      </c>
      <c r="F9442" s="4" t="str">
        <f>HYPERLINK("http://141.218.60.56/~jnz1568/getInfo.php?workbook=12_05.xlsx&amp;sheet=U0&amp;row=9442&amp;col=6&amp;number=4.8&amp;sourceID=14","4.8")</f>
        <v>4.8</v>
      </c>
      <c r="G9442" s="4" t="str">
        <f>HYPERLINK("http://141.218.60.56/~jnz1568/getInfo.php?workbook=12_05.xlsx&amp;sheet=U0&amp;row=9442&amp;col=7&amp;number=0.00458&amp;sourceID=14","0.00458")</f>
        <v>0.00458</v>
      </c>
    </row>
    <row r="9443" spans="1:7">
      <c r="A9443" s="3"/>
      <c r="B9443" s="3"/>
      <c r="C9443" s="3"/>
      <c r="D9443" s="3"/>
      <c r="E9443" s="3">
        <v>20</v>
      </c>
      <c r="F9443" s="4" t="str">
        <f>HYPERLINK("http://141.218.60.56/~jnz1568/getInfo.php?workbook=12_05.xlsx&amp;sheet=U0&amp;row=9443&amp;col=6&amp;number=4.9&amp;sourceID=14","4.9")</f>
        <v>4.9</v>
      </c>
      <c r="G9443" s="4" t="str">
        <f>HYPERLINK("http://141.218.60.56/~jnz1568/getInfo.php?workbook=12_05.xlsx&amp;sheet=U0&amp;row=9443&amp;col=7&amp;number=0.00455&amp;sourceID=14","0.00455")</f>
        <v>0.00455</v>
      </c>
    </row>
    <row r="9444" spans="1:7">
      <c r="A9444" s="3">
        <v>12</v>
      </c>
      <c r="B9444" s="3">
        <v>5</v>
      </c>
      <c r="C9444" s="3">
        <v>5</v>
      </c>
      <c r="D9444" s="3">
        <v>44</v>
      </c>
      <c r="E9444" s="3">
        <v>1</v>
      </c>
      <c r="F9444" s="4" t="str">
        <f>HYPERLINK("http://141.218.60.56/~jnz1568/getInfo.php?workbook=12_05.xlsx&amp;sheet=U0&amp;row=9444&amp;col=6&amp;number=3&amp;sourceID=14","3")</f>
        <v>3</v>
      </c>
      <c r="G9444" s="4" t="str">
        <f>HYPERLINK("http://141.218.60.56/~jnz1568/getInfo.php?workbook=12_05.xlsx&amp;sheet=U0&amp;row=9444&amp;col=7&amp;number=0.0122&amp;sourceID=14","0.0122")</f>
        <v>0.0122</v>
      </c>
    </row>
    <row r="9445" spans="1:7">
      <c r="A9445" s="3"/>
      <c r="B9445" s="3"/>
      <c r="C9445" s="3"/>
      <c r="D9445" s="3"/>
      <c r="E9445" s="3">
        <v>2</v>
      </c>
      <c r="F9445" s="4" t="str">
        <f>HYPERLINK("http://141.218.60.56/~jnz1568/getInfo.php?workbook=12_05.xlsx&amp;sheet=U0&amp;row=9445&amp;col=6&amp;number=3.1&amp;sourceID=14","3.1")</f>
        <v>3.1</v>
      </c>
      <c r="G9445" s="4" t="str">
        <f>HYPERLINK("http://141.218.60.56/~jnz1568/getInfo.php?workbook=12_05.xlsx&amp;sheet=U0&amp;row=9445&amp;col=7&amp;number=0.0122&amp;sourceID=14","0.0122")</f>
        <v>0.0122</v>
      </c>
    </row>
    <row r="9446" spans="1:7">
      <c r="A9446" s="3"/>
      <c r="B9446" s="3"/>
      <c r="C9446" s="3"/>
      <c r="D9446" s="3"/>
      <c r="E9446" s="3">
        <v>3</v>
      </c>
      <c r="F9446" s="4" t="str">
        <f>HYPERLINK("http://141.218.60.56/~jnz1568/getInfo.php?workbook=12_05.xlsx&amp;sheet=U0&amp;row=9446&amp;col=6&amp;number=3.2&amp;sourceID=14","3.2")</f>
        <v>3.2</v>
      </c>
      <c r="G9446" s="4" t="str">
        <f>HYPERLINK("http://141.218.60.56/~jnz1568/getInfo.php?workbook=12_05.xlsx&amp;sheet=U0&amp;row=9446&amp;col=7&amp;number=0.0122&amp;sourceID=14","0.0122")</f>
        <v>0.0122</v>
      </c>
    </row>
    <row r="9447" spans="1:7">
      <c r="A9447" s="3"/>
      <c r="B9447" s="3"/>
      <c r="C9447" s="3"/>
      <c r="D9447" s="3"/>
      <c r="E9447" s="3">
        <v>4</v>
      </c>
      <c r="F9447" s="4" t="str">
        <f>HYPERLINK("http://141.218.60.56/~jnz1568/getInfo.php?workbook=12_05.xlsx&amp;sheet=U0&amp;row=9447&amp;col=6&amp;number=3.3&amp;sourceID=14","3.3")</f>
        <v>3.3</v>
      </c>
      <c r="G9447" s="4" t="str">
        <f>HYPERLINK("http://141.218.60.56/~jnz1568/getInfo.php?workbook=12_05.xlsx&amp;sheet=U0&amp;row=9447&amp;col=7&amp;number=0.0122&amp;sourceID=14","0.0122")</f>
        <v>0.0122</v>
      </c>
    </row>
    <row r="9448" spans="1:7">
      <c r="A9448" s="3"/>
      <c r="B9448" s="3"/>
      <c r="C9448" s="3"/>
      <c r="D9448" s="3"/>
      <c r="E9448" s="3">
        <v>5</v>
      </c>
      <c r="F9448" s="4" t="str">
        <f>HYPERLINK("http://141.218.60.56/~jnz1568/getInfo.php?workbook=12_05.xlsx&amp;sheet=U0&amp;row=9448&amp;col=6&amp;number=3.4&amp;sourceID=14","3.4")</f>
        <v>3.4</v>
      </c>
      <c r="G9448" s="4" t="str">
        <f>HYPERLINK("http://141.218.60.56/~jnz1568/getInfo.php?workbook=12_05.xlsx&amp;sheet=U0&amp;row=9448&amp;col=7&amp;number=0.0122&amp;sourceID=14","0.0122")</f>
        <v>0.0122</v>
      </c>
    </row>
    <row r="9449" spans="1:7">
      <c r="A9449" s="3"/>
      <c r="B9449" s="3"/>
      <c r="C9449" s="3"/>
      <c r="D9449" s="3"/>
      <c r="E9449" s="3">
        <v>6</v>
      </c>
      <c r="F9449" s="4" t="str">
        <f>HYPERLINK("http://141.218.60.56/~jnz1568/getInfo.php?workbook=12_05.xlsx&amp;sheet=U0&amp;row=9449&amp;col=6&amp;number=3.5&amp;sourceID=14","3.5")</f>
        <v>3.5</v>
      </c>
      <c r="G9449" s="4" t="str">
        <f>HYPERLINK("http://141.218.60.56/~jnz1568/getInfo.php?workbook=12_05.xlsx&amp;sheet=U0&amp;row=9449&amp;col=7&amp;number=0.0122&amp;sourceID=14","0.0122")</f>
        <v>0.0122</v>
      </c>
    </row>
    <row r="9450" spans="1:7">
      <c r="A9450" s="3"/>
      <c r="B9450" s="3"/>
      <c r="C9450" s="3"/>
      <c r="D9450" s="3"/>
      <c r="E9450" s="3">
        <v>7</v>
      </c>
      <c r="F9450" s="4" t="str">
        <f>HYPERLINK("http://141.218.60.56/~jnz1568/getInfo.php?workbook=12_05.xlsx&amp;sheet=U0&amp;row=9450&amp;col=6&amp;number=3.6&amp;sourceID=14","3.6")</f>
        <v>3.6</v>
      </c>
      <c r="G9450" s="4" t="str">
        <f>HYPERLINK("http://141.218.60.56/~jnz1568/getInfo.php?workbook=12_05.xlsx&amp;sheet=U0&amp;row=9450&amp;col=7&amp;number=0.0122&amp;sourceID=14","0.0122")</f>
        <v>0.0122</v>
      </c>
    </row>
    <row r="9451" spans="1:7">
      <c r="A9451" s="3"/>
      <c r="B9451" s="3"/>
      <c r="C9451" s="3"/>
      <c r="D9451" s="3"/>
      <c r="E9451" s="3">
        <v>8</v>
      </c>
      <c r="F9451" s="4" t="str">
        <f>HYPERLINK("http://141.218.60.56/~jnz1568/getInfo.php?workbook=12_05.xlsx&amp;sheet=U0&amp;row=9451&amp;col=6&amp;number=3.7&amp;sourceID=14","3.7")</f>
        <v>3.7</v>
      </c>
      <c r="G9451" s="4" t="str">
        <f>HYPERLINK("http://141.218.60.56/~jnz1568/getInfo.php?workbook=12_05.xlsx&amp;sheet=U0&amp;row=9451&amp;col=7&amp;number=0.0122&amp;sourceID=14","0.0122")</f>
        <v>0.0122</v>
      </c>
    </row>
    <row r="9452" spans="1:7">
      <c r="A9452" s="3"/>
      <c r="B9452" s="3"/>
      <c r="C9452" s="3"/>
      <c r="D9452" s="3"/>
      <c r="E9452" s="3">
        <v>9</v>
      </c>
      <c r="F9452" s="4" t="str">
        <f>HYPERLINK("http://141.218.60.56/~jnz1568/getInfo.php?workbook=12_05.xlsx&amp;sheet=U0&amp;row=9452&amp;col=6&amp;number=3.8&amp;sourceID=14","3.8")</f>
        <v>3.8</v>
      </c>
      <c r="G9452" s="4" t="str">
        <f>HYPERLINK("http://141.218.60.56/~jnz1568/getInfo.php?workbook=12_05.xlsx&amp;sheet=U0&amp;row=9452&amp;col=7&amp;number=0.0122&amp;sourceID=14","0.0122")</f>
        <v>0.0122</v>
      </c>
    </row>
    <row r="9453" spans="1:7">
      <c r="A9453" s="3"/>
      <c r="B9453" s="3"/>
      <c r="C9453" s="3"/>
      <c r="D9453" s="3"/>
      <c r="E9453" s="3">
        <v>10</v>
      </c>
      <c r="F9453" s="4" t="str">
        <f>HYPERLINK("http://141.218.60.56/~jnz1568/getInfo.php?workbook=12_05.xlsx&amp;sheet=U0&amp;row=9453&amp;col=6&amp;number=3.9&amp;sourceID=14","3.9")</f>
        <v>3.9</v>
      </c>
      <c r="G9453" s="4" t="str">
        <f>HYPERLINK("http://141.218.60.56/~jnz1568/getInfo.php?workbook=12_05.xlsx&amp;sheet=U0&amp;row=9453&amp;col=7&amp;number=0.0122&amp;sourceID=14","0.0122")</f>
        <v>0.0122</v>
      </c>
    </row>
    <row r="9454" spans="1:7">
      <c r="A9454" s="3"/>
      <c r="B9454" s="3"/>
      <c r="C9454" s="3"/>
      <c r="D9454" s="3"/>
      <c r="E9454" s="3">
        <v>11</v>
      </c>
      <c r="F9454" s="4" t="str">
        <f>HYPERLINK("http://141.218.60.56/~jnz1568/getInfo.php?workbook=12_05.xlsx&amp;sheet=U0&amp;row=9454&amp;col=6&amp;number=4&amp;sourceID=14","4")</f>
        <v>4</v>
      </c>
      <c r="G9454" s="4" t="str">
        <f>HYPERLINK("http://141.218.60.56/~jnz1568/getInfo.php?workbook=12_05.xlsx&amp;sheet=U0&amp;row=9454&amp;col=7&amp;number=0.0122&amp;sourceID=14","0.0122")</f>
        <v>0.0122</v>
      </c>
    </row>
    <row r="9455" spans="1:7">
      <c r="A9455" s="3"/>
      <c r="B9455" s="3"/>
      <c r="C9455" s="3"/>
      <c r="D9455" s="3"/>
      <c r="E9455" s="3">
        <v>12</v>
      </c>
      <c r="F9455" s="4" t="str">
        <f>HYPERLINK("http://141.218.60.56/~jnz1568/getInfo.php?workbook=12_05.xlsx&amp;sheet=U0&amp;row=9455&amp;col=6&amp;number=4.1&amp;sourceID=14","4.1")</f>
        <v>4.1</v>
      </c>
      <c r="G9455" s="4" t="str">
        <f>HYPERLINK("http://141.218.60.56/~jnz1568/getInfo.php?workbook=12_05.xlsx&amp;sheet=U0&amp;row=9455&amp;col=7&amp;number=0.0122&amp;sourceID=14","0.0122")</f>
        <v>0.0122</v>
      </c>
    </row>
    <row r="9456" spans="1:7">
      <c r="A9456" s="3"/>
      <c r="B9456" s="3"/>
      <c r="C9456" s="3"/>
      <c r="D9456" s="3"/>
      <c r="E9456" s="3">
        <v>13</v>
      </c>
      <c r="F9456" s="4" t="str">
        <f>HYPERLINK("http://141.218.60.56/~jnz1568/getInfo.php?workbook=12_05.xlsx&amp;sheet=U0&amp;row=9456&amp;col=6&amp;number=4.2&amp;sourceID=14","4.2")</f>
        <v>4.2</v>
      </c>
      <c r="G9456" s="4" t="str">
        <f>HYPERLINK("http://141.218.60.56/~jnz1568/getInfo.php?workbook=12_05.xlsx&amp;sheet=U0&amp;row=9456&amp;col=7&amp;number=0.0122&amp;sourceID=14","0.0122")</f>
        <v>0.0122</v>
      </c>
    </row>
    <row r="9457" spans="1:7">
      <c r="A9457" s="3"/>
      <c r="B9457" s="3"/>
      <c r="C9457" s="3"/>
      <c r="D9457" s="3"/>
      <c r="E9457" s="3">
        <v>14</v>
      </c>
      <c r="F9457" s="4" t="str">
        <f>HYPERLINK("http://141.218.60.56/~jnz1568/getInfo.php?workbook=12_05.xlsx&amp;sheet=U0&amp;row=9457&amp;col=6&amp;number=4.3&amp;sourceID=14","4.3")</f>
        <v>4.3</v>
      </c>
      <c r="G9457" s="4" t="str">
        <f>HYPERLINK("http://141.218.60.56/~jnz1568/getInfo.php?workbook=12_05.xlsx&amp;sheet=U0&amp;row=9457&amp;col=7&amp;number=0.0122&amp;sourceID=14","0.0122")</f>
        <v>0.0122</v>
      </c>
    </row>
    <row r="9458" spans="1:7">
      <c r="A9458" s="3"/>
      <c r="B9458" s="3"/>
      <c r="C9458" s="3"/>
      <c r="D9458" s="3"/>
      <c r="E9458" s="3">
        <v>15</v>
      </c>
      <c r="F9458" s="4" t="str">
        <f>HYPERLINK("http://141.218.60.56/~jnz1568/getInfo.php?workbook=12_05.xlsx&amp;sheet=U0&amp;row=9458&amp;col=6&amp;number=4.4&amp;sourceID=14","4.4")</f>
        <v>4.4</v>
      </c>
      <c r="G9458" s="4" t="str">
        <f>HYPERLINK("http://141.218.60.56/~jnz1568/getInfo.php?workbook=12_05.xlsx&amp;sheet=U0&amp;row=9458&amp;col=7&amp;number=0.0122&amp;sourceID=14","0.0122")</f>
        <v>0.0122</v>
      </c>
    </row>
    <row r="9459" spans="1:7">
      <c r="A9459" s="3"/>
      <c r="B9459" s="3"/>
      <c r="C9459" s="3"/>
      <c r="D9459" s="3"/>
      <c r="E9459" s="3">
        <v>16</v>
      </c>
      <c r="F9459" s="4" t="str">
        <f>HYPERLINK("http://141.218.60.56/~jnz1568/getInfo.php?workbook=12_05.xlsx&amp;sheet=U0&amp;row=9459&amp;col=6&amp;number=4.5&amp;sourceID=14","4.5")</f>
        <v>4.5</v>
      </c>
      <c r="G9459" s="4" t="str">
        <f>HYPERLINK("http://141.218.60.56/~jnz1568/getInfo.php?workbook=12_05.xlsx&amp;sheet=U0&amp;row=9459&amp;col=7&amp;number=0.0122&amp;sourceID=14","0.0122")</f>
        <v>0.0122</v>
      </c>
    </row>
    <row r="9460" spans="1:7">
      <c r="A9460" s="3"/>
      <c r="B9460" s="3"/>
      <c r="C9460" s="3"/>
      <c r="D9460" s="3"/>
      <c r="E9460" s="3">
        <v>17</v>
      </c>
      <c r="F9460" s="4" t="str">
        <f>HYPERLINK("http://141.218.60.56/~jnz1568/getInfo.php?workbook=12_05.xlsx&amp;sheet=U0&amp;row=9460&amp;col=6&amp;number=4.6&amp;sourceID=14","4.6")</f>
        <v>4.6</v>
      </c>
      <c r="G9460" s="4" t="str">
        <f>HYPERLINK("http://141.218.60.56/~jnz1568/getInfo.php?workbook=12_05.xlsx&amp;sheet=U0&amp;row=9460&amp;col=7&amp;number=0.0122&amp;sourceID=14","0.0122")</f>
        <v>0.0122</v>
      </c>
    </row>
    <row r="9461" spans="1:7">
      <c r="A9461" s="3"/>
      <c r="B9461" s="3"/>
      <c r="C9461" s="3"/>
      <c r="D9461" s="3"/>
      <c r="E9461" s="3">
        <v>18</v>
      </c>
      <c r="F9461" s="4" t="str">
        <f>HYPERLINK("http://141.218.60.56/~jnz1568/getInfo.php?workbook=12_05.xlsx&amp;sheet=U0&amp;row=9461&amp;col=6&amp;number=4.7&amp;sourceID=14","4.7")</f>
        <v>4.7</v>
      </c>
      <c r="G9461" s="4" t="str">
        <f>HYPERLINK("http://141.218.60.56/~jnz1568/getInfo.php?workbook=12_05.xlsx&amp;sheet=U0&amp;row=9461&amp;col=7&amp;number=0.0122&amp;sourceID=14","0.0122")</f>
        <v>0.0122</v>
      </c>
    </row>
    <row r="9462" spans="1:7">
      <c r="A9462" s="3"/>
      <c r="B9462" s="3"/>
      <c r="C9462" s="3"/>
      <c r="D9462" s="3"/>
      <c r="E9462" s="3">
        <v>19</v>
      </c>
      <c r="F9462" s="4" t="str">
        <f>HYPERLINK("http://141.218.60.56/~jnz1568/getInfo.php?workbook=12_05.xlsx&amp;sheet=U0&amp;row=9462&amp;col=6&amp;number=4.8&amp;sourceID=14","4.8")</f>
        <v>4.8</v>
      </c>
      <c r="G9462" s="4" t="str">
        <f>HYPERLINK("http://141.218.60.56/~jnz1568/getInfo.php?workbook=12_05.xlsx&amp;sheet=U0&amp;row=9462&amp;col=7&amp;number=0.0122&amp;sourceID=14","0.0122")</f>
        <v>0.0122</v>
      </c>
    </row>
    <row r="9463" spans="1:7">
      <c r="A9463" s="3"/>
      <c r="B9463" s="3"/>
      <c r="C9463" s="3"/>
      <c r="D9463" s="3"/>
      <c r="E9463" s="3">
        <v>20</v>
      </c>
      <c r="F9463" s="4" t="str">
        <f>HYPERLINK("http://141.218.60.56/~jnz1568/getInfo.php?workbook=12_05.xlsx&amp;sheet=U0&amp;row=9463&amp;col=6&amp;number=4.9&amp;sourceID=14","4.9")</f>
        <v>4.9</v>
      </c>
      <c r="G9463" s="4" t="str">
        <f>HYPERLINK("http://141.218.60.56/~jnz1568/getInfo.php?workbook=12_05.xlsx&amp;sheet=U0&amp;row=9463&amp;col=7&amp;number=0.0122&amp;sourceID=14","0.0122")</f>
        <v>0.0122</v>
      </c>
    </row>
    <row r="9464" spans="1:7">
      <c r="A9464" s="3">
        <v>12</v>
      </c>
      <c r="B9464" s="3">
        <v>5</v>
      </c>
      <c r="C9464" s="3">
        <v>5</v>
      </c>
      <c r="D9464" s="3">
        <v>45</v>
      </c>
      <c r="E9464" s="3">
        <v>1</v>
      </c>
      <c r="F9464" s="4" t="str">
        <f>HYPERLINK("http://141.218.60.56/~jnz1568/getInfo.php?workbook=12_05.xlsx&amp;sheet=U0&amp;row=9464&amp;col=6&amp;number=3&amp;sourceID=14","3")</f>
        <v>3</v>
      </c>
      <c r="G9464" s="4" t="str">
        <f>HYPERLINK("http://141.218.60.56/~jnz1568/getInfo.php?workbook=12_05.xlsx&amp;sheet=U0&amp;row=9464&amp;col=7&amp;number=0.024&amp;sourceID=14","0.024")</f>
        <v>0.024</v>
      </c>
    </row>
    <row r="9465" spans="1:7">
      <c r="A9465" s="3"/>
      <c r="B9465" s="3"/>
      <c r="C9465" s="3"/>
      <c r="D9465" s="3"/>
      <c r="E9465" s="3">
        <v>2</v>
      </c>
      <c r="F9465" s="4" t="str">
        <f>HYPERLINK("http://141.218.60.56/~jnz1568/getInfo.php?workbook=12_05.xlsx&amp;sheet=U0&amp;row=9465&amp;col=6&amp;number=3.1&amp;sourceID=14","3.1")</f>
        <v>3.1</v>
      </c>
      <c r="G9465" s="4" t="str">
        <f>HYPERLINK("http://141.218.60.56/~jnz1568/getInfo.php?workbook=12_05.xlsx&amp;sheet=U0&amp;row=9465&amp;col=7&amp;number=0.024&amp;sourceID=14","0.024")</f>
        <v>0.024</v>
      </c>
    </row>
    <row r="9466" spans="1:7">
      <c r="A9466" s="3"/>
      <c r="B9466" s="3"/>
      <c r="C9466" s="3"/>
      <c r="D9466" s="3"/>
      <c r="E9466" s="3">
        <v>3</v>
      </c>
      <c r="F9466" s="4" t="str">
        <f>HYPERLINK("http://141.218.60.56/~jnz1568/getInfo.php?workbook=12_05.xlsx&amp;sheet=U0&amp;row=9466&amp;col=6&amp;number=3.2&amp;sourceID=14","3.2")</f>
        <v>3.2</v>
      </c>
      <c r="G9466" s="4" t="str">
        <f>HYPERLINK("http://141.218.60.56/~jnz1568/getInfo.php?workbook=12_05.xlsx&amp;sheet=U0&amp;row=9466&amp;col=7&amp;number=0.024&amp;sourceID=14","0.024")</f>
        <v>0.024</v>
      </c>
    </row>
    <row r="9467" spans="1:7">
      <c r="A9467" s="3"/>
      <c r="B9467" s="3"/>
      <c r="C9467" s="3"/>
      <c r="D9467" s="3"/>
      <c r="E9467" s="3">
        <v>4</v>
      </c>
      <c r="F9467" s="4" t="str">
        <f>HYPERLINK("http://141.218.60.56/~jnz1568/getInfo.php?workbook=12_05.xlsx&amp;sheet=U0&amp;row=9467&amp;col=6&amp;number=3.3&amp;sourceID=14","3.3")</f>
        <v>3.3</v>
      </c>
      <c r="G9467" s="4" t="str">
        <f>HYPERLINK("http://141.218.60.56/~jnz1568/getInfo.php?workbook=12_05.xlsx&amp;sheet=U0&amp;row=9467&amp;col=7&amp;number=0.024&amp;sourceID=14","0.024")</f>
        <v>0.024</v>
      </c>
    </row>
    <row r="9468" spans="1:7">
      <c r="A9468" s="3"/>
      <c r="B9468" s="3"/>
      <c r="C9468" s="3"/>
      <c r="D9468" s="3"/>
      <c r="E9468" s="3">
        <v>5</v>
      </c>
      <c r="F9468" s="4" t="str">
        <f>HYPERLINK("http://141.218.60.56/~jnz1568/getInfo.php?workbook=12_05.xlsx&amp;sheet=U0&amp;row=9468&amp;col=6&amp;number=3.4&amp;sourceID=14","3.4")</f>
        <v>3.4</v>
      </c>
      <c r="G9468" s="4" t="str">
        <f>HYPERLINK("http://141.218.60.56/~jnz1568/getInfo.php?workbook=12_05.xlsx&amp;sheet=U0&amp;row=9468&amp;col=7&amp;number=0.024&amp;sourceID=14","0.024")</f>
        <v>0.024</v>
      </c>
    </row>
    <row r="9469" spans="1:7">
      <c r="A9469" s="3"/>
      <c r="B9469" s="3"/>
      <c r="C9469" s="3"/>
      <c r="D9469" s="3"/>
      <c r="E9469" s="3">
        <v>6</v>
      </c>
      <c r="F9469" s="4" t="str">
        <f>HYPERLINK("http://141.218.60.56/~jnz1568/getInfo.php?workbook=12_05.xlsx&amp;sheet=U0&amp;row=9469&amp;col=6&amp;number=3.5&amp;sourceID=14","3.5")</f>
        <v>3.5</v>
      </c>
      <c r="G9469" s="4" t="str">
        <f>HYPERLINK("http://141.218.60.56/~jnz1568/getInfo.php?workbook=12_05.xlsx&amp;sheet=U0&amp;row=9469&amp;col=7&amp;number=0.0241&amp;sourceID=14","0.0241")</f>
        <v>0.0241</v>
      </c>
    </row>
    <row r="9470" spans="1:7">
      <c r="A9470" s="3"/>
      <c r="B9470" s="3"/>
      <c r="C9470" s="3"/>
      <c r="D9470" s="3"/>
      <c r="E9470" s="3">
        <v>7</v>
      </c>
      <c r="F9470" s="4" t="str">
        <f>HYPERLINK("http://141.218.60.56/~jnz1568/getInfo.php?workbook=12_05.xlsx&amp;sheet=U0&amp;row=9470&amp;col=6&amp;number=3.6&amp;sourceID=14","3.6")</f>
        <v>3.6</v>
      </c>
      <c r="G9470" s="4" t="str">
        <f>HYPERLINK("http://141.218.60.56/~jnz1568/getInfo.php?workbook=12_05.xlsx&amp;sheet=U0&amp;row=9470&amp;col=7&amp;number=0.0241&amp;sourceID=14","0.0241")</f>
        <v>0.0241</v>
      </c>
    </row>
    <row r="9471" spans="1:7">
      <c r="A9471" s="3"/>
      <c r="B9471" s="3"/>
      <c r="C9471" s="3"/>
      <c r="D9471" s="3"/>
      <c r="E9471" s="3">
        <v>8</v>
      </c>
      <c r="F9471" s="4" t="str">
        <f>HYPERLINK("http://141.218.60.56/~jnz1568/getInfo.php?workbook=12_05.xlsx&amp;sheet=U0&amp;row=9471&amp;col=6&amp;number=3.7&amp;sourceID=14","3.7")</f>
        <v>3.7</v>
      </c>
      <c r="G9471" s="4" t="str">
        <f>HYPERLINK("http://141.218.60.56/~jnz1568/getInfo.php?workbook=12_05.xlsx&amp;sheet=U0&amp;row=9471&amp;col=7&amp;number=0.0241&amp;sourceID=14","0.0241")</f>
        <v>0.0241</v>
      </c>
    </row>
    <row r="9472" spans="1:7">
      <c r="A9472" s="3"/>
      <c r="B9472" s="3"/>
      <c r="C9472" s="3"/>
      <c r="D9472" s="3"/>
      <c r="E9472" s="3">
        <v>9</v>
      </c>
      <c r="F9472" s="4" t="str">
        <f>HYPERLINK("http://141.218.60.56/~jnz1568/getInfo.php?workbook=12_05.xlsx&amp;sheet=U0&amp;row=9472&amp;col=6&amp;number=3.8&amp;sourceID=14","3.8")</f>
        <v>3.8</v>
      </c>
      <c r="G9472" s="4" t="str">
        <f>HYPERLINK("http://141.218.60.56/~jnz1568/getInfo.php?workbook=12_05.xlsx&amp;sheet=U0&amp;row=9472&amp;col=7&amp;number=0.0241&amp;sourceID=14","0.0241")</f>
        <v>0.0241</v>
      </c>
    </row>
    <row r="9473" spans="1:7">
      <c r="A9473" s="3"/>
      <c r="B9473" s="3"/>
      <c r="C9473" s="3"/>
      <c r="D9473" s="3"/>
      <c r="E9473" s="3">
        <v>10</v>
      </c>
      <c r="F9473" s="4" t="str">
        <f>HYPERLINK("http://141.218.60.56/~jnz1568/getInfo.php?workbook=12_05.xlsx&amp;sheet=U0&amp;row=9473&amp;col=6&amp;number=3.9&amp;sourceID=14","3.9")</f>
        <v>3.9</v>
      </c>
      <c r="G9473" s="4" t="str">
        <f>HYPERLINK("http://141.218.60.56/~jnz1568/getInfo.php?workbook=12_05.xlsx&amp;sheet=U0&amp;row=9473&amp;col=7&amp;number=0.0241&amp;sourceID=14","0.0241")</f>
        <v>0.0241</v>
      </c>
    </row>
    <row r="9474" spans="1:7">
      <c r="A9474" s="3"/>
      <c r="B9474" s="3"/>
      <c r="C9474" s="3"/>
      <c r="D9474" s="3"/>
      <c r="E9474" s="3">
        <v>11</v>
      </c>
      <c r="F9474" s="4" t="str">
        <f>HYPERLINK("http://141.218.60.56/~jnz1568/getInfo.php?workbook=12_05.xlsx&amp;sheet=U0&amp;row=9474&amp;col=6&amp;number=4&amp;sourceID=14","4")</f>
        <v>4</v>
      </c>
      <c r="G9474" s="4" t="str">
        <f>HYPERLINK("http://141.218.60.56/~jnz1568/getInfo.php?workbook=12_05.xlsx&amp;sheet=U0&amp;row=9474&amp;col=7&amp;number=0.0241&amp;sourceID=14","0.0241")</f>
        <v>0.0241</v>
      </c>
    </row>
    <row r="9475" spans="1:7">
      <c r="A9475" s="3"/>
      <c r="B9475" s="3"/>
      <c r="C9475" s="3"/>
      <c r="D9475" s="3"/>
      <c r="E9475" s="3">
        <v>12</v>
      </c>
      <c r="F9475" s="4" t="str">
        <f>HYPERLINK("http://141.218.60.56/~jnz1568/getInfo.php?workbook=12_05.xlsx&amp;sheet=U0&amp;row=9475&amp;col=6&amp;number=4.1&amp;sourceID=14","4.1")</f>
        <v>4.1</v>
      </c>
      <c r="G9475" s="4" t="str">
        <f>HYPERLINK("http://141.218.60.56/~jnz1568/getInfo.php?workbook=12_05.xlsx&amp;sheet=U0&amp;row=9475&amp;col=7&amp;number=0.0242&amp;sourceID=14","0.0242")</f>
        <v>0.0242</v>
      </c>
    </row>
    <row r="9476" spans="1:7">
      <c r="A9476" s="3"/>
      <c r="B9476" s="3"/>
      <c r="C9476" s="3"/>
      <c r="D9476" s="3"/>
      <c r="E9476" s="3">
        <v>13</v>
      </c>
      <c r="F9476" s="4" t="str">
        <f>HYPERLINK("http://141.218.60.56/~jnz1568/getInfo.php?workbook=12_05.xlsx&amp;sheet=U0&amp;row=9476&amp;col=6&amp;number=4.2&amp;sourceID=14","4.2")</f>
        <v>4.2</v>
      </c>
      <c r="G9476" s="4" t="str">
        <f>HYPERLINK("http://141.218.60.56/~jnz1568/getInfo.php?workbook=12_05.xlsx&amp;sheet=U0&amp;row=9476&amp;col=7&amp;number=0.0242&amp;sourceID=14","0.0242")</f>
        <v>0.0242</v>
      </c>
    </row>
    <row r="9477" spans="1:7">
      <c r="A9477" s="3"/>
      <c r="B9477" s="3"/>
      <c r="C9477" s="3"/>
      <c r="D9477" s="3"/>
      <c r="E9477" s="3">
        <v>14</v>
      </c>
      <c r="F9477" s="4" t="str">
        <f>HYPERLINK("http://141.218.60.56/~jnz1568/getInfo.php?workbook=12_05.xlsx&amp;sheet=U0&amp;row=9477&amp;col=6&amp;number=4.3&amp;sourceID=14","4.3")</f>
        <v>4.3</v>
      </c>
      <c r="G9477" s="4" t="str">
        <f>HYPERLINK("http://141.218.60.56/~jnz1568/getInfo.php?workbook=12_05.xlsx&amp;sheet=U0&amp;row=9477&amp;col=7&amp;number=0.0242&amp;sourceID=14","0.0242")</f>
        <v>0.0242</v>
      </c>
    </row>
    <row r="9478" spans="1:7">
      <c r="A9478" s="3"/>
      <c r="B9478" s="3"/>
      <c r="C9478" s="3"/>
      <c r="D9478" s="3"/>
      <c r="E9478" s="3">
        <v>15</v>
      </c>
      <c r="F9478" s="4" t="str">
        <f>HYPERLINK("http://141.218.60.56/~jnz1568/getInfo.php?workbook=12_05.xlsx&amp;sheet=U0&amp;row=9478&amp;col=6&amp;number=4.4&amp;sourceID=14","4.4")</f>
        <v>4.4</v>
      </c>
      <c r="G9478" s="4" t="str">
        <f>HYPERLINK("http://141.218.60.56/~jnz1568/getInfo.php?workbook=12_05.xlsx&amp;sheet=U0&amp;row=9478&amp;col=7&amp;number=0.0243&amp;sourceID=14","0.0243")</f>
        <v>0.0243</v>
      </c>
    </row>
    <row r="9479" spans="1:7">
      <c r="A9479" s="3"/>
      <c r="B9479" s="3"/>
      <c r="C9479" s="3"/>
      <c r="D9479" s="3"/>
      <c r="E9479" s="3">
        <v>16</v>
      </c>
      <c r="F9479" s="4" t="str">
        <f>HYPERLINK("http://141.218.60.56/~jnz1568/getInfo.php?workbook=12_05.xlsx&amp;sheet=U0&amp;row=9479&amp;col=6&amp;number=4.5&amp;sourceID=14","4.5")</f>
        <v>4.5</v>
      </c>
      <c r="G9479" s="4" t="str">
        <f>HYPERLINK("http://141.218.60.56/~jnz1568/getInfo.php?workbook=12_05.xlsx&amp;sheet=U0&amp;row=9479&amp;col=7&amp;number=0.0244&amp;sourceID=14","0.0244")</f>
        <v>0.0244</v>
      </c>
    </row>
    <row r="9480" spans="1:7">
      <c r="A9480" s="3"/>
      <c r="B9480" s="3"/>
      <c r="C9480" s="3"/>
      <c r="D9480" s="3"/>
      <c r="E9480" s="3">
        <v>17</v>
      </c>
      <c r="F9480" s="4" t="str">
        <f>HYPERLINK("http://141.218.60.56/~jnz1568/getInfo.php?workbook=12_05.xlsx&amp;sheet=U0&amp;row=9480&amp;col=6&amp;number=4.6&amp;sourceID=14","4.6")</f>
        <v>4.6</v>
      </c>
      <c r="G9480" s="4" t="str">
        <f>HYPERLINK("http://141.218.60.56/~jnz1568/getInfo.php?workbook=12_05.xlsx&amp;sheet=U0&amp;row=9480&amp;col=7&amp;number=0.0244&amp;sourceID=14","0.0244")</f>
        <v>0.0244</v>
      </c>
    </row>
    <row r="9481" spans="1:7">
      <c r="A9481" s="3"/>
      <c r="B9481" s="3"/>
      <c r="C9481" s="3"/>
      <c r="D9481" s="3"/>
      <c r="E9481" s="3">
        <v>18</v>
      </c>
      <c r="F9481" s="4" t="str">
        <f>HYPERLINK("http://141.218.60.56/~jnz1568/getInfo.php?workbook=12_05.xlsx&amp;sheet=U0&amp;row=9481&amp;col=6&amp;number=4.7&amp;sourceID=14","4.7")</f>
        <v>4.7</v>
      </c>
      <c r="G9481" s="4" t="str">
        <f>HYPERLINK("http://141.218.60.56/~jnz1568/getInfo.php?workbook=12_05.xlsx&amp;sheet=U0&amp;row=9481&amp;col=7&amp;number=0.0245&amp;sourceID=14","0.0245")</f>
        <v>0.0245</v>
      </c>
    </row>
    <row r="9482" spans="1:7">
      <c r="A9482" s="3"/>
      <c r="B9482" s="3"/>
      <c r="C9482" s="3"/>
      <c r="D9482" s="3"/>
      <c r="E9482" s="3">
        <v>19</v>
      </c>
      <c r="F9482" s="4" t="str">
        <f>HYPERLINK("http://141.218.60.56/~jnz1568/getInfo.php?workbook=12_05.xlsx&amp;sheet=U0&amp;row=9482&amp;col=6&amp;number=4.8&amp;sourceID=14","4.8")</f>
        <v>4.8</v>
      </c>
      <c r="G9482" s="4" t="str">
        <f>HYPERLINK("http://141.218.60.56/~jnz1568/getInfo.php?workbook=12_05.xlsx&amp;sheet=U0&amp;row=9482&amp;col=7&amp;number=0.0247&amp;sourceID=14","0.0247")</f>
        <v>0.0247</v>
      </c>
    </row>
    <row r="9483" spans="1:7">
      <c r="A9483" s="3"/>
      <c r="B9483" s="3"/>
      <c r="C9483" s="3"/>
      <c r="D9483" s="3"/>
      <c r="E9483" s="3">
        <v>20</v>
      </c>
      <c r="F9483" s="4" t="str">
        <f>HYPERLINK("http://141.218.60.56/~jnz1568/getInfo.php?workbook=12_05.xlsx&amp;sheet=U0&amp;row=9483&amp;col=6&amp;number=4.9&amp;sourceID=14","4.9")</f>
        <v>4.9</v>
      </c>
      <c r="G9483" s="4" t="str">
        <f>HYPERLINK("http://141.218.60.56/~jnz1568/getInfo.php?workbook=12_05.xlsx&amp;sheet=U0&amp;row=9483&amp;col=7&amp;number=0.0248&amp;sourceID=14","0.0248")</f>
        <v>0.0248</v>
      </c>
    </row>
    <row r="9484" spans="1:7">
      <c r="A9484" s="3">
        <v>12</v>
      </c>
      <c r="B9484" s="3">
        <v>5</v>
      </c>
      <c r="C9484" s="3">
        <v>5</v>
      </c>
      <c r="D9484" s="3">
        <v>46</v>
      </c>
      <c r="E9484" s="3">
        <v>1</v>
      </c>
      <c r="F9484" s="4" t="str">
        <f>HYPERLINK("http://141.218.60.56/~jnz1568/getInfo.php?workbook=12_05.xlsx&amp;sheet=U0&amp;row=9484&amp;col=6&amp;number=3&amp;sourceID=14","3")</f>
        <v>3</v>
      </c>
      <c r="G9484" s="4" t="str">
        <f>HYPERLINK("http://141.218.60.56/~jnz1568/getInfo.php?workbook=12_05.xlsx&amp;sheet=U0&amp;row=9484&amp;col=7&amp;number=0.00653&amp;sourceID=14","0.00653")</f>
        <v>0.00653</v>
      </c>
    </row>
    <row r="9485" spans="1:7">
      <c r="A9485" s="3"/>
      <c r="B9485" s="3"/>
      <c r="C9485" s="3"/>
      <c r="D9485" s="3"/>
      <c r="E9485" s="3">
        <v>2</v>
      </c>
      <c r="F9485" s="4" t="str">
        <f>HYPERLINK("http://141.218.60.56/~jnz1568/getInfo.php?workbook=12_05.xlsx&amp;sheet=U0&amp;row=9485&amp;col=6&amp;number=3.1&amp;sourceID=14","3.1")</f>
        <v>3.1</v>
      </c>
      <c r="G9485" s="4" t="str">
        <f>HYPERLINK("http://141.218.60.56/~jnz1568/getInfo.php?workbook=12_05.xlsx&amp;sheet=U0&amp;row=9485&amp;col=7&amp;number=0.00653&amp;sourceID=14","0.00653")</f>
        <v>0.00653</v>
      </c>
    </row>
    <row r="9486" spans="1:7">
      <c r="A9486" s="3"/>
      <c r="B9486" s="3"/>
      <c r="C9486" s="3"/>
      <c r="D9486" s="3"/>
      <c r="E9486" s="3">
        <v>3</v>
      </c>
      <c r="F9486" s="4" t="str">
        <f>HYPERLINK("http://141.218.60.56/~jnz1568/getInfo.php?workbook=12_05.xlsx&amp;sheet=U0&amp;row=9486&amp;col=6&amp;number=3.2&amp;sourceID=14","3.2")</f>
        <v>3.2</v>
      </c>
      <c r="G9486" s="4" t="str">
        <f>HYPERLINK("http://141.218.60.56/~jnz1568/getInfo.php?workbook=12_05.xlsx&amp;sheet=U0&amp;row=9486&amp;col=7&amp;number=0.00652&amp;sourceID=14","0.00652")</f>
        <v>0.00652</v>
      </c>
    </row>
    <row r="9487" spans="1:7">
      <c r="A9487" s="3"/>
      <c r="B9487" s="3"/>
      <c r="C9487" s="3"/>
      <c r="D9487" s="3"/>
      <c r="E9487" s="3">
        <v>4</v>
      </c>
      <c r="F9487" s="4" t="str">
        <f>HYPERLINK("http://141.218.60.56/~jnz1568/getInfo.php?workbook=12_05.xlsx&amp;sheet=U0&amp;row=9487&amp;col=6&amp;number=3.3&amp;sourceID=14","3.3")</f>
        <v>3.3</v>
      </c>
      <c r="G9487" s="4" t="str">
        <f>HYPERLINK("http://141.218.60.56/~jnz1568/getInfo.php?workbook=12_05.xlsx&amp;sheet=U0&amp;row=9487&amp;col=7&amp;number=0.00652&amp;sourceID=14","0.00652")</f>
        <v>0.00652</v>
      </c>
    </row>
    <row r="9488" spans="1:7">
      <c r="A9488" s="3"/>
      <c r="B9488" s="3"/>
      <c r="C9488" s="3"/>
      <c r="D9488" s="3"/>
      <c r="E9488" s="3">
        <v>5</v>
      </c>
      <c r="F9488" s="4" t="str">
        <f>HYPERLINK("http://141.218.60.56/~jnz1568/getInfo.php?workbook=12_05.xlsx&amp;sheet=U0&amp;row=9488&amp;col=6&amp;number=3.4&amp;sourceID=14","3.4")</f>
        <v>3.4</v>
      </c>
      <c r="G9488" s="4" t="str">
        <f>HYPERLINK("http://141.218.60.56/~jnz1568/getInfo.php?workbook=12_05.xlsx&amp;sheet=U0&amp;row=9488&amp;col=7&amp;number=0.00652&amp;sourceID=14","0.00652")</f>
        <v>0.00652</v>
      </c>
    </row>
    <row r="9489" spans="1:7">
      <c r="A9489" s="3"/>
      <c r="B9489" s="3"/>
      <c r="C9489" s="3"/>
      <c r="D9489" s="3"/>
      <c r="E9489" s="3">
        <v>6</v>
      </c>
      <c r="F9489" s="4" t="str">
        <f>HYPERLINK("http://141.218.60.56/~jnz1568/getInfo.php?workbook=12_05.xlsx&amp;sheet=U0&amp;row=9489&amp;col=6&amp;number=3.5&amp;sourceID=14","3.5")</f>
        <v>3.5</v>
      </c>
      <c r="G9489" s="4" t="str">
        <f>HYPERLINK("http://141.218.60.56/~jnz1568/getInfo.php?workbook=12_05.xlsx&amp;sheet=U0&amp;row=9489&amp;col=7&amp;number=0.00651&amp;sourceID=14","0.00651")</f>
        <v>0.00651</v>
      </c>
    </row>
    <row r="9490" spans="1:7">
      <c r="A9490" s="3"/>
      <c r="B9490" s="3"/>
      <c r="C9490" s="3"/>
      <c r="D9490" s="3"/>
      <c r="E9490" s="3">
        <v>7</v>
      </c>
      <c r="F9490" s="4" t="str">
        <f>HYPERLINK("http://141.218.60.56/~jnz1568/getInfo.php?workbook=12_05.xlsx&amp;sheet=U0&amp;row=9490&amp;col=6&amp;number=3.6&amp;sourceID=14","3.6")</f>
        <v>3.6</v>
      </c>
      <c r="G9490" s="4" t="str">
        <f>HYPERLINK("http://141.218.60.56/~jnz1568/getInfo.php?workbook=12_05.xlsx&amp;sheet=U0&amp;row=9490&amp;col=7&amp;number=0.00651&amp;sourceID=14","0.00651")</f>
        <v>0.00651</v>
      </c>
    </row>
    <row r="9491" spans="1:7">
      <c r="A9491" s="3"/>
      <c r="B9491" s="3"/>
      <c r="C9491" s="3"/>
      <c r="D9491" s="3"/>
      <c r="E9491" s="3">
        <v>8</v>
      </c>
      <c r="F9491" s="4" t="str">
        <f>HYPERLINK("http://141.218.60.56/~jnz1568/getInfo.php?workbook=12_05.xlsx&amp;sheet=U0&amp;row=9491&amp;col=6&amp;number=3.7&amp;sourceID=14","3.7")</f>
        <v>3.7</v>
      </c>
      <c r="G9491" s="4" t="str">
        <f>HYPERLINK("http://141.218.60.56/~jnz1568/getInfo.php?workbook=12_05.xlsx&amp;sheet=U0&amp;row=9491&amp;col=7&amp;number=0.0065&amp;sourceID=14","0.0065")</f>
        <v>0.0065</v>
      </c>
    </row>
    <row r="9492" spans="1:7">
      <c r="A9492" s="3"/>
      <c r="B9492" s="3"/>
      <c r="C9492" s="3"/>
      <c r="D9492" s="3"/>
      <c r="E9492" s="3">
        <v>9</v>
      </c>
      <c r="F9492" s="4" t="str">
        <f>HYPERLINK("http://141.218.60.56/~jnz1568/getInfo.php?workbook=12_05.xlsx&amp;sheet=U0&amp;row=9492&amp;col=6&amp;number=3.8&amp;sourceID=14","3.8")</f>
        <v>3.8</v>
      </c>
      <c r="G9492" s="4" t="str">
        <f>HYPERLINK("http://141.218.60.56/~jnz1568/getInfo.php?workbook=12_05.xlsx&amp;sheet=U0&amp;row=9492&amp;col=7&amp;number=0.00649&amp;sourceID=14","0.00649")</f>
        <v>0.00649</v>
      </c>
    </row>
    <row r="9493" spans="1:7">
      <c r="A9493" s="3"/>
      <c r="B9493" s="3"/>
      <c r="C9493" s="3"/>
      <c r="D9493" s="3"/>
      <c r="E9493" s="3">
        <v>10</v>
      </c>
      <c r="F9493" s="4" t="str">
        <f>HYPERLINK("http://141.218.60.56/~jnz1568/getInfo.php?workbook=12_05.xlsx&amp;sheet=U0&amp;row=9493&amp;col=6&amp;number=3.9&amp;sourceID=14","3.9")</f>
        <v>3.9</v>
      </c>
      <c r="G9493" s="4" t="str">
        <f>HYPERLINK("http://141.218.60.56/~jnz1568/getInfo.php?workbook=12_05.xlsx&amp;sheet=U0&amp;row=9493&amp;col=7&amp;number=0.00648&amp;sourceID=14","0.00648")</f>
        <v>0.00648</v>
      </c>
    </row>
    <row r="9494" spans="1:7">
      <c r="A9494" s="3"/>
      <c r="B9494" s="3"/>
      <c r="C9494" s="3"/>
      <c r="D9494" s="3"/>
      <c r="E9494" s="3">
        <v>11</v>
      </c>
      <c r="F9494" s="4" t="str">
        <f>HYPERLINK("http://141.218.60.56/~jnz1568/getInfo.php?workbook=12_05.xlsx&amp;sheet=U0&amp;row=9494&amp;col=6&amp;number=4&amp;sourceID=14","4")</f>
        <v>4</v>
      </c>
      <c r="G9494" s="4" t="str">
        <f>HYPERLINK("http://141.218.60.56/~jnz1568/getInfo.php?workbook=12_05.xlsx&amp;sheet=U0&amp;row=9494&amp;col=7&amp;number=0.00647&amp;sourceID=14","0.00647")</f>
        <v>0.00647</v>
      </c>
    </row>
    <row r="9495" spans="1:7">
      <c r="A9495" s="3"/>
      <c r="B9495" s="3"/>
      <c r="C9495" s="3"/>
      <c r="D9495" s="3"/>
      <c r="E9495" s="3">
        <v>12</v>
      </c>
      <c r="F9495" s="4" t="str">
        <f>HYPERLINK("http://141.218.60.56/~jnz1568/getInfo.php?workbook=12_05.xlsx&amp;sheet=U0&amp;row=9495&amp;col=6&amp;number=4.1&amp;sourceID=14","4.1")</f>
        <v>4.1</v>
      </c>
      <c r="G9495" s="4" t="str">
        <f>HYPERLINK("http://141.218.60.56/~jnz1568/getInfo.php?workbook=12_05.xlsx&amp;sheet=U0&amp;row=9495&amp;col=7&amp;number=0.00646&amp;sourceID=14","0.00646")</f>
        <v>0.00646</v>
      </c>
    </row>
    <row r="9496" spans="1:7">
      <c r="A9496" s="3"/>
      <c r="B9496" s="3"/>
      <c r="C9496" s="3"/>
      <c r="D9496" s="3"/>
      <c r="E9496" s="3">
        <v>13</v>
      </c>
      <c r="F9496" s="4" t="str">
        <f>HYPERLINK("http://141.218.60.56/~jnz1568/getInfo.php?workbook=12_05.xlsx&amp;sheet=U0&amp;row=9496&amp;col=6&amp;number=4.2&amp;sourceID=14","4.2")</f>
        <v>4.2</v>
      </c>
      <c r="G9496" s="4" t="str">
        <f>HYPERLINK("http://141.218.60.56/~jnz1568/getInfo.php?workbook=12_05.xlsx&amp;sheet=U0&amp;row=9496&amp;col=7&amp;number=0.00644&amp;sourceID=14","0.00644")</f>
        <v>0.00644</v>
      </c>
    </row>
    <row r="9497" spans="1:7">
      <c r="A9497" s="3"/>
      <c r="B9497" s="3"/>
      <c r="C9497" s="3"/>
      <c r="D9497" s="3"/>
      <c r="E9497" s="3">
        <v>14</v>
      </c>
      <c r="F9497" s="4" t="str">
        <f>HYPERLINK("http://141.218.60.56/~jnz1568/getInfo.php?workbook=12_05.xlsx&amp;sheet=U0&amp;row=9497&amp;col=6&amp;number=4.3&amp;sourceID=14","4.3")</f>
        <v>4.3</v>
      </c>
      <c r="G9497" s="4" t="str">
        <f>HYPERLINK("http://141.218.60.56/~jnz1568/getInfo.php?workbook=12_05.xlsx&amp;sheet=U0&amp;row=9497&amp;col=7&amp;number=0.00641&amp;sourceID=14","0.00641")</f>
        <v>0.00641</v>
      </c>
    </row>
    <row r="9498" spans="1:7">
      <c r="A9498" s="3"/>
      <c r="B9498" s="3"/>
      <c r="C9498" s="3"/>
      <c r="D9498" s="3"/>
      <c r="E9498" s="3">
        <v>15</v>
      </c>
      <c r="F9498" s="4" t="str">
        <f>HYPERLINK("http://141.218.60.56/~jnz1568/getInfo.php?workbook=12_05.xlsx&amp;sheet=U0&amp;row=9498&amp;col=6&amp;number=4.4&amp;sourceID=14","4.4")</f>
        <v>4.4</v>
      </c>
      <c r="G9498" s="4" t="str">
        <f>HYPERLINK("http://141.218.60.56/~jnz1568/getInfo.php?workbook=12_05.xlsx&amp;sheet=U0&amp;row=9498&amp;col=7&amp;number=0.00638&amp;sourceID=14","0.00638")</f>
        <v>0.00638</v>
      </c>
    </row>
    <row r="9499" spans="1:7">
      <c r="A9499" s="3"/>
      <c r="B9499" s="3"/>
      <c r="C9499" s="3"/>
      <c r="D9499" s="3"/>
      <c r="E9499" s="3">
        <v>16</v>
      </c>
      <c r="F9499" s="4" t="str">
        <f>HYPERLINK("http://141.218.60.56/~jnz1568/getInfo.php?workbook=12_05.xlsx&amp;sheet=U0&amp;row=9499&amp;col=6&amp;number=4.5&amp;sourceID=14","4.5")</f>
        <v>4.5</v>
      </c>
      <c r="G9499" s="4" t="str">
        <f>HYPERLINK("http://141.218.60.56/~jnz1568/getInfo.php?workbook=12_05.xlsx&amp;sheet=U0&amp;row=9499&amp;col=7&amp;number=0.00634&amp;sourceID=14","0.00634")</f>
        <v>0.00634</v>
      </c>
    </row>
    <row r="9500" spans="1:7">
      <c r="A9500" s="3"/>
      <c r="B9500" s="3"/>
      <c r="C9500" s="3"/>
      <c r="D9500" s="3"/>
      <c r="E9500" s="3">
        <v>17</v>
      </c>
      <c r="F9500" s="4" t="str">
        <f>HYPERLINK("http://141.218.60.56/~jnz1568/getInfo.php?workbook=12_05.xlsx&amp;sheet=U0&amp;row=9500&amp;col=6&amp;number=4.6&amp;sourceID=14","4.6")</f>
        <v>4.6</v>
      </c>
      <c r="G9500" s="4" t="str">
        <f>HYPERLINK("http://141.218.60.56/~jnz1568/getInfo.php?workbook=12_05.xlsx&amp;sheet=U0&amp;row=9500&amp;col=7&amp;number=0.0063&amp;sourceID=14","0.0063")</f>
        <v>0.0063</v>
      </c>
    </row>
    <row r="9501" spans="1:7">
      <c r="A9501" s="3"/>
      <c r="B9501" s="3"/>
      <c r="C9501" s="3"/>
      <c r="D9501" s="3"/>
      <c r="E9501" s="3">
        <v>18</v>
      </c>
      <c r="F9501" s="4" t="str">
        <f>HYPERLINK("http://141.218.60.56/~jnz1568/getInfo.php?workbook=12_05.xlsx&amp;sheet=U0&amp;row=9501&amp;col=6&amp;number=4.7&amp;sourceID=14","4.7")</f>
        <v>4.7</v>
      </c>
      <c r="G9501" s="4" t="str">
        <f>HYPERLINK("http://141.218.60.56/~jnz1568/getInfo.php?workbook=12_05.xlsx&amp;sheet=U0&amp;row=9501&amp;col=7&amp;number=0.00624&amp;sourceID=14","0.00624")</f>
        <v>0.00624</v>
      </c>
    </row>
    <row r="9502" spans="1:7">
      <c r="A9502" s="3"/>
      <c r="B9502" s="3"/>
      <c r="C9502" s="3"/>
      <c r="D9502" s="3"/>
      <c r="E9502" s="3">
        <v>19</v>
      </c>
      <c r="F9502" s="4" t="str">
        <f>HYPERLINK("http://141.218.60.56/~jnz1568/getInfo.php?workbook=12_05.xlsx&amp;sheet=U0&amp;row=9502&amp;col=6&amp;number=4.8&amp;sourceID=14","4.8")</f>
        <v>4.8</v>
      </c>
      <c r="G9502" s="4" t="str">
        <f>HYPERLINK("http://141.218.60.56/~jnz1568/getInfo.php?workbook=12_05.xlsx&amp;sheet=U0&amp;row=9502&amp;col=7&amp;number=0.00617&amp;sourceID=14","0.00617")</f>
        <v>0.00617</v>
      </c>
    </row>
    <row r="9503" spans="1:7">
      <c r="A9503" s="3"/>
      <c r="B9503" s="3"/>
      <c r="C9503" s="3"/>
      <c r="D9503" s="3"/>
      <c r="E9503" s="3">
        <v>20</v>
      </c>
      <c r="F9503" s="4" t="str">
        <f>HYPERLINK("http://141.218.60.56/~jnz1568/getInfo.php?workbook=12_05.xlsx&amp;sheet=U0&amp;row=9503&amp;col=6&amp;number=4.9&amp;sourceID=14","4.9")</f>
        <v>4.9</v>
      </c>
      <c r="G9503" s="4" t="str">
        <f>HYPERLINK("http://141.218.60.56/~jnz1568/getInfo.php?workbook=12_05.xlsx&amp;sheet=U0&amp;row=9503&amp;col=7&amp;number=0.00608&amp;sourceID=14","0.00608")</f>
        <v>0.00608</v>
      </c>
    </row>
    <row r="9504" spans="1:7">
      <c r="A9504" s="3">
        <v>12</v>
      </c>
      <c r="B9504" s="3">
        <v>5</v>
      </c>
      <c r="C9504" s="3">
        <v>5</v>
      </c>
      <c r="D9504" s="3">
        <v>47</v>
      </c>
      <c r="E9504" s="3">
        <v>1</v>
      </c>
      <c r="F9504" s="4" t="str">
        <f>HYPERLINK("http://141.218.60.56/~jnz1568/getInfo.php?workbook=12_05.xlsx&amp;sheet=U0&amp;row=9504&amp;col=6&amp;number=3&amp;sourceID=14","3")</f>
        <v>3</v>
      </c>
      <c r="G9504" s="4" t="str">
        <f>HYPERLINK("http://141.218.60.56/~jnz1568/getInfo.php?workbook=12_05.xlsx&amp;sheet=U0&amp;row=9504&amp;col=7&amp;number=0.000458&amp;sourceID=14","0.000458")</f>
        <v>0.000458</v>
      </c>
    </row>
    <row r="9505" spans="1:7">
      <c r="A9505" s="3"/>
      <c r="B9505" s="3"/>
      <c r="C9505" s="3"/>
      <c r="D9505" s="3"/>
      <c r="E9505" s="3">
        <v>2</v>
      </c>
      <c r="F9505" s="4" t="str">
        <f>HYPERLINK("http://141.218.60.56/~jnz1568/getInfo.php?workbook=12_05.xlsx&amp;sheet=U0&amp;row=9505&amp;col=6&amp;number=3.1&amp;sourceID=14","3.1")</f>
        <v>3.1</v>
      </c>
      <c r="G9505" s="4" t="str">
        <f>HYPERLINK("http://141.218.60.56/~jnz1568/getInfo.php?workbook=12_05.xlsx&amp;sheet=U0&amp;row=9505&amp;col=7&amp;number=0.000458&amp;sourceID=14","0.000458")</f>
        <v>0.000458</v>
      </c>
    </row>
    <row r="9506" spans="1:7">
      <c r="A9506" s="3"/>
      <c r="B9506" s="3"/>
      <c r="C9506" s="3"/>
      <c r="D9506" s="3"/>
      <c r="E9506" s="3">
        <v>3</v>
      </c>
      <c r="F9506" s="4" t="str">
        <f>HYPERLINK("http://141.218.60.56/~jnz1568/getInfo.php?workbook=12_05.xlsx&amp;sheet=U0&amp;row=9506&amp;col=6&amp;number=3.2&amp;sourceID=14","3.2")</f>
        <v>3.2</v>
      </c>
      <c r="G9506" s="4" t="str">
        <f>HYPERLINK("http://141.218.60.56/~jnz1568/getInfo.php?workbook=12_05.xlsx&amp;sheet=U0&amp;row=9506&amp;col=7&amp;number=0.000458&amp;sourceID=14","0.000458")</f>
        <v>0.000458</v>
      </c>
    </row>
    <row r="9507" spans="1:7">
      <c r="A9507" s="3"/>
      <c r="B9507" s="3"/>
      <c r="C9507" s="3"/>
      <c r="D9507" s="3"/>
      <c r="E9507" s="3">
        <v>4</v>
      </c>
      <c r="F9507" s="4" t="str">
        <f>HYPERLINK("http://141.218.60.56/~jnz1568/getInfo.php?workbook=12_05.xlsx&amp;sheet=U0&amp;row=9507&amp;col=6&amp;number=3.3&amp;sourceID=14","3.3")</f>
        <v>3.3</v>
      </c>
      <c r="G9507" s="4" t="str">
        <f>HYPERLINK("http://141.218.60.56/~jnz1568/getInfo.php?workbook=12_05.xlsx&amp;sheet=U0&amp;row=9507&amp;col=7&amp;number=0.000458&amp;sourceID=14","0.000458")</f>
        <v>0.000458</v>
      </c>
    </row>
    <row r="9508" spans="1:7">
      <c r="A9508" s="3"/>
      <c r="B9508" s="3"/>
      <c r="C9508" s="3"/>
      <c r="D9508" s="3"/>
      <c r="E9508" s="3">
        <v>5</v>
      </c>
      <c r="F9508" s="4" t="str">
        <f>HYPERLINK("http://141.218.60.56/~jnz1568/getInfo.php?workbook=12_05.xlsx&amp;sheet=U0&amp;row=9508&amp;col=6&amp;number=3.4&amp;sourceID=14","3.4")</f>
        <v>3.4</v>
      </c>
      <c r="G9508" s="4" t="str">
        <f>HYPERLINK("http://141.218.60.56/~jnz1568/getInfo.php?workbook=12_05.xlsx&amp;sheet=U0&amp;row=9508&amp;col=7&amp;number=0.000457&amp;sourceID=14","0.000457")</f>
        <v>0.000457</v>
      </c>
    </row>
    <row r="9509" spans="1:7">
      <c r="A9509" s="3"/>
      <c r="B9509" s="3"/>
      <c r="C9509" s="3"/>
      <c r="D9509" s="3"/>
      <c r="E9509" s="3">
        <v>6</v>
      </c>
      <c r="F9509" s="4" t="str">
        <f>HYPERLINK("http://141.218.60.56/~jnz1568/getInfo.php?workbook=12_05.xlsx&amp;sheet=U0&amp;row=9509&amp;col=6&amp;number=3.5&amp;sourceID=14","3.5")</f>
        <v>3.5</v>
      </c>
      <c r="G9509" s="4" t="str">
        <f>HYPERLINK("http://141.218.60.56/~jnz1568/getInfo.php?workbook=12_05.xlsx&amp;sheet=U0&amp;row=9509&amp;col=7&amp;number=0.000457&amp;sourceID=14","0.000457")</f>
        <v>0.000457</v>
      </c>
    </row>
    <row r="9510" spans="1:7">
      <c r="A9510" s="3"/>
      <c r="B9510" s="3"/>
      <c r="C9510" s="3"/>
      <c r="D9510" s="3"/>
      <c r="E9510" s="3">
        <v>7</v>
      </c>
      <c r="F9510" s="4" t="str">
        <f>HYPERLINK("http://141.218.60.56/~jnz1568/getInfo.php?workbook=12_05.xlsx&amp;sheet=U0&amp;row=9510&amp;col=6&amp;number=3.6&amp;sourceID=14","3.6")</f>
        <v>3.6</v>
      </c>
      <c r="G9510" s="4" t="str">
        <f>HYPERLINK("http://141.218.60.56/~jnz1568/getInfo.php?workbook=12_05.xlsx&amp;sheet=U0&amp;row=9510&amp;col=7&amp;number=0.000457&amp;sourceID=14","0.000457")</f>
        <v>0.000457</v>
      </c>
    </row>
    <row r="9511" spans="1:7">
      <c r="A9511" s="3"/>
      <c r="B9511" s="3"/>
      <c r="C9511" s="3"/>
      <c r="D9511" s="3"/>
      <c r="E9511" s="3">
        <v>8</v>
      </c>
      <c r="F9511" s="4" t="str">
        <f>HYPERLINK("http://141.218.60.56/~jnz1568/getInfo.php?workbook=12_05.xlsx&amp;sheet=U0&amp;row=9511&amp;col=6&amp;number=3.7&amp;sourceID=14","3.7")</f>
        <v>3.7</v>
      </c>
      <c r="G9511" s="4" t="str">
        <f>HYPERLINK("http://141.218.60.56/~jnz1568/getInfo.php?workbook=12_05.xlsx&amp;sheet=U0&amp;row=9511&amp;col=7&amp;number=0.000456&amp;sourceID=14","0.000456")</f>
        <v>0.000456</v>
      </c>
    </row>
    <row r="9512" spans="1:7">
      <c r="A9512" s="3"/>
      <c r="B9512" s="3"/>
      <c r="C9512" s="3"/>
      <c r="D9512" s="3"/>
      <c r="E9512" s="3">
        <v>9</v>
      </c>
      <c r="F9512" s="4" t="str">
        <f>HYPERLINK("http://141.218.60.56/~jnz1568/getInfo.php?workbook=12_05.xlsx&amp;sheet=U0&amp;row=9512&amp;col=6&amp;number=3.8&amp;sourceID=14","3.8")</f>
        <v>3.8</v>
      </c>
      <c r="G9512" s="4" t="str">
        <f>HYPERLINK("http://141.218.60.56/~jnz1568/getInfo.php?workbook=12_05.xlsx&amp;sheet=U0&amp;row=9512&amp;col=7&amp;number=0.000456&amp;sourceID=14","0.000456")</f>
        <v>0.000456</v>
      </c>
    </row>
    <row r="9513" spans="1:7">
      <c r="A9513" s="3"/>
      <c r="B9513" s="3"/>
      <c r="C9513" s="3"/>
      <c r="D9513" s="3"/>
      <c r="E9513" s="3">
        <v>10</v>
      </c>
      <c r="F9513" s="4" t="str">
        <f>HYPERLINK("http://141.218.60.56/~jnz1568/getInfo.php?workbook=12_05.xlsx&amp;sheet=U0&amp;row=9513&amp;col=6&amp;number=3.9&amp;sourceID=14","3.9")</f>
        <v>3.9</v>
      </c>
      <c r="G9513" s="4" t="str">
        <f>HYPERLINK("http://141.218.60.56/~jnz1568/getInfo.php?workbook=12_05.xlsx&amp;sheet=U0&amp;row=9513&amp;col=7&amp;number=0.000455&amp;sourceID=14","0.000455")</f>
        <v>0.000455</v>
      </c>
    </row>
    <row r="9514" spans="1:7">
      <c r="A9514" s="3"/>
      <c r="B9514" s="3"/>
      <c r="C9514" s="3"/>
      <c r="D9514" s="3"/>
      <c r="E9514" s="3">
        <v>11</v>
      </c>
      <c r="F9514" s="4" t="str">
        <f>HYPERLINK("http://141.218.60.56/~jnz1568/getInfo.php?workbook=12_05.xlsx&amp;sheet=U0&amp;row=9514&amp;col=6&amp;number=4&amp;sourceID=14","4")</f>
        <v>4</v>
      </c>
      <c r="G9514" s="4" t="str">
        <f>HYPERLINK("http://141.218.60.56/~jnz1568/getInfo.php?workbook=12_05.xlsx&amp;sheet=U0&amp;row=9514&amp;col=7&amp;number=0.000454&amp;sourceID=14","0.000454")</f>
        <v>0.000454</v>
      </c>
    </row>
    <row r="9515" spans="1:7">
      <c r="A9515" s="3"/>
      <c r="B9515" s="3"/>
      <c r="C9515" s="3"/>
      <c r="D9515" s="3"/>
      <c r="E9515" s="3">
        <v>12</v>
      </c>
      <c r="F9515" s="4" t="str">
        <f>HYPERLINK("http://141.218.60.56/~jnz1568/getInfo.php?workbook=12_05.xlsx&amp;sheet=U0&amp;row=9515&amp;col=6&amp;number=4.1&amp;sourceID=14","4.1")</f>
        <v>4.1</v>
      </c>
      <c r="G9515" s="4" t="str">
        <f>HYPERLINK("http://141.218.60.56/~jnz1568/getInfo.php?workbook=12_05.xlsx&amp;sheet=U0&amp;row=9515&amp;col=7&amp;number=0.000453&amp;sourceID=14","0.000453")</f>
        <v>0.000453</v>
      </c>
    </row>
    <row r="9516" spans="1:7">
      <c r="A9516" s="3"/>
      <c r="B9516" s="3"/>
      <c r="C9516" s="3"/>
      <c r="D9516" s="3"/>
      <c r="E9516" s="3">
        <v>13</v>
      </c>
      <c r="F9516" s="4" t="str">
        <f>HYPERLINK("http://141.218.60.56/~jnz1568/getInfo.php?workbook=12_05.xlsx&amp;sheet=U0&amp;row=9516&amp;col=6&amp;number=4.2&amp;sourceID=14","4.2")</f>
        <v>4.2</v>
      </c>
      <c r="G9516" s="4" t="str">
        <f>HYPERLINK("http://141.218.60.56/~jnz1568/getInfo.php?workbook=12_05.xlsx&amp;sheet=U0&amp;row=9516&amp;col=7&amp;number=0.000452&amp;sourceID=14","0.000452")</f>
        <v>0.000452</v>
      </c>
    </row>
    <row r="9517" spans="1:7">
      <c r="A9517" s="3"/>
      <c r="B9517" s="3"/>
      <c r="C9517" s="3"/>
      <c r="D9517" s="3"/>
      <c r="E9517" s="3">
        <v>14</v>
      </c>
      <c r="F9517" s="4" t="str">
        <f>HYPERLINK("http://141.218.60.56/~jnz1568/getInfo.php?workbook=12_05.xlsx&amp;sheet=U0&amp;row=9517&amp;col=6&amp;number=4.3&amp;sourceID=14","4.3")</f>
        <v>4.3</v>
      </c>
      <c r="G9517" s="4" t="str">
        <f>HYPERLINK("http://141.218.60.56/~jnz1568/getInfo.php?workbook=12_05.xlsx&amp;sheet=U0&amp;row=9517&amp;col=7&amp;number=0.00045&amp;sourceID=14","0.00045")</f>
        <v>0.00045</v>
      </c>
    </row>
    <row r="9518" spans="1:7">
      <c r="A9518" s="3"/>
      <c r="B9518" s="3"/>
      <c r="C9518" s="3"/>
      <c r="D9518" s="3"/>
      <c r="E9518" s="3">
        <v>15</v>
      </c>
      <c r="F9518" s="4" t="str">
        <f>HYPERLINK("http://141.218.60.56/~jnz1568/getInfo.php?workbook=12_05.xlsx&amp;sheet=U0&amp;row=9518&amp;col=6&amp;number=4.4&amp;sourceID=14","4.4")</f>
        <v>4.4</v>
      </c>
      <c r="G9518" s="4" t="str">
        <f>HYPERLINK("http://141.218.60.56/~jnz1568/getInfo.php?workbook=12_05.xlsx&amp;sheet=U0&amp;row=9518&amp;col=7&amp;number=0.000448&amp;sourceID=14","0.000448")</f>
        <v>0.000448</v>
      </c>
    </row>
    <row r="9519" spans="1:7">
      <c r="A9519" s="3"/>
      <c r="B9519" s="3"/>
      <c r="C9519" s="3"/>
      <c r="D9519" s="3"/>
      <c r="E9519" s="3">
        <v>16</v>
      </c>
      <c r="F9519" s="4" t="str">
        <f>HYPERLINK("http://141.218.60.56/~jnz1568/getInfo.php?workbook=12_05.xlsx&amp;sheet=U0&amp;row=9519&amp;col=6&amp;number=4.5&amp;sourceID=14","4.5")</f>
        <v>4.5</v>
      </c>
      <c r="G9519" s="4" t="str">
        <f>HYPERLINK("http://141.218.60.56/~jnz1568/getInfo.php?workbook=12_05.xlsx&amp;sheet=U0&amp;row=9519&amp;col=7&amp;number=0.000445&amp;sourceID=14","0.000445")</f>
        <v>0.000445</v>
      </c>
    </row>
    <row r="9520" spans="1:7">
      <c r="A9520" s="3"/>
      <c r="B9520" s="3"/>
      <c r="C9520" s="3"/>
      <c r="D9520" s="3"/>
      <c r="E9520" s="3">
        <v>17</v>
      </c>
      <c r="F9520" s="4" t="str">
        <f>HYPERLINK("http://141.218.60.56/~jnz1568/getInfo.php?workbook=12_05.xlsx&amp;sheet=U0&amp;row=9520&amp;col=6&amp;number=4.6&amp;sourceID=14","4.6")</f>
        <v>4.6</v>
      </c>
      <c r="G9520" s="4" t="str">
        <f>HYPERLINK("http://141.218.60.56/~jnz1568/getInfo.php?workbook=12_05.xlsx&amp;sheet=U0&amp;row=9520&amp;col=7&amp;number=0.000442&amp;sourceID=14","0.000442")</f>
        <v>0.000442</v>
      </c>
    </row>
    <row r="9521" spans="1:7">
      <c r="A9521" s="3"/>
      <c r="B9521" s="3"/>
      <c r="C9521" s="3"/>
      <c r="D9521" s="3"/>
      <c r="E9521" s="3">
        <v>18</v>
      </c>
      <c r="F9521" s="4" t="str">
        <f>HYPERLINK("http://141.218.60.56/~jnz1568/getInfo.php?workbook=12_05.xlsx&amp;sheet=U0&amp;row=9521&amp;col=6&amp;number=4.7&amp;sourceID=14","4.7")</f>
        <v>4.7</v>
      </c>
      <c r="G9521" s="4" t="str">
        <f>HYPERLINK("http://141.218.60.56/~jnz1568/getInfo.php?workbook=12_05.xlsx&amp;sheet=U0&amp;row=9521&amp;col=7&amp;number=0.000438&amp;sourceID=14","0.000438")</f>
        <v>0.000438</v>
      </c>
    </row>
    <row r="9522" spans="1:7">
      <c r="A9522" s="3"/>
      <c r="B9522" s="3"/>
      <c r="C9522" s="3"/>
      <c r="D9522" s="3"/>
      <c r="E9522" s="3">
        <v>19</v>
      </c>
      <c r="F9522" s="4" t="str">
        <f>HYPERLINK("http://141.218.60.56/~jnz1568/getInfo.php?workbook=12_05.xlsx&amp;sheet=U0&amp;row=9522&amp;col=6&amp;number=4.8&amp;sourceID=14","4.8")</f>
        <v>4.8</v>
      </c>
      <c r="G9522" s="4" t="str">
        <f>HYPERLINK("http://141.218.60.56/~jnz1568/getInfo.php?workbook=12_05.xlsx&amp;sheet=U0&amp;row=9522&amp;col=7&amp;number=0.000432&amp;sourceID=14","0.000432")</f>
        <v>0.000432</v>
      </c>
    </row>
    <row r="9523" spans="1:7">
      <c r="A9523" s="3"/>
      <c r="B9523" s="3"/>
      <c r="C9523" s="3"/>
      <c r="D9523" s="3"/>
      <c r="E9523" s="3">
        <v>20</v>
      </c>
      <c r="F9523" s="4" t="str">
        <f>HYPERLINK("http://141.218.60.56/~jnz1568/getInfo.php?workbook=12_05.xlsx&amp;sheet=U0&amp;row=9523&amp;col=6&amp;number=4.9&amp;sourceID=14","4.9")</f>
        <v>4.9</v>
      </c>
      <c r="G9523" s="4" t="str">
        <f>HYPERLINK("http://141.218.60.56/~jnz1568/getInfo.php?workbook=12_05.xlsx&amp;sheet=U0&amp;row=9523&amp;col=7&amp;number=0.000426&amp;sourceID=14","0.000426")</f>
        <v>0.000426</v>
      </c>
    </row>
    <row r="9524" spans="1:7">
      <c r="A9524" s="3">
        <v>12</v>
      </c>
      <c r="B9524" s="3">
        <v>5</v>
      </c>
      <c r="C9524" s="3">
        <v>5</v>
      </c>
      <c r="D9524" s="3">
        <v>48</v>
      </c>
      <c r="E9524" s="3">
        <v>1</v>
      </c>
      <c r="F9524" s="4" t="str">
        <f>HYPERLINK("http://141.218.60.56/~jnz1568/getInfo.php?workbook=12_05.xlsx&amp;sheet=U0&amp;row=9524&amp;col=6&amp;number=3&amp;sourceID=14","3")</f>
        <v>3</v>
      </c>
      <c r="G9524" s="4" t="str">
        <f>HYPERLINK("http://141.218.60.56/~jnz1568/getInfo.php?workbook=12_05.xlsx&amp;sheet=U0&amp;row=9524&amp;col=7&amp;number=0.000364&amp;sourceID=14","0.000364")</f>
        <v>0.000364</v>
      </c>
    </row>
    <row r="9525" spans="1:7">
      <c r="A9525" s="3"/>
      <c r="B9525" s="3"/>
      <c r="C9525" s="3"/>
      <c r="D9525" s="3"/>
      <c r="E9525" s="3">
        <v>2</v>
      </c>
      <c r="F9525" s="4" t="str">
        <f>HYPERLINK("http://141.218.60.56/~jnz1568/getInfo.php?workbook=12_05.xlsx&amp;sheet=U0&amp;row=9525&amp;col=6&amp;number=3.1&amp;sourceID=14","3.1")</f>
        <v>3.1</v>
      </c>
      <c r="G9525" s="4" t="str">
        <f>HYPERLINK("http://141.218.60.56/~jnz1568/getInfo.php?workbook=12_05.xlsx&amp;sheet=U0&amp;row=9525&amp;col=7&amp;number=0.000363&amp;sourceID=14","0.000363")</f>
        <v>0.000363</v>
      </c>
    </row>
    <row r="9526" spans="1:7">
      <c r="A9526" s="3"/>
      <c r="B9526" s="3"/>
      <c r="C9526" s="3"/>
      <c r="D9526" s="3"/>
      <c r="E9526" s="3">
        <v>3</v>
      </c>
      <c r="F9526" s="4" t="str">
        <f>HYPERLINK("http://141.218.60.56/~jnz1568/getInfo.php?workbook=12_05.xlsx&amp;sheet=U0&amp;row=9526&amp;col=6&amp;number=3.2&amp;sourceID=14","3.2")</f>
        <v>3.2</v>
      </c>
      <c r="G9526" s="4" t="str">
        <f>HYPERLINK("http://141.218.60.56/~jnz1568/getInfo.php?workbook=12_05.xlsx&amp;sheet=U0&amp;row=9526&amp;col=7&amp;number=0.000363&amp;sourceID=14","0.000363")</f>
        <v>0.000363</v>
      </c>
    </row>
    <row r="9527" spans="1:7">
      <c r="A9527" s="3"/>
      <c r="B9527" s="3"/>
      <c r="C9527" s="3"/>
      <c r="D9527" s="3"/>
      <c r="E9527" s="3">
        <v>4</v>
      </c>
      <c r="F9527" s="4" t="str">
        <f>HYPERLINK("http://141.218.60.56/~jnz1568/getInfo.php?workbook=12_05.xlsx&amp;sheet=U0&amp;row=9527&amp;col=6&amp;number=3.3&amp;sourceID=14","3.3")</f>
        <v>3.3</v>
      </c>
      <c r="G9527" s="4" t="str">
        <f>HYPERLINK("http://141.218.60.56/~jnz1568/getInfo.php?workbook=12_05.xlsx&amp;sheet=U0&amp;row=9527&amp;col=7&amp;number=0.000363&amp;sourceID=14","0.000363")</f>
        <v>0.000363</v>
      </c>
    </row>
    <row r="9528" spans="1:7">
      <c r="A9528" s="3"/>
      <c r="B9528" s="3"/>
      <c r="C9528" s="3"/>
      <c r="D9528" s="3"/>
      <c r="E9528" s="3">
        <v>5</v>
      </c>
      <c r="F9528" s="4" t="str">
        <f>HYPERLINK("http://141.218.60.56/~jnz1568/getInfo.php?workbook=12_05.xlsx&amp;sheet=U0&amp;row=9528&amp;col=6&amp;number=3.4&amp;sourceID=14","3.4")</f>
        <v>3.4</v>
      </c>
      <c r="G9528" s="4" t="str">
        <f>HYPERLINK("http://141.218.60.56/~jnz1568/getInfo.php?workbook=12_05.xlsx&amp;sheet=U0&amp;row=9528&amp;col=7&amp;number=0.000363&amp;sourceID=14","0.000363")</f>
        <v>0.000363</v>
      </c>
    </row>
    <row r="9529" spans="1:7">
      <c r="A9529" s="3"/>
      <c r="B9529" s="3"/>
      <c r="C9529" s="3"/>
      <c r="D9529" s="3"/>
      <c r="E9529" s="3">
        <v>6</v>
      </c>
      <c r="F9529" s="4" t="str">
        <f>HYPERLINK("http://141.218.60.56/~jnz1568/getInfo.php?workbook=12_05.xlsx&amp;sheet=U0&amp;row=9529&amp;col=6&amp;number=3.5&amp;sourceID=14","3.5")</f>
        <v>3.5</v>
      </c>
      <c r="G9529" s="4" t="str">
        <f>HYPERLINK("http://141.218.60.56/~jnz1568/getInfo.php?workbook=12_05.xlsx&amp;sheet=U0&amp;row=9529&amp;col=7&amp;number=0.000363&amp;sourceID=14","0.000363")</f>
        <v>0.000363</v>
      </c>
    </row>
    <row r="9530" spans="1:7">
      <c r="A9530" s="3"/>
      <c r="B9530" s="3"/>
      <c r="C9530" s="3"/>
      <c r="D9530" s="3"/>
      <c r="E9530" s="3">
        <v>7</v>
      </c>
      <c r="F9530" s="4" t="str">
        <f>HYPERLINK("http://141.218.60.56/~jnz1568/getInfo.php?workbook=12_05.xlsx&amp;sheet=U0&amp;row=9530&amp;col=6&amp;number=3.6&amp;sourceID=14","3.6")</f>
        <v>3.6</v>
      </c>
      <c r="G9530" s="4" t="str">
        <f>HYPERLINK("http://141.218.60.56/~jnz1568/getInfo.php?workbook=12_05.xlsx&amp;sheet=U0&amp;row=9530&amp;col=7&amp;number=0.000363&amp;sourceID=14","0.000363")</f>
        <v>0.000363</v>
      </c>
    </row>
    <row r="9531" spans="1:7">
      <c r="A9531" s="3"/>
      <c r="B9531" s="3"/>
      <c r="C9531" s="3"/>
      <c r="D9531" s="3"/>
      <c r="E9531" s="3">
        <v>8</v>
      </c>
      <c r="F9531" s="4" t="str">
        <f>HYPERLINK("http://141.218.60.56/~jnz1568/getInfo.php?workbook=12_05.xlsx&amp;sheet=U0&amp;row=9531&amp;col=6&amp;number=3.7&amp;sourceID=14","3.7")</f>
        <v>3.7</v>
      </c>
      <c r="G9531" s="4" t="str">
        <f>HYPERLINK("http://141.218.60.56/~jnz1568/getInfo.php?workbook=12_05.xlsx&amp;sheet=U0&amp;row=9531&amp;col=7&amp;number=0.000362&amp;sourceID=14","0.000362")</f>
        <v>0.000362</v>
      </c>
    </row>
    <row r="9532" spans="1:7">
      <c r="A9532" s="3"/>
      <c r="B9532" s="3"/>
      <c r="C9532" s="3"/>
      <c r="D9532" s="3"/>
      <c r="E9532" s="3">
        <v>9</v>
      </c>
      <c r="F9532" s="4" t="str">
        <f>HYPERLINK("http://141.218.60.56/~jnz1568/getInfo.php?workbook=12_05.xlsx&amp;sheet=U0&amp;row=9532&amp;col=6&amp;number=3.8&amp;sourceID=14","3.8")</f>
        <v>3.8</v>
      </c>
      <c r="G9532" s="4" t="str">
        <f>HYPERLINK("http://141.218.60.56/~jnz1568/getInfo.php?workbook=12_05.xlsx&amp;sheet=U0&amp;row=9532&amp;col=7&amp;number=0.000362&amp;sourceID=14","0.000362")</f>
        <v>0.000362</v>
      </c>
    </row>
    <row r="9533" spans="1:7">
      <c r="A9533" s="3"/>
      <c r="B9533" s="3"/>
      <c r="C9533" s="3"/>
      <c r="D9533" s="3"/>
      <c r="E9533" s="3">
        <v>10</v>
      </c>
      <c r="F9533" s="4" t="str">
        <f>HYPERLINK("http://141.218.60.56/~jnz1568/getInfo.php?workbook=12_05.xlsx&amp;sheet=U0&amp;row=9533&amp;col=6&amp;number=3.9&amp;sourceID=14","3.9")</f>
        <v>3.9</v>
      </c>
      <c r="G9533" s="4" t="str">
        <f>HYPERLINK("http://141.218.60.56/~jnz1568/getInfo.php?workbook=12_05.xlsx&amp;sheet=U0&amp;row=9533&amp;col=7&amp;number=0.000361&amp;sourceID=14","0.000361")</f>
        <v>0.000361</v>
      </c>
    </row>
    <row r="9534" spans="1:7">
      <c r="A9534" s="3"/>
      <c r="B9534" s="3"/>
      <c r="C9534" s="3"/>
      <c r="D9534" s="3"/>
      <c r="E9534" s="3">
        <v>11</v>
      </c>
      <c r="F9534" s="4" t="str">
        <f>HYPERLINK("http://141.218.60.56/~jnz1568/getInfo.php?workbook=12_05.xlsx&amp;sheet=U0&amp;row=9534&amp;col=6&amp;number=4&amp;sourceID=14","4")</f>
        <v>4</v>
      </c>
      <c r="G9534" s="4" t="str">
        <f>HYPERLINK("http://141.218.60.56/~jnz1568/getInfo.php?workbook=12_05.xlsx&amp;sheet=U0&amp;row=9534&amp;col=7&amp;number=0.000361&amp;sourceID=14","0.000361")</f>
        <v>0.000361</v>
      </c>
    </row>
    <row r="9535" spans="1:7">
      <c r="A9535" s="3"/>
      <c r="B9535" s="3"/>
      <c r="C9535" s="3"/>
      <c r="D9535" s="3"/>
      <c r="E9535" s="3">
        <v>12</v>
      </c>
      <c r="F9535" s="4" t="str">
        <f>HYPERLINK("http://141.218.60.56/~jnz1568/getInfo.php?workbook=12_05.xlsx&amp;sheet=U0&amp;row=9535&amp;col=6&amp;number=4.1&amp;sourceID=14","4.1")</f>
        <v>4.1</v>
      </c>
      <c r="G9535" s="4" t="str">
        <f>HYPERLINK("http://141.218.60.56/~jnz1568/getInfo.php?workbook=12_05.xlsx&amp;sheet=U0&amp;row=9535&amp;col=7&amp;number=0.00036&amp;sourceID=14","0.00036")</f>
        <v>0.00036</v>
      </c>
    </row>
    <row r="9536" spans="1:7">
      <c r="A9536" s="3"/>
      <c r="B9536" s="3"/>
      <c r="C9536" s="3"/>
      <c r="D9536" s="3"/>
      <c r="E9536" s="3">
        <v>13</v>
      </c>
      <c r="F9536" s="4" t="str">
        <f>HYPERLINK("http://141.218.60.56/~jnz1568/getInfo.php?workbook=12_05.xlsx&amp;sheet=U0&amp;row=9536&amp;col=6&amp;number=4.2&amp;sourceID=14","4.2")</f>
        <v>4.2</v>
      </c>
      <c r="G9536" s="4" t="str">
        <f>HYPERLINK("http://141.218.60.56/~jnz1568/getInfo.php?workbook=12_05.xlsx&amp;sheet=U0&amp;row=9536&amp;col=7&amp;number=0.000359&amp;sourceID=14","0.000359")</f>
        <v>0.000359</v>
      </c>
    </row>
    <row r="9537" spans="1:7">
      <c r="A9537" s="3"/>
      <c r="B9537" s="3"/>
      <c r="C9537" s="3"/>
      <c r="D9537" s="3"/>
      <c r="E9537" s="3">
        <v>14</v>
      </c>
      <c r="F9537" s="4" t="str">
        <f>HYPERLINK("http://141.218.60.56/~jnz1568/getInfo.php?workbook=12_05.xlsx&amp;sheet=U0&amp;row=9537&amp;col=6&amp;number=4.3&amp;sourceID=14","4.3")</f>
        <v>4.3</v>
      </c>
      <c r="G9537" s="4" t="str">
        <f>HYPERLINK("http://141.218.60.56/~jnz1568/getInfo.php?workbook=12_05.xlsx&amp;sheet=U0&amp;row=9537&amp;col=7&amp;number=0.000357&amp;sourceID=14","0.000357")</f>
        <v>0.000357</v>
      </c>
    </row>
    <row r="9538" spans="1:7">
      <c r="A9538" s="3"/>
      <c r="B9538" s="3"/>
      <c r="C9538" s="3"/>
      <c r="D9538" s="3"/>
      <c r="E9538" s="3">
        <v>15</v>
      </c>
      <c r="F9538" s="4" t="str">
        <f>HYPERLINK("http://141.218.60.56/~jnz1568/getInfo.php?workbook=12_05.xlsx&amp;sheet=U0&amp;row=9538&amp;col=6&amp;number=4.4&amp;sourceID=14","4.4")</f>
        <v>4.4</v>
      </c>
      <c r="G9538" s="4" t="str">
        <f>HYPERLINK("http://141.218.60.56/~jnz1568/getInfo.php?workbook=12_05.xlsx&amp;sheet=U0&amp;row=9538&amp;col=7&amp;number=0.000356&amp;sourceID=14","0.000356")</f>
        <v>0.000356</v>
      </c>
    </row>
    <row r="9539" spans="1:7">
      <c r="A9539" s="3"/>
      <c r="B9539" s="3"/>
      <c r="C9539" s="3"/>
      <c r="D9539" s="3"/>
      <c r="E9539" s="3">
        <v>16</v>
      </c>
      <c r="F9539" s="4" t="str">
        <f>HYPERLINK("http://141.218.60.56/~jnz1568/getInfo.php?workbook=12_05.xlsx&amp;sheet=U0&amp;row=9539&amp;col=6&amp;number=4.5&amp;sourceID=14","4.5")</f>
        <v>4.5</v>
      </c>
      <c r="G9539" s="4" t="str">
        <f>HYPERLINK("http://141.218.60.56/~jnz1568/getInfo.php?workbook=12_05.xlsx&amp;sheet=U0&amp;row=9539&amp;col=7&amp;number=0.000354&amp;sourceID=14","0.000354")</f>
        <v>0.000354</v>
      </c>
    </row>
    <row r="9540" spans="1:7">
      <c r="A9540" s="3"/>
      <c r="B9540" s="3"/>
      <c r="C9540" s="3"/>
      <c r="D9540" s="3"/>
      <c r="E9540" s="3">
        <v>17</v>
      </c>
      <c r="F9540" s="4" t="str">
        <f>HYPERLINK("http://141.218.60.56/~jnz1568/getInfo.php?workbook=12_05.xlsx&amp;sheet=U0&amp;row=9540&amp;col=6&amp;number=4.6&amp;sourceID=14","4.6")</f>
        <v>4.6</v>
      </c>
      <c r="G9540" s="4" t="str">
        <f>HYPERLINK("http://141.218.60.56/~jnz1568/getInfo.php?workbook=12_05.xlsx&amp;sheet=U0&amp;row=9540&amp;col=7&amp;number=0.000351&amp;sourceID=14","0.000351")</f>
        <v>0.000351</v>
      </c>
    </row>
    <row r="9541" spans="1:7">
      <c r="A9541" s="3"/>
      <c r="B9541" s="3"/>
      <c r="C9541" s="3"/>
      <c r="D9541" s="3"/>
      <c r="E9541" s="3">
        <v>18</v>
      </c>
      <c r="F9541" s="4" t="str">
        <f>HYPERLINK("http://141.218.60.56/~jnz1568/getInfo.php?workbook=12_05.xlsx&amp;sheet=U0&amp;row=9541&amp;col=6&amp;number=4.7&amp;sourceID=14","4.7")</f>
        <v>4.7</v>
      </c>
      <c r="G9541" s="4" t="str">
        <f>HYPERLINK("http://141.218.60.56/~jnz1568/getInfo.php?workbook=12_05.xlsx&amp;sheet=U0&amp;row=9541&amp;col=7&amp;number=0.000348&amp;sourceID=14","0.000348")</f>
        <v>0.000348</v>
      </c>
    </row>
    <row r="9542" spans="1:7">
      <c r="A9542" s="3"/>
      <c r="B9542" s="3"/>
      <c r="C9542" s="3"/>
      <c r="D9542" s="3"/>
      <c r="E9542" s="3">
        <v>19</v>
      </c>
      <c r="F9542" s="4" t="str">
        <f>HYPERLINK("http://141.218.60.56/~jnz1568/getInfo.php?workbook=12_05.xlsx&amp;sheet=U0&amp;row=9542&amp;col=6&amp;number=4.8&amp;sourceID=14","4.8")</f>
        <v>4.8</v>
      </c>
      <c r="G9542" s="4" t="str">
        <f>HYPERLINK("http://141.218.60.56/~jnz1568/getInfo.php?workbook=12_05.xlsx&amp;sheet=U0&amp;row=9542&amp;col=7&amp;number=0.000344&amp;sourceID=14","0.000344")</f>
        <v>0.000344</v>
      </c>
    </row>
    <row r="9543" spans="1:7">
      <c r="A9543" s="3"/>
      <c r="B9543" s="3"/>
      <c r="C9543" s="3"/>
      <c r="D9543" s="3"/>
      <c r="E9543" s="3">
        <v>20</v>
      </c>
      <c r="F9543" s="4" t="str">
        <f>HYPERLINK("http://141.218.60.56/~jnz1568/getInfo.php?workbook=12_05.xlsx&amp;sheet=U0&amp;row=9543&amp;col=6&amp;number=4.9&amp;sourceID=14","4.9")</f>
        <v>4.9</v>
      </c>
      <c r="G9543" s="4" t="str">
        <f>HYPERLINK("http://141.218.60.56/~jnz1568/getInfo.php?workbook=12_05.xlsx&amp;sheet=U0&amp;row=9543&amp;col=7&amp;number=0.000339&amp;sourceID=14","0.000339")</f>
        <v>0.000339</v>
      </c>
    </row>
    <row r="9544" spans="1:7">
      <c r="A9544" s="3">
        <v>12</v>
      </c>
      <c r="B9544" s="3">
        <v>5</v>
      </c>
      <c r="C9544" s="3">
        <v>5</v>
      </c>
      <c r="D9544" s="3">
        <v>49</v>
      </c>
      <c r="E9544" s="3">
        <v>1</v>
      </c>
      <c r="F9544" s="4" t="str">
        <f>HYPERLINK("http://141.218.60.56/~jnz1568/getInfo.php?workbook=12_05.xlsx&amp;sheet=U0&amp;row=9544&amp;col=6&amp;number=3&amp;sourceID=14","3")</f>
        <v>3</v>
      </c>
      <c r="G9544" s="4" t="str">
        <f>HYPERLINK("http://141.218.60.56/~jnz1568/getInfo.php?workbook=12_05.xlsx&amp;sheet=U0&amp;row=9544&amp;col=7&amp;number=9.9e-05&amp;sourceID=14","9.9e-05")</f>
        <v>9.9e-05</v>
      </c>
    </row>
    <row r="9545" spans="1:7">
      <c r="A9545" s="3"/>
      <c r="B9545" s="3"/>
      <c r="C9545" s="3"/>
      <c r="D9545" s="3"/>
      <c r="E9545" s="3">
        <v>2</v>
      </c>
      <c r="F9545" s="4" t="str">
        <f>HYPERLINK("http://141.218.60.56/~jnz1568/getInfo.php?workbook=12_05.xlsx&amp;sheet=U0&amp;row=9545&amp;col=6&amp;number=3.1&amp;sourceID=14","3.1")</f>
        <v>3.1</v>
      </c>
      <c r="G9545" s="4" t="str">
        <f>HYPERLINK("http://141.218.60.56/~jnz1568/getInfo.php?workbook=12_05.xlsx&amp;sheet=U0&amp;row=9545&amp;col=7&amp;number=9.9e-05&amp;sourceID=14","9.9e-05")</f>
        <v>9.9e-05</v>
      </c>
    </row>
    <row r="9546" spans="1:7">
      <c r="A9546" s="3"/>
      <c r="B9546" s="3"/>
      <c r="C9546" s="3"/>
      <c r="D9546" s="3"/>
      <c r="E9546" s="3">
        <v>3</v>
      </c>
      <c r="F9546" s="4" t="str">
        <f>HYPERLINK("http://141.218.60.56/~jnz1568/getInfo.php?workbook=12_05.xlsx&amp;sheet=U0&amp;row=9546&amp;col=6&amp;number=3.2&amp;sourceID=14","3.2")</f>
        <v>3.2</v>
      </c>
      <c r="G9546" s="4" t="str">
        <f>HYPERLINK("http://141.218.60.56/~jnz1568/getInfo.php?workbook=12_05.xlsx&amp;sheet=U0&amp;row=9546&amp;col=7&amp;number=9.9e-05&amp;sourceID=14","9.9e-05")</f>
        <v>9.9e-05</v>
      </c>
    </row>
    <row r="9547" spans="1:7">
      <c r="A9547" s="3"/>
      <c r="B9547" s="3"/>
      <c r="C9547" s="3"/>
      <c r="D9547" s="3"/>
      <c r="E9547" s="3">
        <v>4</v>
      </c>
      <c r="F9547" s="4" t="str">
        <f>HYPERLINK("http://141.218.60.56/~jnz1568/getInfo.php?workbook=12_05.xlsx&amp;sheet=U0&amp;row=9547&amp;col=6&amp;number=3.3&amp;sourceID=14","3.3")</f>
        <v>3.3</v>
      </c>
      <c r="G9547" s="4" t="str">
        <f>HYPERLINK("http://141.218.60.56/~jnz1568/getInfo.php?workbook=12_05.xlsx&amp;sheet=U0&amp;row=9547&amp;col=7&amp;number=9.89e-05&amp;sourceID=14","9.89e-05")</f>
        <v>9.89e-05</v>
      </c>
    </row>
    <row r="9548" spans="1:7">
      <c r="A9548" s="3"/>
      <c r="B9548" s="3"/>
      <c r="C9548" s="3"/>
      <c r="D9548" s="3"/>
      <c r="E9548" s="3">
        <v>5</v>
      </c>
      <c r="F9548" s="4" t="str">
        <f>HYPERLINK("http://141.218.60.56/~jnz1568/getInfo.php?workbook=12_05.xlsx&amp;sheet=U0&amp;row=9548&amp;col=6&amp;number=3.4&amp;sourceID=14","3.4")</f>
        <v>3.4</v>
      </c>
      <c r="G9548" s="4" t="str">
        <f>HYPERLINK("http://141.218.60.56/~jnz1568/getInfo.php?workbook=12_05.xlsx&amp;sheet=U0&amp;row=9548&amp;col=7&amp;number=9.89e-05&amp;sourceID=14","9.89e-05")</f>
        <v>9.89e-05</v>
      </c>
    </row>
    <row r="9549" spans="1:7">
      <c r="A9549" s="3"/>
      <c r="B9549" s="3"/>
      <c r="C9549" s="3"/>
      <c r="D9549" s="3"/>
      <c r="E9549" s="3">
        <v>6</v>
      </c>
      <c r="F9549" s="4" t="str">
        <f>HYPERLINK("http://141.218.60.56/~jnz1568/getInfo.php?workbook=12_05.xlsx&amp;sheet=U0&amp;row=9549&amp;col=6&amp;number=3.5&amp;sourceID=14","3.5")</f>
        <v>3.5</v>
      </c>
      <c r="G9549" s="4" t="str">
        <f>HYPERLINK("http://141.218.60.56/~jnz1568/getInfo.php?workbook=12_05.xlsx&amp;sheet=U0&amp;row=9549&amp;col=7&amp;number=9.88e-05&amp;sourceID=14","9.88e-05")</f>
        <v>9.88e-05</v>
      </c>
    </row>
    <row r="9550" spans="1:7">
      <c r="A9550" s="3"/>
      <c r="B9550" s="3"/>
      <c r="C9550" s="3"/>
      <c r="D9550" s="3"/>
      <c r="E9550" s="3">
        <v>7</v>
      </c>
      <c r="F9550" s="4" t="str">
        <f>HYPERLINK("http://141.218.60.56/~jnz1568/getInfo.php?workbook=12_05.xlsx&amp;sheet=U0&amp;row=9550&amp;col=6&amp;number=3.6&amp;sourceID=14","3.6")</f>
        <v>3.6</v>
      </c>
      <c r="G9550" s="4" t="str">
        <f>HYPERLINK("http://141.218.60.56/~jnz1568/getInfo.php?workbook=12_05.xlsx&amp;sheet=U0&amp;row=9550&amp;col=7&amp;number=9.88e-05&amp;sourceID=14","9.88e-05")</f>
        <v>9.88e-05</v>
      </c>
    </row>
    <row r="9551" spans="1:7">
      <c r="A9551" s="3"/>
      <c r="B9551" s="3"/>
      <c r="C9551" s="3"/>
      <c r="D9551" s="3"/>
      <c r="E9551" s="3">
        <v>8</v>
      </c>
      <c r="F9551" s="4" t="str">
        <f>HYPERLINK("http://141.218.60.56/~jnz1568/getInfo.php?workbook=12_05.xlsx&amp;sheet=U0&amp;row=9551&amp;col=6&amp;number=3.7&amp;sourceID=14","3.7")</f>
        <v>3.7</v>
      </c>
      <c r="G9551" s="4" t="str">
        <f>HYPERLINK("http://141.218.60.56/~jnz1568/getInfo.php?workbook=12_05.xlsx&amp;sheet=U0&amp;row=9551&amp;col=7&amp;number=9.87e-05&amp;sourceID=14","9.87e-05")</f>
        <v>9.87e-05</v>
      </c>
    </row>
    <row r="9552" spans="1:7">
      <c r="A9552" s="3"/>
      <c r="B9552" s="3"/>
      <c r="C9552" s="3"/>
      <c r="D9552" s="3"/>
      <c r="E9552" s="3">
        <v>9</v>
      </c>
      <c r="F9552" s="4" t="str">
        <f>HYPERLINK("http://141.218.60.56/~jnz1568/getInfo.php?workbook=12_05.xlsx&amp;sheet=U0&amp;row=9552&amp;col=6&amp;number=3.8&amp;sourceID=14","3.8")</f>
        <v>3.8</v>
      </c>
      <c r="G9552" s="4" t="str">
        <f>HYPERLINK("http://141.218.60.56/~jnz1568/getInfo.php?workbook=12_05.xlsx&amp;sheet=U0&amp;row=9552&amp;col=7&amp;number=9.86e-05&amp;sourceID=14","9.86e-05")</f>
        <v>9.86e-05</v>
      </c>
    </row>
    <row r="9553" spans="1:7">
      <c r="A9553" s="3"/>
      <c r="B9553" s="3"/>
      <c r="C9553" s="3"/>
      <c r="D9553" s="3"/>
      <c r="E9553" s="3">
        <v>10</v>
      </c>
      <c r="F9553" s="4" t="str">
        <f>HYPERLINK("http://141.218.60.56/~jnz1568/getInfo.php?workbook=12_05.xlsx&amp;sheet=U0&amp;row=9553&amp;col=6&amp;number=3.9&amp;sourceID=14","3.9")</f>
        <v>3.9</v>
      </c>
      <c r="G9553" s="4" t="str">
        <f>HYPERLINK("http://141.218.60.56/~jnz1568/getInfo.php?workbook=12_05.xlsx&amp;sheet=U0&amp;row=9553&amp;col=7&amp;number=9.84e-05&amp;sourceID=14","9.84e-05")</f>
        <v>9.84e-05</v>
      </c>
    </row>
    <row r="9554" spans="1:7">
      <c r="A9554" s="3"/>
      <c r="B9554" s="3"/>
      <c r="C9554" s="3"/>
      <c r="D9554" s="3"/>
      <c r="E9554" s="3">
        <v>11</v>
      </c>
      <c r="F9554" s="4" t="str">
        <f>HYPERLINK("http://141.218.60.56/~jnz1568/getInfo.php?workbook=12_05.xlsx&amp;sheet=U0&amp;row=9554&amp;col=6&amp;number=4&amp;sourceID=14","4")</f>
        <v>4</v>
      </c>
      <c r="G9554" s="4" t="str">
        <f>HYPERLINK("http://141.218.60.56/~jnz1568/getInfo.php?workbook=12_05.xlsx&amp;sheet=U0&amp;row=9554&amp;col=7&amp;number=9.82e-05&amp;sourceID=14","9.82e-05")</f>
        <v>9.82e-05</v>
      </c>
    </row>
    <row r="9555" spans="1:7">
      <c r="A9555" s="3"/>
      <c r="B9555" s="3"/>
      <c r="C9555" s="3"/>
      <c r="D9555" s="3"/>
      <c r="E9555" s="3">
        <v>12</v>
      </c>
      <c r="F9555" s="4" t="str">
        <f>HYPERLINK("http://141.218.60.56/~jnz1568/getInfo.php?workbook=12_05.xlsx&amp;sheet=U0&amp;row=9555&amp;col=6&amp;number=4.1&amp;sourceID=14","4.1")</f>
        <v>4.1</v>
      </c>
      <c r="G9555" s="4" t="str">
        <f>HYPERLINK("http://141.218.60.56/~jnz1568/getInfo.php?workbook=12_05.xlsx&amp;sheet=U0&amp;row=9555&amp;col=7&amp;number=9.8e-05&amp;sourceID=14","9.8e-05")</f>
        <v>9.8e-05</v>
      </c>
    </row>
    <row r="9556" spans="1:7">
      <c r="A9556" s="3"/>
      <c r="B9556" s="3"/>
      <c r="C9556" s="3"/>
      <c r="D9556" s="3"/>
      <c r="E9556" s="3">
        <v>13</v>
      </c>
      <c r="F9556" s="4" t="str">
        <f>HYPERLINK("http://141.218.60.56/~jnz1568/getInfo.php?workbook=12_05.xlsx&amp;sheet=U0&amp;row=9556&amp;col=6&amp;number=4.2&amp;sourceID=14","4.2")</f>
        <v>4.2</v>
      </c>
      <c r="G9556" s="4" t="str">
        <f>HYPERLINK("http://141.218.60.56/~jnz1568/getInfo.php?workbook=12_05.xlsx&amp;sheet=U0&amp;row=9556&amp;col=7&amp;number=9.77e-05&amp;sourceID=14","9.77e-05")</f>
        <v>9.77e-05</v>
      </c>
    </row>
    <row r="9557" spans="1:7">
      <c r="A9557" s="3"/>
      <c r="B9557" s="3"/>
      <c r="C9557" s="3"/>
      <c r="D9557" s="3"/>
      <c r="E9557" s="3">
        <v>14</v>
      </c>
      <c r="F9557" s="4" t="str">
        <f>HYPERLINK("http://141.218.60.56/~jnz1568/getInfo.php?workbook=12_05.xlsx&amp;sheet=U0&amp;row=9557&amp;col=6&amp;number=4.3&amp;sourceID=14","4.3")</f>
        <v>4.3</v>
      </c>
      <c r="G9557" s="4" t="str">
        <f>HYPERLINK("http://141.218.60.56/~jnz1568/getInfo.php?workbook=12_05.xlsx&amp;sheet=U0&amp;row=9557&amp;col=7&amp;number=9.74e-05&amp;sourceID=14","9.74e-05")</f>
        <v>9.74e-05</v>
      </c>
    </row>
    <row r="9558" spans="1:7">
      <c r="A9558" s="3"/>
      <c r="B9558" s="3"/>
      <c r="C9558" s="3"/>
      <c r="D9558" s="3"/>
      <c r="E9558" s="3">
        <v>15</v>
      </c>
      <c r="F9558" s="4" t="str">
        <f>HYPERLINK("http://141.218.60.56/~jnz1568/getInfo.php?workbook=12_05.xlsx&amp;sheet=U0&amp;row=9558&amp;col=6&amp;number=4.4&amp;sourceID=14","4.4")</f>
        <v>4.4</v>
      </c>
      <c r="G9558" s="4" t="str">
        <f>HYPERLINK("http://141.218.60.56/~jnz1568/getInfo.php?workbook=12_05.xlsx&amp;sheet=U0&amp;row=9558&amp;col=7&amp;number=9.69e-05&amp;sourceID=14","9.69e-05")</f>
        <v>9.69e-05</v>
      </c>
    </row>
    <row r="9559" spans="1:7">
      <c r="A9559" s="3"/>
      <c r="B9559" s="3"/>
      <c r="C9559" s="3"/>
      <c r="D9559" s="3"/>
      <c r="E9559" s="3">
        <v>16</v>
      </c>
      <c r="F9559" s="4" t="str">
        <f>HYPERLINK("http://141.218.60.56/~jnz1568/getInfo.php?workbook=12_05.xlsx&amp;sheet=U0&amp;row=9559&amp;col=6&amp;number=4.5&amp;sourceID=14","4.5")</f>
        <v>4.5</v>
      </c>
      <c r="G9559" s="4" t="str">
        <f>HYPERLINK("http://141.218.60.56/~jnz1568/getInfo.php?workbook=12_05.xlsx&amp;sheet=U0&amp;row=9559&amp;col=7&amp;number=9.63e-05&amp;sourceID=14","9.63e-05")</f>
        <v>9.63e-05</v>
      </c>
    </row>
    <row r="9560" spans="1:7">
      <c r="A9560" s="3"/>
      <c r="B9560" s="3"/>
      <c r="C9560" s="3"/>
      <c r="D9560" s="3"/>
      <c r="E9560" s="3">
        <v>17</v>
      </c>
      <c r="F9560" s="4" t="str">
        <f>HYPERLINK("http://141.218.60.56/~jnz1568/getInfo.php?workbook=12_05.xlsx&amp;sheet=U0&amp;row=9560&amp;col=6&amp;number=4.6&amp;sourceID=14","4.6")</f>
        <v>4.6</v>
      </c>
      <c r="G9560" s="4" t="str">
        <f>HYPERLINK("http://141.218.60.56/~jnz1568/getInfo.php?workbook=12_05.xlsx&amp;sheet=U0&amp;row=9560&amp;col=7&amp;number=9.56e-05&amp;sourceID=14","9.56e-05")</f>
        <v>9.56e-05</v>
      </c>
    </row>
    <row r="9561" spans="1:7">
      <c r="A9561" s="3"/>
      <c r="B9561" s="3"/>
      <c r="C9561" s="3"/>
      <c r="D9561" s="3"/>
      <c r="E9561" s="3">
        <v>18</v>
      </c>
      <c r="F9561" s="4" t="str">
        <f>HYPERLINK("http://141.218.60.56/~jnz1568/getInfo.php?workbook=12_05.xlsx&amp;sheet=U0&amp;row=9561&amp;col=6&amp;number=4.7&amp;sourceID=14","4.7")</f>
        <v>4.7</v>
      </c>
      <c r="G9561" s="4" t="str">
        <f>HYPERLINK("http://141.218.60.56/~jnz1568/getInfo.php?workbook=12_05.xlsx&amp;sheet=U0&amp;row=9561&amp;col=7&amp;number=9.48e-05&amp;sourceID=14","9.48e-05")</f>
        <v>9.48e-05</v>
      </c>
    </row>
    <row r="9562" spans="1:7">
      <c r="A9562" s="3"/>
      <c r="B9562" s="3"/>
      <c r="C9562" s="3"/>
      <c r="D9562" s="3"/>
      <c r="E9562" s="3">
        <v>19</v>
      </c>
      <c r="F9562" s="4" t="str">
        <f>HYPERLINK("http://141.218.60.56/~jnz1568/getInfo.php?workbook=12_05.xlsx&amp;sheet=U0&amp;row=9562&amp;col=6&amp;number=4.8&amp;sourceID=14","4.8")</f>
        <v>4.8</v>
      </c>
      <c r="G9562" s="4" t="str">
        <f>HYPERLINK("http://141.218.60.56/~jnz1568/getInfo.php?workbook=12_05.xlsx&amp;sheet=U0&amp;row=9562&amp;col=7&amp;number=9.37e-05&amp;sourceID=14","9.37e-05")</f>
        <v>9.37e-05</v>
      </c>
    </row>
    <row r="9563" spans="1:7">
      <c r="A9563" s="3"/>
      <c r="B9563" s="3"/>
      <c r="C9563" s="3"/>
      <c r="D9563" s="3"/>
      <c r="E9563" s="3">
        <v>20</v>
      </c>
      <c r="F9563" s="4" t="str">
        <f>HYPERLINK("http://141.218.60.56/~jnz1568/getInfo.php?workbook=12_05.xlsx&amp;sheet=U0&amp;row=9563&amp;col=6&amp;number=4.9&amp;sourceID=14","4.9")</f>
        <v>4.9</v>
      </c>
      <c r="G9563" s="4" t="str">
        <f>HYPERLINK("http://141.218.60.56/~jnz1568/getInfo.php?workbook=12_05.xlsx&amp;sheet=U0&amp;row=9563&amp;col=7&amp;number=9.24e-05&amp;sourceID=14","9.24e-05")</f>
        <v>9.24e-05</v>
      </c>
    </row>
    <row r="9564" spans="1:7">
      <c r="A9564" s="3">
        <v>12</v>
      </c>
      <c r="B9564" s="3">
        <v>5</v>
      </c>
      <c r="C9564" s="3">
        <v>5</v>
      </c>
      <c r="D9564" s="3">
        <v>51</v>
      </c>
      <c r="E9564" s="3">
        <v>1</v>
      </c>
      <c r="F9564" s="4" t="str">
        <f>HYPERLINK("http://141.218.60.56/~jnz1568/getInfo.php?workbook=12_05.xlsx&amp;sheet=U0&amp;row=9564&amp;col=6&amp;number=3&amp;sourceID=14","3")</f>
        <v>3</v>
      </c>
      <c r="G9564" s="4" t="str">
        <f>HYPERLINK("http://141.218.60.56/~jnz1568/getInfo.php?workbook=12_05.xlsx&amp;sheet=U0&amp;row=9564&amp;col=7&amp;number=0.03&amp;sourceID=14","0.03")</f>
        <v>0.03</v>
      </c>
    </row>
    <row r="9565" spans="1:7">
      <c r="A9565" s="3"/>
      <c r="B9565" s="3"/>
      <c r="C9565" s="3"/>
      <c r="D9565" s="3"/>
      <c r="E9565" s="3">
        <v>2</v>
      </c>
      <c r="F9565" s="4" t="str">
        <f>HYPERLINK("http://141.218.60.56/~jnz1568/getInfo.php?workbook=12_05.xlsx&amp;sheet=U0&amp;row=9565&amp;col=6&amp;number=3.1&amp;sourceID=14","3.1")</f>
        <v>3.1</v>
      </c>
      <c r="G9565" s="4" t="str">
        <f>HYPERLINK("http://141.218.60.56/~jnz1568/getInfo.php?workbook=12_05.xlsx&amp;sheet=U0&amp;row=9565&amp;col=7&amp;number=0.03&amp;sourceID=14","0.03")</f>
        <v>0.03</v>
      </c>
    </row>
    <row r="9566" spans="1:7">
      <c r="A9566" s="3"/>
      <c r="B9566" s="3"/>
      <c r="C9566" s="3"/>
      <c r="D9566" s="3"/>
      <c r="E9566" s="3">
        <v>3</v>
      </c>
      <c r="F9566" s="4" t="str">
        <f>HYPERLINK("http://141.218.60.56/~jnz1568/getInfo.php?workbook=12_05.xlsx&amp;sheet=U0&amp;row=9566&amp;col=6&amp;number=3.2&amp;sourceID=14","3.2")</f>
        <v>3.2</v>
      </c>
      <c r="G9566" s="4" t="str">
        <f>HYPERLINK("http://141.218.60.56/~jnz1568/getInfo.php?workbook=12_05.xlsx&amp;sheet=U0&amp;row=9566&amp;col=7&amp;number=0.03&amp;sourceID=14","0.03")</f>
        <v>0.03</v>
      </c>
    </row>
    <row r="9567" spans="1:7">
      <c r="A9567" s="3"/>
      <c r="B9567" s="3"/>
      <c r="C9567" s="3"/>
      <c r="D9567" s="3"/>
      <c r="E9567" s="3">
        <v>4</v>
      </c>
      <c r="F9567" s="4" t="str">
        <f>HYPERLINK("http://141.218.60.56/~jnz1568/getInfo.php?workbook=12_05.xlsx&amp;sheet=U0&amp;row=9567&amp;col=6&amp;number=3.3&amp;sourceID=14","3.3")</f>
        <v>3.3</v>
      </c>
      <c r="G9567" s="4" t="str">
        <f>HYPERLINK("http://141.218.60.56/~jnz1568/getInfo.php?workbook=12_05.xlsx&amp;sheet=U0&amp;row=9567&amp;col=7&amp;number=0.03&amp;sourceID=14","0.03")</f>
        <v>0.03</v>
      </c>
    </row>
    <row r="9568" spans="1:7">
      <c r="A9568" s="3"/>
      <c r="B9568" s="3"/>
      <c r="C9568" s="3"/>
      <c r="D9568" s="3"/>
      <c r="E9568" s="3">
        <v>5</v>
      </c>
      <c r="F9568" s="4" t="str">
        <f>HYPERLINK("http://141.218.60.56/~jnz1568/getInfo.php?workbook=12_05.xlsx&amp;sheet=U0&amp;row=9568&amp;col=6&amp;number=3.4&amp;sourceID=14","3.4")</f>
        <v>3.4</v>
      </c>
      <c r="G9568" s="4" t="str">
        <f>HYPERLINK("http://141.218.60.56/~jnz1568/getInfo.php?workbook=12_05.xlsx&amp;sheet=U0&amp;row=9568&amp;col=7&amp;number=0.03&amp;sourceID=14","0.03")</f>
        <v>0.03</v>
      </c>
    </row>
    <row r="9569" spans="1:7">
      <c r="A9569" s="3"/>
      <c r="B9569" s="3"/>
      <c r="C9569" s="3"/>
      <c r="D9569" s="3"/>
      <c r="E9569" s="3">
        <v>6</v>
      </c>
      <c r="F9569" s="4" t="str">
        <f>HYPERLINK("http://141.218.60.56/~jnz1568/getInfo.php?workbook=12_05.xlsx&amp;sheet=U0&amp;row=9569&amp;col=6&amp;number=3.5&amp;sourceID=14","3.5")</f>
        <v>3.5</v>
      </c>
      <c r="G9569" s="4" t="str">
        <f>HYPERLINK("http://141.218.60.56/~jnz1568/getInfo.php?workbook=12_05.xlsx&amp;sheet=U0&amp;row=9569&amp;col=7&amp;number=0.03&amp;sourceID=14","0.03")</f>
        <v>0.03</v>
      </c>
    </row>
    <row r="9570" spans="1:7">
      <c r="A9570" s="3"/>
      <c r="B9570" s="3"/>
      <c r="C9570" s="3"/>
      <c r="D9570" s="3"/>
      <c r="E9570" s="3">
        <v>7</v>
      </c>
      <c r="F9570" s="4" t="str">
        <f>HYPERLINK("http://141.218.60.56/~jnz1568/getInfo.php?workbook=12_05.xlsx&amp;sheet=U0&amp;row=9570&amp;col=6&amp;number=3.6&amp;sourceID=14","3.6")</f>
        <v>3.6</v>
      </c>
      <c r="G9570" s="4" t="str">
        <f>HYPERLINK("http://141.218.60.56/~jnz1568/getInfo.php?workbook=12_05.xlsx&amp;sheet=U0&amp;row=9570&amp;col=7&amp;number=0.03&amp;sourceID=14","0.03")</f>
        <v>0.03</v>
      </c>
    </row>
    <row r="9571" spans="1:7">
      <c r="A9571" s="3"/>
      <c r="B9571" s="3"/>
      <c r="C9571" s="3"/>
      <c r="D9571" s="3"/>
      <c r="E9571" s="3">
        <v>8</v>
      </c>
      <c r="F9571" s="4" t="str">
        <f>HYPERLINK("http://141.218.60.56/~jnz1568/getInfo.php?workbook=12_05.xlsx&amp;sheet=U0&amp;row=9571&amp;col=6&amp;number=3.7&amp;sourceID=14","3.7")</f>
        <v>3.7</v>
      </c>
      <c r="G9571" s="4" t="str">
        <f>HYPERLINK("http://141.218.60.56/~jnz1568/getInfo.php?workbook=12_05.xlsx&amp;sheet=U0&amp;row=9571&amp;col=7&amp;number=0.03&amp;sourceID=14","0.03")</f>
        <v>0.03</v>
      </c>
    </row>
    <row r="9572" spans="1:7">
      <c r="A9572" s="3"/>
      <c r="B9572" s="3"/>
      <c r="C9572" s="3"/>
      <c r="D9572" s="3"/>
      <c r="E9572" s="3">
        <v>9</v>
      </c>
      <c r="F9572" s="4" t="str">
        <f>HYPERLINK("http://141.218.60.56/~jnz1568/getInfo.php?workbook=12_05.xlsx&amp;sheet=U0&amp;row=9572&amp;col=6&amp;number=3.8&amp;sourceID=14","3.8")</f>
        <v>3.8</v>
      </c>
      <c r="G9572" s="4" t="str">
        <f>HYPERLINK("http://141.218.60.56/~jnz1568/getInfo.php?workbook=12_05.xlsx&amp;sheet=U0&amp;row=9572&amp;col=7&amp;number=0.03&amp;sourceID=14","0.03")</f>
        <v>0.03</v>
      </c>
    </row>
    <row r="9573" spans="1:7">
      <c r="A9573" s="3"/>
      <c r="B9573" s="3"/>
      <c r="C9573" s="3"/>
      <c r="D9573" s="3"/>
      <c r="E9573" s="3">
        <v>10</v>
      </c>
      <c r="F9573" s="4" t="str">
        <f>HYPERLINK("http://141.218.60.56/~jnz1568/getInfo.php?workbook=12_05.xlsx&amp;sheet=U0&amp;row=9573&amp;col=6&amp;number=3.9&amp;sourceID=14","3.9")</f>
        <v>3.9</v>
      </c>
      <c r="G9573" s="4" t="str">
        <f>HYPERLINK("http://141.218.60.56/~jnz1568/getInfo.php?workbook=12_05.xlsx&amp;sheet=U0&amp;row=9573&amp;col=7&amp;number=0.03&amp;sourceID=14","0.03")</f>
        <v>0.03</v>
      </c>
    </row>
    <row r="9574" spans="1:7">
      <c r="A9574" s="3"/>
      <c r="B9574" s="3"/>
      <c r="C9574" s="3"/>
      <c r="D9574" s="3"/>
      <c r="E9574" s="3">
        <v>11</v>
      </c>
      <c r="F9574" s="4" t="str">
        <f>HYPERLINK("http://141.218.60.56/~jnz1568/getInfo.php?workbook=12_05.xlsx&amp;sheet=U0&amp;row=9574&amp;col=6&amp;number=4&amp;sourceID=14","4")</f>
        <v>4</v>
      </c>
      <c r="G9574" s="4" t="str">
        <f>HYPERLINK("http://141.218.60.56/~jnz1568/getInfo.php?workbook=12_05.xlsx&amp;sheet=U0&amp;row=9574&amp;col=7&amp;number=0.03&amp;sourceID=14","0.03")</f>
        <v>0.03</v>
      </c>
    </row>
    <row r="9575" spans="1:7">
      <c r="A9575" s="3"/>
      <c r="B9575" s="3"/>
      <c r="C9575" s="3"/>
      <c r="D9575" s="3"/>
      <c r="E9575" s="3">
        <v>12</v>
      </c>
      <c r="F9575" s="4" t="str">
        <f>HYPERLINK("http://141.218.60.56/~jnz1568/getInfo.php?workbook=12_05.xlsx&amp;sheet=U0&amp;row=9575&amp;col=6&amp;number=4.1&amp;sourceID=14","4.1")</f>
        <v>4.1</v>
      </c>
      <c r="G9575" s="4" t="str">
        <f>HYPERLINK("http://141.218.60.56/~jnz1568/getInfo.php?workbook=12_05.xlsx&amp;sheet=U0&amp;row=9575&amp;col=7&amp;number=0.03&amp;sourceID=14","0.03")</f>
        <v>0.03</v>
      </c>
    </row>
    <row r="9576" spans="1:7">
      <c r="A9576" s="3"/>
      <c r="B9576" s="3"/>
      <c r="C9576" s="3"/>
      <c r="D9576" s="3"/>
      <c r="E9576" s="3">
        <v>13</v>
      </c>
      <c r="F9576" s="4" t="str">
        <f>HYPERLINK("http://141.218.60.56/~jnz1568/getInfo.php?workbook=12_05.xlsx&amp;sheet=U0&amp;row=9576&amp;col=6&amp;number=4.2&amp;sourceID=14","4.2")</f>
        <v>4.2</v>
      </c>
      <c r="G9576" s="4" t="str">
        <f>HYPERLINK("http://141.218.60.56/~jnz1568/getInfo.php?workbook=12_05.xlsx&amp;sheet=U0&amp;row=9576&amp;col=7&amp;number=0.0299&amp;sourceID=14","0.0299")</f>
        <v>0.0299</v>
      </c>
    </row>
    <row r="9577" spans="1:7">
      <c r="A9577" s="3"/>
      <c r="B9577" s="3"/>
      <c r="C9577" s="3"/>
      <c r="D9577" s="3"/>
      <c r="E9577" s="3">
        <v>14</v>
      </c>
      <c r="F9577" s="4" t="str">
        <f>HYPERLINK("http://141.218.60.56/~jnz1568/getInfo.php?workbook=12_05.xlsx&amp;sheet=U0&amp;row=9577&amp;col=6&amp;number=4.3&amp;sourceID=14","4.3")</f>
        <v>4.3</v>
      </c>
      <c r="G9577" s="4" t="str">
        <f>HYPERLINK("http://141.218.60.56/~jnz1568/getInfo.php?workbook=12_05.xlsx&amp;sheet=U0&amp;row=9577&amp;col=7&amp;number=0.0299&amp;sourceID=14","0.0299")</f>
        <v>0.0299</v>
      </c>
    </row>
    <row r="9578" spans="1:7">
      <c r="A9578" s="3"/>
      <c r="B9578" s="3"/>
      <c r="C9578" s="3"/>
      <c r="D9578" s="3"/>
      <c r="E9578" s="3">
        <v>15</v>
      </c>
      <c r="F9578" s="4" t="str">
        <f>HYPERLINK("http://141.218.60.56/~jnz1568/getInfo.php?workbook=12_05.xlsx&amp;sheet=U0&amp;row=9578&amp;col=6&amp;number=4.4&amp;sourceID=14","4.4")</f>
        <v>4.4</v>
      </c>
      <c r="G9578" s="4" t="str">
        <f>HYPERLINK("http://141.218.60.56/~jnz1568/getInfo.php?workbook=12_05.xlsx&amp;sheet=U0&amp;row=9578&amp;col=7&amp;number=0.0299&amp;sourceID=14","0.0299")</f>
        <v>0.0299</v>
      </c>
    </row>
    <row r="9579" spans="1:7">
      <c r="A9579" s="3"/>
      <c r="B9579" s="3"/>
      <c r="C9579" s="3"/>
      <c r="D9579" s="3"/>
      <c r="E9579" s="3">
        <v>16</v>
      </c>
      <c r="F9579" s="4" t="str">
        <f>HYPERLINK("http://141.218.60.56/~jnz1568/getInfo.php?workbook=12_05.xlsx&amp;sheet=U0&amp;row=9579&amp;col=6&amp;number=4.5&amp;sourceID=14","4.5")</f>
        <v>4.5</v>
      </c>
      <c r="G9579" s="4" t="str">
        <f>HYPERLINK("http://141.218.60.56/~jnz1568/getInfo.php?workbook=12_05.xlsx&amp;sheet=U0&amp;row=9579&amp;col=7&amp;number=0.0298&amp;sourceID=14","0.0298")</f>
        <v>0.0298</v>
      </c>
    </row>
    <row r="9580" spans="1:7">
      <c r="A9580" s="3"/>
      <c r="B9580" s="3"/>
      <c r="C9580" s="3"/>
      <c r="D9580" s="3"/>
      <c r="E9580" s="3">
        <v>17</v>
      </c>
      <c r="F9580" s="4" t="str">
        <f>HYPERLINK("http://141.218.60.56/~jnz1568/getInfo.php?workbook=12_05.xlsx&amp;sheet=U0&amp;row=9580&amp;col=6&amp;number=4.6&amp;sourceID=14","4.6")</f>
        <v>4.6</v>
      </c>
      <c r="G9580" s="4" t="str">
        <f>HYPERLINK("http://141.218.60.56/~jnz1568/getInfo.php?workbook=12_05.xlsx&amp;sheet=U0&amp;row=9580&amp;col=7&amp;number=0.0298&amp;sourceID=14","0.0298")</f>
        <v>0.0298</v>
      </c>
    </row>
    <row r="9581" spans="1:7">
      <c r="A9581" s="3"/>
      <c r="B9581" s="3"/>
      <c r="C9581" s="3"/>
      <c r="D9581" s="3"/>
      <c r="E9581" s="3">
        <v>18</v>
      </c>
      <c r="F9581" s="4" t="str">
        <f>HYPERLINK("http://141.218.60.56/~jnz1568/getInfo.php?workbook=12_05.xlsx&amp;sheet=U0&amp;row=9581&amp;col=6&amp;number=4.7&amp;sourceID=14","4.7")</f>
        <v>4.7</v>
      </c>
      <c r="G9581" s="4" t="str">
        <f>HYPERLINK("http://141.218.60.56/~jnz1568/getInfo.php?workbook=12_05.xlsx&amp;sheet=U0&amp;row=9581&amp;col=7&amp;number=0.0297&amp;sourceID=14","0.0297")</f>
        <v>0.0297</v>
      </c>
    </row>
    <row r="9582" spans="1:7">
      <c r="A9582" s="3"/>
      <c r="B9582" s="3"/>
      <c r="C9582" s="3"/>
      <c r="D9582" s="3"/>
      <c r="E9582" s="3">
        <v>19</v>
      </c>
      <c r="F9582" s="4" t="str">
        <f>HYPERLINK("http://141.218.60.56/~jnz1568/getInfo.php?workbook=12_05.xlsx&amp;sheet=U0&amp;row=9582&amp;col=6&amp;number=4.8&amp;sourceID=14","4.8")</f>
        <v>4.8</v>
      </c>
      <c r="G9582" s="4" t="str">
        <f>HYPERLINK("http://141.218.60.56/~jnz1568/getInfo.php?workbook=12_05.xlsx&amp;sheet=U0&amp;row=9582&amp;col=7&amp;number=0.0296&amp;sourceID=14","0.0296")</f>
        <v>0.0296</v>
      </c>
    </row>
    <row r="9583" spans="1:7">
      <c r="A9583" s="3"/>
      <c r="B9583" s="3"/>
      <c r="C9583" s="3"/>
      <c r="D9583" s="3"/>
      <c r="E9583" s="3">
        <v>20</v>
      </c>
      <c r="F9583" s="4" t="str">
        <f>HYPERLINK("http://141.218.60.56/~jnz1568/getInfo.php?workbook=12_05.xlsx&amp;sheet=U0&amp;row=9583&amp;col=6&amp;number=4.9&amp;sourceID=14","4.9")</f>
        <v>4.9</v>
      </c>
      <c r="G9583" s="4" t="str">
        <f>HYPERLINK("http://141.218.60.56/~jnz1568/getInfo.php?workbook=12_05.xlsx&amp;sheet=U0&amp;row=9583&amp;col=7&amp;number=0.0295&amp;sourceID=14","0.0295")</f>
        <v>0.0295</v>
      </c>
    </row>
    <row r="9584" spans="1:7">
      <c r="A9584" s="3">
        <v>12</v>
      </c>
      <c r="B9584" s="3">
        <v>5</v>
      </c>
      <c r="C9584" s="3">
        <v>5</v>
      </c>
      <c r="D9584" s="3">
        <v>52</v>
      </c>
      <c r="E9584" s="3">
        <v>1</v>
      </c>
      <c r="F9584" s="4" t="str">
        <f>HYPERLINK("http://141.218.60.56/~jnz1568/getInfo.php?workbook=12_05.xlsx&amp;sheet=U0&amp;row=9584&amp;col=6&amp;number=3&amp;sourceID=14","3")</f>
        <v>3</v>
      </c>
      <c r="G9584" s="4" t="str">
        <f>HYPERLINK("http://141.218.60.56/~jnz1568/getInfo.php?workbook=12_05.xlsx&amp;sheet=U0&amp;row=9584&amp;col=7&amp;number=0.541&amp;sourceID=14","0.541")</f>
        <v>0.541</v>
      </c>
    </row>
    <row r="9585" spans="1:7">
      <c r="A9585" s="3"/>
      <c r="B9585" s="3"/>
      <c r="C9585" s="3"/>
      <c r="D9585" s="3"/>
      <c r="E9585" s="3">
        <v>2</v>
      </c>
      <c r="F9585" s="4" t="str">
        <f>HYPERLINK("http://141.218.60.56/~jnz1568/getInfo.php?workbook=12_05.xlsx&amp;sheet=U0&amp;row=9585&amp;col=6&amp;number=3.1&amp;sourceID=14","3.1")</f>
        <v>3.1</v>
      </c>
      <c r="G9585" s="4" t="str">
        <f>HYPERLINK("http://141.218.60.56/~jnz1568/getInfo.php?workbook=12_05.xlsx&amp;sheet=U0&amp;row=9585&amp;col=7&amp;number=0.541&amp;sourceID=14","0.541")</f>
        <v>0.541</v>
      </c>
    </row>
    <row r="9586" spans="1:7">
      <c r="A9586" s="3"/>
      <c r="B9586" s="3"/>
      <c r="C9586" s="3"/>
      <c r="D9586" s="3"/>
      <c r="E9586" s="3">
        <v>3</v>
      </c>
      <c r="F9586" s="4" t="str">
        <f>HYPERLINK("http://141.218.60.56/~jnz1568/getInfo.php?workbook=12_05.xlsx&amp;sheet=U0&amp;row=9586&amp;col=6&amp;number=3.2&amp;sourceID=14","3.2")</f>
        <v>3.2</v>
      </c>
      <c r="G9586" s="4" t="str">
        <f>HYPERLINK("http://141.218.60.56/~jnz1568/getInfo.php?workbook=12_05.xlsx&amp;sheet=U0&amp;row=9586&amp;col=7&amp;number=0.541&amp;sourceID=14","0.541")</f>
        <v>0.541</v>
      </c>
    </row>
    <row r="9587" spans="1:7">
      <c r="A9587" s="3"/>
      <c r="B9587" s="3"/>
      <c r="C9587" s="3"/>
      <c r="D9587" s="3"/>
      <c r="E9587" s="3">
        <v>4</v>
      </c>
      <c r="F9587" s="4" t="str">
        <f>HYPERLINK("http://141.218.60.56/~jnz1568/getInfo.php?workbook=12_05.xlsx&amp;sheet=U0&amp;row=9587&amp;col=6&amp;number=3.3&amp;sourceID=14","3.3")</f>
        <v>3.3</v>
      </c>
      <c r="G9587" s="4" t="str">
        <f>HYPERLINK("http://141.218.60.56/~jnz1568/getInfo.php?workbook=12_05.xlsx&amp;sheet=U0&amp;row=9587&amp;col=7&amp;number=0.541&amp;sourceID=14","0.541")</f>
        <v>0.541</v>
      </c>
    </row>
    <row r="9588" spans="1:7">
      <c r="A9588" s="3"/>
      <c r="B9588" s="3"/>
      <c r="C9588" s="3"/>
      <c r="D9588" s="3"/>
      <c r="E9588" s="3">
        <v>5</v>
      </c>
      <c r="F9588" s="4" t="str">
        <f>HYPERLINK("http://141.218.60.56/~jnz1568/getInfo.php?workbook=12_05.xlsx&amp;sheet=U0&amp;row=9588&amp;col=6&amp;number=3.4&amp;sourceID=14","3.4")</f>
        <v>3.4</v>
      </c>
      <c r="G9588" s="4" t="str">
        <f>HYPERLINK("http://141.218.60.56/~jnz1568/getInfo.php?workbook=12_05.xlsx&amp;sheet=U0&amp;row=9588&amp;col=7&amp;number=0.541&amp;sourceID=14","0.541")</f>
        <v>0.541</v>
      </c>
    </row>
    <row r="9589" spans="1:7">
      <c r="A9589" s="3"/>
      <c r="B9589" s="3"/>
      <c r="C9589" s="3"/>
      <c r="D9589" s="3"/>
      <c r="E9589" s="3">
        <v>6</v>
      </c>
      <c r="F9589" s="4" t="str">
        <f>HYPERLINK("http://141.218.60.56/~jnz1568/getInfo.php?workbook=12_05.xlsx&amp;sheet=U0&amp;row=9589&amp;col=6&amp;number=3.5&amp;sourceID=14","3.5")</f>
        <v>3.5</v>
      </c>
      <c r="G9589" s="4" t="str">
        <f>HYPERLINK("http://141.218.60.56/~jnz1568/getInfo.php?workbook=12_05.xlsx&amp;sheet=U0&amp;row=9589&amp;col=7&amp;number=0.541&amp;sourceID=14","0.541")</f>
        <v>0.541</v>
      </c>
    </row>
    <row r="9590" spans="1:7">
      <c r="A9590" s="3"/>
      <c r="B9590" s="3"/>
      <c r="C9590" s="3"/>
      <c r="D9590" s="3"/>
      <c r="E9590" s="3">
        <v>7</v>
      </c>
      <c r="F9590" s="4" t="str">
        <f>HYPERLINK("http://141.218.60.56/~jnz1568/getInfo.php?workbook=12_05.xlsx&amp;sheet=U0&amp;row=9590&amp;col=6&amp;number=3.6&amp;sourceID=14","3.6")</f>
        <v>3.6</v>
      </c>
      <c r="G9590" s="4" t="str">
        <f>HYPERLINK("http://141.218.60.56/~jnz1568/getInfo.php?workbook=12_05.xlsx&amp;sheet=U0&amp;row=9590&amp;col=7&amp;number=0.541&amp;sourceID=14","0.541")</f>
        <v>0.541</v>
      </c>
    </row>
    <row r="9591" spans="1:7">
      <c r="A9591" s="3"/>
      <c r="B9591" s="3"/>
      <c r="C9591" s="3"/>
      <c r="D9591" s="3"/>
      <c r="E9591" s="3">
        <v>8</v>
      </c>
      <c r="F9591" s="4" t="str">
        <f>HYPERLINK("http://141.218.60.56/~jnz1568/getInfo.php?workbook=12_05.xlsx&amp;sheet=U0&amp;row=9591&amp;col=6&amp;number=3.7&amp;sourceID=14","3.7")</f>
        <v>3.7</v>
      </c>
      <c r="G9591" s="4" t="str">
        <f>HYPERLINK("http://141.218.60.56/~jnz1568/getInfo.php?workbook=12_05.xlsx&amp;sheet=U0&amp;row=9591&amp;col=7&amp;number=0.541&amp;sourceID=14","0.541")</f>
        <v>0.541</v>
      </c>
    </row>
    <row r="9592" spans="1:7">
      <c r="A9592" s="3"/>
      <c r="B9592" s="3"/>
      <c r="C9592" s="3"/>
      <c r="D9592" s="3"/>
      <c r="E9592" s="3">
        <v>9</v>
      </c>
      <c r="F9592" s="4" t="str">
        <f>HYPERLINK("http://141.218.60.56/~jnz1568/getInfo.php?workbook=12_05.xlsx&amp;sheet=U0&amp;row=9592&amp;col=6&amp;number=3.8&amp;sourceID=14","3.8")</f>
        <v>3.8</v>
      </c>
      <c r="G9592" s="4" t="str">
        <f>HYPERLINK("http://141.218.60.56/~jnz1568/getInfo.php?workbook=12_05.xlsx&amp;sheet=U0&amp;row=9592&amp;col=7&amp;number=0.541&amp;sourceID=14","0.541")</f>
        <v>0.541</v>
      </c>
    </row>
    <row r="9593" spans="1:7">
      <c r="A9593" s="3"/>
      <c r="B9593" s="3"/>
      <c r="C9593" s="3"/>
      <c r="D9593" s="3"/>
      <c r="E9593" s="3">
        <v>10</v>
      </c>
      <c r="F9593" s="4" t="str">
        <f>HYPERLINK("http://141.218.60.56/~jnz1568/getInfo.php?workbook=12_05.xlsx&amp;sheet=U0&amp;row=9593&amp;col=6&amp;number=3.9&amp;sourceID=14","3.9")</f>
        <v>3.9</v>
      </c>
      <c r="G9593" s="4" t="str">
        <f>HYPERLINK("http://141.218.60.56/~jnz1568/getInfo.php?workbook=12_05.xlsx&amp;sheet=U0&amp;row=9593&amp;col=7&amp;number=0.541&amp;sourceID=14","0.541")</f>
        <v>0.541</v>
      </c>
    </row>
    <row r="9594" spans="1:7">
      <c r="A9594" s="3"/>
      <c r="B9594" s="3"/>
      <c r="C9594" s="3"/>
      <c r="D9594" s="3"/>
      <c r="E9594" s="3">
        <v>11</v>
      </c>
      <c r="F9594" s="4" t="str">
        <f>HYPERLINK("http://141.218.60.56/~jnz1568/getInfo.php?workbook=12_05.xlsx&amp;sheet=U0&amp;row=9594&amp;col=6&amp;number=4&amp;sourceID=14","4")</f>
        <v>4</v>
      </c>
      <c r="G9594" s="4" t="str">
        <f>HYPERLINK("http://141.218.60.56/~jnz1568/getInfo.php?workbook=12_05.xlsx&amp;sheet=U0&amp;row=9594&amp;col=7&amp;number=0.541&amp;sourceID=14","0.541")</f>
        <v>0.541</v>
      </c>
    </row>
    <row r="9595" spans="1:7">
      <c r="A9595" s="3"/>
      <c r="B9595" s="3"/>
      <c r="C9595" s="3"/>
      <c r="D9595" s="3"/>
      <c r="E9595" s="3">
        <v>12</v>
      </c>
      <c r="F9595" s="4" t="str">
        <f>HYPERLINK("http://141.218.60.56/~jnz1568/getInfo.php?workbook=12_05.xlsx&amp;sheet=U0&amp;row=9595&amp;col=6&amp;number=4.1&amp;sourceID=14","4.1")</f>
        <v>4.1</v>
      </c>
      <c r="G9595" s="4" t="str">
        <f>HYPERLINK("http://141.218.60.56/~jnz1568/getInfo.php?workbook=12_05.xlsx&amp;sheet=U0&amp;row=9595&amp;col=7&amp;number=0.541&amp;sourceID=14","0.541")</f>
        <v>0.541</v>
      </c>
    </row>
    <row r="9596" spans="1:7">
      <c r="A9596" s="3"/>
      <c r="B9596" s="3"/>
      <c r="C9596" s="3"/>
      <c r="D9596" s="3"/>
      <c r="E9596" s="3">
        <v>13</v>
      </c>
      <c r="F9596" s="4" t="str">
        <f>HYPERLINK("http://141.218.60.56/~jnz1568/getInfo.php?workbook=12_05.xlsx&amp;sheet=U0&amp;row=9596&amp;col=6&amp;number=4.2&amp;sourceID=14","4.2")</f>
        <v>4.2</v>
      </c>
      <c r="G9596" s="4" t="str">
        <f>HYPERLINK("http://141.218.60.56/~jnz1568/getInfo.php?workbook=12_05.xlsx&amp;sheet=U0&amp;row=9596&amp;col=7&amp;number=0.542&amp;sourceID=14","0.542")</f>
        <v>0.542</v>
      </c>
    </row>
    <row r="9597" spans="1:7">
      <c r="A9597" s="3"/>
      <c r="B9597" s="3"/>
      <c r="C9597" s="3"/>
      <c r="D9597" s="3"/>
      <c r="E9597" s="3">
        <v>14</v>
      </c>
      <c r="F9597" s="4" t="str">
        <f>HYPERLINK("http://141.218.60.56/~jnz1568/getInfo.php?workbook=12_05.xlsx&amp;sheet=U0&amp;row=9597&amp;col=6&amp;number=4.3&amp;sourceID=14","4.3")</f>
        <v>4.3</v>
      </c>
      <c r="G9597" s="4" t="str">
        <f>HYPERLINK("http://141.218.60.56/~jnz1568/getInfo.php?workbook=12_05.xlsx&amp;sheet=U0&amp;row=9597&amp;col=7&amp;number=0.542&amp;sourceID=14","0.542")</f>
        <v>0.542</v>
      </c>
    </row>
    <row r="9598" spans="1:7">
      <c r="A9598" s="3"/>
      <c r="B9598" s="3"/>
      <c r="C9598" s="3"/>
      <c r="D9598" s="3"/>
      <c r="E9598" s="3">
        <v>15</v>
      </c>
      <c r="F9598" s="4" t="str">
        <f>HYPERLINK("http://141.218.60.56/~jnz1568/getInfo.php?workbook=12_05.xlsx&amp;sheet=U0&amp;row=9598&amp;col=6&amp;number=4.4&amp;sourceID=14","4.4")</f>
        <v>4.4</v>
      </c>
      <c r="G9598" s="4" t="str">
        <f>HYPERLINK("http://141.218.60.56/~jnz1568/getInfo.php?workbook=12_05.xlsx&amp;sheet=U0&amp;row=9598&amp;col=7&amp;number=0.542&amp;sourceID=14","0.542")</f>
        <v>0.542</v>
      </c>
    </row>
    <row r="9599" spans="1:7">
      <c r="A9599" s="3"/>
      <c r="B9599" s="3"/>
      <c r="C9599" s="3"/>
      <c r="D9599" s="3"/>
      <c r="E9599" s="3">
        <v>16</v>
      </c>
      <c r="F9599" s="4" t="str">
        <f>HYPERLINK("http://141.218.60.56/~jnz1568/getInfo.php?workbook=12_05.xlsx&amp;sheet=U0&amp;row=9599&amp;col=6&amp;number=4.5&amp;sourceID=14","4.5")</f>
        <v>4.5</v>
      </c>
      <c r="G9599" s="4" t="str">
        <f>HYPERLINK("http://141.218.60.56/~jnz1568/getInfo.php?workbook=12_05.xlsx&amp;sheet=U0&amp;row=9599&amp;col=7&amp;number=0.542&amp;sourceID=14","0.542")</f>
        <v>0.542</v>
      </c>
    </row>
    <row r="9600" spans="1:7">
      <c r="A9600" s="3"/>
      <c r="B9600" s="3"/>
      <c r="C9600" s="3"/>
      <c r="D9600" s="3"/>
      <c r="E9600" s="3">
        <v>17</v>
      </c>
      <c r="F9600" s="4" t="str">
        <f>HYPERLINK("http://141.218.60.56/~jnz1568/getInfo.php?workbook=12_05.xlsx&amp;sheet=U0&amp;row=9600&amp;col=6&amp;number=4.6&amp;sourceID=14","4.6")</f>
        <v>4.6</v>
      </c>
      <c r="G9600" s="4" t="str">
        <f>HYPERLINK("http://141.218.60.56/~jnz1568/getInfo.php?workbook=12_05.xlsx&amp;sheet=U0&amp;row=9600&amp;col=7&amp;number=0.543&amp;sourceID=14","0.543")</f>
        <v>0.543</v>
      </c>
    </row>
    <row r="9601" spans="1:7">
      <c r="A9601" s="3"/>
      <c r="B9601" s="3"/>
      <c r="C9601" s="3"/>
      <c r="D9601" s="3"/>
      <c r="E9601" s="3">
        <v>18</v>
      </c>
      <c r="F9601" s="4" t="str">
        <f>HYPERLINK("http://141.218.60.56/~jnz1568/getInfo.php?workbook=12_05.xlsx&amp;sheet=U0&amp;row=9601&amp;col=6&amp;number=4.7&amp;sourceID=14","4.7")</f>
        <v>4.7</v>
      </c>
      <c r="G9601" s="4" t="str">
        <f>HYPERLINK("http://141.218.60.56/~jnz1568/getInfo.php?workbook=12_05.xlsx&amp;sheet=U0&amp;row=9601&amp;col=7&amp;number=0.543&amp;sourceID=14","0.543")</f>
        <v>0.543</v>
      </c>
    </row>
    <row r="9602" spans="1:7">
      <c r="A9602" s="3"/>
      <c r="B9602" s="3"/>
      <c r="C9602" s="3"/>
      <c r="D9602" s="3"/>
      <c r="E9602" s="3">
        <v>19</v>
      </c>
      <c r="F9602" s="4" t="str">
        <f>HYPERLINK("http://141.218.60.56/~jnz1568/getInfo.php?workbook=12_05.xlsx&amp;sheet=U0&amp;row=9602&amp;col=6&amp;number=4.8&amp;sourceID=14","4.8")</f>
        <v>4.8</v>
      </c>
      <c r="G9602" s="4" t="str">
        <f>HYPERLINK("http://141.218.60.56/~jnz1568/getInfo.php?workbook=12_05.xlsx&amp;sheet=U0&amp;row=9602&amp;col=7&amp;number=0.544&amp;sourceID=14","0.544")</f>
        <v>0.544</v>
      </c>
    </row>
    <row r="9603" spans="1:7">
      <c r="A9603" s="3"/>
      <c r="B9603" s="3"/>
      <c r="C9603" s="3"/>
      <c r="D9603" s="3"/>
      <c r="E9603" s="3">
        <v>20</v>
      </c>
      <c r="F9603" s="4" t="str">
        <f>HYPERLINK("http://141.218.60.56/~jnz1568/getInfo.php?workbook=12_05.xlsx&amp;sheet=U0&amp;row=9603&amp;col=6&amp;number=4.9&amp;sourceID=14","4.9")</f>
        <v>4.9</v>
      </c>
      <c r="G9603" s="4" t="str">
        <f>HYPERLINK("http://141.218.60.56/~jnz1568/getInfo.php?workbook=12_05.xlsx&amp;sheet=U0&amp;row=9603&amp;col=7&amp;number=0.544&amp;sourceID=14","0.544")</f>
        <v>0.544</v>
      </c>
    </row>
    <row r="9604" spans="1:7">
      <c r="A9604" s="3">
        <v>12</v>
      </c>
      <c r="B9604" s="3">
        <v>5</v>
      </c>
      <c r="C9604" s="3">
        <v>5</v>
      </c>
      <c r="D9604" s="3">
        <v>53</v>
      </c>
      <c r="E9604" s="3">
        <v>1</v>
      </c>
      <c r="F9604" s="4" t="str">
        <f>HYPERLINK("http://141.218.60.56/~jnz1568/getInfo.php?workbook=12_05.xlsx&amp;sheet=U0&amp;row=9604&amp;col=6&amp;number=3&amp;sourceID=14","3")</f>
        <v>3</v>
      </c>
      <c r="G9604" s="4" t="str">
        <f>HYPERLINK("http://141.218.60.56/~jnz1568/getInfo.php?workbook=12_05.xlsx&amp;sheet=U0&amp;row=9604&amp;col=7&amp;number=0.0325&amp;sourceID=14","0.0325")</f>
        <v>0.0325</v>
      </c>
    </row>
    <row r="9605" spans="1:7">
      <c r="A9605" s="3"/>
      <c r="B9605" s="3"/>
      <c r="C9605" s="3"/>
      <c r="D9605" s="3"/>
      <c r="E9605" s="3">
        <v>2</v>
      </c>
      <c r="F9605" s="4" t="str">
        <f>HYPERLINK("http://141.218.60.56/~jnz1568/getInfo.php?workbook=12_05.xlsx&amp;sheet=U0&amp;row=9605&amp;col=6&amp;number=3.1&amp;sourceID=14","3.1")</f>
        <v>3.1</v>
      </c>
      <c r="G9605" s="4" t="str">
        <f>HYPERLINK("http://141.218.60.56/~jnz1568/getInfo.php?workbook=12_05.xlsx&amp;sheet=U0&amp;row=9605&amp;col=7&amp;number=0.0325&amp;sourceID=14","0.0325")</f>
        <v>0.0325</v>
      </c>
    </row>
    <row r="9606" spans="1:7">
      <c r="A9606" s="3"/>
      <c r="B9606" s="3"/>
      <c r="C9606" s="3"/>
      <c r="D9606" s="3"/>
      <c r="E9606" s="3">
        <v>3</v>
      </c>
      <c r="F9606" s="4" t="str">
        <f>HYPERLINK("http://141.218.60.56/~jnz1568/getInfo.php?workbook=12_05.xlsx&amp;sheet=U0&amp;row=9606&amp;col=6&amp;number=3.2&amp;sourceID=14","3.2")</f>
        <v>3.2</v>
      </c>
      <c r="G9606" s="4" t="str">
        <f>HYPERLINK("http://141.218.60.56/~jnz1568/getInfo.php?workbook=12_05.xlsx&amp;sheet=U0&amp;row=9606&amp;col=7&amp;number=0.0325&amp;sourceID=14","0.0325")</f>
        <v>0.0325</v>
      </c>
    </row>
    <row r="9607" spans="1:7">
      <c r="A9607" s="3"/>
      <c r="B9607" s="3"/>
      <c r="C9607" s="3"/>
      <c r="D9607" s="3"/>
      <c r="E9607" s="3">
        <v>4</v>
      </c>
      <c r="F9607" s="4" t="str">
        <f>HYPERLINK("http://141.218.60.56/~jnz1568/getInfo.php?workbook=12_05.xlsx&amp;sheet=U0&amp;row=9607&amp;col=6&amp;number=3.3&amp;sourceID=14","3.3")</f>
        <v>3.3</v>
      </c>
      <c r="G9607" s="4" t="str">
        <f>HYPERLINK("http://141.218.60.56/~jnz1568/getInfo.php?workbook=12_05.xlsx&amp;sheet=U0&amp;row=9607&amp;col=7&amp;number=0.0324&amp;sourceID=14","0.0324")</f>
        <v>0.0324</v>
      </c>
    </row>
    <row r="9608" spans="1:7">
      <c r="A9608" s="3"/>
      <c r="B9608" s="3"/>
      <c r="C9608" s="3"/>
      <c r="D9608" s="3"/>
      <c r="E9608" s="3">
        <v>5</v>
      </c>
      <c r="F9608" s="4" t="str">
        <f>HYPERLINK("http://141.218.60.56/~jnz1568/getInfo.php?workbook=12_05.xlsx&amp;sheet=U0&amp;row=9608&amp;col=6&amp;number=3.4&amp;sourceID=14","3.4")</f>
        <v>3.4</v>
      </c>
      <c r="G9608" s="4" t="str">
        <f>HYPERLINK("http://141.218.60.56/~jnz1568/getInfo.php?workbook=12_05.xlsx&amp;sheet=U0&amp;row=9608&amp;col=7&amp;number=0.0324&amp;sourceID=14","0.0324")</f>
        <v>0.0324</v>
      </c>
    </row>
    <row r="9609" spans="1:7">
      <c r="A9609" s="3"/>
      <c r="B9609" s="3"/>
      <c r="C9609" s="3"/>
      <c r="D9609" s="3"/>
      <c r="E9609" s="3">
        <v>6</v>
      </c>
      <c r="F9609" s="4" t="str">
        <f>HYPERLINK("http://141.218.60.56/~jnz1568/getInfo.php?workbook=12_05.xlsx&amp;sheet=U0&amp;row=9609&amp;col=6&amp;number=3.5&amp;sourceID=14","3.5")</f>
        <v>3.5</v>
      </c>
      <c r="G9609" s="4" t="str">
        <f>HYPERLINK("http://141.218.60.56/~jnz1568/getInfo.php?workbook=12_05.xlsx&amp;sheet=U0&amp;row=9609&amp;col=7&amp;number=0.0324&amp;sourceID=14","0.0324")</f>
        <v>0.0324</v>
      </c>
    </row>
    <row r="9610" spans="1:7">
      <c r="A9610" s="3"/>
      <c r="B9610" s="3"/>
      <c r="C9610" s="3"/>
      <c r="D9610" s="3"/>
      <c r="E9610" s="3">
        <v>7</v>
      </c>
      <c r="F9610" s="4" t="str">
        <f>HYPERLINK("http://141.218.60.56/~jnz1568/getInfo.php?workbook=12_05.xlsx&amp;sheet=U0&amp;row=9610&amp;col=6&amp;number=3.6&amp;sourceID=14","3.6")</f>
        <v>3.6</v>
      </c>
      <c r="G9610" s="4" t="str">
        <f>HYPERLINK("http://141.218.60.56/~jnz1568/getInfo.php?workbook=12_05.xlsx&amp;sheet=U0&amp;row=9610&amp;col=7&amp;number=0.0324&amp;sourceID=14","0.0324")</f>
        <v>0.0324</v>
      </c>
    </row>
    <row r="9611" spans="1:7">
      <c r="A9611" s="3"/>
      <c r="B9611" s="3"/>
      <c r="C9611" s="3"/>
      <c r="D9611" s="3"/>
      <c r="E9611" s="3">
        <v>8</v>
      </c>
      <c r="F9611" s="4" t="str">
        <f>HYPERLINK("http://141.218.60.56/~jnz1568/getInfo.php?workbook=12_05.xlsx&amp;sheet=U0&amp;row=9611&amp;col=6&amp;number=3.7&amp;sourceID=14","3.7")</f>
        <v>3.7</v>
      </c>
      <c r="G9611" s="4" t="str">
        <f>HYPERLINK("http://141.218.60.56/~jnz1568/getInfo.php?workbook=12_05.xlsx&amp;sheet=U0&amp;row=9611&amp;col=7&amp;number=0.0324&amp;sourceID=14","0.0324")</f>
        <v>0.0324</v>
      </c>
    </row>
    <row r="9612" spans="1:7">
      <c r="A9612" s="3"/>
      <c r="B9612" s="3"/>
      <c r="C9612" s="3"/>
      <c r="D9612" s="3"/>
      <c r="E9612" s="3">
        <v>9</v>
      </c>
      <c r="F9612" s="4" t="str">
        <f>HYPERLINK("http://141.218.60.56/~jnz1568/getInfo.php?workbook=12_05.xlsx&amp;sheet=U0&amp;row=9612&amp;col=6&amp;number=3.8&amp;sourceID=14","3.8")</f>
        <v>3.8</v>
      </c>
      <c r="G9612" s="4" t="str">
        <f>HYPERLINK("http://141.218.60.56/~jnz1568/getInfo.php?workbook=12_05.xlsx&amp;sheet=U0&amp;row=9612&amp;col=7&amp;number=0.0323&amp;sourceID=14","0.0323")</f>
        <v>0.0323</v>
      </c>
    </row>
    <row r="9613" spans="1:7">
      <c r="A9613" s="3"/>
      <c r="B9613" s="3"/>
      <c r="C9613" s="3"/>
      <c r="D9613" s="3"/>
      <c r="E9613" s="3">
        <v>10</v>
      </c>
      <c r="F9613" s="4" t="str">
        <f>HYPERLINK("http://141.218.60.56/~jnz1568/getInfo.php?workbook=12_05.xlsx&amp;sheet=U0&amp;row=9613&amp;col=6&amp;number=3.9&amp;sourceID=14","3.9")</f>
        <v>3.9</v>
      </c>
      <c r="G9613" s="4" t="str">
        <f>HYPERLINK("http://141.218.60.56/~jnz1568/getInfo.php?workbook=12_05.xlsx&amp;sheet=U0&amp;row=9613&amp;col=7&amp;number=0.0323&amp;sourceID=14","0.0323")</f>
        <v>0.0323</v>
      </c>
    </row>
    <row r="9614" spans="1:7">
      <c r="A9614" s="3"/>
      <c r="B9614" s="3"/>
      <c r="C9614" s="3"/>
      <c r="D9614" s="3"/>
      <c r="E9614" s="3">
        <v>11</v>
      </c>
      <c r="F9614" s="4" t="str">
        <f>HYPERLINK("http://141.218.60.56/~jnz1568/getInfo.php?workbook=12_05.xlsx&amp;sheet=U0&amp;row=9614&amp;col=6&amp;number=4&amp;sourceID=14","4")</f>
        <v>4</v>
      </c>
      <c r="G9614" s="4" t="str">
        <f>HYPERLINK("http://141.218.60.56/~jnz1568/getInfo.php?workbook=12_05.xlsx&amp;sheet=U0&amp;row=9614&amp;col=7&amp;number=0.0322&amp;sourceID=14","0.0322")</f>
        <v>0.0322</v>
      </c>
    </row>
    <row r="9615" spans="1:7">
      <c r="A9615" s="3"/>
      <c r="B9615" s="3"/>
      <c r="C9615" s="3"/>
      <c r="D9615" s="3"/>
      <c r="E9615" s="3">
        <v>12</v>
      </c>
      <c r="F9615" s="4" t="str">
        <f>HYPERLINK("http://141.218.60.56/~jnz1568/getInfo.php?workbook=12_05.xlsx&amp;sheet=U0&amp;row=9615&amp;col=6&amp;number=4.1&amp;sourceID=14","4.1")</f>
        <v>4.1</v>
      </c>
      <c r="G9615" s="4" t="str">
        <f>HYPERLINK("http://141.218.60.56/~jnz1568/getInfo.php?workbook=12_05.xlsx&amp;sheet=U0&amp;row=9615&amp;col=7&amp;number=0.0321&amp;sourceID=14","0.0321")</f>
        <v>0.0321</v>
      </c>
    </row>
    <row r="9616" spans="1:7">
      <c r="A9616" s="3"/>
      <c r="B9616" s="3"/>
      <c r="C9616" s="3"/>
      <c r="D9616" s="3"/>
      <c r="E9616" s="3">
        <v>13</v>
      </c>
      <c r="F9616" s="4" t="str">
        <f>HYPERLINK("http://141.218.60.56/~jnz1568/getInfo.php?workbook=12_05.xlsx&amp;sheet=U0&amp;row=9616&amp;col=6&amp;number=4.2&amp;sourceID=14","4.2")</f>
        <v>4.2</v>
      </c>
      <c r="G9616" s="4" t="str">
        <f>HYPERLINK("http://141.218.60.56/~jnz1568/getInfo.php?workbook=12_05.xlsx&amp;sheet=U0&amp;row=9616&amp;col=7&amp;number=0.032&amp;sourceID=14","0.032")</f>
        <v>0.032</v>
      </c>
    </row>
    <row r="9617" spans="1:7">
      <c r="A9617" s="3"/>
      <c r="B9617" s="3"/>
      <c r="C9617" s="3"/>
      <c r="D9617" s="3"/>
      <c r="E9617" s="3">
        <v>14</v>
      </c>
      <c r="F9617" s="4" t="str">
        <f>HYPERLINK("http://141.218.60.56/~jnz1568/getInfo.php?workbook=12_05.xlsx&amp;sheet=U0&amp;row=9617&amp;col=6&amp;number=4.3&amp;sourceID=14","4.3")</f>
        <v>4.3</v>
      </c>
      <c r="G9617" s="4" t="str">
        <f>HYPERLINK("http://141.218.60.56/~jnz1568/getInfo.php?workbook=12_05.xlsx&amp;sheet=U0&amp;row=9617&amp;col=7&amp;number=0.0319&amp;sourceID=14","0.0319")</f>
        <v>0.0319</v>
      </c>
    </row>
    <row r="9618" spans="1:7">
      <c r="A9618" s="3"/>
      <c r="B9618" s="3"/>
      <c r="C9618" s="3"/>
      <c r="D9618" s="3"/>
      <c r="E9618" s="3">
        <v>15</v>
      </c>
      <c r="F9618" s="4" t="str">
        <f>HYPERLINK("http://141.218.60.56/~jnz1568/getInfo.php?workbook=12_05.xlsx&amp;sheet=U0&amp;row=9618&amp;col=6&amp;number=4.4&amp;sourceID=14","4.4")</f>
        <v>4.4</v>
      </c>
      <c r="G9618" s="4" t="str">
        <f>HYPERLINK("http://141.218.60.56/~jnz1568/getInfo.php?workbook=12_05.xlsx&amp;sheet=U0&amp;row=9618&amp;col=7&amp;number=0.0318&amp;sourceID=14","0.0318")</f>
        <v>0.0318</v>
      </c>
    </row>
    <row r="9619" spans="1:7">
      <c r="A9619" s="3"/>
      <c r="B9619" s="3"/>
      <c r="C9619" s="3"/>
      <c r="D9619" s="3"/>
      <c r="E9619" s="3">
        <v>16</v>
      </c>
      <c r="F9619" s="4" t="str">
        <f>HYPERLINK("http://141.218.60.56/~jnz1568/getInfo.php?workbook=12_05.xlsx&amp;sheet=U0&amp;row=9619&amp;col=6&amp;number=4.5&amp;sourceID=14","4.5")</f>
        <v>4.5</v>
      </c>
      <c r="G9619" s="4" t="str">
        <f>HYPERLINK("http://141.218.60.56/~jnz1568/getInfo.php?workbook=12_05.xlsx&amp;sheet=U0&amp;row=9619&amp;col=7&amp;number=0.0316&amp;sourceID=14","0.0316")</f>
        <v>0.0316</v>
      </c>
    </row>
    <row r="9620" spans="1:7">
      <c r="A9620" s="3"/>
      <c r="B9620" s="3"/>
      <c r="C9620" s="3"/>
      <c r="D9620" s="3"/>
      <c r="E9620" s="3">
        <v>17</v>
      </c>
      <c r="F9620" s="4" t="str">
        <f>HYPERLINK("http://141.218.60.56/~jnz1568/getInfo.php?workbook=12_05.xlsx&amp;sheet=U0&amp;row=9620&amp;col=6&amp;number=4.6&amp;sourceID=14","4.6")</f>
        <v>4.6</v>
      </c>
      <c r="G9620" s="4" t="str">
        <f>HYPERLINK("http://141.218.60.56/~jnz1568/getInfo.php?workbook=12_05.xlsx&amp;sheet=U0&amp;row=9620&amp;col=7&amp;number=0.0313&amp;sourceID=14","0.0313")</f>
        <v>0.0313</v>
      </c>
    </row>
    <row r="9621" spans="1:7">
      <c r="A9621" s="3"/>
      <c r="B9621" s="3"/>
      <c r="C9621" s="3"/>
      <c r="D9621" s="3"/>
      <c r="E9621" s="3">
        <v>18</v>
      </c>
      <c r="F9621" s="4" t="str">
        <f>HYPERLINK("http://141.218.60.56/~jnz1568/getInfo.php?workbook=12_05.xlsx&amp;sheet=U0&amp;row=9621&amp;col=6&amp;number=4.7&amp;sourceID=14","4.7")</f>
        <v>4.7</v>
      </c>
      <c r="G9621" s="4" t="str">
        <f>HYPERLINK("http://141.218.60.56/~jnz1568/getInfo.php?workbook=12_05.xlsx&amp;sheet=U0&amp;row=9621&amp;col=7&amp;number=0.0311&amp;sourceID=14","0.0311")</f>
        <v>0.0311</v>
      </c>
    </row>
    <row r="9622" spans="1:7">
      <c r="A9622" s="3"/>
      <c r="B9622" s="3"/>
      <c r="C9622" s="3"/>
      <c r="D9622" s="3"/>
      <c r="E9622" s="3">
        <v>19</v>
      </c>
      <c r="F9622" s="4" t="str">
        <f>HYPERLINK("http://141.218.60.56/~jnz1568/getInfo.php?workbook=12_05.xlsx&amp;sheet=U0&amp;row=9622&amp;col=6&amp;number=4.8&amp;sourceID=14","4.8")</f>
        <v>4.8</v>
      </c>
      <c r="G9622" s="4" t="str">
        <f>HYPERLINK("http://141.218.60.56/~jnz1568/getInfo.php?workbook=12_05.xlsx&amp;sheet=U0&amp;row=9622&amp;col=7&amp;number=0.0307&amp;sourceID=14","0.0307")</f>
        <v>0.0307</v>
      </c>
    </row>
    <row r="9623" spans="1:7">
      <c r="A9623" s="3"/>
      <c r="B9623" s="3"/>
      <c r="C9623" s="3"/>
      <c r="D9623" s="3"/>
      <c r="E9623" s="3">
        <v>20</v>
      </c>
      <c r="F9623" s="4" t="str">
        <f>HYPERLINK("http://141.218.60.56/~jnz1568/getInfo.php?workbook=12_05.xlsx&amp;sheet=U0&amp;row=9623&amp;col=6&amp;number=4.9&amp;sourceID=14","4.9")</f>
        <v>4.9</v>
      </c>
      <c r="G9623" s="4" t="str">
        <f>HYPERLINK("http://141.218.60.56/~jnz1568/getInfo.php?workbook=12_05.xlsx&amp;sheet=U0&amp;row=9623&amp;col=7&amp;number=0.0303&amp;sourceID=14","0.0303")</f>
        <v>0.0303</v>
      </c>
    </row>
    <row r="9624" spans="1:7">
      <c r="A9624" s="3">
        <v>12</v>
      </c>
      <c r="B9624" s="3">
        <v>5</v>
      </c>
      <c r="C9624" s="3">
        <v>5</v>
      </c>
      <c r="D9624" s="3">
        <v>54</v>
      </c>
      <c r="E9624" s="3">
        <v>1</v>
      </c>
      <c r="F9624" s="4" t="str">
        <f>HYPERLINK("http://141.218.60.56/~jnz1568/getInfo.php?workbook=12_05.xlsx&amp;sheet=U0&amp;row=9624&amp;col=6&amp;number=3&amp;sourceID=14","3")</f>
        <v>3</v>
      </c>
      <c r="G9624" s="4" t="str">
        <f>HYPERLINK("http://141.218.60.56/~jnz1568/getInfo.php?workbook=12_05.xlsx&amp;sheet=U0&amp;row=9624&amp;col=7&amp;number=0.000556&amp;sourceID=14","0.000556")</f>
        <v>0.000556</v>
      </c>
    </row>
    <row r="9625" spans="1:7">
      <c r="A9625" s="3"/>
      <c r="B9625" s="3"/>
      <c r="C9625" s="3"/>
      <c r="D9625" s="3"/>
      <c r="E9625" s="3">
        <v>2</v>
      </c>
      <c r="F9625" s="4" t="str">
        <f>HYPERLINK("http://141.218.60.56/~jnz1568/getInfo.php?workbook=12_05.xlsx&amp;sheet=U0&amp;row=9625&amp;col=6&amp;number=3.1&amp;sourceID=14","3.1")</f>
        <v>3.1</v>
      </c>
      <c r="G9625" s="4" t="str">
        <f>HYPERLINK("http://141.218.60.56/~jnz1568/getInfo.php?workbook=12_05.xlsx&amp;sheet=U0&amp;row=9625&amp;col=7&amp;number=0.000556&amp;sourceID=14","0.000556")</f>
        <v>0.000556</v>
      </c>
    </row>
    <row r="9626" spans="1:7">
      <c r="A9626" s="3"/>
      <c r="B9626" s="3"/>
      <c r="C9626" s="3"/>
      <c r="D9626" s="3"/>
      <c r="E9626" s="3">
        <v>3</v>
      </c>
      <c r="F9626" s="4" t="str">
        <f>HYPERLINK("http://141.218.60.56/~jnz1568/getInfo.php?workbook=12_05.xlsx&amp;sheet=U0&amp;row=9626&amp;col=6&amp;number=3.2&amp;sourceID=14","3.2")</f>
        <v>3.2</v>
      </c>
      <c r="G9626" s="4" t="str">
        <f>HYPERLINK("http://141.218.60.56/~jnz1568/getInfo.php?workbook=12_05.xlsx&amp;sheet=U0&amp;row=9626&amp;col=7&amp;number=0.000556&amp;sourceID=14","0.000556")</f>
        <v>0.000556</v>
      </c>
    </row>
    <row r="9627" spans="1:7">
      <c r="A9627" s="3"/>
      <c r="B9627" s="3"/>
      <c r="C9627" s="3"/>
      <c r="D9627" s="3"/>
      <c r="E9627" s="3">
        <v>4</v>
      </c>
      <c r="F9627" s="4" t="str">
        <f>HYPERLINK("http://141.218.60.56/~jnz1568/getInfo.php?workbook=12_05.xlsx&amp;sheet=U0&amp;row=9627&amp;col=6&amp;number=3.3&amp;sourceID=14","3.3")</f>
        <v>3.3</v>
      </c>
      <c r="G9627" s="4" t="str">
        <f>HYPERLINK("http://141.218.60.56/~jnz1568/getInfo.php?workbook=12_05.xlsx&amp;sheet=U0&amp;row=9627&amp;col=7&amp;number=0.000555&amp;sourceID=14","0.000555")</f>
        <v>0.000555</v>
      </c>
    </row>
    <row r="9628" spans="1:7">
      <c r="A9628" s="3"/>
      <c r="B9628" s="3"/>
      <c r="C9628" s="3"/>
      <c r="D9628" s="3"/>
      <c r="E9628" s="3">
        <v>5</v>
      </c>
      <c r="F9628" s="4" t="str">
        <f>HYPERLINK("http://141.218.60.56/~jnz1568/getInfo.php?workbook=12_05.xlsx&amp;sheet=U0&amp;row=9628&amp;col=6&amp;number=3.4&amp;sourceID=14","3.4")</f>
        <v>3.4</v>
      </c>
      <c r="G9628" s="4" t="str">
        <f>HYPERLINK("http://141.218.60.56/~jnz1568/getInfo.php?workbook=12_05.xlsx&amp;sheet=U0&amp;row=9628&amp;col=7&amp;number=0.000555&amp;sourceID=14","0.000555")</f>
        <v>0.000555</v>
      </c>
    </row>
    <row r="9629" spans="1:7">
      <c r="A9629" s="3"/>
      <c r="B9629" s="3"/>
      <c r="C9629" s="3"/>
      <c r="D9629" s="3"/>
      <c r="E9629" s="3">
        <v>6</v>
      </c>
      <c r="F9629" s="4" t="str">
        <f>HYPERLINK("http://141.218.60.56/~jnz1568/getInfo.php?workbook=12_05.xlsx&amp;sheet=U0&amp;row=9629&amp;col=6&amp;number=3.5&amp;sourceID=14","3.5")</f>
        <v>3.5</v>
      </c>
      <c r="G9629" s="4" t="str">
        <f>HYPERLINK("http://141.218.60.56/~jnz1568/getInfo.php?workbook=12_05.xlsx&amp;sheet=U0&amp;row=9629&amp;col=7&amp;number=0.000555&amp;sourceID=14","0.000555")</f>
        <v>0.000555</v>
      </c>
    </row>
    <row r="9630" spans="1:7">
      <c r="A9630" s="3"/>
      <c r="B9630" s="3"/>
      <c r="C9630" s="3"/>
      <c r="D9630" s="3"/>
      <c r="E9630" s="3">
        <v>7</v>
      </c>
      <c r="F9630" s="4" t="str">
        <f>HYPERLINK("http://141.218.60.56/~jnz1568/getInfo.php?workbook=12_05.xlsx&amp;sheet=U0&amp;row=9630&amp;col=6&amp;number=3.6&amp;sourceID=14","3.6")</f>
        <v>3.6</v>
      </c>
      <c r="G9630" s="4" t="str">
        <f>HYPERLINK("http://141.218.60.56/~jnz1568/getInfo.php?workbook=12_05.xlsx&amp;sheet=U0&amp;row=9630&amp;col=7&amp;number=0.000554&amp;sourceID=14","0.000554")</f>
        <v>0.000554</v>
      </c>
    </row>
    <row r="9631" spans="1:7">
      <c r="A9631" s="3"/>
      <c r="B9631" s="3"/>
      <c r="C9631" s="3"/>
      <c r="D9631" s="3"/>
      <c r="E9631" s="3">
        <v>8</v>
      </c>
      <c r="F9631" s="4" t="str">
        <f>HYPERLINK("http://141.218.60.56/~jnz1568/getInfo.php?workbook=12_05.xlsx&amp;sheet=U0&amp;row=9631&amp;col=6&amp;number=3.7&amp;sourceID=14","3.7")</f>
        <v>3.7</v>
      </c>
      <c r="G9631" s="4" t="str">
        <f>HYPERLINK("http://141.218.60.56/~jnz1568/getInfo.php?workbook=12_05.xlsx&amp;sheet=U0&amp;row=9631&amp;col=7&amp;number=0.000554&amp;sourceID=14","0.000554")</f>
        <v>0.000554</v>
      </c>
    </row>
    <row r="9632" spans="1:7">
      <c r="A9632" s="3"/>
      <c r="B9632" s="3"/>
      <c r="C9632" s="3"/>
      <c r="D9632" s="3"/>
      <c r="E9632" s="3">
        <v>9</v>
      </c>
      <c r="F9632" s="4" t="str">
        <f>HYPERLINK("http://141.218.60.56/~jnz1568/getInfo.php?workbook=12_05.xlsx&amp;sheet=U0&amp;row=9632&amp;col=6&amp;number=3.8&amp;sourceID=14","3.8")</f>
        <v>3.8</v>
      </c>
      <c r="G9632" s="4" t="str">
        <f>HYPERLINK("http://141.218.60.56/~jnz1568/getInfo.php?workbook=12_05.xlsx&amp;sheet=U0&amp;row=9632&amp;col=7&amp;number=0.000553&amp;sourceID=14","0.000553")</f>
        <v>0.000553</v>
      </c>
    </row>
    <row r="9633" spans="1:7">
      <c r="A9633" s="3"/>
      <c r="B9633" s="3"/>
      <c r="C9633" s="3"/>
      <c r="D9633" s="3"/>
      <c r="E9633" s="3">
        <v>10</v>
      </c>
      <c r="F9633" s="4" t="str">
        <f>HYPERLINK("http://141.218.60.56/~jnz1568/getInfo.php?workbook=12_05.xlsx&amp;sheet=U0&amp;row=9633&amp;col=6&amp;number=3.9&amp;sourceID=14","3.9")</f>
        <v>3.9</v>
      </c>
      <c r="G9633" s="4" t="str">
        <f>HYPERLINK("http://141.218.60.56/~jnz1568/getInfo.php?workbook=12_05.xlsx&amp;sheet=U0&amp;row=9633&amp;col=7&amp;number=0.000553&amp;sourceID=14","0.000553")</f>
        <v>0.000553</v>
      </c>
    </row>
    <row r="9634" spans="1:7">
      <c r="A9634" s="3"/>
      <c r="B9634" s="3"/>
      <c r="C9634" s="3"/>
      <c r="D9634" s="3"/>
      <c r="E9634" s="3">
        <v>11</v>
      </c>
      <c r="F9634" s="4" t="str">
        <f>HYPERLINK("http://141.218.60.56/~jnz1568/getInfo.php?workbook=12_05.xlsx&amp;sheet=U0&amp;row=9634&amp;col=6&amp;number=4&amp;sourceID=14","4")</f>
        <v>4</v>
      </c>
      <c r="G9634" s="4" t="str">
        <f>HYPERLINK("http://141.218.60.56/~jnz1568/getInfo.php?workbook=12_05.xlsx&amp;sheet=U0&amp;row=9634&amp;col=7&amp;number=0.000552&amp;sourceID=14","0.000552")</f>
        <v>0.000552</v>
      </c>
    </row>
    <row r="9635" spans="1:7">
      <c r="A9635" s="3"/>
      <c r="B9635" s="3"/>
      <c r="C9635" s="3"/>
      <c r="D9635" s="3"/>
      <c r="E9635" s="3">
        <v>12</v>
      </c>
      <c r="F9635" s="4" t="str">
        <f>HYPERLINK("http://141.218.60.56/~jnz1568/getInfo.php?workbook=12_05.xlsx&amp;sheet=U0&amp;row=9635&amp;col=6&amp;number=4.1&amp;sourceID=14","4.1")</f>
        <v>4.1</v>
      </c>
      <c r="G9635" s="4" t="str">
        <f>HYPERLINK("http://141.218.60.56/~jnz1568/getInfo.php?workbook=12_05.xlsx&amp;sheet=U0&amp;row=9635&amp;col=7&amp;number=0.00055&amp;sourceID=14","0.00055")</f>
        <v>0.00055</v>
      </c>
    </row>
    <row r="9636" spans="1:7">
      <c r="A9636" s="3"/>
      <c r="B9636" s="3"/>
      <c r="C9636" s="3"/>
      <c r="D9636" s="3"/>
      <c r="E9636" s="3">
        <v>13</v>
      </c>
      <c r="F9636" s="4" t="str">
        <f>HYPERLINK("http://141.218.60.56/~jnz1568/getInfo.php?workbook=12_05.xlsx&amp;sheet=U0&amp;row=9636&amp;col=6&amp;number=4.2&amp;sourceID=14","4.2")</f>
        <v>4.2</v>
      </c>
      <c r="G9636" s="4" t="str">
        <f>HYPERLINK("http://141.218.60.56/~jnz1568/getInfo.php?workbook=12_05.xlsx&amp;sheet=U0&amp;row=9636&amp;col=7&amp;number=0.000549&amp;sourceID=14","0.000549")</f>
        <v>0.000549</v>
      </c>
    </row>
    <row r="9637" spans="1:7">
      <c r="A9637" s="3"/>
      <c r="B9637" s="3"/>
      <c r="C9637" s="3"/>
      <c r="D9637" s="3"/>
      <c r="E9637" s="3">
        <v>14</v>
      </c>
      <c r="F9637" s="4" t="str">
        <f>HYPERLINK("http://141.218.60.56/~jnz1568/getInfo.php?workbook=12_05.xlsx&amp;sheet=U0&amp;row=9637&amp;col=6&amp;number=4.3&amp;sourceID=14","4.3")</f>
        <v>4.3</v>
      </c>
      <c r="G9637" s="4" t="str">
        <f>HYPERLINK("http://141.218.60.56/~jnz1568/getInfo.php?workbook=12_05.xlsx&amp;sheet=U0&amp;row=9637&amp;col=7&amp;number=0.000547&amp;sourceID=14","0.000547")</f>
        <v>0.000547</v>
      </c>
    </row>
    <row r="9638" spans="1:7">
      <c r="A9638" s="3"/>
      <c r="B9638" s="3"/>
      <c r="C9638" s="3"/>
      <c r="D9638" s="3"/>
      <c r="E9638" s="3">
        <v>15</v>
      </c>
      <c r="F9638" s="4" t="str">
        <f>HYPERLINK("http://141.218.60.56/~jnz1568/getInfo.php?workbook=12_05.xlsx&amp;sheet=U0&amp;row=9638&amp;col=6&amp;number=4.4&amp;sourceID=14","4.4")</f>
        <v>4.4</v>
      </c>
      <c r="G9638" s="4" t="str">
        <f>HYPERLINK("http://141.218.60.56/~jnz1568/getInfo.php?workbook=12_05.xlsx&amp;sheet=U0&amp;row=9638&amp;col=7&amp;number=0.000544&amp;sourceID=14","0.000544")</f>
        <v>0.000544</v>
      </c>
    </row>
    <row r="9639" spans="1:7">
      <c r="A9639" s="3"/>
      <c r="B9639" s="3"/>
      <c r="C9639" s="3"/>
      <c r="D9639" s="3"/>
      <c r="E9639" s="3">
        <v>16</v>
      </c>
      <c r="F9639" s="4" t="str">
        <f>HYPERLINK("http://141.218.60.56/~jnz1568/getInfo.php?workbook=12_05.xlsx&amp;sheet=U0&amp;row=9639&amp;col=6&amp;number=4.5&amp;sourceID=14","4.5")</f>
        <v>4.5</v>
      </c>
      <c r="G9639" s="4" t="str">
        <f>HYPERLINK("http://141.218.60.56/~jnz1568/getInfo.php?workbook=12_05.xlsx&amp;sheet=U0&amp;row=9639&amp;col=7&amp;number=0.000541&amp;sourceID=14","0.000541")</f>
        <v>0.000541</v>
      </c>
    </row>
    <row r="9640" spans="1:7">
      <c r="A9640" s="3"/>
      <c r="B9640" s="3"/>
      <c r="C9640" s="3"/>
      <c r="D9640" s="3"/>
      <c r="E9640" s="3">
        <v>17</v>
      </c>
      <c r="F9640" s="4" t="str">
        <f>HYPERLINK("http://141.218.60.56/~jnz1568/getInfo.php?workbook=12_05.xlsx&amp;sheet=U0&amp;row=9640&amp;col=6&amp;number=4.6&amp;sourceID=14","4.6")</f>
        <v>4.6</v>
      </c>
      <c r="G9640" s="4" t="str">
        <f>HYPERLINK("http://141.218.60.56/~jnz1568/getInfo.php?workbook=12_05.xlsx&amp;sheet=U0&amp;row=9640&amp;col=7&amp;number=0.000538&amp;sourceID=14","0.000538")</f>
        <v>0.000538</v>
      </c>
    </row>
    <row r="9641" spans="1:7">
      <c r="A9641" s="3"/>
      <c r="B9641" s="3"/>
      <c r="C9641" s="3"/>
      <c r="D9641" s="3"/>
      <c r="E9641" s="3">
        <v>18</v>
      </c>
      <c r="F9641" s="4" t="str">
        <f>HYPERLINK("http://141.218.60.56/~jnz1568/getInfo.php?workbook=12_05.xlsx&amp;sheet=U0&amp;row=9641&amp;col=6&amp;number=4.7&amp;sourceID=14","4.7")</f>
        <v>4.7</v>
      </c>
      <c r="G9641" s="4" t="str">
        <f>HYPERLINK("http://141.218.60.56/~jnz1568/getInfo.php?workbook=12_05.xlsx&amp;sheet=U0&amp;row=9641&amp;col=7&amp;number=0.000533&amp;sourceID=14","0.000533")</f>
        <v>0.000533</v>
      </c>
    </row>
    <row r="9642" spans="1:7">
      <c r="A9642" s="3"/>
      <c r="B9642" s="3"/>
      <c r="C9642" s="3"/>
      <c r="D9642" s="3"/>
      <c r="E9642" s="3">
        <v>19</v>
      </c>
      <c r="F9642" s="4" t="str">
        <f>HYPERLINK("http://141.218.60.56/~jnz1568/getInfo.php?workbook=12_05.xlsx&amp;sheet=U0&amp;row=9642&amp;col=6&amp;number=4.8&amp;sourceID=14","4.8")</f>
        <v>4.8</v>
      </c>
      <c r="G9642" s="4" t="str">
        <f>HYPERLINK("http://141.218.60.56/~jnz1568/getInfo.php?workbook=12_05.xlsx&amp;sheet=U0&amp;row=9642&amp;col=7&amp;number=0.000527&amp;sourceID=14","0.000527")</f>
        <v>0.000527</v>
      </c>
    </row>
    <row r="9643" spans="1:7">
      <c r="A9643" s="3"/>
      <c r="B9643" s="3"/>
      <c r="C9643" s="3"/>
      <c r="D9643" s="3"/>
      <c r="E9643" s="3">
        <v>20</v>
      </c>
      <c r="F9643" s="4" t="str">
        <f>HYPERLINK("http://141.218.60.56/~jnz1568/getInfo.php?workbook=12_05.xlsx&amp;sheet=U0&amp;row=9643&amp;col=6&amp;number=4.9&amp;sourceID=14","4.9")</f>
        <v>4.9</v>
      </c>
      <c r="G9643" s="4" t="str">
        <f>HYPERLINK("http://141.218.60.56/~jnz1568/getInfo.php?workbook=12_05.xlsx&amp;sheet=U0&amp;row=9643&amp;col=7&amp;number=0.00052&amp;sourceID=14","0.00052")</f>
        <v>0.00052</v>
      </c>
    </row>
    <row r="9644" spans="1:7">
      <c r="A9644" s="3">
        <v>12</v>
      </c>
      <c r="B9644" s="3">
        <v>5</v>
      </c>
      <c r="C9644" s="3">
        <v>5</v>
      </c>
      <c r="D9644" s="3">
        <v>55</v>
      </c>
      <c r="E9644" s="3">
        <v>1</v>
      </c>
      <c r="F9644" s="4" t="str">
        <f>HYPERLINK("http://141.218.60.56/~jnz1568/getInfo.php?workbook=12_05.xlsx&amp;sheet=U0&amp;row=9644&amp;col=6&amp;number=3&amp;sourceID=14","3")</f>
        <v>3</v>
      </c>
      <c r="G9644" s="4" t="str">
        <f>HYPERLINK("http://141.218.60.56/~jnz1568/getInfo.php?workbook=12_05.xlsx&amp;sheet=U0&amp;row=9644&amp;col=7&amp;number=0.166&amp;sourceID=14","0.166")</f>
        <v>0.166</v>
      </c>
    </row>
    <row r="9645" spans="1:7">
      <c r="A9645" s="3"/>
      <c r="B9645" s="3"/>
      <c r="C9645" s="3"/>
      <c r="D9645" s="3"/>
      <c r="E9645" s="3">
        <v>2</v>
      </c>
      <c r="F9645" s="4" t="str">
        <f>HYPERLINK("http://141.218.60.56/~jnz1568/getInfo.php?workbook=12_05.xlsx&amp;sheet=U0&amp;row=9645&amp;col=6&amp;number=3.1&amp;sourceID=14","3.1")</f>
        <v>3.1</v>
      </c>
      <c r="G9645" s="4" t="str">
        <f>HYPERLINK("http://141.218.60.56/~jnz1568/getInfo.php?workbook=12_05.xlsx&amp;sheet=U0&amp;row=9645&amp;col=7&amp;number=0.166&amp;sourceID=14","0.166")</f>
        <v>0.166</v>
      </c>
    </row>
    <row r="9646" spans="1:7">
      <c r="A9646" s="3"/>
      <c r="B9646" s="3"/>
      <c r="C9646" s="3"/>
      <c r="D9646" s="3"/>
      <c r="E9646" s="3">
        <v>3</v>
      </c>
      <c r="F9646" s="4" t="str">
        <f>HYPERLINK("http://141.218.60.56/~jnz1568/getInfo.php?workbook=12_05.xlsx&amp;sheet=U0&amp;row=9646&amp;col=6&amp;number=3.2&amp;sourceID=14","3.2")</f>
        <v>3.2</v>
      </c>
      <c r="G9646" s="4" t="str">
        <f>HYPERLINK("http://141.218.60.56/~jnz1568/getInfo.php?workbook=12_05.xlsx&amp;sheet=U0&amp;row=9646&amp;col=7&amp;number=0.166&amp;sourceID=14","0.166")</f>
        <v>0.166</v>
      </c>
    </row>
    <row r="9647" spans="1:7">
      <c r="A9647" s="3"/>
      <c r="B9647" s="3"/>
      <c r="C9647" s="3"/>
      <c r="D9647" s="3"/>
      <c r="E9647" s="3">
        <v>4</v>
      </c>
      <c r="F9647" s="4" t="str">
        <f>HYPERLINK("http://141.218.60.56/~jnz1568/getInfo.php?workbook=12_05.xlsx&amp;sheet=U0&amp;row=9647&amp;col=6&amp;number=3.3&amp;sourceID=14","3.3")</f>
        <v>3.3</v>
      </c>
      <c r="G9647" s="4" t="str">
        <f>HYPERLINK("http://141.218.60.56/~jnz1568/getInfo.php?workbook=12_05.xlsx&amp;sheet=U0&amp;row=9647&amp;col=7&amp;number=0.166&amp;sourceID=14","0.166")</f>
        <v>0.166</v>
      </c>
    </row>
    <row r="9648" spans="1:7">
      <c r="A9648" s="3"/>
      <c r="B9648" s="3"/>
      <c r="C9648" s="3"/>
      <c r="D9648" s="3"/>
      <c r="E9648" s="3">
        <v>5</v>
      </c>
      <c r="F9648" s="4" t="str">
        <f>HYPERLINK("http://141.218.60.56/~jnz1568/getInfo.php?workbook=12_05.xlsx&amp;sheet=U0&amp;row=9648&amp;col=6&amp;number=3.4&amp;sourceID=14","3.4")</f>
        <v>3.4</v>
      </c>
      <c r="G9648" s="4" t="str">
        <f>HYPERLINK("http://141.218.60.56/~jnz1568/getInfo.php?workbook=12_05.xlsx&amp;sheet=U0&amp;row=9648&amp;col=7&amp;number=0.166&amp;sourceID=14","0.166")</f>
        <v>0.166</v>
      </c>
    </row>
    <row r="9649" spans="1:7">
      <c r="A9649" s="3"/>
      <c r="B9649" s="3"/>
      <c r="C9649" s="3"/>
      <c r="D9649" s="3"/>
      <c r="E9649" s="3">
        <v>6</v>
      </c>
      <c r="F9649" s="4" t="str">
        <f>HYPERLINK("http://141.218.60.56/~jnz1568/getInfo.php?workbook=12_05.xlsx&amp;sheet=U0&amp;row=9649&amp;col=6&amp;number=3.5&amp;sourceID=14","3.5")</f>
        <v>3.5</v>
      </c>
      <c r="G9649" s="4" t="str">
        <f>HYPERLINK("http://141.218.60.56/~jnz1568/getInfo.php?workbook=12_05.xlsx&amp;sheet=U0&amp;row=9649&amp;col=7&amp;number=0.166&amp;sourceID=14","0.166")</f>
        <v>0.166</v>
      </c>
    </row>
    <row r="9650" spans="1:7">
      <c r="A9650" s="3"/>
      <c r="B9650" s="3"/>
      <c r="C9650" s="3"/>
      <c r="D9650" s="3"/>
      <c r="E9650" s="3">
        <v>7</v>
      </c>
      <c r="F9650" s="4" t="str">
        <f>HYPERLINK("http://141.218.60.56/~jnz1568/getInfo.php?workbook=12_05.xlsx&amp;sheet=U0&amp;row=9650&amp;col=6&amp;number=3.6&amp;sourceID=14","3.6")</f>
        <v>3.6</v>
      </c>
      <c r="G9650" s="4" t="str">
        <f>HYPERLINK("http://141.218.60.56/~jnz1568/getInfo.php?workbook=12_05.xlsx&amp;sheet=U0&amp;row=9650&amp;col=7&amp;number=0.166&amp;sourceID=14","0.166")</f>
        <v>0.166</v>
      </c>
    </row>
    <row r="9651" spans="1:7">
      <c r="A9651" s="3"/>
      <c r="B9651" s="3"/>
      <c r="C9651" s="3"/>
      <c r="D9651" s="3"/>
      <c r="E9651" s="3">
        <v>8</v>
      </c>
      <c r="F9651" s="4" t="str">
        <f>HYPERLINK("http://141.218.60.56/~jnz1568/getInfo.php?workbook=12_05.xlsx&amp;sheet=U0&amp;row=9651&amp;col=6&amp;number=3.7&amp;sourceID=14","3.7")</f>
        <v>3.7</v>
      </c>
      <c r="G9651" s="4" t="str">
        <f>HYPERLINK("http://141.218.60.56/~jnz1568/getInfo.php?workbook=12_05.xlsx&amp;sheet=U0&amp;row=9651&amp;col=7&amp;number=0.166&amp;sourceID=14","0.166")</f>
        <v>0.166</v>
      </c>
    </row>
    <row r="9652" spans="1:7">
      <c r="A9652" s="3"/>
      <c r="B9652" s="3"/>
      <c r="C9652" s="3"/>
      <c r="D9652" s="3"/>
      <c r="E9652" s="3">
        <v>9</v>
      </c>
      <c r="F9652" s="4" t="str">
        <f>HYPERLINK("http://141.218.60.56/~jnz1568/getInfo.php?workbook=12_05.xlsx&amp;sheet=U0&amp;row=9652&amp;col=6&amp;number=3.8&amp;sourceID=14","3.8")</f>
        <v>3.8</v>
      </c>
      <c r="G9652" s="4" t="str">
        <f>HYPERLINK("http://141.218.60.56/~jnz1568/getInfo.php?workbook=12_05.xlsx&amp;sheet=U0&amp;row=9652&amp;col=7&amp;number=0.166&amp;sourceID=14","0.166")</f>
        <v>0.166</v>
      </c>
    </row>
    <row r="9653" spans="1:7">
      <c r="A9653" s="3"/>
      <c r="B9653" s="3"/>
      <c r="C9653" s="3"/>
      <c r="D9653" s="3"/>
      <c r="E9653" s="3">
        <v>10</v>
      </c>
      <c r="F9653" s="4" t="str">
        <f>HYPERLINK("http://141.218.60.56/~jnz1568/getInfo.php?workbook=12_05.xlsx&amp;sheet=U0&amp;row=9653&amp;col=6&amp;number=3.9&amp;sourceID=14","3.9")</f>
        <v>3.9</v>
      </c>
      <c r="G9653" s="4" t="str">
        <f>HYPERLINK("http://141.218.60.56/~jnz1568/getInfo.php?workbook=12_05.xlsx&amp;sheet=U0&amp;row=9653&amp;col=7&amp;number=0.166&amp;sourceID=14","0.166")</f>
        <v>0.166</v>
      </c>
    </row>
    <row r="9654" spans="1:7">
      <c r="A9654" s="3"/>
      <c r="B9654" s="3"/>
      <c r="C9654" s="3"/>
      <c r="D9654" s="3"/>
      <c r="E9654" s="3">
        <v>11</v>
      </c>
      <c r="F9654" s="4" t="str">
        <f>HYPERLINK("http://141.218.60.56/~jnz1568/getInfo.php?workbook=12_05.xlsx&amp;sheet=U0&amp;row=9654&amp;col=6&amp;number=4&amp;sourceID=14","4")</f>
        <v>4</v>
      </c>
      <c r="G9654" s="4" t="str">
        <f>HYPERLINK("http://141.218.60.56/~jnz1568/getInfo.php?workbook=12_05.xlsx&amp;sheet=U0&amp;row=9654&amp;col=7&amp;number=0.166&amp;sourceID=14","0.166")</f>
        <v>0.166</v>
      </c>
    </row>
    <row r="9655" spans="1:7">
      <c r="A9655" s="3"/>
      <c r="B9655" s="3"/>
      <c r="C9655" s="3"/>
      <c r="D9655" s="3"/>
      <c r="E9655" s="3">
        <v>12</v>
      </c>
      <c r="F9655" s="4" t="str">
        <f>HYPERLINK("http://141.218.60.56/~jnz1568/getInfo.php?workbook=12_05.xlsx&amp;sheet=U0&amp;row=9655&amp;col=6&amp;number=4.1&amp;sourceID=14","4.1")</f>
        <v>4.1</v>
      </c>
      <c r="G9655" s="4" t="str">
        <f>HYPERLINK("http://141.218.60.56/~jnz1568/getInfo.php?workbook=12_05.xlsx&amp;sheet=U0&amp;row=9655&amp;col=7&amp;number=0.166&amp;sourceID=14","0.166")</f>
        <v>0.166</v>
      </c>
    </row>
    <row r="9656" spans="1:7">
      <c r="A9656" s="3"/>
      <c r="B9656" s="3"/>
      <c r="C9656" s="3"/>
      <c r="D9656" s="3"/>
      <c r="E9656" s="3">
        <v>13</v>
      </c>
      <c r="F9656" s="4" t="str">
        <f>HYPERLINK("http://141.218.60.56/~jnz1568/getInfo.php?workbook=12_05.xlsx&amp;sheet=U0&amp;row=9656&amp;col=6&amp;number=4.2&amp;sourceID=14","4.2")</f>
        <v>4.2</v>
      </c>
      <c r="G9656" s="4" t="str">
        <f>HYPERLINK("http://141.218.60.56/~jnz1568/getInfo.php?workbook=12_05.xlsx&amp;sheet=U0&amp;row=9656&amp;col=7&amp;number=0.166&amp;sourceID=14","0.166")</f>
        <v>0.166</v>
      </c>
    </row>
    <row r="9657" spans="1:7">
      <c r="A9657" s="3"/>
      <c r="B9657" s="3"/>
      <c r="C9657" s="3"/>
      <c r="D9657" s="3"/>
      <c r="E9657" s="3">
        <v>14</v>
      </c>
      <c r="F9657" s="4" t="str">
        <f>HYPERLINK("http://141.218.60.56/~jnz1568/getInfo.php?workbook=12_05.xlsx&amp;sheet=U0&amp;row=9657&amp;col=6&amp;number=4.3&amp;sourceID=14","4.3")</f>
        <v>4.3</v>
      </c>
      <c r="G9657" s="4" t="str">
        <f>HYPERLINK("http://141.218.60.56/~jnz1568/getInfo.php?workbook=12_05.xlsx&amp;sheet=U0&amp;row=9657&amp;col=7&amp;number=0.166&amp;sourceID=14","0.166")</f>
        <v>0.166</v>
      </c>
    </row>
    <row r="9658" spans="1:7">
      <c r="A9658" s="3"/>
      <c r="B9658" s="3"/>
      <c r="C9658" s="3"/>
      <c r="D9658" s="3"/>
      <c r="E9658" s="3">
        <v>15</v>
      </c>
      <c r="F9658" s="4" t="str">
        <f>HYPERLINK("http://141.218.60.56/~jnz1568/getInfo.php?workbook=12_05.xlsx&amp;sheet=U0&amp;row=9658&amp;col=6&amp;number=4.4&amp;sourceID=14","4.4")</f>
        <v>4.4</v>
      </c>
      <c r="G9658" s="4" t="str">
        <f>HYPERLINK("http://141.218.60.56/~jnz1568/getInfo.php?workbook=12_05.xlsx&amp;sheet=U0&amp;row=9658&amp;col=7&amp;number=0.166&amp;sourceID=14","0.166")</f>
        <v>0.166</v>
      </c>
    </row>
    <row r="9659" spans="1:7">
      <c r="A9659" s="3"/>
      <c r="B9659" s="3"/>
      <c r="C9659" s="3"/>
      <c r="D9659" s="3"/>
      <c r="E9659" s="3">
        <v>16</v>
      </c>
      <c r="F9659" s="4" t="str">
        <f>HYPERLINK("http://141.218.60.56/~jnz1568/getInfo.php?workbook=12_05.xlsx&amp;sheet=U0&amp;row=9659&amp;col=6&amp;number=4.5&amp;sourceID=14","4.5")</f>
        <v>4.5</v>
      </c>
      <c r="G9659" s="4" t="str">
        <f>HYPERLINK("http://141.218.60.56/~jnz1568/getInfo.php?workbook=12_05.xlsx&amp;sheet=U0&amp;row=9659&amp;col=7&amp;number=0.167&amp;sourceID=14","0.167")</f>
        <v>0.167</v>
      </c>
    </row>
    <row r="9660" spans="1:7">
      <c r="A9660" s="3"/>
      <c r="B9660" s="3"/>
      <c r="C9660" s="3"/>
      <c r="D9660" s="3"/>
      <c r="E9660" s="3">
        <v>17</v>
      </c>
      <c r="F9660" s="4" t="str">
        <f>HYPERLINK("http://141.218.60.56/~jnz1568/getInfo.php?workbook=12_05.xlsx&amp;sheet=U0&amp;row=9660&amp;col=6&amp;number=4.6&amp;sourceID=14","4.6")</f>
        <v>4.6</v>
      </c>
      <c r="G9660" s="4" t="str">
        <f>HYPERLINK("http://141.218.60.56/~jnz1568/getInfo.php?workbook=12_05.xlsx&amp;sheet=U0&amp;row=9660&amp;col=7&amp;number=0.167&amp;sourceID=14","0.167")</f>
        <v>0.167</v>
      </c>
    </row>
    <row r="9661" spans="1:7">
      <c r="A9661" s="3"/>
      <c r="B9661" s="3"/>
      <c r="C9661" s="3"/>
      <c r="D9661" s="3"/>
      <c r="E9661" s="3">
        <v>18</v>
      </c>
      <c r="F9661" s="4" t="str">
        <f>HYPERLINK("http://141.218.60.56/~jnz1568/getInfo.php?workbook=12_05.xlsx&amp;sheet=U0&amp;row=9661&amp;col=6&amp;number=4.7&amp;sourceID=14","4.7")</f>
        <v>4.7</v>
      </c>
      <c r="G9661" s="4" t="str">
        <f>HYPERLINK("http://141.218.60.56/~jnz1568/getInfo.php?workbook=12_05.xlsx&amp;sheet=U0&amp;row=9661&amp;col=7&amp;number=0.167&amp;sourceID=14","0.167")</f>
        <v>0.167</v>
      </c>
    </row>
    <row r="9662" spans="1:7">
      <c r="A9662" s="3"/>
      <c r="B9662" s="3"/>
      <c r="C9662" s="3"/>
      <c r="D9662" s="3"/>
      <c r="E9662" s="3">
        <v>19</v>
      </c>
      <c r="F9662" s="4" t="str">
        <f>HYPERLINK("http://141.218.60.56/~jnz1568/getInfo.php?workbook=12_05.xlsx&amp;sheet=U0&amp;row=9662&amp;col=6&amp;number=4.8&amp;sourceID=14","4.8")</f>
        <v>4.8</v>
      </c>
      <c r="G9662" s="4" t="str">
        <f>HYPERLINK("http://141.218.60.56/~jnz1568/getInfo.php?workbook=12_05.xlsx&amp;sheet=U0&amp;row=9662&amp;col=7&amp;number=0.167&amp;sourceID=14","0.167")</f>
        <v>0.167</v>
      </c>
    </row>
    <row r="9663" spans="1:7">
      <c r="A9663" s="3"/>
      <c r="B9663" s="3"/>
      <c r="C9663" s="3"/>
      <c r="D9663" s="3"/>
      <c r="E9663" s="3">
        <v>20</v>
      </c>
      <c r="F9663" s="4" t="str">
        <f>HYPERLINK("http://141.218.60.56/~jnz1568/getInfo.php?workbook=12_05.xlsx&amp;sheet=U0&amp;row=9663&amp;col=6&amp;number=4.9&amp;sourceID=14","4.9")</f>
        <v>4.9</v>
      </c>
      <c r="G9663" s="4" t="str">
        <f>HYPERLINK("http://141.218.60.56/~jnz1568/getInfo.php?workbook=12_05.xlsx&amp;sheet=U0&amp;row=9663&amp;col=7&amp;number=0.168&amp;sourceID=14","0.168")</f>
        <v>0.168</v>
      </c>
    </row>
    <row r="9664" spans="1:7">
      <c r="A9664" s="3">
        <v>12</v>
      </c>
      <c r="B9664" s="3">
        <v>5</v>
      </c>
      <c r="C9664" s="3">
        <v>5</v>
      </c>
      <c r="D9664" s="3">
        <v>56</v>
      </c>
      <c r="E9664" s="3">
        <v>1</v>
      </c>
      <c r="F9664" s="4" t="str">
        <f>HYPERLINK("http://141.218.60.56/~jnz1568/getInfo.php?workbook=12_05.xlsx&amp;sheet=U0&amp;row=9664&amp;col=6&amp;number=3&amp;sourceID=14","3")</f>
        <v>3</v>
      </c>
      <c r="G9664" s="4" t="str">
        <f>HYPERLINK("http://141.218.60.56/~jnz1568/getInfo.php?workbook=12_05.xlsx&amp;sheet=U0&amp;row=9664&amp;col=7&amp;number=0.000231&amp;sourceID=14","0.000231")</f>
        <v>0.000231</v>
      </c>
    </row>
    <row r="9665" spans="1:7">
      <c r="A9665" s="3"/>
      <c r="B9665" s="3"/>
      <c r="C9665" s="3"/>
      <c r="D9665" s="3"/>
      <c r="E9665" s="3">
        <v>2</v>
      </c>
      <c r="F9665" s="4" t="str">
        <f>HYPERLINK("http://141.218.60.56/~jnz1568/getInfo.php?workbook=12_05.xlsx&amp;sheet=U0&amp;row=9665&amp;col=6&amp;number=3.1&amp;sourceID=14","3.1")</f>
        <v>3.1</v>
      </c>
      <c r="G9665" s="4" t="str">
        <f>HYPERLINK("http://141.218.60.56/~jnz1568/getInfo.php?workbook=12_05.xlsx&amp;sheet=U0&amp;row=9665&amp;col=7&amp;number=0.000231&amp;sourceID=14","0.000231")</f>
        <v>0.000231</v>
      </c>
    </row>
    <row r="9666" spans="1:7">
      <c r="A9666" s="3"/>
      <c r="B9666" s="3"/>
      <c r="C9666" s="3"/>
      <c r="D9666" s="3"/>
      <c r="E9666" s="3">
        <v>3</v>
      </c>
      <c r="F9666" s="4" t="str">
        <f>HYPERLINK("http://141.218.60.56/~jnz1568/getInfo.php?workbook=12_05.xlsx&amp;sheet=U0&amp;row=9666&amp;col=6&amp;number=3.2&amp;sourceID=14","3.2")</f>
        <v>3.2</v>
      </c>
      <c r="G9666" s="4" t="str">
        <f>HYPERLINK("http://141.218.60.56/~jnz1568/getInfo.php?workbook=12_05.xlsx&amp;sheet=U0&amp;row=9666&amp;col=7&amp;number=0.000231&amp;sourceID=14","0.000231")</f>
        <v>0.000231</v>
      </c>
    </row>
    <row r="9667" spans="1:7">
      <c r="A9667" s="3"/>
      <c r="B9667" s="3"/>
      <c r="C9667" s="3"/>
      <c r="D9667" s="3"/>
      <c r="E9667" s="3">
        <v>4</v>
      </c>
      <c r="F9667" s="4" t="str">
        <f>HYPERLINK("http://141.218.60.56/~jnz1568/getInfo.php?workbook=12_05.xlsx&amp;sheet=U0&amp;row=9667&amp;col=6&amp;number=3.3&amp;sourceID=14","3.3")</f>
        <v>3.3</v>
      </c>
      <c r="G9667" s="4" t="str">
        <f>HYPERLINK("http://141.218.60.56/~jnz1568/getInfo.php?workbook=12_05.xlsx&amp;sheet=U0&amp;row=9667&amp;col=7&amp;number=0.000231&amp;sourceID=14","0.000231")</f>
        <v>0.000231</v>
      </c>
    </row>
    <row r="9668" spans="1:7">
      <c r="A9668" s="3"/>
      <c r="B9668" s="3"/>
      <c r="C9668" s="3"/>
      <c r="D9668" s="3"/>
      <c r="E9668" s="3">
        <v>5</v>
      </c>
      <c r="F9668" s="4" t="str">
        <f>HYPERLINK("http://141.218.60.56/~jnz1568/getInfo.php?workbook=12_05.xlsx&amp;sheet=U0&amp;row=9668&amp;col=6&amp;number=3.4&amp;sourceID=14","3.4")</f>
        <v>3.4</v>
      </c>
      <c r="G9668" s="4" t="str">
        <f>HYPERLINK("http://141.218.60.56/~jnz1568/getInfo.php?workbook=12_05.xlsx&amp;sheet=U0&amp;row=9668&amp;col=7&amp;number=0.000231&amp;sourceID=14","0.000231")</f>
        <v>0.000231</v>
      </c>
    </row>
    <row r="9669" spans="1:7">
      <c r="A9669" s="3"/>
      <c r="B9669" s="3"/>
      <c r="C9669" s="3"/>
      <c r="D9669" s="3"/>
      <c r="E9669" s="3">
        <v>6</v>
      </c>
      <c r="F9669" s="4" t="str">
        <f>HYPERLINK("http://141.218.60.56/~jnz1568/getInfo.php?workbook=12_05.xlsx&amp;sheet=U0&amp;row=9669&amp;col=6&amp;number=3.5&amp;sourceID=14","3.5")</f>
        <v>3.5</v>
      </c>
      <c r="G9669" s="4" t="str">
        <f>HYPERLINK("http://141.218.60.56/~jnz1568/getInfo.php?workbook=12_05.xlsx&amp;sheet=U0&amp;row=9669&amp;col=7&amp;number=0.000231&amp;sourceID=14","0.000231")</f>
        <v>0.000231</v>
      </c>
    </row>
    <row r="9670" spans="1:7">
      <c r="A9670" s="3"/>
      <c r="B9670" s="3"/>
      <c r="C9670" s="3"/>
      <c r="D9670" s="3"/>
      <c r="E9670" s="3">
        <v>7</v>
      </c>
      <c r="F9670" s="4" t="str">
        <f>HYPERLINK("http://141.218.60.56/~jnz1568/getInfo.php?workbook=12_05.xlsx&amp;sheet=U0&amp;row=9670&amp;col=6&amp;number=3.6&amp;sourceID=14","3.6")</f>
        <v>3.6</v>
      </c>
      <c r="G9670" s="4" t="str">
        <f>HYPERLINK("http://141.218.60.56/~jnz1568/getInfo.php?workbook=12_05.xlsx&amp;sheet=U0&amp;row=9670&amp;col=7&amp;number=0.00023&amp;sourceID=14","0.00023")</f>
        <v>0.00023</v>
      </c>
    </row>
    <row r="9671" spans="1:7">
      <c r="A9671" s="3"/>
      <c r="B9671" s="3"/>
      <c r="C9671" s="3"/>
      <c r="D9671" s="3"/>
      <c r="E9671" s="3">
        <v>8</v>
      </c>
      <c r="F9671" s="4" t="str">
        <f>HYPERLINK("http://141.218.60.56/~jnz1568/getInfo.php?workbook=12_05.xlsx&amp;sheet=U0&amp;row=9671&amp;col=6&amp;number=3.7&amp;sourceID=14","3.7")</f>
        <v>3.7</v>
      </c>
      <c r="G9671" s="4" t="str">
        <f>HYPERLINK("http://141.218.60.56/~jnz1568/getInfo.php?workbook=12_05.xlsx&amp;sheet=U0&amp;row=9671&amp;col=7&amp;number=0.00023&amp;sourceID=14","0.00023")</f>
        <v>0.00023</v>
      </c>
    </row>
    <row r="9672" spans="1:7">
      <c r="A9672" s="3"/>
      <c r="B9672" s="3"/>
      <c r="C9672" s="3"/>
      <c r="D9672" s="3"/>
      <c r="E9672" s="3">
        <v>9</v>
      </c>
      <c r="F9672" s="4" t="str">
        <f>HYPERLINK("http://141.218.60.56/~jnz1568/getInfo.php?workbook=12_05.xlsx&amp;sheet=U0&amp;row=9672&amp;col=6&amp;number=3.8&amp;sourceID=14","3.8")</f>
        <v>3.8</v>
      </c>
      <c r="G9672" s="4" t="str">
        <f>HYPERLINK("http://141.218.60.56/~jnz1568/getInfo.php?workbook=12_05.xlsx&amp;sheet=U0&amp;row=9672&amp;col=7&amp;number=0.00023&amp;sourceID=14","0.00023")</f>
        <v>0.00023</v>
      </c>
    </row>
    <row r="9673" spans="1:7">
      <c r="A9673" s="3"/>
      <c r="B9673" s="3"/>
      <c r="C9673" s="3"/>
      <c r="D9673" s="3"/>
      <c r="E9673" s="3">
        <v>10</v>
      </c>
      <c r="F9673" s="4" t="str">
        <f>HYPERLINK("http://141.218.60.56/~jnz1568/getInfo.php?workbook=12_05.xlsx&amp;sheet=U0&amp;row=9673&amp;col=6&amp;number=3.9&amp;sourceID=14","3.9")</f>
        <v>3.9</v>
      </c>
      <c r="G9673" s="4" t="str">
        <f>HYPERLINK("http://141.218.60.56/~jnz1568/getInfo.php?workbook=12_05.xlsx&amp;sheet=U0&amp;row=9673&amp;col=7&amp;number=0.00023&amp;sourceID=14","0.00023")</f>
        <v>0.00023</v>
      </c>
    </row>
    <row r="9674" spans="1:7">
      <c r="A9674" s="3"/>
      <c r="B9674" s="3"/>
      <c r="C9674" s="3"/>
      <c r="D9674" s="3"/>
      <c r="E9674" s="3">
        <v>11</v>
      </c>
      <c r="F9674" s="4" t="str">
        <f>HYPERLINK("http://141.218.60.56/~jnz1568/getInfo.php?workbook=12_05.xlsx&amp;sheet=U0&amp;row=9674&amp;col=6&amp;number=4&amp;sourceID=14","4")</f>
        <v>4</v>
      </c>
      <c r="G9674" s="4" t="str">
        <f>HYPERLINK("http://141.218.60.56/~jnz1568/getInfo.php?workbook=12_05.xlsx&amp;sheet=U0&amp;row=9674&amp;col=7&amp;number=0.00023&amp;sourceID=14","0.00023")</f>
        <v>0.00023</v>
      </c>
    </row>
    <row r="9675" spans="1:7">
      <c r="A9675" s="3"/>
      <c r="B9675" s="3"/>
      <c r="C9675" s="3"/>
      <c r="D9675" s="3"/>
      <c r="E9675" s="3">
        <v>12</v>
      </c>
      <c r="F9675" s="4" t="str">
        <f>HYPERLINK("http://141.218.60.56/~jnz1568/getInfo.php?workbook=12_05.xlsx&amp;sheet=U0&amp;row=9675&amp;col=6&amp;number=4.1&amp;sourceID=14","4.1")</f>
        <v>4.1</v>
      </c>
      <c r="G9675" s="4" t="str">
        <f>HYPERLINK("http://141.218.60.56/~jnz1568/getInfo.php?workbook=12_05.xlsx&amp;sheet=U0&amp;row=9675&amp;col=7&amp;number=0.000229&amp;sourceID=14","0.000229")</f>
        <v>0.000229</v>
      </c>
    </row>
    <row r="9676" spans="1:7">
      <c r="A9676" s="3"/>
      <c r="B9676" s="3"/>
      <c r="C9676" s="3"/>
      <c r="D9676" s="3"/>
      <c r="E9676" s="3">
        <v>13</v>
      </c>
      <c r="F9676" s="4" t="str">
        <f>HYPERLINK("http://141.218.60.56/~jnz1568/getInfo.php?workbook=12_05.xlsx&amp;sheet=U0&amp;row=9676&amp;col=6&amp;number=4.2&amp;sourceID=14","4.2")</f>
        <v>4.2</v>
      </c>
      <c r="G9676" s="4" t="str">
        <f>HYPERLINK("http://141.218.60.56/~jnz1568/getInfo.php?workbook=12_05.xlsx&amp;sheet=U0&amp;row=9676&amp;col=7&amp;number=0.000229&amp;sourceID=14","0.000229")</f>
        <v>0.000229</v>
      </c>
    </row>
    <row r="9677" spans="1:7">
      <c r="A9677" s="3"/>
      <c r="B9677" s="3"/>
      <c r="C9677" s="3"/>
      <c r="D9677" s="3"/>
      <c r="E9677" s="3">
        <v>14</v>
      </c>
      <c r="F9677" s="4" t="str">
        <f>HYPERLINK("http://141.218.60.56/~jnz1568/getInfo.php?workbook=12_05.xlsx&amp;sheet=U0&amp;row=9677&amp;col=6&amp;number=4.3&amp;sourceID=14","4.3")</f>
        <v>4.3</v>
      </c>
      <c r="G9677" s="4" t="str">
        <f>HYPERLINK("http://141.218.60.56/~jnz1568/getInfo.php?workbook=12_05.xlsx&amp;sheet=U0&amp;row=9677&amp;col=7&amp;number=0.000228&amp;sourceID=14","0.000228")</f>
        <v>0.000228</v>
      </c>
    </row>
    <row r="9678" spans="1:7">
      <c r="A9678" s="3"/>
      <c r="B9678" s="3"/>
      <c r="C9678" s="3"/>
      <c r="D9678" s="3"/>
      <c r="E9678" s="3">
        <v>15</v>
      </c>
      <c r="F9678" s="4" t="str">
        <f>HYPERLINK("http://141.218.60.56/~jnz1568/getInfo.php?workbook=12_05.xlsx&amp;sheet=U0&amp;row=9678&amp;col=6&amp;number=4.4&amp;sourceID=14","4.4")</f>
        <v>4.4</v>
      </c>
      <c r="G9678" s="4" t="str">
        <f>HYPERLINK("http://141.218.60.56/~jnz1568/getInfo.php?workbook=12_05.xlsx&amp;sheet=U0&amp;row=9678&amp;col=7&amp;number=0.000227&amp;sourceID=14","0.000227")</f>
        <v>0.000227</v>
      </c>
    </row>
    <row r="9679" spans="1:7">
      <c r="A9679" s="3"/>
      <c r="B9679" s="3"/>
      <c r="C9679" s="3"/>
      <c r="D9679" s="3"/>
      <c r="E9679" s="3">
        <v>16</v>
      </c>
      <c r="F9679" s="4" t="str">
        <f>HYPERLINK("http://141.218.60.56/~jnz1568/getInfo.php?workbook=12_05.xlsx&amp;sheet=U0&amp;row=9679&amp;col=6&amp;number=4.5&amp;sourceID=14","4.5")</f>
        <v>4.5</v>
      </c>
      <c r="G9679" s="4" t="str">
        <f>HYPERLINK("http://141.218.60.56/~jnz1568/getInfo.php?workbook=12_05.xlsx&amp;sheet=U0&amp;row=9679&amp;col=7&amp;number=0.000226&amp;sourceID=14","0.000226")</f>
        <v>0.000226</v>
      </c>
    </row>
    <row r="9680" spans="1:7">
      <c r="A9680" s="3"/>
      <c r="B9680" s="3"/>
      <c r="C9680" s="3"/>
      <c r="D9680" s="3"/>
      <c r="E9680" s="3">
        <v>17</v>
      </c>
      <c r="F9680" s="4" t="str">
        <f>HYPERLINK("http://141.218.60.56/~jnz1568/getInfo.php?workbook=12_05.xlsx&amp;sheet=U0&amp;row=9680&amp;col=6&amp;number=4.6&amp;sourceID=14","4.6")</f>
        <v>4.6</v>
      </c>
      <c r="G9680" s="4" t="str">
        <f>HYPERLINK("http://141.218.60.56/~jnz1568/getInfo.php?workbook=12_05.xlsx&amp;sheet=U0&amp;row=9680&amp;col=7&amp;number=0.000225&amp;sourceID=14","0.000225")</f>
        <v>0.000225</v>
      </c>
    </row>
    <row r="9681" spans="1:7">
      <c r="A9681" s="3"/>
      <c r="B9681" s="3"/>
      <c r="C9681" s="3"/>
      <c r="D9681" s="3"/>
      <c r="E9681" s="3">
        <v>18</v>
      </c>
      <c r="F9681" s="4" t="str">
        <f>HYPERLINK("http://141.218.60.56/~jnz1568/getInfo.php?workbook=12_05.xlsx&amp;sheet=U0&amp;row=9681&amp;col=6&amp;number=4.7&amp;sourceID=14","4.7")</f>
        <v>4.7</v>
      </c>
      <c r="G9681" s="4" t="str">
        <f>HYPERLINK("http://141.218.60.56/~jnz1568/getInfo.php?workbook=12_05.xlsx&amp;sheet=U0&amp;row=9681&amp;col=7&amp;number=0.000224&amp;sourceID=14","0.000224")</f>
        <v>0.000224</v>
      </c>
    </row>
    <row r="9682" spans="1:7">
      <c r="A9682" s="3"/>
      <c r="B9682" s="3"/>
      <c r="C9682" s="3"/>
      <c r="D9682" s="3"/>
      <c r="E9682" s="3">
        <v>19</v>
      </c>
      <c r="F9682" s="4" t="str">
        <f>HYPERLINK("http://141.218.60.56/~jnz1568/getInfo.php?workbook=12_05.xlsx&amp;sheet=U0&amp;row=9682&amp;col=6&amp;number=4.8&amp;sourceID=14","4.8")</f>
        <v>4.8</v>
      </c>
      <c r="G9682" s="4" t="str">
        <f>HYPERLINK("http://141.218.60.56/~jnz1568/getInfo.php?workbook=12_05.xlsx&amp;sheet=U0&amp;row=9682&amp;col=7&amp;number=0.000222&amp;sourceID=14","0.000222")</f>
        <v>0.000222</v>
      </c>
    </row>
    <row r="9683" spans="1:7">
      <c r="A9683" s="3"/>
      <c r="B9683" s="3"/>
      <c r="C9683" s="3"/>
      <c r="D9683" s="3"/>
      <c r="E9683" s="3">
        <v>20</v>
      </c>
      <c r="F9683" s="4" t="str">
        <f>HYPERLINK("http://141.218.60.56/~jnz1568/getInfo.php?workbook=12_05.xlsx&amp;sheet=U0&amp;row=9683&amp;col=6&amp;number=4.9&amp;sourceID=14","4.9")</f>
        <v>4.9</v>
      </c>
      <c r="G9683" s="4" t="str">
        <f>HYPERLINK("http://141.218.60.56/~jnz1568/getInfo.php?workbook=12_05.xlsx&amp;sheet=U0&amp;row=9683&amp;col=7&amp;number=0.00022&amp;sourceID=14","0.00022")</f>
        <v>0.00022</v>
      </c>
    </row>
    <row r="9684" spans="1:7">
      <c r="A9684" s="3">
        <v>12</v>
      </c>
      <c r="B9684" s="3">
        <v>5</v>
      </c>
      <c r="C9684" s="3">
        <v>5</v>
      </c>
      <c r="D9684" s="3">
        <v>57</v>
      </c>
      <c r="E9684" s="3">
        <v>1</v>
      </c>
      <c r="F9684" s="4" t="str">
        <f>HYPERLINK("http://141.218.60.56/~jnz1568/getInfo.php?workbook=12_05.xlsx&amp;sheet=U0&amp;row=9684&amp;col=6&amp;number=3&amp;sourceID=14","3")</f>
        <v>3</v>
      </c>
      <c r="G9684" s="4" t="str">
        <f>HYPERLINK("http://141.218.60.56/~jnz1568/getInfo.php?workbook=12_05.xlsx&amp;sheet=U0&amp;row=9684&amp;col=7&amp;number=0.00672&amp;sourceID=14","0.00672")</f>
        <v>0.00672</v>
      </c>
    </row>
    <row r="9685" spans="1:7">
      <c r="A9685" s="3"/>
      <c r="B9685" s="3"/>
      <c r="C9685" s="3"/>
      <c r="D9685" s="3"/>
      <c r="E9685" s="3">
        <v>2</v>
      </c>
      <c r="F9685" s="4" t="str">
        <f>HYPERLINK("http://141.218.60.56/~jnz1568/getInfo.php?workbook=12_05.xlsx&amp;sheet=U0&amp;row=9685&amp;col=6&amp;number=3.1&amp;sourceID=14","3.1")</f>
        <v>3.1</v>
      </c>
      <c r="G9685" s="4" t="str">
        <f>HYPERLINK("http://141.218.60.56/~jnz1568/getInfo.php?workbook=12_05.xlsx&amp;sheet=U0&amp;row=9685&amp;col=7&amp;number=0.00672&amp;sourceID=14","0.00672")</f>
        <v>0.00672</v>
      </c>
    </row>
    <row r="9686" spans="1:7">
      <c r="A9686" s="3"/>
      <c r="B9686" s="3"/>
      <c r="C9686" s="3"/>
      <c r="D9686" s="3"/>
      <c r="E9686" s="3">
        <v>3</v>
      </c>
      <c r="F9686" s="4" t="str">
        <f>HYPERLINK("http://141.218.60.56/~jnz1568/getInfo.php?workbook=12_05.xlsx&amp;sheet=U0&amp;row=9686&amp;col=6&amp;number=3.2&amp;sourceID=14","3.2")</f>
        <v>3.2</v>
      </c>
      <c r="G9686" s="4" t="str">
        <f>HYPERLINK("http://141.218.60.56/~jnz1568/getInfo.php?workbook=12_05.xlsx&amp;sheet=U0&amp;row=9686&amp;col=7&amp;number=0.00672&amp;sourceID=14","0.00672")</f>
        <v>0.00672</v>
      </c>
    </row>
    <row r="9687" spans="1:7">
      <c r="A9687" s="3"/>
      <c r="B9687" s="3"/>
      <c r="C9687" s="3"/>
      <c r="D9687" s="3"/>
      <c r="E9687" s="3">
        <v>4</v>
      </c>
      <c r="F9687" s="4" t="str">
        <f>HYPERLINK("http://141.218.60.56/~jnz1568/getInfo.php?workbook=12_05.xlsx&amp;sheet=U0&amp;row=9687&amp;col=6&amp;number=3.3&amp;sourceID=14","3.3")</f>
        <v>3.3</v>
      </c>
      <c r="G9687" s="4" t="str">
        <f>HYPERLINK("http://141.218.60.56/~jnz1568/getInfo.php?workbook=12_05.xlsx&amp;sheet=U0&amp;row=9687&amp;col=7&amp;number=0.00672&amp;sourceID=14","0.00672")</f>
        <v>0.00672</v>
      </c>
    </row>
    <row r="9688" spans="1:7">
      <c r="A9688" s="3"/>
      <c r="B9688" s="3"/>
      <c r="C9688" s="3"/>
      <c r="D9688" s="3"/>
      <c r="E9688" s="3">
        <v>5</v>
      </c>
      <c r="F9688" s="4" t="str">
        <f>HYPERLINK("http://141.218.60.56/~jnz1568/getInfo.php?workbook=12_05.xlsx&amp;sheet=U0&amp;row=9688&amp;col=6&amp;number=3.4&amp;sourceID=14","3.4")</f>
        <v>3.4</v>
      </c>
      <c r="G9688" s="4" t="str">
        <f>HYPERLINK("http://141.218.60.56/~jnz1568/getInfo.php?workbook=12_05.xlsx&amp;sheet=U0&amp;row=9688&amp;col=7&amp;number=0.00672&amp;sourceID=14","0.00672")</f>
        <v>0.00672</v>
      </c>
    </row>
    <row r="9689" spans="1:7">
      <c r="A9689" s="3"/>
      <c r="B9689" s="3"/>
      <c r="C9689" s="3"/>
      <c r="D9689" s="3"/>
      <c r="E9689" s="3">
        <v>6</v>
      </c>
      <c r="F9689" s="4" t="str">
        <f>HYPERLINK("http://141.218.60.56/~jnz1568/getInfo.php?workbook=12_05.xlsx&amp;sheet=U0&amp;row=9689&amp;col=6&amp;number=3.5&amp;sourceID=14","3.5")</f>
        <v>3.5</v>
      </c>
      <c r="G9689" s="4" t="str">
        <f>HYPERLINK("http://141.218.60.56/~jnz1568/getInfo.php?workbook=12_05.xlsx&amp;sheet=U0&amp;row=9689&amp;col=7&amp;number=0.00672&amp;sourceID=14","0.00672")</f>
        <v>0.00672</v>
      </c>
    </row>
    <row r="9690" spans="1:7">
      <c r="A9690" s="3"/>
      <c r="B9690" s="3"/>
      <c r="C9690" s="3"/>
      <c r="D9690" s="3"/>
      <c r="E9690" s="3">
        <v>7</v>
      </c>
      <c r="F9690" s="4" t="str">
        <f>HYPERLINK("http://141.218.60.56/~jnz1568/getInfo.php?workbook=12_05.xlsx&amp;sheet=U0&amp;row=9690&amp;col=6&amp;number=3.6&amp;sourceID=14","3.6")</f>
        <v>3.6</v>
      </c>
      <c r="G9690" s="4" t="str">
        <f>HYPERLINK("http://141.218.60.56/~jnz1568/getInfo.php?workbook=12_05.xlsx&amp;sheet=U0&amp;row=9690&amp;col=7&amp;number=0.00672&amp;sourceID=14","0.00672")</f>
        <v>0.00672</v>
      </c>
    </row>
    <row r="9691" spans="1:7">
      <c r="A9691" s="3"/>
      <c r="B9691" s="3"/>
      <c r="C9691" s="3"/>
      <c r="D9691" s="3"/>
      <c r="E9691" s="3">
        <v>8</v>
      </c>
      <c r="F9691" s="4" t="str">
        <f>HYPERLINK("http://141.218.60.56/~jnz1568/getInfo.php?workbook=12_05.xlsx&amp;sheet=U0&amp;row=9691&amp;col=6&amp;number=3.7&amp;sourceID=14","3.7")</f>
        <v>3.7</v>
      </c>
      <c r="G9691" s="4" t="str">
        <f>HYPERLINK("http://141.218.60.56/~jnz1568/getInfo.php?workbook=12_05.xlsx&amp;sheet=U0&amp;row=9691&amp;col=7&amp;number=0.00672&amp;sourceID=14","0.00672")</f>
        <v>0.00672</v>
      </c>
    </row>
    <row r="9692" spans="1:7">
      <c r="A9692" s="3"/>
      <c r="B9692" s="3"/>
      <c r="C9692" s="3"/>
      <c r="D9692" s="3"/>
      <c r="E9692" s="3">
        <v>9</v>
      </c>
      <c r="F9692" s="4" t="str">
        <f>HYPERLINK("http://141.218.60.56/~jnz1568/getInfo.php?workbook=12_05.xlsx&amp;sheet=U0&amp;row=9692&amp;col=6&amp;number=3.8&amp;sourceID=14","3.8")</f>
        <v>3.8</v>
      </c>
      <c r="G9692" s="4" t="str">
        <f>HYPERLINK("http://141.218.60.56/~jnz1568/getInfo.php?workbook=12_05.xlsx&amp;sheet=U0&amp;row=9692&amp;col=7&amp;number=0.00673&amp;sourceID=14","0.00673")</f>
        <v>0.00673</v>
      </c>
    </row>
    <row r="9693" spans="1:7">
      <c r="A9693" s="3"/>
      <c r="B9693" s="3"/>
      <c r="C9693" s="3"/>
      <c r="D9693" s="3"/>
      <c r="E9693" s="3">
        <v>10</v>
      </c>
      <c r="F9693" s="4" t="str">
        <f>HYPERLINK("http://141.218.60.56/~jnz1568/getInfo.php?workbook=12_05.xlsx&amp;sheet=U0&amp;row=9693&amp;col=6&amp;number=3.9&amp;sourceID=14","3.9")</f>
        <v>3.9</v>
      </c>
      <c r="G9693" s="4" t="str">
        <f>HYPERLINK("http://141.218.60.56/~jnz1568/getInfo.php?workbook=12_05.xlsx&amp;sheet=U0&amp;row=9693&amp;col=7&amp;number=0.00673&amp;sourceID=14","0.00673")</f>
        <v>0.00673</v>
      </c>
    </row>
    <row r="9694" spans="1:7">
      <c r="A9694" s="3"/>
      <c r="B9694" s="3"/>
      <c r="C9694" s="3"/>
      <c r="D9694" s="3"/>
      <c r="E9694" s="3">
        <v>11</v>
      </c>
      <c r="F9694" s="4" t="str">
        <f>HYPERLINK("http://141.218.60.56/~jnz1568/getInfo.php?workbook=12_05.xlsx&amp;sheet=U0&amp;row=9694&amp;col=6&amp;number=4&amp;sourceID=14","4")</f>
        <v>4</v>
      </c>
      <c r="G9694" s="4" t="str">
        <f>HYPERLINK("http://141.218.60.56/~jnz1568/getInfo.php?workbook=12_05.xlsx&amp;sheet=U0&amp;row=9694&amp;col=7&amp;number=0.00673&amp;sourceID=14","0.00673")</f>
        <v>0.00673</v>
      </c>
    </row>
    <row r="9695" spans="1:7">
      <c r="A9695" s="3"/>
      <c r="B9695" s="3"/>
      <c r="C9695" s="3"/>
      <c r="D9695" s="3"/>
      <c r="E9695" s="3">
        <v>12</v>
      </c>
      <c r="F9695" s="4" t="str">
        <f>HYPERLINK("http://141.218.60.56/~jnz1568/getInfo.php?workbook=12_05.xlsx&amp;sheet=U0&amp;row=9695&amp;col=6&amp;number=4.1&amp;sourceID=14","4.1")</f>
        <v>4.1</v>
      </c>
      <c r="G9695" s="4" t="str">
        <f>HYPERLINK("http://141.218.60.56/~jnz1568/getInfo.php?workbook=12_05.xlsx&amp;sheet=U0&amp;row=9695&amp;col=7&amp;number=0.00673&amp;sourceID=14","0.00673")</f>
        <v>0.00673</v>
      </c>
    </row>
    <row r="9696" spans="1:7">
      <c r="A9696" s="3"/>
      <c r="B9696" s="3"/>
      <c r="C9696" s="3"/>
      <c r="D9696" s="3"/>
      <c r="E9696" s="3">
        <v>13</v>
      </c>
      <c r="F9696" s="4" t="str">
        <f>HYPERLINK("http://141.218.60.56/~jnz1568/getInfo.php?workbook=12_05.xlsx&amp;sheet=U0&amp;row=9696&amp;col=6&amp;number=4.2&amp;sourceID=14","4.2")</f>
        <v>4.2</v>
      </c>
      <c r="G9696" s="4" t="str">
        <f>HYPERLINK("http://141.218.60.56/~jnz1568/getInfo.php?workbook=12_05.xlsx&amp;sheet=U0&amp;row=9696&amp;col=7&amp;number=0.00673&amp;sourceID=14","0.00673")</f>
        <v>0.00673</v>
      </c>
    </row>
    <row r="9697" spans="1:7">
      <c r="A9697" s="3"/>
      <c r="B9697" s="3"/>
      <c r="C9697" s="3"/>
      <c r="D9697" s="3"/>
      <c r="E9697" s="3">
        <v>14</v>
      </c>
      <c r="F9697" s="4" t="str">
        <f>HYPERLINK("http://141.218.60.56/~jnz1568/getInfo.php?workbook=12_05.xlsx&amp;sheet=U0&amp;row=9697&amp;col=6&amp;number=4.3&amp;sourceID=14","4.3")</f>
        <v>4.3</v>
      </c>
      <c r="G9697" s="4" t="str">
        <f>HYPERLINK("http://141.218.60.56/~jnz1568/getInfo.php?workbook=12_05.xlsx&amp;sheet=U0&amp;row=9697&amp;col=7&amp;number=0.00673&amp;sourceID=14","0.00673")</f>
        <v>0.00673</v>
      </c>
    </row>
    <row r="9698" spans="1:7">
      <c r="A9698" s="3"/>
      <c r="B9698" s="3"/>
      <c r="C9698" s="3"/>
      <c r="D9698" s="3"/>
      <c r="E9698" s="3">
        <v>15</v>
      </c>
      <c r="F9698" s="4" t="str">
        <f>HYPERLINK("http://141.218.60.56/~jnz1568/getInfo.php?workbook=12_05.xlsx&amp;sheet=U0&amp;row=9698&amp;col=6&amp;number=4.4&amp;sourceID=14","4.4")</f>
        <v>4.4</v>
      </c>
      <c r="G9698" s="4" t="str">
        <f>HYPERLINK("http://141.218.60.56/~jnz1568/getInfo.php?workbook=12_05.xlsx&amp;sheet=U0&amp;row=9698&amp;col=7&amp;number=0.00674&amp;sourceID=14","0.00674")</f>
        <v>0.00674</v>
      </c>
    </row>
    <row r="9699" spans="1:7">
      <c r="A9699" s="3"/>
      <c r="B9699" s="3"/>
      <c r="C9699" s="3"/>
      <c r="D9699" s="3"/>
      <c r="E9699" s="3">
        <v>16</v>
      </c>
      <c r="F9699" s="4" t="str">
        <f>HYPERLINK("http://141.218.60.56/~jnz1568/getInfo.php?workbook=12_05.xlsx&amp;sheet=U0&amp;row=9699&amp;col=6&amp;number=4.5&amp;sourceID=14","4.5")</f>
        <v>4.5</v>
      </c>
      <c r="G9699" s="4" t="str">
        <f>HYPERLINK("http://141.218.60.56/~jnz1568/getInfo.php?workbook=12_05.xlsx&amp;sheet=U0&amp;row=9699&amp;col=7&amp;number=0.00674&amp;sourceID=14","0.00674")</f>
        <v>0.00674</v>
      </c>
    </row>
    <row r="9700" spans="1:7">
      <c r="A9700" s="3"/>
      <c r="B9700" s="3"/>
      <c r="C9700" s="3"/>
      <c r="D9700" s="3"/>
      <c r="E9700" s="3">
        <v>17</v>
      </c>
      <c r="F9700" s="4" t="str">
        <f>HYPERLINK("http://141.218.60.56/~jnz1568/getInfo.php?workbook=12_05.xlsx&amp;sheet=U0&amp;row=9700&amp;col=6&amp;number=4.6&amp;sourceID=14","4.6")</f>
        <v>4.6</v>
      </c>
      <c r="G9700" s="4" t="str">
        <f>HYPERLINK("http://141.218.60.56/~jnz1568/getInfo.php?workbook=12_05.xlsx&amp;sheet=U0&amp;row=9700&amp;col=7&amp;number=0.00675&amp;sourceID=14","0.00675")</f>
        <v>0.00675</v>
      </c>
    </row>
    <row r="9701" spans="1:7">
      <c r="A9701" s="3"/>
      <c r="B9701" s="3"/>
      <c r="C9701" s="3"/>
      <c r="D9701" s="3"/>
      <c r="E9701" s="3">
        <v>18</v>
      </c>
      <c r="F9701" s="4" t="str">
        <f>HYPERLINK("http://141.218.60.56/~jnz1568/getInfo.php?workbook=12_05.xlsx&amp;sheet=U0&amp;row=9701&amp;col=6&amp;number=4.7&amp;sourceID=14","4.7")</f>
        <v>4.7</v>
      </c>
      <c r="G9701" s="4" t="str">
        <f>HYPERLINK("http://141.218.60.56/~jnz1568/getInfo.php?workbook=12_05.xlsx&amp;sheet=U0&amp;row=9701&amp;col=7&amp;number=0.00675&amp;sourceID=14","0.00675")</f>
        <v>0.00675</v>
      </c>
    </row>
    <row r="9702" spans="1:7">
      <c r="A9702" s="3"/>
      <c r="B9702" s="3"/>
      <c r="C9702" s="3"/>
      <c r="D9702" s="3"/>
      <c r="E9702" s="3">
        <v>19</v>
      </c>
      <c r="F9702" s="4" t="str">
        <f>HYPERLINK("http://141.218.60.56/~jnz1568/getInfo.php?workbook=12_05.xlsx&amp;sheet=U0&amp;row=9702&amp;col=6&amp;number=4.8&amp;sourceID=14","4.8")</f>
        <v>4.8</v>
      </c>
      <c r="G9702" s="4" t="str">
        <f>HYPERLINK("http://141.218.60.56/~jnz1568/getInfo.php?workbook=12_05.xlsx&amp;sheet=U0&amp;row=9702&amp;col=7&amp;number=0.00676&amp;sourceID=14","0.00676")</f>
        <v>0.00676</v>
      </c>
    </row>
    <row r="9703" spans="1:7">
      <c r="A9703" s="3"/>
      <c r="B9703" s="3"/>
      <c r="C9703" s="3"/>
      <c r="D9703" s="3"/>
      <c r="E9703" s="3">
        <v>20</v>
      </c>
      <c r="F9703" s="4" t="str">
        <f>HYPERLINK("http://141.218.60.56/~jnz1568/getInfo.php?workbook=12_05.xlsx&amp;sheet=U0&amp;row=9703&amp;col=6&amp;number=4.9&amp;sourceID=14","4.9")</f>
        <v>4.9</v>
      </c>
      <c r="G9703" s="4" t="str">
        <f>HYPERLINK("http://141.218.60.56/~jnz1568/getInfo.php?workbook=12_05.xlsx&amp;sheet=U0&amp;row=9703&amp;col=7&amp;number=0.00677&amp;sourceID=14","0.00677")</f>
        <v>0.00677</v>
      </c>
    </row>
    <row r="9704" spans="1:7">
      <c r="A9704" s="3">
        <v>12</v>
      </c>
      <c r="B9704" s="3">
        <v>5</v>
      </c>
      <c r="C9704" s="3">
        <v>5</v>
      </c>
      <c r="D9704" s="3">
        <v>58</v>
      </c>
      <c r="E9704" s="3">
        <v>1</v>
      </c>
      <c r="F9704" s="4" t="str">
        <f>HYPERLINK("http://141.218.60.56/~jnz1568/getInfo.php?workbook=12_05.xlsx&amp;sheet=U0&amp;row=9704&amp;col=6&amp;number=3&amp;sourceID=14","3")</f>
        <v>3</v>
      </c>
      <c r="G9704" s="4" t="str">
        <f>HYPERLINK("http://141.218.60.56/~jnz1568/getInfo.php?workbook=12_05.xlsx&amp;sheet=U0&amp;row=9704&amp;col=7&amp;number=0.0275&amp;sourceID=14","0.0275")</f>
        <v>0.0275</v>
      </c>
    </row>
    <row r="9705" spans="1:7">
      <c r="A9705" s="3"/>
      <c r="B9705" s="3"/>
      <c r="C9705" s="3"/>
      <c r="D9705" s="3"/>
      <c r="E9705" s="3">
        <v>2</v>
      </c>
      <c r="F9705" s="4" t="str">
        <f>HYPERLINK("http://141.218.60.56/~jnz1568/getInfo.php?workbook=12_05.xlsx&amp;sheet=U0&amp;row=9705&amp;col=6&amp;number=3.1&amp;sourceID=14","3.1")</f>
        <v>3.1</v>
      </c>
      <c r="G9705" s="4" t="str">
        <f>HYPERLINK("http://141.218.60.56/~jnz1568/getInfo.php?workbook=12_05.xlsx&amp;sheet=U0&amp;row=9705&amp;col=7&amp;number=0.0275&amp;sourceID=14","0.0275")</f>
        <v>0.0275</v>
      </c>
    </row>
    <row r="9706" spans="1:7">
      <c r="A9706" s="3"/>
      <c r="B9706" s="3"/>
      <c r="C9706" s="3"/>
      <c r="D9706" s="3"/>
      <c r="E9706" s="3">
        <v>3</v>
      </c>
      <c r="F9706" s="4" t="str">
        <f>HYPERLINK("http://141.218.60.56/~jnz1568/getInfo.php?workbook=12_05.xlsx&amp;sheet=U0&amp;row=9706&amp;col=6&amp;number=3.2&amp;sourceID=14","3.2")</f>
        <v>3.2</v>
      </c>
      <c r="G9706" s="4" t="str">
        <f>HYPERLINK("http://141.218.60.56/~jnz1568/getInfo.php?workbook=12_05.xlsx&amp;sheet=U0&amp;row=9706&amp;col=7&amp;number=0.0275&amp;sourceID=14","0.0275")</f>
        <v>0.0275</v>
      </c>
    </row>
    <row r="9707" spans="1:7">
      <c r="A9707" s="3"/>
      <c r="B9707" s="3"/>
      <c r="C9707" s="3"/>
      <c r="D9707" s="3"/>
      <c r="E9707" s="3">
        <v>4</v>
      </c>
      <c r="F9707" s="4" t="str">
        <f>HYPERLINK("http://141.218.60.56/~jnz1568/getInfo.php?workbook=12_05.xlsx&amp;sheet=U0&amp;row=9707&amp;col=6&amp;number=3.3&amp;sourceID=14","3.3")</f>
        <v>3.3</v>
      </c>
      <c r="G9707" s="4" t="str">
        <f>HYPERLINK("http://141.218.60.56/~jnz1568/getInfo.php?workbook=12_05.xlsx&amp;sheet=U0&amp;row=9707&amp;col=7&amp;number=0.0275&amp;sourceID=14","0.0275")</f>
        <v>0.0275</v>
      </c>
    </row>
    <row r="9708" spans="1:7">
      <c r="A9708" s="3"/>
      <c r="B9708" s="3"/>
      <c r="C9708" s="3"/>
      <c r="D9708" s="3"/>
      <c r="E9708" s="3">
        <v>5</v>
      </c>
      <c r="F9708" s="4" t="str">
        <f>HYPERLINK("http://141.218.60.56/~jnz1568/getInfo.php?workbook=12_05.xlsx&amp;sheet=U0&amp;row=9708&amp;col=6&amp;number=3.4&amp;sourceID=14","3.4")</f>
        <v>3.4</v>
      </c>
      <c r="G9708" s="4" t="str">
        <f>HYPERLINK("http://141.218.60.56/~jnz1568/getInfo.php?workbook=12_05.xlsx&amp;sheet=U0&amp;row=9708&amp;col=7&amp;number=0.0276&amp;sourceID=14","0.0276")</f>
        <v>0.0276</v>
      </c>
    </row>
    <row r="9709" spans="1:7">
      <c r="A9709" s="3"/>
      <c r="B9709" s="3"/>
      <c r="C9709" s="3"/>
      <c r="D9709" s="3"/>
      <c r="E9709" s="3">
        <v>6</v>
      </c>
      <c r="F9709" s="4" t="str">
        <f>HYPERLINK("http://141.218.60.56/~jnz1568/getInfo.php?workbook=12_05.xlsx&amp;sheet=U0&amp;row=9709&amp;col=6&amp;number=3.5&amp;sourceID=14","3.5")</f>
        <v>3.5</v>
      </c>
      <c r="G9709" s="4" t="str">
        <f>HYPERLINK("http://141.218.60.56/~jnz1568/getInfo.php?workbook=12_05.xlsx&amp;sheet=U0&amp;row=9709&amp;col=7&amp;number=0.0276&amp;sourceID=14","0.0276")</f>
        <v>0.0276</v>
      </c>
    </row>
    <row r="9710" spans="1:7">
      <c r="A9710" s="3"/>
      <c r="B9710" s="3"/>
      <c r="C9710" s="3"/>
      <c r="D9710" s="3"/>
      <c r="E9710" s="3">
        <v>7</v>
      </c>
      <c r="F9710" s="4" t="str">
        <f>HYPERLINK("http://141.218.60.56/~jnz1568/getInfo.php?workbook=12_05.xlsx&amp;sheet=U0&amp;row=9710&amp;col=6&amp;number=3.6&amp;sourceID=14","3.6")</f>
        <v>3.6</v>
      </c>
      <c r="G9710" s="4" t="str">
        <f>HYPERLINK("http://141.218.60.56/~jnz1568/getInfo.php?workbook=12_05.xlsx&amp;sheet=U0&amp;row=9710&amp;col=7&amp;number=0.0276&amp;sourceID=14","0.0276")</f>
        <v>0.0276</v>
      </c>
    </row>
    <row r="9711" spans="1:7">
      <c r="A9711" s="3"/>
      <c r="B9711" s="3"/>
      <c r="C9711" s="3"/>
      <c r="D9711" s="3"/>
      <c r="E9711" s="3">
        <v>8</v>
      </c>
      <c r="F9711" s="4" t="str">
        <f>HYPERLINK("http://141.218.60.56/~jnz1568/getInfo.php?workbook=12_05.xlsx&amp;sheet=U0&amp;row=9711&amp;col=6&amp;number=3.7&amp;sourceID=14","3.7")</f>
        <v>3.7</v>
      </c>
      <c r="G9711" s="4" t="str">
        <f>HYPERLINK("http://141.218.60.56/~jnz1568/getInfo.php?workbook=12_05.xlsx&amp;sheet=U0&amp;row=9711&amp;col=7&amp;number=0.0276&amp;sourceID=14","0.0276")</f>
        <v>0.0276</v>
      </c>
    </row>
    <row r="9712" spans="1:7">
      <c r="A9712" s="3"/>
      <c r="B9712" s="3"/>
      <c r="C9712" s="3"/>
      <c r="D9712" s="3"/>
      <c r="E9712" s="3">
        <v>9</v>
      </c>
      <c r="F9712" s="4" t="str">
        <f>HYPERLINK("http://141.218.60.56/~jnz1568/getInfo.php?workbook=12_05.xlsx&amp;sheet=U0&amp;row=9712&amp;col=6&amp;number=3.8&amp;sourceID=14","3.8")</f>
        <v>3.8</v>
      </c>
      <c r="G9712" s="4" t="str">
        <f>HYPERLINK("http://141.218.60.56/~jnz1568/getInfo.php?workbook=12_05.xlsx&amp;sheet=U0&amp;row=9712&amp;col=7&amp;number=0.0276&amp;sourceID=14","0.0276")</f>
        <v>0.0276</v>
      </c>
    </row>
    <row r="9713" spans="1:7">
      <c r="A9713" s="3"/>
      <c r="B9713" s="3"/>
      <c r="C9713" s="3"/>
      <c r="D9713" s="3"/>
      <c r="E9713" s="3">
        <v>10</v>
      </c>
      <c r="F9713" s="4" t="str">
        <f>HYPERLINK("http://141.218.60.56/~jnz1568/getInfo.php?workbook=12_05.xlsx&amp;sheet=U0&amp;row=9713&amp;col=6&amp;number=3.9&amp;sourceID=14","3.9")</f>
        <v>3.9</v>
      </c>
      <c r="G9713" s="4" t="str">
        <f>HYPERLINK("http://141.218.60.56/~jnz1568/getInfo.php?workbook=12_05.xlsx&amp;sheet=U0&amp;row=9713&amp;col=7&amp;number=0.0276&amp;sourceID=14","0.0276")</f>
        <v>0.0276</v>
      </c>
    </row>
    <row r="9714" spans="1:7">
      <c r="A9714" s="3"/>
      <c r="B9714" s="3"/>
      <c r="C9714" s="3"/>
      <c r="D9714" s="3"/>
      <c r="E9714" s="3">
        <v>11</v>
      </c>
      <c r="F9714" s="4" t="str">
        <f>HYPERLINK("http://141.218.60.56/~jnz1568/getInfo.php?workbook=12_05.xlsx&amp;sheet=U0&amp;row=9714&amp;col=6&amp;number=4&amp;sourceID=14","4")</f>
        <v>4</v>
      </c>
      <c r="G9714" s="4" t="str">
        <f>HYPERLINK("http://141.218.60.56/~jnz1568/getInfo.php?workbook=12_05.xlsx&amp;sheet=U0&amp;row=9714&amp;col=7&amp;number=0.0276&amp;sourceID=14","0.0276")</f>
        <v>0.0276</v>
      </c>
    </row>
    <row r="9715" spans="1:7">
      <c r="A9715" s="3"/>
      <c r="B9715" s="3"/>
      <c r="C9715" s="3"/>
      <c r="D9715" s="3"/>
      <c r="E9715" s="3">
        <v>12</v>
      </c>
      <c r="F9715" s="4" t="str">
        <f>HYPERLINK("http://141.218.60.56/~jnz1568/getInfo.php?workbook=12_05.xlsx&amp;sheet=U0&amp;row=9715&amp;col=6&amp;number=4.1&amp;sourceID=14","4.1")</f>
        <v>4.1</v>
      </c>
      <c r="G9715" s="4" t="str">
        <f>HYPERLINK("http://141.218.60.56/~jnz1568/getInfo.php?workbook=12_05.xlsx&amp;sheet=U0&amp;row=9715&amp;col=7&amp;number=0.0277&amp;sourceID=14","0.0277")</f>
        <v>0.0277</v>
      </c>
    </row>
    <row r="9716" spans="1:7">
      <c r="A9716" s="3"/>
      <c r="B9716" s="3"/>
      <c r="C9716" s="3"/>
      <c r="D9716" s="3"/>
      <c r="E9716" s="3">
        <v>13</v>
      </c>
      <c r="F9716" s="4" t="str">
        <f>HYPERLINK("http://141.218.60.56/~jnz1568/getInfo.php?workbook=12_05.xlsx&amp;sheet=U0&amp;row=9716&amp;col=6&amp;number=4.2&amp;sourceID=14","4.2")</f>
        <v>4.2</v>
      </c>
      <c r="G9716" s="4" t="str">
        <f>HYPERLINK("http://141.218.60.56/~jnz1568/getInfo.php?workbook=12_05.xlsx&amp;sheet=U0&amp;row=9716&amp;col=7&amp;number=0.0277&amp;sourceID=14","0.0277")</f>
        <v>0.0277</v>
      </c>
    </row>
    <row r="9717" spans="1:7">
      <c r="A9717" s="3"/>
      <c r="B9717" s="3"/>
      <c r="C9717" s="3"/>
      <c r="D9717" s="3"/>
      <c r="E9717" s="3">
        <v>14</v>
      </c>
      <c r="F9717" s="4" t="str">
        <f>HYPERLINK("http://141.218.60.56/~jnz1568/getInfo.php?workbook=12_05.xlsx&amp;sheet=U0&amp;row=9717&amp;col=6&amp;number=4.3&amp;sourceID=14","4.3")</f>
        <v>4.3</v>
      </c>
      <c r="G9717" s="4" t="str">
        <f>HYPERLINK("http://141.218.60.56/~jnz1568/getInfo.php?workbook=12_05.xlsx&amp;sheet=U0&amp;row=9717&amp;col=7&amp;number=0.0278&amp;sourceID=14","0.0278")</f>
        <v>0.0278</v>
      </c>
    </row>
    <row r="9718" spans="1:7">
      <c r="A9718" s="3"/>
      <c r="B9718" s="3"/>
      <c r="C9718" s="3"/>
      <c r="D9718" s="3"/>
      <c r="E9718" s="3">
        <v>15</v>
      </c>
      <c r="F9718" s="4" t="str">
        <f>HYPERLINK("http://141.218.60.56/~jnz1568/getInfo.php?workbook=12_05.xlsx&amp;sheet=U0&amp;row=9718&amp;col=6&amp;number=4.4&amp;sourceID=14","4.4")</f>
        <v>4.4</v>
      </c>
      <c r="G9718" s="4" t="str">
        <f>HYPERLINK("http://141.218.60.56/~jnz1568/getInfo.php?workbook=12_05.xlsx&amp;sheet=U0&amp;row=9718&amp;col=7&amp;number=0.0278&amp;sourceID=14","0.0278")</f>
        <v>0.0278</v>
      </c>
    </row>
    <row r="9719" spans="1:7">
      <c r="A9719" s="3"/>
      <c r="B9719" s="3"/>
      <c r="C9719" s="3"/>
      <c r="D9719" s="3"/>
      <c r="E9719" s="3">
        <v>16</v>
      </c>
      <c r="F9719" s="4" t="str">
        <f>HYPERLINK("http://141.218.60.56/~jnz1568/getInfo.php?workbook=12_05.xlsx&amp;sheet=U0&amp;row=9719&amp;col=6&amp;number=4.5&amp;sourceID=14","4.5")</f>
        <v>4.5</v>
      </c>
      <c r="G9719" s="4" t="str">
        <f>HYPERLINK("http://141.218.60.56/~jnz1568/getInfo.php?workbook=12_05.xlsx&amp;sheet=U0&amp;row=9719&amp;col=7&amp;number=0.0279&amp;sourceID=14","0.0279")</f>
        <v>0.0279</v>
      </c>
    </row>
    <row r="9720" spans="1:7">
      <c r="A9720" s="3"/>
      <c r="B9720" s="3"/>
      <c r="C9720" s="3"/>
      <c r="D9720" s="3"/>
      <c r="E9720" s="3">
        <v>17</v>
      </c>
      <c r="F9720" s="4" t="str">
        <f>HYPERLINK("http://141.218.60.56/~jnz1568/getInfo.php?workbook=12_05.xlsx&amp;sheet=U0&amp;row=9720&amp;col=6&amp;number=4.6&amp;sourceID=14","4.6")</f>
        <v>4.6</v>
      </c>
      <c r="G9720" s="4" t="str">
        <f>HYPERLINK("http://141.218.60.56/~jnz1568/getInfo.php?workbook=12_05.xlsx&amp;sheet=U0&amp;row=9720&amp;col=7&amp;number=0.028&amp;sourceID=14","0.028")</f>
        <v>0.028</v>
      </c>
    </row>
    <row r="9721" spans="1:7">
      <c r="A9721" s="3"/>
      <c r="B9721" s="3"/>
      <c r="C9721" s="3"/>
      <c r="D9721" s="3"/>
      <c r="E9721" s="3">
        <v>18</v>
      </c>
      <c r="F9721" s="4" t="str">
        <f>HYPERLINK("http://141.218.60.56/~jnz1568/getInfo.php?workbook=12_05.xlsx&amp;sheet=U0&amp;row=9721&amp;col=6&amp;number=4.7&amp;sourceID=14","4.7")</f>
        <v>4.7</v>
      </c>
      <c r="G9721" s="4" t="str">
        <f>HYPERLINK("http://141.218.60.56/~jnz1568/getInfo.php?workbook=12_05.xlsx&amp;sheet=U0&amp;row=9721&amp;col=7&amp;number=0.0281&amp;sourceID=14","0.0281")</f>
        <v>0.0281</v>
      </c>
    </row>
    <row r="9722" spans="1:7">
      <c r="A9722" s="3"/>
      <c r="B9722" s="3"/>
      <c r="C9722" s="3"/>
      <c r="D9722" s="3"/>
      <c r="E9722" s="3">
        <v>19</v>
      </c>
      <c r="F9722" s="4" t="str">
        <f>HYPERLINK("http://141.218.60.56/~jnz1568/getInfo.php?workbook=12_05.xlsx&amp;sheet=U0&amp;row=9722&amp;col=6&amp;number=4.8&amp;sourceID=14","4.8")</f>
        <v>4.8</v>
      </c>
      <c r="G9722" s="4" t="str">
        <f>HYPERLINK("http://141.218.60.56/~jnz1568/getInfo.php?workbook=12_05.xlsx&amp;sheet=U0&amp;row=9722&amp;col=7&amp;number=0.0283&amp;sourceID=14","0.0283")</f>
        <v>0.0283</v>
      </c>
    </row>
    <row r="9723" spans="1:7">
      <c r="A9723" s="3"/>
      <c r="B9723" s="3"/>
      <c r="C9723" s="3"/>
      <c r="D9723" s="3"/>
      <c r="E9723" s="3">
        <v>20</v>
      </c>
      <c r="F9723" s="4" t="str">
        <f>HYPERLINK("http://141.218.60.56/~jnz1568/getInfo.php?workbook=12_05.xlsx&amp;sheet=U0&amp;row=9723&amp;col=6&amp;number=4.9&amp;sourceID=14","4.9")</f>
        <v>4.9</v>
      </c>
      <c r="G9723" s="4" t="str">
        <f>HYPERLINK("http://141.218.60.56/~jnz1568/getInfo.php?workbook=12_05.xlsx&amp;sheet=U0&amp;row=9723&amp;col=7&amp;number=0.0285&amp;sourceID=14","0.0285")</f>
        <v>0.0285</v>
      </c>
    </row>
    <row r="9724" spans="1:7">
      <c r="A9724" s="3">
        <v>12</v>
      </c>
      <c r="B9724" s="3">
        <v>5</v>
      </c>
      <c r="C9724" s="3">
        <v>5</v>
      </c>
      <c r="D9724" s="3">
        <v>59</v>
      </c>
      <c r="E9724" s="3">
        <v>1</v>
      </c>
      <c r="F9724" s="4" t="str">
        <f>HYPERLINK("http://141.218.60.56/~jnz1568/getInfo.php?workbook=12_05.xlsx&amp;sheet=U0&amp;row=9724&amp;col=6&amp;number=3&amp;sourceID=14","3")</f>
        <v>3</v>
      </c>
      <c r="G9724" s="4" t="str">
        <f>HYPERLINK("http://141.218.60.56/~jnz1568/getInfo.php?workbook=12_05.xlsx&amp;sheet=U0&amp;row=9724&amp;col=7&amp;number=0.00334&amp;sourceID=14","0.00334")</f>
        <v>0.00334</v>
      </c>
    </row>
    <row r="9725" spans="1:7">
      <c r="A9725" s="3"/>
      <c r="B9725" s="3"/>
      <c r="C9725" s="3"/>
      <c r="D9725" s="3"/>
      <c r="E9725" s="3">
        <v>2</v>
      </c>
      <c r="F9725" s="4" t="str">
        <f>HYPERLINK("http://141.218.60.56/~jnz1568/getInfo.php?workbook=12_05.xlsx&amp;sheet=U0&amp;row=9725&amp;col=6&amp;number=3.1&amp;sourceID=14","3.1")</f>
        <v>3.1</v>
      </c>
      <c r="G9725" s="4" t="str">
        <f>HYPERLINK("http://141.218.60.56/~jnz1568/getInfo.php?workbook=12_05.xlsx&amp;sheet=U0&amp;row=9725&amp;col=7&amp;number=0.00334&amp;sourceID=14","0.00334")</f>
        <v>0.00334</v>
      </c>
    </row>
    <row r="9726" spans="1:7">
      <c r="A9726" s="3"/>
      <c r="B9726" s="3"/>
      <c r="C9726" s="3"/>
      <c r="D9726" s="3"/>
      <c r="E9726" s="3">
        <v>3</v>
      </c>
      <c r="F9726" s="4" t="str">
        <f>HYPERLINK("http://141.218.60.56/~jnz1568/getInfo.php?workbook=12_05.xlsx&amp;sheet=U0&amp;row=9726&amp;col=6&amp;number=3.2&amp;sourceID=14","3.2")</f>
        <v>3.2</v>
      </c>
      <c r="G9726" s="4" t="str">
        <f>HYPERLINK("http://141.218.60.56/~jnz1568/getInfo.php?workbook=12_05.xlsx&amp;sheet=U0&amp;row=9726&amp;col=7&amp;number=0.00334&amp;sourceID=14","0.00334")</f>
        <v>0.00334</v>
      </c>
    </row>
    <row r="9727" spans="1:7">
      <c r="A9727" s="3"/>
      <c r="B9727" s="3"/>
      <c r="C9727" s="3"/>
      <c r="D9727" s="3"/>
      <c r="E9727" s="3">
        <v>4</v>
      </c>
      <c r="F9727" s="4" t="str">
        <f>HYPERLINK("http://141.218.60.56/~jnz1568/getInfo.php?workbook=12_05.xlsx&amp;sheet=U0&amp;row=9727&amp;col=6&amp;number=3.3&amp;sourceID=14","3.3")</f>
        <v>3.3</v>
      </c>
      <c r="G9727" s="4" t="str">
        <f>HYPERLINK("http://141.218.60.56/~jnz1568/getInfo.php?workbook=12_05.xlsx&amp;sheet=U0&amp;row=9727&amp;col=7&amp;number=0.00334&amp;sourceID=14","0.00334")</f>
        <v>0.00334</v>
      </c>
    </row>
    <row r="9728" spans="1:7">
      <c r="A9728" s="3"/>
      <c r="B9728" s="3"/>
      <c r="C9728" s="3"/>
      <c r="D9728" s="3"/>
      <c r="E9728" s="3">
        <v>5</v>
      </c>
      <c r="F9728" s="4" t="str">
        <f>HYPERLINK("http://141.218.60.56/~jnz1568/getInfo.php?workbook=12_05.xlsx&amp;sheet=U0&amp;row=9728&amp;col=6&amp;number=3.4&amp;sourceID=14","3.4")</f>
        <v>3.4</v>
      </c>
      <c r="G9728" s="4" t="str">
        <f>HYPERLINK("http://141.218.60.56/~jnz1568/getInfo.php?workbook=12_05.xlsx&amp;sheet=U0&amp;row=9728&amp;col=7&amp;number=0.00334&amp;sourceID=14","0.00334")</f>
        <v>0.00334</v>
      </c>
    </row>
    <row r="9729" spans="1:7">
      <c r="A9729" s="3"/>
      <c r="B9729" s="3"/>
      <c r="C9729" s="3"/>
      <c r="D9729" s="3"/>
      <c r="E9729" s="3">
        <v>6</v>
      </c>
      <c r="F9729" s="4" t="str">
        <f>HYPERLINK("http://141.218.60.56/~jnz1568/getInfo.php?workbook=12_05.xlsx&amp;sheet=U0&amp;row=9729&amp;col=6&amp;number=3.5&amp;sourceID=14","3.5")</f>
        <v>3.5</v>
      </c>
      <c r="G9729" s="4" t="str">
        <f>HYPERLINK("http://141.218.60.56/~jnz1568/getInfo.php?workbook=12_05.xlsx&amp;sheet=U0&amp;row=9729&amp;col=7&amp;number=0.00334&amp;sourceID=14","0.00334")</f>
        <v>0.00334</v>
      </c>
    </row>
    <row r="9730" spans="1:7">
      <c r="A9730" s="3"/>
      <c r="B9730" s="3"/>
      <c r="C9730" s="3"/>
      <c r="D9730" s="3"/>
      <c r="E9730" s="3">
        <v>7</v>
      </c>
      <c r="F9730" s="4" t="str">
        <f>HYPERLINK("http://141.218.60.56/~jnz1568/getInfo.php?workbook=12_05.xlsx&amp;sheet=U0&amp;row=9730&amp;col=6&amp;number=3.6&amp;sourceID=14","3.6")</f>
        <v>3.6</v>
      </c>
      <c r="G9730" s="4" t="str">
        <f>HYPERLINK("http://141.218.60.56/~jnz1568/getInfo.php?workbook=12_05.xlsx&amp;sheet=U0&amp;row=9730&amp;col=7&amp;number=0.00334&amp;sourceID=14","0.00334")</f>
        <v>0.00334</v>
      </c>
    </row>
    <row r="9731" spans="1:7">
      <c r="A9731" s="3"/>
      <c r="B9731" s="3"/>
      <c r="C9731" s="3"/>
      <c r="D9731" s="3"/>
      <c r="E9731" s="3">
        <v>8</v>
      </c>
      <c r="F9731" s="4" t="str">
        <f>HYPERLINK("http://141.218.60.56/~jnz1568/getInfo.php?workbook=12_05.xlsx&amp;sheet=U0&amp;row=9731&amp;col=6&amp;number=3.7&amp;sourceID=14","3.7")</f>
        <v>3.7</v>
      </c>
      <c r="G9731" s="4" t="str">
        <f>HYPERLINK("http://141.218.60.56/~jnz1568/getInfo.php?workbook=12_05.xlsx&amp;sheet=U0&amp;row=9731&amp;col=7&amp;number=0.00333&amp;sourceID=14","0.00333")</f>
        <v>0.00333</v>
      </c>
    </row>
    <row r="9732" spans="1:7">
      <c r="A9732" s="3"/>
      <c r="B9732" s="3"/>
      <c r="C9732" s="3"/>
      <c r="D9732" s="3"/>
      <c r="E9732" s="3">
        <v>9</v>
      </c>
      <c r="F9732" s="4" t="str">
        <f>HYPERLINK("http://141.218.60.56/~jnz1568/getInfo.php?workbook=12_05.xlsx&amp;sheet=U0&amp;row=9732&amp;col=6&amp;number=3.8&amp;sourceID=14","3.8")</f>
        <v>3.8</v>
      </c>
      <c r="G9732" s="4" t="str">
        <f>HYPERLINK("http://141.218.60.56/~jnz1568/getInfo.php?workbook=12_05.xlsx&amp;sheet=U0&amp;row=9732&amp;col=7&amp;number=0.00333&amp;sourceID=14","0.00333")</f>
        <v>0.00333</v>
      </c>
    </row>
    <row r="9733" spans="1:7">
      <c r="A9733" s="3"/>
      <c r="B9733" s="3"/>
      <c r="C9733" s="3"/>
      <c r="D9733" s="3"/>
      <c r="E9733" s="3">
        <v>10</v>
      </c>
      <c r="F9733" s="4" t="str">
        <f>HYPERLINK("http://141.218.60.56/~jnz1568/getInfo.php?workbook=12_05.xlsx&amp;sheet=U0&amp;row=9733&amp;col=6&amp;number=3.9&amp;sourceID=14","3.9")</f>
        <v>3.9</v>
      </c>
      <c r="G9733" s="4" t="str">
        <f>HYPERLINK("http://141.218.60.56/~jnz1568/getInfo.php?workbook=12_05.xlsx&amp;sheet=U0&amp;row=9733&amp;col=7&amp;number=0.00332&amp;sourceID=14","0.00332")</f>
        <v>0.00332</v>
      </c>
    </row>
    <row r="9734" spans="1:7">
      <c r="A9734" s="3"/>
      <c r="B9734" s="3"/>
      <c r="C9734" s="3"/>
      <c r="D9734" s="3"/>
      <c r="E9734" s="3">
        <v>11</v>
      </c>
      <c r="F9734" s="4" t="str">
        <f>HYPERLINK("http://141.218.60.56/~jnz1568/getInfo.php?workbook=12_05.xlsx&amp;sheet=U0&amp;row=9734&amp;col=6&amp;number=4&amp;sourceID=14","4")</f>
        <v>4</v>
      </c>
      <c r="G9734" s="4" t="str">
        <f>HYPERLINK("http://141.218.60.56/~jnz1568/getInfo.php?workbook=12_05.xlsx&amp;sheet=U0&amp;row=9734&amp;col=7&amp;number=0.00332&amp;sourceID=14","0.00332")</f>
        <v>0.00332</v>
      </c>
    </row>
    <row r="9735" spans="1:7">
      <c r="A9735" s="3"/>
      <c r="B9735" s="3"/>
      <c r="C9735" s="3"/>
      <c r="D9735" s="3"/>
      <c r="E9735" s="3">
        <v>12</v>
      </c>
      <c r="F9735" s="4" t="str">
        <f>HYPERLINK("http://141.218.60.56/~jnz1568/getInfo.php?workbook=12_05.xlsx&amp;sheet=U0&amp;row=9735&amp;col=6&amp;number=4.1&amp;sourceID=14","4.1")</f>
        <v>4.1</v>
      </c>
      <c r="G9735" s="4" t="str">
        <f>HYPERLINK("http://141.218.60.56/~jnz1568/getInfo.php?workbook=12_05.xlsx&amp;sheet=U0&amp;row=9735&amp;col=7&amp;number=0.00331&amp;sourceID=14","0.00331")</f>
        <v>0.00331</v>
      </c>
    </row>
    <row r="9736" spans="1:7">
      <c r="A9736" s="3"/>
      <c r="B9736" s="3"/>
      <c r="C9736" s="3"/>
      <c r="D9736" s="3"/>
      <c r="E9736" s="3">
        <v>13</v>
      </c>
      <c r="F9736" s="4" t="str">
        <f>HYPERLINK("http://141.218.60.56/~jnz1568/getInfo.php?workbook=12_05.xlsx&amp;sheet=U0&amp;row=9736&amp;col=6&amp;number=4.2&amp;sourceID=14","4.2")</f>
        <v>4.2</v>
      </c>
      <c r="G9736" s="4" t="str">
        <f>HYPERLINK("http://141.218.60.56/~jnz1568/getInfo.php?workbook=12_05.xlsx&amp;sheet=U0&amp;row=9736&amp;col=7&amp;number=0.0033&amp;sourceID=14","0.0033")</f>
        <v>0.0033</v>
      </c>
    </row>
    <row r="9737" spans="1:7">
      <c r="A9737" s="3"/>
      <c r="B9737" s="3"/>
      <c r="C9737" s="3"/>
      <c r="D9737" s="3"/>
      <c r="E9737" s="3">
        <v>14</v>
      </c>
      <c r="F9737" s="4" t="str">
        <f>HYPERLINK("http://141.218.60.56/~jnz1568/getInfo.php?workbook=12_05.xlsx&amp;sheet=U0&amp;row=9737&amp;col=6&amp;number=4.3&amp;sourceID=14","4.3")</f>
        <v>4.3</v>
      </c>
      <c r="G9737" s="4" t="str">
        <f>HYPERLINK("http://141.218.60.56/~jnz1568/getInfo.php?workbook=12_05.xlsx&amp;sheet=U0&amp;row=9737&amp;col=7&amp;number=0.00329&amp;sourceID=14","0.00329")</f>
        <v>0.00329</v>
      </c>
    </row>
    <row r="9738" spans="1:7">
      <c r="A9738" s="3"/>
      <c r="B9738" s="3"/>
      <c r="C9738" s="3"/>
      <c r="D9738" s="3"/>
      <c r="E9738" s="3">
        <v>15</v>
      </c>
      <c r="F9738" s="4" t="str">
        <f>HYPERLINK("http://141.218.60.56/~jnz1568/getInfo.php?workbook=12_05.xlsx&amp;sheet=U0&amp;row=9738&amp;col=6&amp;number=4.4&amp;sourceID=14","4.4")</f>
        <v>4.4</v>
      </c>
      <c r="G9738" s="4" t="str">
        <f>HYPERLINK("http://141.218.60.56/~jnz1568/getInfo.php?workbook=12_05.xlsx&amp;sheet=U0&amp;row=9738&amp;col=7&amp;number=0.00328&amp;sourceID=14","0.00328")</f>
        <v>0.00328</v>
      </c>
    </row>
    <row r="9739" spans="1:7">
      <c r="A9739" s="3"/>
      <c r="B9739" s="3"/>
      <c r="C9739" s="3"/>
      <c r="D9739" s="3"/>
      <c r="E9739" s="3">
        <v>16</v>
      </c>
      <c r="F9739" s="4" t="str">
        <f>HYPERLINK("http://141.218.60.56/~jnz1568/getInfo.php?workbook=12_05.xlsx&amp;sheet=U0&amp;row=9739&amp;col=6&amp;number=4.5&amp;sourceID=14","4.5")</f>
        <v>4.5</v>
      </c>
      <c r="G9739" s="4" t="str">
        <f>HYPERLINK("http://141.218.60.56/~jnz1568/getInfo.php?workbook=12_05.xlsx&amp;sheet=U0&amp;row=9739&amp;col=7&amp;number=0.00326&amp;sourceID=14","0.00326")</f>
        <v>0.00326</v>
      </c>
    </row>
    <row r="9740" spans="1:7">
      <c r="A9740" s="3"/>
      <c r="B9740" s="3"/>
      <c r="C9740" s="3"/>
      <c r="D9740" s="3"/>
      <c r="E9740" s="3">
        <v>17</v>
      </c>
      <c r="F9740" s="4" t="str">
        <f>HYPERLINK("http://141.218.60.56/~jnz1568/getInfo.php?workbook=12_05.xlsx&amp;sheet=U0&amp;row=9740&amp;col=6&amp;number=4.6&amp;sourceID=14","4.6")</f>
        <v>4.6</v>
      </c>
      <c r="G9740" s="4" t="str">
        <f>HYPERLINK("http://141.218.60.56/~jnz1568/getInfo.php?workbook=12_05.xlsx&amp;sheet=U0&amp;row=9740&amp;col=7&amp;number=0.00324&amp;sourceID=14","0.00324")</f>
        <v>0.00324</v>
      </c>
    </row>
    <row r="9741" spans="1:7">
      <c r="A9741" s="3"/>
      <c r="B9741" s="3"/>
      <c r="C9741" s="3"/>
      <c r="D9741" s="3"/>
      <c r="E9741" s="3">
        <v>18</v>
      </c>
      <c r="F9741" s="4" t="str">
        <f>HYPERLINK("http://141.218.60.56/~jnz1568/getInfo.php?workbook=12_05.xlsx&amp;sheet=U0&amp;row=9741&amp;col=6&amp;number=4.7&amp;sourceID=14","4.7")</f>
        <v>4.7</v>
      </c>
      <c r="G9741" s="4" t="str">
        <f>HYPERLINK("http://141.218.60.56/~jnz1568/getInfo.php?workbook=12_05.xlsx&amp;sheet=U0&amp;row=9741&amp;col=7&amp;number=0.00321&amp;sourceID=14","0.00321")</f>
        <v>0.00321</v>
      </c>
    </row>
    <row r="9742" spans="1:7">
      <c r="A9742" s="3"/>
      <c r="B9742" s="3"/>
      <c r="C9742" s="3"/>
      <c r="D9742" s="3"/>
      <c r="E9742" s="3">
        <v>19</v>
      </c>
      <c r="F9742" s="4" t="str">
        <f>HYPERLINK("http://141.218.60.56/~jnz1568/getInfo.php?workbook=12_05.xlsx&amp;sheet=U0&amp;row=9742&amp;col=6&amp;number=4.8&amp;sourceID=14","4.8")</f>
        <v>4.8</v>
      </c>
      <c r="G9742" s="4" t="str">
        <f>HYPERLINK("http://141.218.60.56/~jnz1568/getInfo.php?workbook=12_05.xlsx&amp;sheet=U0&amp;row=9742&amp;col=7&amp;number=0.00318&amp;sourceID=14","0.00318")</f>
        <v>0.00318</v>
      </c>
    </row>
    <row r="9743" spans="1:7">
      <c r="A9743" s="3"/>
      <c r="B9743" s="3"/>
      <c r="C9743" s="3"/>
      <c r="D9743" s="3"/>
      <c r="E9743" s="3">
        <v>20</v>
      </c>
      <c r="F9743" s="4" t="str">
        <f>HYPERLINK("http://141.218.60.56/~jnz1568/getInfo.php?workbook=12_05.xlsx&amp;sheet=U0&amp;row=9743&amp;col=6&amp;number=4.9&amp;sourceID=14","4.9")</f>
        <v>4.9</v>
      </c>
      <c r="G9743" s="4" t="str">
        <f>HYPERLINK("http://141.218.60.56/~jnz1568/getInfo.php?workbook=12_05.xlsx&amp;sheet=U0&amp;row=9743&amp;col=7&amp;number=0.00313&amp;sourceID=14","0.00313")</f>
        <v>0.00313</v>
      </c>
    </row>
    <row r="9744" spans="1:7">
      <c r="A9744" s="3">
        <v>12</v>
      </c>
      <c r="B9744" s="3">
        <v>5</v>
      </c>
      <c r="C9744" s="3">
        <v>5</v>
      </c>
      <c r="D9744" s="3">
        <v>60</v>
      </c>
      <c r="E9744" s="3">
        <v>1</v>
      </c>
      <c r="F9744" s="4" t="str">
        <f>HYPERLINK("http://141.218.60.56/~jnz1568/getInfo.php?workbook=12_05.xlsx&amp;sheet=U0&amp;row=9744&amp;col=6&amp;number=3&amp;sourceID=14","3")</f>
        <v>3</v>
      </c>
      <c r="G9744" s="4" t="str">
        <f>HYPERLINK("http://141.218.60.56/~jnz1568/getInfo.php?workbook=12_05.xlsx&amp;sheet=U0&amp;row=9744&amp;col=7&amp;number=0.0196&amp;sourceID=14","0.0196")</f>
        <v>0.0196</v>
      </c>
    </row>
    <row r="9745" spans="1:7">
      <c r="A9745" s="3"/>
      <c r="B9745" s="3"/>
      <c r="C9745" s="3"/>
      <c r="D9745" s="3"/>
      <c r="E9745" s="3">
        <v>2</v>
      </c>
      <c r="F9745" s="4" t="str">
        <f>HYPERLINK("http://141.218.60.56/~jnz1568/getInfo.php?workbook=12_05.xlsx&amp;sheet=U0&amp;row=9745&amp;col=6&amp;number=3.1&amp;sourceID=14","3.1")</f>
        <v>3.1</v>
      </c>
      <c r="G9745" s="4" t="str">
        <f>HYPERLINK("http://141.218.60.56/~jnz1568/getInfo.php?workbook=12_05.xlsx&amp;sheet=U0&amp;row=9745&amp;col=7&amp;number=0.0196&amp;sourceID=14","0.0196")</f>
        <v>0.0196</v>
      </c>
    </row>
    <row r="9746" spans="1:7">
      <c r="A9746" s="3"/>
      <c r="B9746" s="3"/>
      <c r="C9746" s="3"/>
      <c r="D9746" s="3"/>
      <c r="E9746" s="3">
        <v>3</v>
      </c>
      <c r="F9746" s="4" t="str">
        <f>HYPERLINK("http://141.218.60.56/~jnz1568/getInfo.php?workbook=12_05.xlsx&amp;sheet=U0&amp;row=9746&amp;col=6&amp;number=3.2&amp;sourceID=14","3.2")</f>
        <v>3.2</v>
      </c>
      <c r="G9746" s="4" t="str">
        <f>HYPERLINK("http://141.218.60.56/~jnz1568/getInfo.php?workbook=12_05.xlsx&amp;sheet=U0&amp;row=9746&amp;col=7&amp;number=0.0196&amp;sourceID=14","0.0196")</f>
        <v>0.0196</v>
      </c>
    </row>
    <row r="9747" spans="1:7">
      <c r="A9747" s="3"/>
      <c r="B9747" s="3"/>
      <c r="C9747" s="3"/>
      <c r="D9747" s="3"/>
      <c r="E9747" s="3">
        <v>4</v>
      </c>
      <c r="F9747" s="4" t="str">
        <f>HYPERLINK("http://141.218.60.56/~jnz1568/getInfo.php?workbook=12_05.xlsx&amp;sheet=U0&amp;row=9747&amp;col=6&amp;number=3.3&amp;sourceID=14","3.3")</f>
        <v>3.3</v>
      </c>
      <c r="G9747" s="4" t="str">
        <f>HYPERLINK("http://141.218.60.56/~jnz1568/getInfo.php?workbook=12_05.xlsx&amp;sheet=U0&amp;row=9747&amp;col=7&amp;number=0.0196&amp;sourceID=14","0.0196")</f>
        <v>0.0196</v>
      </c>
    </row>
    <row r="9748" spans="1:7">
      <c r="A9748" s="3"/>
      <c r="B9748" s="3"/>
      <c r="C9748" s="3"/>
      <c r="D9748" s="3"/>
      <c r="E9748" s="3">
        <v>5</v>
      </c>
      <c r="F9748" s="4" t="str">
        <f>HYPERLINK("http://141.218.60.56/~jnz1568/getInfo.php?workbook=12_05.xlsx&amp;sheet=U0&amp;row=9748&amp;col=6&amp;number=3.4&amp;sourceID=14","3.4")</f>
        <v>3.4</v>
      </c>
      <c r="G9748" s="4" t="str">
        <f>HYPERLINK("http://141.218.60.56/~jnz1568/getInfo.php?workbook=12_05.xlsx&amp;sheet=U0&amp;row=9748&amp;col=7&amp;number=0.0196&amp;sourceID=14","0.0196")</f>
        <v>0.0196</v>
      </c>
    </row>
    <row r="9749" spans="1:7">
      <c r="A9749" s="3"/>
      <c r="B9749" s="3"/>
      <c r="C9749" s="3"/>
      <c r="D9749" s="3"/>
      <c r="E9749" s="3">
        <v>6</v>
      </c>
      <c r="F9749" s="4" t="str">
        <f>HYPERLINK("http://141.218.60.56/~jnz1568/getInfo.php?workbook=12_05.xlsx&amp;sheet=U0&amp;row=9749&amp;col=6&amp;number=3.5&amp;sourceID=14","3.5")</f>
        <v>3.5</v>
      </c>
      <c r="G9749" s="4" t="str">
        <f>HYPERLINK("http://141.218.60.56/~jnz1568/getInfo.php?workbook=12_05.xlsx&amp;sheet=U0&amp;row=9749&amp;col=7&amp;number=0.0196&amp;sourceID=14","0.0196")</f>
        <v>0.0196</v>
      </c>
    </row>
    <row r="9750" spans="1:7">
      <c r="A9750" s="3"/>
      <c r="B9750" s="3"/>
      <c r="C9750" s="3"/>
      <c r="D9750" s="3"/>
      <c r="E9750" s="3">
        <v>7</v>
      </c>
      <c r="F9750" s="4" t="str">
        <f>HYPERLINK("http://141.218.60.56/~jnz1568/getInfo.php?workbook=12_05.xlsx&amp;sheet=U0&amp;row=9750&amp;col=6&amp;number=3.6&amp;sourceID=14","3.6")</f>
        <v>3.6</v>
      </c>
      <c r="G9750" s="4" t="str">
        <f>HYPERLINK("http://141.218.60.56/~jnz1568/getInfo.php?workbook=12_05.xlsx&amp;sheet=U0&amp;row=9750&amp;col=7&amp;number=0.0196&amp;sourceID=14","0.0196")</f>
        <v>0.0196</v>
      </c>
    </row>
    <row r="9751" spans="1:7">
      <c r="A9751" s="3"/>
      <c r="B9751" s="3"/>
      <c r="C9751" s="3"/>
      <c r="D9751" s="3"/>
      <c r="E9751" s="3">
        <v>8</v>
      </c>
      <c r="F9751" s="4" t="str">
        <f>HYPERLINK("http://141.218.60.56/~jnz1568/getInfo.php?workbook=12_05.xlsx&amp;sheet=U0&amp;row=9751&amp;col=6&amp;number=3.7&amp;sourceID=14","3.7")</f>
        <v>3.7</v>
      </c>
      <c r="G9751" s="4" t="str">
        <f>HYPERLINK("http://141.218.60.56/~jnz1568/getInfo.php?workbook=12_05.xlsx&amp;sheet=U0&amp;row=9751&amp;col=7&amp;number=0.0196&amp;sourceID=14","0.0196")</f>
        <v>0.0196</v>
      </c>
    </row>
    <row r="9752" spans="1:7">
      <c r="A9752" s="3"/>
      <c r="B9752" s="3"/>
      <c r="C9752" s="3"/>
      <c r="D9752" s="3"/>
      <c r="E9752" s="3">
        <v>9</v>
      </c>
      <c r="F9752" s="4" t="str">
        <f>HYPERLINK("http://141.218.60.56/~jnz1568/getInfo.php?workbook=12_05.xlsx&amp;sheet=U0&amp;row=9752&amp;col=6&amp;number=3.8&amp;sourceID=14","3.8")</f>
        <v>3.8</v>
      </c>
      <c r="G9752" s="4" t="str">
        <f>HYPERLINK("http://141.218.60.56/~jnz1568/getInfo.php?workbook=12_05.xlsx&amp;sheet=U0&amp;row=9752&amp;col=7&amp;number=0.0196&amp;sourceID=14","0.0196")</f>
        <v>0.0196</v>
      </c>
    </row>
    <row r="9753" spans="1:7">
      <c r="A9753" s="3"/>
      <c r="B9753" s="3"/>
      <c r="C9753" s="3"/>
      <c r="D9753" s="3"/>
      <c r="E9753" s="3">
        <v>10</v>
      </c>
      <c r="F9753" s="4" t="str">
        <f>HYPERLINK("http://141.218.60.56/~jnz1568/getInfo.php?workbook=12_05.xlsx&amp;sheet=U0&amp;row=9753&amp;col=6&amp;number=3.9&amp;sourceID=14","3.9")</f>
        <v>3.9</v>
      </c>
      <c r="G9753" s="4" t="str">
        <f>HYPERLINK("http://141.218.60.56/~jnz1568/getInfo.php?workbook=12_05.xlsx&amp;sheet=U0&amp;row=9753&amp;col=7&amp;number=0.0197&amp;sourceID=14","0.0197")</f>
        <v>0.0197</v>
      </c>
    </row>
    <row r="9754" spans="1:7">
      <c r="A9754" s="3"/>
      <c r="B9754" s="3"/>
      <c r="C9754" s="3"/>
      <c r="D9754" s="3"/>
      <c r="E9754" s="3">
        <v>11</v>
      </c>
      <c r="F9754" s="4" t="str">
        <f>HYPERLINK("http://141.218.60.56/~jnz1568/getInfo.php?workbook=12_05.xlsx&amp;sheet=U0&amp;row=9754&amp;col=6&amp;number=4&amp;sourceID=14","4")</f>
        <v>4</v>
      </c>
      <c r="G9754" s="4" t="str">
        <f>HYPERLINK("http://141.218.60.56/~jnz1568/getInfo.php?workbook=12_05.xlsx&amp;sheet=U0&amp;row=9754&amp;col=7&amp;number=0.0197&amp;sourceID=14","0.0197")</f>
        <v>0.0197</v>
      </c>
    </row>
    <row r="9755" spans="1:7">
      <c r="A9755" s="3"/>
      <c r="B9755" s="3"/>
      <c r="C9755" s="3"/>
      <c r="D9755" s="3"/>
      <c r="E9755" s="3">
        <v>12</v>
      </c>
      <c r="F9755" s="4" t="str">
        <f>HYPERLINK("http://141.218.60.56/~jnz1568/getInfo.php?workbook=12_05.xlsx&amp;sheet=U0&amp;row=9755&amp;col=6&amp;number=4.1&amp;sourceID=14","4.1")</f>
        <v>4.1</v>
      </c>
      <c r="G9755" s="4" t="str">
        <f>HYPERLINK("http://141.218.60.56/~jnz1568/getInfo.php?workbook=12_05.xlsx&amp;sheet=U0&amp;row=9755&amp;col=7&amp;number=0.0197&amp;sourceID=14","0.0197")</f>
        <v>0.0197</v>
      </c>
    </row>
    <row r="9756" spans="1:7">
      <c r="A9756" s="3"/>
      <c r="B9756" s="3"/>
      <c r="C9756" s="3"/>
      <c r="D9756" s="3"/>
      <c r="E9756" s="3">
        <v>13</v>
      </c>
      <c r="F9756" s="4" t="str">
        <f>HYPERLINK("http://141.218.60.56/~jnz1568/getInfo.php?workbook=12_05.xlsx&amp;sheet=U0&amp;row=9756&amp;col=6&amp;number=4.2&amp;sourceID=14","4.2")</f>
        <v>4.2</v>
      </c>
      <c r="G9756" s="4" t="str">
        <f>HYPERLINK("http://141.218.60.56/~jnz1568/getInfo.php?workbook=12_05.xlsx&amp;sheet=U0&amp;row=9756&amp;col=7&amp;number=0.0197&amp;sourceID=14","0.0197")</f>
        <v>0.0197</v>
      </c>
    </row>
    <row r="9757" spans="1:7">
      <c r="A9757" s="3"/>
      <c r="B9757" s="3"/>
      <c r="C9757" s="3"/>
      <c r="D9757" s="3"/>
      <c r="E9757" s="3">
        <v>14</v>
      </c>
      <c r="F9757" s="4" t="str">
        <f>HYPERLINK("http://141.218.60.56/~jnz1568/getInfo.php?workbook=12_05.xlsx&amp;sheet=U0&amp;row=9757&amp;col=6&amp;number=4.3&amp;sourceID=14","4.3")</f>
        <v>4.3</v>
      </c>
      <c r="G9757" s="4" t="str">
        <f>HYPERLINK("http://141.218.60.56/~jnz1568/getInfo.php?workbook=12_05.xlsx&amp;sheet=U0&amp;row=9757&amp;col=7&amp;number=0.0197&amp;sourceID=14","0.0197")</f>
        <v>0.0197</v>
      </c>
    </row>
    <row r="9758" spans="1:7">
      <c r="A9758" s="3"/>
      <c r="B9758" s="3"/>
      <c r="C9758" s="3"/>
      <c r="D9758" s="3"/>
      <c r="E9758" s="3">
        <v>15</v>
      </c>
      <c r="F9758" s="4" t="str">
        <f>HYPERLINK("http://141.218.60.56/~jnz1568/getInfo.php?workbook=12_05.xlsx&amp;sheet=U0&amp;row=9758&amp;col=6&amp;number=4.4&amp;sourceID=14","4.4")</f>
        <v>4.4</v>
      </c>
      <c r="G9758" s="4" t="str">
        <f>HYPERLINK("http://141.218.60.56/~jnz1568/getInfo.php?workbook=12_05.xlsx&amp;sheet=U0&amp;row=9758&amp;col=7&amp;number=0.0198&amp;sourceID=14","0.0198")</f>
        <v>0.0198</v>
      </c>
    </row>
    <row r="9759" spans="1:7">
      <c r="A9759" s="3"/>
      <c r="B9759" s="3"/>
      <c r="C9759" s="3"/>
      <c r="D9759" s="3"/>
      <c r="E9759" s="3">
        <v>16</v>
      </c>
      <c r="F9759" s="4" t="str">
        <f>HYPERLINK("http://141.218.60.56/~jnz1568/getInfo.php?workbook=12_05.xlsx&amp;sheet=U0&amp;row=9759&amp;col=6&amp;number=4.5&amp;sourceID=14","4.5")</f>
        <v>4.5</v>
      </c>
      <c r="G9759" s="4" t="str">
        <f>HYPERLINK("http://141.218.60.56/~jnz1568/getInfo.php?workbook=12_05.xlsx&amp;sheet=U0&amp;row=9759&amp;col=7&amp;number=0.0198&amp;sourceID=14","0.0198")</f>
        <v>0.0198</v>
      </c>
    </row>
    <row r="9760" spans="1:7">
      <c r="A9760" s="3"/>
      <c r="B9760" s="3"/>
      <c r="C9760" s="3"/>
      <c r="D9760" s="3"/>
      <c r="E9760" s="3">
        <v>17</v>
      </c>
      <c r="F9760" s="4" t="str">
        <f>HYPERLINK("http://141.218.60.56/~jnz1568/getInfo.php?workbook=12_05.xlsx&amp;sheet=U0&amp;row=9760&amp;col=6&amp;number=4.6&amp;sourceID=14","4.6")</f>
        <v>4.6</v>
      </c>
      <c r="G9760" s="4" t="str">
        <f>HYPERLINK("http://141.218.60.56/~jnz1568/getInfo.php?workbook=12_05.xlsx&amp;sheet=U0&amp;row=9760&amp;col=7&amp;number=0.0199&amp;sourceID=14","0.0199")</f>
        <v>0.0199</v>
      </c>
    </row>
    <row r="9761" spans="1:7">
      <c r="A9761" s="3"/>
      <c r="B9761" s="3"/>
      <c r="C9761" s="3"/>
      <c r="D9761" s="3"/>
      <c r="E9761" s="3">
        <v>18</v>
      </c>
      <c r="F9761" s="4" t="str">
        <f>HYPERLINK("http://141.218.60.56/~jnz1568/getInfo.php?workbook=12_05.xlsx&amp;sheet=U0&amp;row=9761&amp;col=6&amp;number=4.7&amp;sourceID=14","4.7")</f>
        <v>4.7</v>
      </c>
      <c r="G9761" s="4" t="str">
        <f>HYPERLINK("http://141.218.60.56/~jnz1568/getInfo.php?workbook=12_05.xlsx&amp;sheet=U0&amp;row=9761&amp;col=7&amp;number=0.02&amp;sourceID=14","0.02")</f>
        <v>0.02</v>
      </c>
    </row>
    <row r="9762" spans="1:7">
      <c r="A9762" s="3"/>
      <c r="B9762" s="3"/>
      <c r="C9762" s="3"/>
      <c r="D9762" s="3"/>
      <c r="E9762" s="3">
        <v>19</v>
      </c>
      <c r="F9762" s="4" t="str">
        <f>HYPERLINK("http://141.218.60.56/~jnz1568/getInfo.php?workbook=12_05.xlsx&amp;sheet=U0&amp;row=9762&amp;col=6&amp;number=4.8&amp;sourceID=14","4.8")</f>
        <v>4.8</v>
      </c>
      <c r="G9762" s="4" t="str">
        <f>HYPERLINK("http://141.218.60.56/~jnz1568/getInfo.php?workbook=12_05.xlsx&amp;sheet=U0&amp;row=9762&amp;col=7&amp;number=0.0201&amp;sourceID=14","0.0201")</f>
        <v>0.0201</v>
      </c>
    </row>
    <row r="9763" spans="1:7">
      <c r="A9763" s="3"/>
      <c r="B9763" s="3"/>
      <c r="C9763" s="3"/>
      <c r="D9763" s="3"/>
      <c r="E9763" s="3">
        <v>20</v>
      </c>
      <c r="F9763" s="4" t="str">
        <f>HYPERLINK("http://141.218.60.56/~jnz1568/getInfo.php?workbook=12_05.xlsx&amp;sheet=U0&amp;row=9763&amp;col=6&amp;number=4.9&amp;sourceID=14","4.9")</f>
        <v>4.9</v>
      </c>
      <c r="G9763" s="4" t="str">
        <f>HYPERLINK("http://141.218.60.56/~jnz1568/getInfo.php?workbook=12_05.xlsx&amp;sheet=U0&amp;row=9763&amp;col=7&amp;number=0.0202&amp;sourceID=14","0.0202")</f>
        <v>0.0202</v>
      </c>
    </row>
    <row r="9764" spans="1:7">
      <c r="A9764" s="3">
        <v>12</v>
      </c>
      <c r="B9764" s="3">
        <v>5</v>
      </c>
      <c r="C9764" s="3">
        <v>5</v>
      </c>
      <c r="D9764" s="3">
        <v>61</v>
      </c>
      <c r="E9764" s="3">
        <v>1</v>
      </c>
      <c r="F9764" s="4" t="str">
        <f>HYPERLINK("http://141.218.60.56/~jnz1568/getInfo.php?workbook=12_05.xlsx&amp;sheet=U0&amp;row=9764&amp;col=6&amp;number=3&amp;sourceID=14","3")</f>
        <v>3</v>
      </c>
      <c r="G9764" s="4" t="str">
        <f>HYPERLINK("http://141.218.60.56/~jnz1568/getInfo.php?workbook=12_05.xlsx&amp;sheet=U0&amp;row=9764&amp;col=7&amp;number=0.0133&amp;sourceID=14","0.0133")</f>
        <v>0.0133</v>
      </c>
    </row>
    <row r="9765" spans="1:7">
      <c r="A9765" s="3"/>
      <c r="B9765" s="3"/>
      <c r="C9765" s="3"/>
      <c r="D9765" s="3"/>
      <c r="E9765" s="3">
        <v>2</v>
      </c>
      <c r="F9765" s="4" t="str">
        <f>HYPERLINK("http://141.218.60.56/~jnz1568/getInfo.php?workbook=12_05.xlsx&amp;sheet=U0&amp;row=9765&amp;col=6&amp;number=3.1&amp;sourceID=14","3.1")</f>
        <v>3.1</v>
      </c>
      <c r="G9765" s="4" t="str">
        <f>HYPERLINK("http://141.218.60.56/~jnz1568/getInfo.php?workbook=12_05.xlsx&amp;sheet=U0&amp;row=9765&amp;col=7&amp;number=0.0133&amp;sourceID=14","0.0133")</f>
        <v>0.0133</v>
      </c>
    </row>
    <row r="9766" spans="1:7">
      <c r="A9766" s="3"/>
      <c r="B9766" s="3"/>
      <c r="C9766" s="3"/>
      <c r="D9766" s="3"/>
      <c r="E9766" s="3">
        <v>3</v>
      </c>
      <c r="F9766" s="4" t="str">
        <f>HYPERLINK("http://141.218.60.56/~jnz1568/getInfo.php?workbook=12_05.xlsx&amp;sheet=U0&amp;row=9766&amp;col=6&amp;number=3.2&amp;sourceID=14","3.2")</f>
        <v>3.2</v>
      </c>
      <c r="G9766" s="4" t="str">
        <f>HYPERLINK("http://141.218.60.56/~jnz1568/getInfo.php?workbook=12_05.xlsx&amp;sheet=U0&amp;row=9766&amp;col=7&amp;number=0.0133&amp;sourceID=14","0.0133")</f>
        <v>0.0133</v>
      </c>
    </row>
    <row r="9767" spans="1:7">
      <c r="A9767" s="3"/>
      <c r="B9767" s="3"/>
      <c r="C9767" s="3"/>
      <c r="D9767" s="3"/>
      <c r="E9767" s="3">
        <v>4</v>
      </c>
      <c r="F9767" s="4" t="str">
        <f>HYPERLINK("http://141.218.60.56/~jnz1568/getInfo.php?workbook=12_05.xlsx&amp;sheet=U0&amp;row=9767&amp;col=6&amp;number=3.3&amp;sourceID=14","3.3")</f>
        <v>3.3</v>
      </c>
      <c r="G9767" s="4" t="str">
        <f>HYPERLINK("http://141.218.60.56/~jnz1568/getInfo.php?workbook=12_05.xlsx&amp;sheet=U0&amp;row=9767&amp;col=7&amp;number=0.0133&amp;sourceID=14","0.0133")</f>
        <v>0.0133</v>
      </c>
    </row>
    <row r="9768" spans="1:7">
      <c r="A9768" s="3"/>
      <c r="B9768" s="3"/>
      <c r="C9768" s="3"/>
      <c r="D9768" s="3"/>
      <c r="E9768" s="3">
        <v>5</v>
      </c>
      <c r="F9768" s="4" t="str">
        <f>HYPERLINK("http://141.218.60.56/~jnz1568/getInfo.php?workbook=12_05.xlsx&amp;sheet=U0&amp;row=9768&amp;col=6&amp;number=3.4&amp;sourceID=14","3.4")</f>
        <v>3.4</v>
      </c>
      <c r="G9768" s="4" t="str">
        <f>HYPERLINK("http://141.218.60.56/~jnz1568/getInfo.php?workbook=12_05.xlsx&amp;sheet=U0&amp;row=9768&amp;col=7&amp;number=0.0133&amp;sourceID=14","0.0133")</f>
        <v>0.0133</v>
      </c>
    </row>
    <row r="9769" spans="1:7">
      <c r="A9769" s="3"/>
      <c r="B9769" s="3"/>
      <c r="C9769" s="3"/>
      <c r="D9769" s="3"/>
      <c r="E9769" s="3">
        <v>6</v>
      </c>
      <c r="F9769" s="4" t="str">
        <f>HYPERLINK("http://141.218.60.56/~jnz1568/getInfo.php?workbook=12_05.xlsx&amp;sheet=U0&amp;row=9769&amp;col=6&amp;number=3.5&amp;sourceID=14","3.5")</f>
        <v>3.5</v>
      </c>
      <c r="G9769" s="4" t="str">
        <f>HYPERLINK("http://141.218.60.56/~jnz1568/getInfo.php?workbook=12_05.xlsx&amp;sheet=U0&amp;row=9769&amp;col=7&amp;number=0.0133&amp;sourceID=14","0.0133")</f>
        <v>0.0133</v>
      </c>
    </row>
    <row r="9770" spans="1:7">
      <c r="A9770" s="3"/>
      <c r="B9770" s="3"/>
      <c r="C9770" s="3"/>
      <c r="D9770" s="3"/>
      <c r="E9770" s="3">
        <v>7</v>
      </c>
      <c r="F9770" s="4" t="str">
        <f>HYPERLINK("http://141.218.60.56/~jnz1568/getInfo.php?workbook=12_05.xlsx&amp;sheet=U0&amp;row=9770&amp;col=6&amp;number=3.6&amp;sourceID=14","3.6")</f>
        <v>3.6</v>
      </c>
      <c r="G9770" s="4" t="str">
        <f>HYPERLINK("http://141.218.60.56/~jnz1568/getInfo.php?workbook=12_05.xlsx&amp;sheet=U0&amp;row=9770&amp;col=7&amp;number=0.0133&amp;sourceID=14","0.0133")</f>
        <v>0.0133</v>
      </c>
    </row>
    <row r="9771" spans="1:7">
      <c r="A9771" s="3"/>
      <c r="B9771" s="3"/>
      <c r="C9771" s="3"/>
      <c r="D9771" s="3"/>
      <c r="E9771" s="3">
        <v>8</v>
      </c>
      <c r="F9771" s="4" t="str">
        <f>HYPERLINK("http://141.218.60.56/~jnz1568/getInfo.php?workbook=12_05.xlsx&amp;sheet=U0&amp;row=9771&amp;col=6&amp;number=3.7&amp;sourceID=14","3.7")</f>
        <v>3.7</v>
      </c>
      <c r="G9771" s="4" t="str">
        <f>HYPERLINK("http://141.218.60.56/~jnz1568/getInfo.php?workbook=12_05.xlsx&amp;sheet=U0&amp;row=9771&amp;col=7&amp;number=0.0133&amp;sourceID=14","0.0133")</f>
        <v>0.0133</v>
      </c>
    </row>
    <row r="9772" spans="1:7">
      <c r="A9772" s="3"/>
      <c r="B9772" s="3"/>
      <c r="C9772" s="3"/>
      <c r="D9772" s="3"/>
      <c r="E9772" s="3">
        <v>9</v>
      </c>
      <c r="F9772" s="4" t="str">
        <f>HYPERLINK("http://141.218.60.56/~jnz1568/getInfo.php?workbook=12_05.xlsx&amp;sheet=U0&amp;row=9772&amp;col=6&amp;number=3.8&amp;sourceID=14","3.8")</f>
        <v>3.8</v>
      </c>
      <c r="G9772" s="4" t="str">
        <f>HYPERLINK("http://141.218.60.56/~jnz1568/getInfo.php?workbook=12_05.xlsx&amp;sheet=U0&amp;row=9772&amp;col=7&amp;number=0.0133&amp;sourceID=14","0.0133")</f>
        <v>0.0133</v>
      </c>
    </row>
    <row r="9773" spans="1:7">
      <c r="A9773" s="3"/>
      <c r="B9773" s="3"/>
      <c r="C9773" s="3"/>
      <c r="D9773" s="3"/>
      <c r="E9773" s="3">
        <v>10</v>
      </c>
      <c r="F9773" s="4" t="str">
        <f>HYPERLINK("http://141.218.60.56/~jnz1568/getInfo.php?workbook=12_05.xlsx&amp;sheet=U0&amp;row=9773&amp;col=6&amp;number=3.9&amp;sourceID=14","3.9")</f>
        <v>3.9</v>
      </c>
      <c r="G9773" s="4" t="str">
        <f>HYPERLINK("http://141.218.60.56/~jnz1568/getInfo.php?workbook=12_05.xlsx&amp;sheet=U0&amp;row=9773&amp;col=7&amp;number=0.0133&amp;sourceID=14","0.0133")</f>
        <v>0.0133</v>
      </c>
    </row>
    <row r="9774" spans="1:7">
      <c r="A9774" s="3"/>
      <c r="B9774" s="3"/>
      <c r="C9774" s="3"/>
      <c r="D9774" s="3"/>
      <c r="E9774" s="3">
        <v>11</v>
      </c>
      <c r="F9774" s="4" t="str">
        <f>HYPERLINK("http://141.218.60.56/~jnz1568/getInfo.php?workbook=12_05.xlsx&amp;sheet=U0&amp;row=9774&amp;col=6&amp;number=4&amp;sourceID=14","4")</f>
        <v>4</v>
      </c>
      <c r="G9774" s="4" t="str">
        <f>HYPERLINK("http://141.218.60.56/~jnz1568/getInfo.php?workbook=12_05.xlsx&amp;sheet=U0&amp;row=9774&amp;col=7&amp;number=0.0132&amp;sourceID=14","0.0132")</f>
        <v>0.0132</v>
      </c>
    </row>
    <row r="9775" spans="1:7">
      <c r="A9775" s="3"/>
      <c r="B9775" s="3"/>
      <c r="C9775" s="3"/>
      <c r="D9775" s="3"/>
      <c r="E9775" s="3">
        <v>12</v>
      </c>
      <c r="F9775" s="4" t="str">
        <f>HYPERLINK("http://141.218.60.56/~jnz1568/getInfo.php?workbook=12_05.xlsx&amp;sheet=U0&amp;row=9775&amp;col=6&amp;number=4.1&amp;sourceID=14","4.1")</f>
        <v>4.1</v>
      </c>
      <c r="G9775" s="4" t="str">
        <f>HYPERLINK("http://141.218.60.56/~jnz1568/getInfo.php?workbook=12_05.xlsx&amp;sheet=U0&amp;row=9775&amp;col=7&amp;number=0.0132&amp;sourceID=14","0.0132")</f>
        <v>0.0132</v>
      </c>
    </row>
    <row r="9776" spans="1:7">
      <c r="A9776" s="3"/>
      <c r="B9776" s="3"/>
      <c r="C9776" s="3"/>
      <c r="D9776" s="3"/>
      <c r="E9776" s="3">
        <v>13</v>
      </c>
      <c r="F9776" s="4" t="str">
        <f>HYPERLINK("http://141.218.60.56/~jnz1568/getInfo.php?workbook=12_05.xlsx&amp;sheet=U0&amp;row=9776&amp;col=6&amp;number=4.2&amp;sourceID=14","4.2")</f>
        <v>4.2</v>
      </c>
      <c r="G9776" s="4" t="str">
        <f>HYPERLINK("http://141.218.60.56/~jnz1568/getInfo.php?workbook=12_05.xlsx&amp;sheet=U0&amp;row=9776&amp;col=7&amp;number=0.0132&amp;sourceID=14","0.0132")</f>
        <v>0.0132</v>
      </c>
    </row>
    <row r="9777" spans="1:7">
      <c r="A9777" s="3"/>
      <c r="B9777" s="3"/>
      <c r="C9777" s="3"/>
      <c r="D9777" s="3"/>
      <c r="E9777" s="3">
        <v>14</v>
      </c>
      <c r="F9777" s="4" t="str">
        <f>HYPERLINK("http://141.218.60.56/~jnz1568/getInfo.php?workbook=12_05.xlsx&amp;sheet=U0&amp;row=9777&amp;col=6&amp;number=4.3&amp;sourceID=14","4.3")</f>
        <v>4.3</v>
      </c>
      <c r="G9777" s="4" t="str">
        <f>HYPERLINK("http://141.218.60.56/~jnz1568/getInfo.php?workbook=12_05.xlsx&amp;sheet=U0&amp;row=9777&amp;col=7&amp;number=0.0131&amp;sourceID=14","0.0131")</f>
        <v>0.0131</v>
      </c>
    </row>
    <row r="9778" spans="1:7">
      <c r="A9778" s="3"/>
      <c r="B9778" s="3"/>
      <c r="C9778" s="3"/>
      <c r="D9778" s="3"/>
      <c r="E9778" s="3">
        <v>15</v>
      </c>
      <c r="F9778" s="4" t="str">
        <f>HYPERLINK("http://141.218.60.56/~jnz1568/getInfo.php?workbook=12_05.xlsx&amp;sheet=U0&amp;row=9778&amp;col=6&amp;number=4.4&amp;sourceID=14","4.4")</f>
        <v>4.4</v>
      </c>
      <c r="G9778" s="4" t="str">
        <f>HYPERLINK("http://141.218.60.56/~jnz1568/getInfo.php?workbook=12_05.xlsx&amp;sheet=U0&amp;row=9778&amp;col=7&amp;number=0.0131&amp;sourceID=14","0.0131")</f>
        <v>0.0131</v>
      </c>
    </row>
    <row r="9779" spans="1:7">
      <c r="A9779" s="3"/>
      <c r="B9779" s="3"/>
      <c r="C9779" s="3"/>
      <c r="D9779" s="3"/>
      <c r="E9779" s="3">
        <v>16</v>
      </c>
      <c r="F9779" s="4" t="str">
        <f>HYPERLINK("http://141.218.60.56/~jnz1568/getInfo.php?workbook=12_05.xlsx&amp;sheet=U0&amp;row=9779&amp;col=6&amp;number=4.5&amp;sourceID=14","4.5")</f>
        <v>4.5</v>
      </c>
      <c r="G9779" s="4" t="str">
        <f>HYPERLINK("http://141.218.60.56/~jnz1568/getInfo.php?workbook=12_05.xlsx&amp;sheet=U0&amp;row=9779&amp;col=7&amp;number=0.013&amp;sourceID=14","0.013")</f>
        <v>0.013</v>
      </c>
    </row>
    <row r="9780" spans="1:7">
      <c r="A9780" s="3"/>
      <c r="B9780" s="3"/>
      <c r="C9780" s="3"/>
      <c r="D9780" s="3"/>
      <c r="E9780" s="3">
        <v>17</v>
      </c>
      <c r="F9780" s="4" t="str">
        <f>HYPERLINK("http://141.218.60.56/~jnz1568/getInfo.php?workbook=12_05.xlsx&amp;sheet=U0&amp;row=9780&amp;col=6&amp;number=4.6&amp;sourceID=14","4.6")</f>
        <v>4.6</v>
      </c>
      <c r="G9780" s="4" t="str">
        <f>HYPERLINK("http://141.218.60.56/~jnz1568/getInfo.php?workbook=12_05.xlsx&amp;sheet=U0&amp;row=9780&amp;col=7&amp;number=0.0129&amp;sourceID=14","0.0129")</f>
        <v>0.0129</v>
      </c>
    </row>
    <row r="9781" spans="1:7">
      <c r="A9781" s="3"/>
      <c r="B9781" s="3"/>
      <c r="C9781" s="3"/>
      <c r="D9781" s="3"/>
      <c r="E9781" s="3">
        <v>18</v>
      </c>
      <c r="F9781" s="4" t="str">
        <f>HYPERLINK("http://141.218.60.56/~jnz1568/getInfo.php?workbook=12_05.xlsx&amp;sheet=U0&amp;row=9781&amp;col=6&amp;number=4.7&amp;sourceID=14","4.7")</f>
        <v>4.7</v>
      </c>
      <c r="G9781" s="4" t="str">
        <f>HYPERLINK("http://141.218.60.56/~jnz1568/getInfo.php?workbook=12_05.xlsx&amp;sheet=U0&amp;row=9781&amp;col=7&amp;number=0.0128&amp;sourceID=14","0.0128")</f>
        <v>0.0128</v>
      </c>
    </row>
    <row r="9782" spans="1:7">
      <c r="A9782" s="3"/>
      <c r="B9782" s="3"/>
      <c r="C9782" s="3"/>
      <c r="D9782" s="3"/>
      <c r="E9782" s="3">
        <v>19</v>
      </c>
      <c r="F9782" s="4" t="str">
        <f>HYPERLINK("http://141.218.60.56/~jnz1568/getInfo.php?workbook=12_05.xlsx&amp;sheet=U0&amp;row=9782&amp;col=6&amp;number=4.8&amp;sourceID=14","4.8")</f>
        <v>4.8</v>
      </c>
      <c r="G9782" s="4" t="str">
        <f>HYPERLINK("http://141.218.60.56/~jnz1568/getInfo.php?workbook=12_05.xlsx&amp;sheet=U0&amp;row=9782&amp;col=7&amp;number=0.0126&amp;sourceID=14","0.0126")</f>
        <v>0.0126</v>
      </c>
    </row>
    <row r="9783" spans="1:7">
      <c r="A9783" s="3"/>
      <c r="B9783" s="3"/>
      <c r="C9783" s="3"/>
      <c r="D9783" s="3"/>
      <c r="E9783" s="3">
        <v>20</v>
      </c>
      <c r="F9783" s="4" t="str">
        <f>HYPERLINK("http://141.218.60.56/~jnz1568/getInfo.php?workbook=12_05.xlsx&amp;sheet=U0&amp;row=9783&amp;col=6&amp;number=4.9&amp;sourceID=14","4.9")</f>
        <v>4.9</v>
      </c>
      <c r="G9783" s="4" t="str">
        <f>HYPERLINK("http://141.218.60.56/~jnz1568/getInfo.php?workbook=12_05.xlsx&amp;sheet=U0&amp;row=9783&amp;col=7&amp;number=0.0124&amp;sourceID=14","0.0124")</f>
        <v>0.0124</v>
      </c>
    </row>
    <row r="9784" spans="1:7">
      <c r="A9784" s="3">
        <v>12</v>
      </c>
      <c r="B9784" s="3">
        <v>5</v>
      </c>
      <c r="C9784" s="3">
        <v>5</v>
      </c>
      <c r="D9784" s="3">
        <v>62</v>
      </c>
      <c r="E9784" s="3">
        <v>1</v>
      </c>
      <c r="F9784" s="4" t="str">
        <f>HYPERLINK("http://141.218.60.56/~jnz1568/getInfo.php?workbook=12_05.xlsx&amp;sheet=U0&amp;row=9784&amp;col=6&amp;number=3&amp;sourceID=14","3")</f>
        <v>3</v>
      </c>
      <c r="G9784" s="4" t="str">
        <f>HYPERLINK("http://141.218.60.56/~jnz1568/getInfo.php?workbook=12_05.xlsx&amp;sheet=U0&amp;row=9784&amp;col=7&amp;number=0.000948&amp;sourceID=14","0.000948")</f>
        <v>0.000948</v>
      </c>
    </row>
    <row r="9785" spans="1:7">
      <c r="A9785" s="3"/>
      <c r="B9785" s="3"/>
      <c r="C9785" s="3"/>
      <c r="D9785" s="3"/>
      <c r="E9785" s="3">
        <v>2</v>
      </c>
      <c r="F9785" s="4" t="str">
        <f>HYPERLINK("http://141.218.60.56/~jnz1568/getInfo.php?workbook=12_05.xlsx&amp;sheet=U0&amp;row=9785&amp;col=6&amp;number=3.1&amp;sourceID=14","3.1")</f>
        <v>3.1</v>
      </c>
      <c r="G9785" s="4" t="str">
        <f>HYPERLINK("http://141.218.60.56/~jnz1568/getInfo.php?workbook=12_05.xlsx&amp;sheet=U0&amp;row=9785&amp;col=7&amp;number=0.000948&amp;sourceID=14","0.000948")</f>
        <v>0.000948</v>
      </c>
    </row>
    <row r="9786" spans="1:7">
      <c r="A9786" s="3"/>
      <c r="B9786" s="3"/>
      <c r="C9786" s="3"/>
      <c r="D9786" s="3"/>
      <c r="E9786" s="3">
        <v>3</v>
      </c>
      <c r="F9786" s="4" t="str">
        <f>HYPERLINK("http://141.218.60.56/~jnz1568/getInfo.php?workbook=12_05.xlsx&amp;sheet=U0&amp;row=9786&amp;col=6&amp;number=3.2&amp;sourceID=14","3.2")</f>
        <v>3.2</v>
      </c>
      <c r="G9786" s="4" t="str">
        <f>HYPERLINK("http://141.218.60.56/~jnz1568/getInfo.php?workbook=12_05.xlsx&amp;sheet=U0&amp;row=9786&amp;col=7&amp;number=0.000947&amp;sourceID=14","0.000947")</f>
        <v>0.000947</v>
      </c>
    </row>
    <row r="9787" spans="1:7">
      <c r="A9787" s="3"/>
      <c r="B9787" s="3"/>
      <c r="C9787" s="3"/>
      <c r="D9787" s="3"/>
      <c r="E9787" s="3">
        <v>4</v>
      </c>
      <c r="F9787" s="4" t="str">
        <f>HYPERLINK("http://141.218.60.56/~jnz1568/getInfo.php?workbook=12_05.xlsx&amp;sheet=U0&amp;row=9787&amp;col=6&amp;number=3.3&amp;sourceID=14","3.3")</f>
        <v>3.3</v>
      </c>
      <c r="G9787" s="4" t="str">
        <f>HYPERLINK("http://141.218.60.56/~jnz1568/getInfo.php?workbook=12_05.xlsx&amp;sheet=U0&amp;row=9787&amp;col=7&amp;number=0.000947&amp;sourceID=14","0.000947")</f>
        <v>0.000947</v>
      </c>
    </row>
    <row r="9788" spans="1:7">
      <c r="A9788" s="3"/>
      <c r="B9788" s="3"/>
      <c r="C9788" s="3"/>
      <c r="D9788" s="3"/>
      <c r="E9788" s="3">
        <v>5</v>
      </c>
      <c r="F9788" s="4" t="str">
        <f>HYPERLINK("http://141.218.60.56/~jnz1568/getInfo.php?workbook=12_05.xlsx&amp;sheet=U0&amp;row=9788&amp;col=6&amp;number=3.4&amp;sourceID=14","3.4")</f>
        <v>3.4</v>
      </c>
      <c r="G9788" s="4" t="str">
        <f>HYPERLINK("http://141.218.60.56/~jnz1568/getInfo.php?workbook=12_05.xlsx&amp;sheet=U0&amp;row=9788&amp;col=7&amp;number=0.000947&amp;sourceID=14","0.000947")</f>
        <v>0.000947</v>
      </c>
    </row>
    <row r="9789" spans="1:7">
      <c r="A9789" s="3"/>
      <c r="B9789" s="3"/>
      <c r="C9789" s="3"/>
      <c r="D9789" s="3"/>
      <c r="E9789" s="3">
        <v>6</v>
      </c>
      <c r="F9789" s="4" t="str">
        <f>HYPERLINK("http://141.218.60.56/~jnz1568/getInfo.php?workbook=12_05.xlsx&amp;sheet=U0&amp;row=9789&amp;col=6&amp;number=3.5&amp;sourceID=14","3.5")</f>
        <v>3.5</v>
      </c>
      <c r="G9789" s="4" t="str">
        <f>HYPERLINK("http://141.218.60.56/~jnz1568/getInfo.php?workbook=12_05.xlsx&amp;sheet=U0&amp;row=9789&amp;col=7&amp;number=0.000946&amp;sourceID=14","0.000946")</f>
        <v>0.000946</v>
      </c>
    </row>
    <row r="9790" spans="1:7">
      <c r="A9790" s="3"/>
      <c r="B9790" s="3"/>
      <c r="C9790" s="3"/>
      <c r="D9790" s="3"/>
      <c r="E9790" s="3">
        <v>7</v>
      </c>
      <c r="F9790" s="4" t="str">
        <f>HYPERLINK("http://141.218.60.56/~jnz1568/getInfo.php?workbook=12_05.xlsx&amp;sheet=U0&amp;row=9790&amp;col=6&amp;number=3.6&amp;sourceID=14","3.6")</f>
        <v>3.6</v>
      </c>
      <c r="G9790" s="4" t="str">
        <f>HYPERLINK("http://141.218.60.56/~jnz1568/getInfo.php?workbook=12_05.xlsx&amp;sheet=U0&amp;row=9790&amp;col=7&amp;number=0.000945&amp;sourceID=14","0.000945")</f>
        <v>0.000945</v>
      </c>
    </row>
    <row r="9791" spans="1:7">
      <c r="A9791" s="3"/>
      <c r="B9791" s="3"/>
      <c r="C9791" s="3"/>
      <c r="D9791" s="3"/>
      <c r="E9791" s="3">
        <v>8</v>
      </c>
      <c r="F9791" s="4" t="str">
        <f>HYPERLINK("http://141.218.60.56/~jnz1568/getInfo.php?workbook=12_05.xlsx&amp;sheet=U0&amp;row=9791&amp;col=6&amp;number=3.7&amp;sourceID=14","3.7")</f>
        <v>3.7</v>
      </c>
      <c r="G9791" s="4" t="str">
        <f>HYPERLINK("http://141.218.60.56/~jnz1568/getInfo.php?workbook=12_05.xlsx&amp;sheet=U0&amp;row=9791&amp;col=7&amp;number=0.000944&amp;sourceID=14","0.000944")</f>
        <v>0.000944</v>
      </c>
    </row>
    <row r="9792" spans="1:7">
      <c r="A9792" s="3"/>
      <c r="B9792" s="3"/>
      <c r="C9792" s="3"/>
      <c r="D9792" s="3"/>
      <c r="E9792" s="3">
        <v>9</v>
      </c>
      <c r="F9792" s="4" t="str">
        <f>HYPERLINK("http://141.218.60.56/~jnz1568/getInfo.php?workbook=12_05.xlsx&amp;sheet=U0&amp;row=9792&amp;col=6&amp;number=3.8&amp;sourceID=14","3.8")</f>
        <v>3.8</v>
      </c>
      <c r="G9792" s="4" t="str">
        <f>HYPERLINK("http://141.218.60.56/~jnz1568/getInfo.php?workbook=12_05.xlsx&amp;sheet=U0&amp;row=9792&amp;col=7&amp;number=0.000943&amp;sourceID=14","0.000943")</f>
        <v>0.000943</v>
      </c>
    </row>
    <row r="9793" spans="1:7">
      <c r="A9793" s="3"/>
      <c r="B9793" s="3"/>
      <c r="C9793" s="3"/>
      <c r="D9793" s="3"/>
      <c r="E9793" s="3">
        <v>10</v>
      </c>
      <c r="F9793" s="4" t="str">
        <f>HYPERLINK("http://141.218.60.56/~jnz1568/getInfo.php?workbook=12_05.xlsx&amp;sheet=U0&amp;row=9793&amp;col=6&amp;number=3.9&amp;sourceID=14","3.9")</f>
        <v>3.9</v>
      </c>
      <c r="G9793" s="4" t="str">
        <f>HYPERLINK("http://141.218.60.56/~jnz1568/getInfo.php?workbook=12_05.xlsx&amp;sheet=U0&amp;row=9793&amp;col=7&amp;number=0.000942&amp;sourceID=14","0.000942")</f>
        <v>0.000942</v>
      </c>
    </row>
    <row r="9794" spans="1:7">
      <c r="A9794" s="3"/>
      <c r="B9794" s="3"/>
      <c r="C9794" s="3"/>
      <c r="D9794" s="3"/>
      <c r="E9794" s="3">
        <v>11</v>
      </c>
      <c r="F9794" s="4" t="str">
        <f>HYPERLINK("http://141.218.60.56/~jnz1568/getInfo.php?workbook=12_05.xlsx&amp;sheet=U0&amp;row=9794&amp;col=6&amp;number=4&amp;sourceID=14","4")</f>
        <v>4</v>
      </c>
      <c r="G9794" s="4" t="str">
        <f>HYPERLINK("http://141.218.60.56/~jnz1568/getInfo.php?workbook=12_05.xlsx&amp;sheet=U0&amp;row=9794&amp;col=7&amp;number=0.00094&amp;sourceID=14","0.00094")</f>
        <v>0.00094</v>
      </c>
    </row>
    <row r="9795" spans="1:7">
      <c r="A9795" s="3"/>
      <c r="B9795" s="3"/>
      <c r="C9795" s="3"/>
      <c r="D9795" s="3"/>
      <c r="E9795" s="3">
        <v>12</v>
      </c>
      <c r="F9795" s="4" t="str">
        <f>HYPERLINK("http://141.218.60.56/~jnz1568/getInfo.php?workbook=12_05.xlsx&amp;sheet=U0&amp;row=9795&amp;col=6&amp;number=4.1&amp;sourceID=14","4.1")</f>
        <v>4.1</v>
      </c>
      <c r="G9795" s="4" t="str">
        <f>HYPERLINK("http://141.218.60.56/~jnz1568/getInfo.php?workbook=12_05.xlsx&amp;sheet=U0&amp;row=9795&amp;col=7&amp;number=0.000938&amp;sourceID=14","0.000938")</f>
        <v>0.000938</v>
      </c>
    </row>
    <row r="9796" spans="1:7">
      <c r="A9796" s="3"/>
      <c r="B9796" s="3"/>
      <c r="C9796" s="3"/>
      <c r="D9796" s="3"/>
      <c r="E9796" s="3">
        <v>13</v>
      </c>
      <c r="F9796" s="4" t="str">
        <f>HYPERLINK("http://141.218.60.56/~jnz1568/getInfo.php?workbook=12_05.xlsx&amp;sheet=U0&amp;row=9796&amp;col=6&amp;number=4.2&amp;sourceID=14","4.2")</f>
        <v>4.2</v>
      </c>
      <c r="G9796" s="4" t="str">
        <f>HYPERLINK("http://141.218.60.56/~jnz1568/getInfo.php?workbook=12_05.xlsx&amp;sheet=U0&amp;row=9796&amp;col=7&amp;number=0.000936&amp;sourceID=14","0.000936")</f>
        <v>0.000936</v>
      </c>
    </row>
    <row r="9797" spans="1:7">
      <c r="A9797" s="3"/>
      <c r="B9797" s="3"/>
      <c r="C9797" s="3"/>
      <c r="D9797" s="3"/>
      <c r="E9797" s="3">
        <v>14</v>
      </c>
      <c r="F9797" s="4" t="str">
        <f>HYPERLINK("http://141.218.60.56/~jnz1568/getInfo.php?workbook=12_05.xlsx&amp;sheet=U0&amp;row=9797&amp;col=6&amp;number=4.3&amp;sourceID=14","4.3")</f>
        <v>4.3</v>
      </c>
      <c r="G9797" s="4" t="str">
        <f>HYPERLINK("http://141.218.60.56/~jnz1568/getInfo.php?workbook=12_05.xlsx&amp;sheet=U0&amp;row=9797&amp;col=7&amp;number=0.000932&amp;sourceID=14","0.000932")</f>
        <v>0.000932</v>
      </c>
    </row>
    <row r="9798" spans="1:7">
      <c r="A9798" s="3"/>
      <c r="B9798" s="3"/>
      <c r="C9798" s="3"/>
      <c r="D9798" s="3"/>
      <c r="E9798" s="3">
        <v>15</v>
      </c>
      <c r="F9798" s="4" t="str">
        <f>HYPERLINK("http://141.218.60.56/~jnz1568/getInfo.php?workbook=12_05.xlsx&amp;sheet=U0&amp;row=9798&amp;col=6&amp;number=4.4&amp;sourceID=14","4.4")</f>
        <v>4.4</v>
      </c>
      <c r="G9798" s="4" t="str">
        <f>HYPERLINK("http://141.218.60.56/~jnz1568/getInfo.php?workbook=12_05.xlsx&amp;sheet=U0&amp;row=9798&amp;col=7&amp;number=0.000928&amp;sourceID=14","0.000928")</f>
        <v>0.000928</v>
      </c>
    </row>
    <row r="9799" spans="1:7">
      <c r="A9799" s="3"/>
      <c r="B9799" s="3"/>
      <c r="C9799" s="3"/>
      <c r="D9799" s="3"/>
      <c r="E9799" s="3">
        <v>16</v>
      </c>
      <c r="F9799" s="4" t="str">
        <f>HYPERLINK("http://141.218.60.56/~jnz1568/getInfo.php?workbook=12_05.xlsx&amp;sheet=U0&amp;row=9799&amp;col=6&amp;number=4.5&amp;sourceID=14","4.5")</f>
        <v>4.5</v>
      </c>
      <c r="G9799" s="4" t="str">
        <f>HYPERLINK("http://141.218.60.56/~jnz1568/getInfo.php?workbook=12_05.xlsx&amp;sheet=U0&amp;row=9799&amp;col=7&amp;number=0.000923&amp;sourceID=14","0.000923")</f>
        <v>0.000923</v>
      </c>
    </row>
    <row r="9800" spans="1:7">
      <c r="A9800" s="3"/>
      <c r="B9800" s="3"/>
      <c r="C9800" s="3"/>
      <c r="D9800" s="3"/>
      <c r="E9800" s="3">
        <v>17</v>
      </c>
      <c r="F9800" s="4" t="str">
        <f>HYPERLINK("http://141.218.60.56/~jnz1568/getInfo.php?workbook=12_05.xlsx&amp;sheet=U0&amp;row=9800&amp;col=6&amp;number=4.6&amp;sourceID=14","4.6")</f>
        <v>4.6</v>
      </c>
      <c r="G9800" s="4" t="str">
        <f>HYPERLINK("http://141.218.60.56/~jnz1568/getInfo.php?workbook=12_05.xlsx&amp;sheet=U0&amp;row=9800&amp;col=7&amp;number=0.000916&amp;sourceID=14","0.000916")</f>
        <v>0.000916</v>
      </c>
    </row>
    <row r="9801" spans="1:7">
      <c r="A9801" s="3"/>
      <c r="B9801" s="3"/>
      <c r="C9801" s="3"/>
      <c r="D9801" s="3"/>
      <c r="E9801" s="3">
        <v>18</v>
      </c>
      <c r="F9801" s="4" t="str">
        <f>HYPERLINK("http://141.218.60.56/~jnz1568/getInfo.php?workbook=12_05.xlsx&amp;sheet=U0&amp;row=9801&amp;col=6&amp;number=4.7&amp;sourceID=14","4.7")</f>
        <v>4.7</v>
      </c>
      <c r="G9801" s="4" t="str">
        <f>HYPERLINK("http://141.218.60.56/~jnz1568/getInfo.php?workbook=12_05.xlsx&amp;sheet=U0&amp;row=9801&amp;col=7&amp;number=0.000908&amp;sourceID=14","0.000908")</f>
        <v>0.000908</v>
      </c>
    </row>
    <row r="9802" spans="1:7">
      <c r="A9802" s="3"/>
      <c r="B9802" s="3"/>
      <c r="C9802" s="3"/>
      <c r="D9802" s="3"/>
      <c r="E9802" s="3">
        <v>19</v>
      </c>
      <c r="F9802" s="4" t="str">
        <f>HYPERLINK("http://141.218.60.56/~jnz1568/getInfo.php?workbook=12_05.xlsx&amp;sheet=U0&amp;row=9802&amp;col=6&amp;number=4.8&amp;sourceID=14","4.8")</f>
        <v>4.8</v>
      </c>
      <c r="G9802" s="4" t="str">
        <f>HYPERLINK("http://141.218.60.56/~jnz1568/getInfo.php?workbook=12_05.xlsx&amp;sheet=U0&amp;row=9802&amp;col=7&amp;number=0.000898&amp;sourceID=14","0.000898")</f>
        <v>0.000898</v>
      </c>
    </row>
    <row r="9803" spans="1:7">
      <c r="A9803" s="3"/>
      <c r="B9803" s="3"/>
      <c r="C9803" s="3"/>
      <c r="D9803" s="3"/>
      <c r="E9803" s="3">
        <v>20</v>
      </c>
      <c r="F9803" s="4" t="str">
        <f>HYPERLINK("http://141.218.60.56/~jnz1568/getInfo.php?workbook=12_05.xlsx&amp;sheet=U0&amp;row=9803&amp;col=6&amp;number=4.9&amp;sourceID=14","4.9")</f>
        <v>4.9</v>
      </c>
      <c r="G9803" s="4" t="str">
        <f>HYPERLINK("http://141.218.60.56/~jnz1568/getInfo.php?workbook=12_05.xlsx&amp;sheet=U0&amp;row=9803&amp;col=7&amp;number=0.000886&amp;sourceID=14","0.000886")</f>
        <v>0.000886</v>
      </c>
    </row>
    <row r="9804" spans="1:7">
      <c r="A9804" s="3">
        <v>12</v>
      </c>
      <c r="B9804" s="3">
        <v>5</v>
      </c>
      <c r="C9804" s="3">
        <v>5</v>
      </c>
      <c r="D9804" s="3">
        <v>63</v>
      </c>
      <c r="E9804" s="3">
        <v>1</v>
      </c>
      <c r="F9804" s="4" t="str">
        <f>HYPERLINK("http://141.218.60.56/~jnz1568/getInfo.php?workbook=12_05.xlsx&amp;sheet=U0&amp;row=9804&amp;col=6&amp;number=3&amp;sourceID=14","3")</f>
        <v>3</v>
      </c>
      <c r="G9804" s="4" t="str">
        <f>HYPERLINK("http://141.218.60.56/~jnz1568/getInfo.php?workbook=12_05.xlsx&amp;sheet=U0&amp;row=9804&amp;col=7&amp;number=0.00261&amp;sourceID=14","0.00261")</f>
        <v>0.00261</v>
      </c>
    </row>
    <row r="9805" spans="1:7">
      <c r="A9805" s="3"/>
      <c r="B9805" s="3"/>
      <c r="C9805" s="3"/>
      <c r="D9805" s="3"/>
      <c r="E9805" s="3">
        <v>2</v>
      </c>
      <c r="F9805" s="4" t="str">
        <f>HYPERLINK("http://141.218.60.56/~jnz1568/getInfo.php?workbook=12_05.xlsx&amp;sheet=U0&amp;row=9805&amp;col=6&amp;number=3.1&amp;sourceID=14","3.1")</f>
        <v>3.1</v>
      </c>
      <c r="G9805" s="4" t="str">
        <f>HYPERLINK("http://141.218.60.56/~jnz1568/getInfo.php?workbook=12_05.xlsx&amp;sheet=U0&amp;row=9805&amp;col=7&amp;number=0.00261&amp;sourceID=14","0.00261")</f>
        <v>0.00261</v>
      </c>
    </row>
    <row r="9806" spans="1:7">
      <c r="A9806" s="3"/>
      <c r="B9806" s="3"/>
      <c r="C9806" s="3"/>
      <c r="D9806" s="3"/>
      <c r="E9806" s="3">
        <v>3</v>
      </c>
      <c r="F9806" s="4" t="str">
        <f>HYPERLINK("http://141.218.60.56/~jnz1568/getInfo.php?workbook=12_05.xlsx&amp;sheet=U0&amp;row=9806&amp;col=6&amp;number=3.2&amp;sourceID=14","3.2")</f>
        <v>3.2</v>
      </c>
      <c r="G9806" s="4" t="str">
        <f>HYPERLINK("http://141.218.60.56/~jnz1568/getInfo.php?workbook=12_05.xlsx&amp;sheet=U0&amp;row=9806&amp;col=7&amp;number=0.00261&amp;sourceID=14","0.00261")</f>
        <v>0.00261</v>
      </c>
    </row>
    <row r="9807" spans="1:7">
      <c r="A9807" s="3"/>
      <c r="B9807" s="3"/>
      <c r="C9807" s="3"/>
      <c r="D9807" s="3"/>
      <c r="E9807" s="3">
        <v>4</v>
      </c>
      <c r="F9807" s="4" t="str">
        <f>HYPERLINK("http://141.218.60.56/~jnz1568/getInfo.php?workbook=12_05.xlsx&amp;sheet=U0&amp;row=9807&amp;col=6&amp;number=3.3&amp;sourceID=14","3.3")</f>
        <v>3.3</v>
      </c>
      <c r="G9807" s="4" t="str">
        <f>HYPERLINK("http://141.218.60.56/~jnz1568/getInfo.php?workbook=12_05.xlsx&amp;sheet=U0&amp;row=9807&amp;col=7&amp;number=0.00261&amp;sourceID=14","0.00261")</f>
        <v>0.00261</v>
      </c>
    </row>
    <row r="9808" spans="1:7">
      <c r="A9808" s="3"/>
      <c r="B9808" s="3"/>
      <c r="C9808" s="3"/>
      <c r="D9808" s="3"/>
      <c r="E9808" s="3">
        <v>5</v>
      </c>
      <c r="F9808" s="4" t="str">
        <f>HYPERLINK("http://141.218.60.56/~jnz1568/getInfo.php?workbook=12_05.xlsx&amp;sheet=U0&amp;row=9808&amp;col=6&amp;number=3.4&amp;sourceID=14","3.4")</f>
        <v>3.4</v>
      </c>
      <c r="G9808" s="4" t="str">
        <f>HYPERLINK("http://141.218.60.56/~jnz1568/getInfo.php?workbook=12_05.xlsx&amp;sheet=U0&amp;row=9808&amp;col=7&amp;number=0.00261&amp;sourceID=14","0.00261")</f>
        <v>0.00261</v>
      </c>
    </row>
    <row r="9809" spans="1:7">
      <c r="A9809" s="3"/>
      <c r="B9809" s="3"/>
      <c r="C9809" s="3"/>
      <c r="D9809" s="3"/>
      <c r="E9809" s="3">
        <v>6</v>
      </c>
      <c r="F9809" s="4" t="str">
        <f>HYPERLINK("http://141.218.60.56/~jnz1568/getInfo.php?workbook=12_05.xlsx&amp;sheet=U0&amp;row=9809&amp;col=6&amp;number=3.5&amp;sourceID=14","3.5")</f>
        <v>3.5</v>
      </c>
      <c r="G9809" s="4" t="str">
        <f>HYPERLINK("http://141.218.60.56/~jnz1568/getInfo.php?workbook=12_05.xlsx&amp;sheet=U0&amp;row=9809&amp;col=7&amp;number=0.00261&amp;sourceID=14","0.00261")</f>
        <v>0.00261</v>
      </c>
    </row>
    <row r="9810" spans="1:7">
      <c r="A9810" s="3"/>
      <c r="B9810" s="3"/>
      <c r="C9810" s="3"/>
      <c r="D9810" s="3"/>
      <c r="E9810" s="3">
        <v>7</v>
      </c>
      <c r="F9810" s="4" t="str">
        <f>HYPERLINK("http://141.218.60.56/~jnz1568/getInfo.php?workbook=12_05.xlsx&amp;sheet=U0&amp;row=9810&amp;col=6&amp;number=3.6&amp;sourceID=14","3.6")</f>
        <v>3.6</v>
      </c>
      <c r="G9810" s="4" t="str">
        <f>HYPERLINK("http://141.218.60.56/~jnz1568/getInfo.php?workbook=12_05.xlsx&amp;sheet=U0&amp;row=9810&amp;col=7&amp;number=0.00261&amp;sourceID=14","0.00261")</f>
        <v>0.00261</v>
      </c>
    </row>
    <row r="9811" spans="1:7">
      <c r="A9811" s="3"/>
      <c r="B9811" s="3"/>
      <c r="C9811" s="3"/>
      <c r="D9811" s="3"/>
      <c r="E9811" s="3">
        <v>8</v>
      </c>
      <c r="F9811" s="4" t="str">
        <f>HYPERLINK("http://141.218.60.56/~jnz1568/getInfo.php?workbook=12_05.xlsx&amp;sheet=U0&amp;row=9811&amp;col=6&amp;number=3.7&amp;sourceID=14","3.7")</f>
        <v>3.7</v>
      </c>
      <c r="G9811" s="4" t="str">
        <f>HYPERLINK("http://141.218.60.56/~jnz1568/getInfo.php?workbook=12_05.xlsx&amp;sheet=U0&amp;row=9811&amp;col=7&amp;number=0.00261&amp;sourceID=14","0.00261")</f>
        <v>0.00261</v>
      </c>
    </row>
    <row r="9812" spans="1:7">
      <c r="A9812" s="3"/>
      <c r="B9812" s="3"/>
      <c r="C9812" s="3"/>
      <c r="D9812" s="3"/>
      <c r="E9812" s="3">
        <v>9</v>
      </c>
      <c r="F9812" s="4" t="str">
        <f>HYPERLINK("http://141.218.60.56/~jnz1568/getInfo.php?workbook=12_05.xlsx&amp;sheet=U0&amp;row=9812&amp;col=6&amp;number=3.8&amp;sourceID=14","3.8")</f>
        <v>3.8</v>
      </c>
      <c r="G9812" s="4" t="str">
        <f>HYPERLINK("http://141.218.60.56/~jnz1568/getInfo.php?workbook=12_05.xlsx&amp;sheet=U0&amp;row=9812&amp;col=7&amp;number=0.0026&amp;sourceID=14","0.0026")</f>
        <v>0.0026</v>
      </c>
    </row>
    <row r="9813" spans="1:7">
      <c r="A9813" s="3"/>
      <c r="B9813" s="3"/>
      <c r="C9813" s="3"/>
      <c r="D9813" s="3"/>
      <c r="E9813" s="3">
        <v>10</v>
      </c>
      <c r="F9813" s="4" t="str">
        <f>HYPERLINK("http://141.218.60.56/~jnz1568/getInfo.php?workbook=12_05.xlsx&amp;sheet=U0&amp;row=9813&amp;col=6&amp;number=3.9&amp;sourceID=14","3.9")</f>
        <v>3.9</v>
      </c>
      <c r="G9813" s="4" t="str">
        <f>HYPERLINK("http://141.218.60.56/~jnz1568/getInfo.php?workbook=12_05.xlsx&amp;sheet=U0&amp;row=9813&amp;col=7&amp;number=0.0026&amp;sourceID=14","0.0026")</f>
        <v>0.0026</v>
      </c>
    </row>
    <row r="9814" spans="1:7">
      <c r="A9814" s="3"/>
      <c r="B9814" s="3"/>
      <c r="C9814" s="3"/>
      <c r="D9814" s="3"/>
      <c r="E9814" s="3">
        <v>11</v>
      </c>
      <c r="F9814" s="4" t="str">
        <f>HYPERLINK("http://141.218.60.56/~jnz1568/getInfo.php?workbook=12_05.xlsx&amp;sheet=U0&amp;row=9814&amp;col=6&amp;number=4&amp;sourceID=14","4")</f>
        <v>4</v>
      </c>
      <c r="G9814" s="4" t="str">
        <f>HYPERLINK("http://141.218.60.56/~jnz1568/getInfo.php?workbook=12_05.xlsx&amp;sheet=U0&amp;row=9814&amp;col=7&amp;number=0.00259&amp;sourceID=14","0.00259")</f>
        <v>0.00259</v>
      </c>
    </row>
    <row r="9815" spans="1:7">
      <c r="A9815" s="3"/>
      <c r="B9815" s="3"/>
      <c r="C9815" s="3"/>
      <c r="D9815" s="3"/>
      <c r="E9815" s="3">
        <v>12</v>
      </c>
      <c r="F9815" s="4" t="str">
        <f>HYPERLINK("http://141.218.60.56/~jnz1568/getInfo.php?workbook=12_05.xlsx&amp;sheet=U0&amp;row=9815&amp;col=6&amp;number=4.1&amp;sourceID=14","4.1")</f>
        <v>4.1</v>
      </c>
      <c r="G9815" s="4" t="str">
        <f>HYPERLINK("http://141.218.60.56/~jnz1568/getInfo.php?workbook=12_05.xlsx&amp;sheet=U0&amp;row=9815&amp;col=7&amp;number=0.00259&amp;sourceID=14","0.00259")</f>
        <v>0.00259</v>
      </c>
    </row>
    <row r="9816" spans="1:7">
      <c r="A9816" s="3"/>
      <c r="B9816" s="3"/>
      <c r="C9816" s="3"/>
      <c r="D9816" s="3"/>
      <c r="E9816" s="3">
        <v>13</v>
      </c>
      <c r="F9816" s="4" t="str">
        <f>HYPERLINK("http://141.218.60.56/~jnz1568/getInfo.php?workbook=12_05.xlsx&amp;sheet=U0&amp;row=9816&amp;col=6&amp;number=4.2&amp;sourceID=14","4.2")</f>
        <v>4.2</v>
      </c>
      <c r="G9816" s="4" t="str">
        <f>HYPERLINK("http://141.218.60.56/~jnz1568/getInfo.php?workbook=12_05.xlsx&amp;sheet=U0&amp;row=9816&amp;col=7&amp;number=0.00258&amp;sourceID=14","0.00258")</f>
        <v>0.00258</v>
      </c>
    </row>
    <row r="9817" spans="1:7">
      <c r="A9817" s="3"/>
      <c r="B9817" s="3"/>
      <c r="C9817" s="3"/>
      <c r="D9817" s="3"/>
      <c r="E9817" s="3">
        <v>14</v>
      </c>
      <c r="F9817" s="4" t="str">
        <f>HYPERLINK("http://141.218.60.56/~jnz1568/getInfo.php?workbook=12_05.xlsx&amp;sheet=U0&amp;row=9817&amp;col=6&amp;number=4.3&amp;sourceID=14","4.3")</f>
        <v>4.3</v>
      </c>
      <c r="G9817" s="4" t="str">
        <f>HYPERLINK("http://141.218.60.56/~jnz1568/getInfo.php?workbook=12_05.xlsx&amp;sheet=U0&amp;row=9817&amp;col=7&amp;number=0.00257&amp;sourceID=14","0.00257")</f>
        <v>0.00257</v>
      </c>
    </row>
    <row r="9818" spans="1:7">
      <c r="A9818" s="3"/>
      <c r="B9818" s="3"/>
      <c r="C9818" s="3"/>
      <c r="D9818" s="3"/>
      <c r="E9818" s="3">
        <v>15</v>
      </c>
      <c r="F9818" s="4" t="str">
        <f>HYPERLINK("http://141.218.60.56/~jnz1568/getInfo.php?workbook=12_05.xlsx&amp;sheet=U0&amp;row=9818&amp;col=6&amp;number=4.4&amp;sourceID=14","4.4")</f>
        <v>4.4</v>
      </c>
      <c r="G9818" s="4" t="str">
        <f>HYPERLINK("http://141.218.60.56/~jnz1568/getInfo.php?workbook=12_05.xlsx&amp;sheet=U0&amp;row=9818&amp;col=7&amp;number=0.00256&amp;sourceID=14","0.00256")</f>
        <v>0.00256</v>
      </c>
    </row>
    <row r="9819" spans="1:7">
      <c r="A9819" s="3"/>
      <c r="B9819" s="3"/>
      <c r="C9819" s="3"/>
      <c r="D9819" s="3"/>
      <c r="E9819" s="3">
        <v>16</v>
      </c>
      <c r="F9819" s="4" t="str">
        <f>HYPERLINK("http://141.218.60.56/~jnz1568/getInfo.php?workbook=12_05.xlsx&amp;sheet=U0&amp;row=9819&amp;col=6&amp;number=4.5&amp;sourceID=14","4.5")</f>
        <v>4.5</v>
      </c>
      <c r="G9819" s="4" t="str">
        <f>HYPERLINK("http://141.218.60.56/~jnz1568/getInfo.php?workbook=12_05.xlsx&amp;sheet=U0&amp;row=9819&amp;col=7&amp;number=0.00254&amp;sourceID=14","0.00254")</f>
        <v>0.00254</v>
      </c>
    </row>
    <row r="9820" spans="1:7">
      <c r="A9820" s="3"/>
      <c r="B9820" s="3"/>
      <c r="C9820" s="3"/>
      <c r="D9820" s="3"/>
      <c r="E9820" s="3">
        <v>17</v>
      </c>
      <c r="F9820" s="4" t="str">
        <f>HYPERLINK("http://141.218.60.56/~jnz1568/getInfo.php?workbook=12_05.xlsx&amp;sheet=U0&amp;row=9820&amp;col=6&amp;number=4.6&amp;sourceID=14","4.6")</f>
        <v>4.6</v>
      </c>
      <c r="G9820" s="4" t="str">
        <f>HYPERLINK("http://141.218.60.56/~jnz1568/getInfo.php?workbook=12_05.xlsx&amp;sheet=U0&amp;row=9820&amp;col=7&amp;number=0.00252&amp;sourceID=14","0.00252")</f>
        <v>0.00252</v>
      </c>
    </row>
    <row r="9821" spans="1:7">
      <c r="A9821" s="3"/>
      <c r="B9821" s="3"/>
      <c r="C9821" s="3"/>
      <c r="D9821" s="3"/>
      <c r="E9821" s="3">
        <v>18</v>
      </c>
      <c r="F9821" s="4" t="str">
        <f>HYPERLINK("http://141.218.60.56/~jnz1568/getInfo.php?workbook=12_05.xlsx&amp;sheet=U0&amp;row=9821&amp;col=6&amp;number=4.7&amp;sourceID=14","4.7")</f>
        <v>4.7</v>
      </c>
      <c r="G9821" s="4" t="str">
        <f>HYPERLINK("http://141.218.60.56/~jnz1568/getInfo.php?workbook=12_05.xlsx&amp;sheet=U0&amp;row=9821&amp;col=7&amp;number=0.0025&amp;sourceID=14","0.0025")</f>
        <v>0.0025</v>
      </c>
    </row>
    <row r="9822" spans="1:7">
      <c r="A9822" s="3"/>
      <c r="B9822" s="3"/>
      <c r="C9822" s="3"/>
      <c r="D9822" s="3"/>
      <c r="E9822" s="3">
        <v>19</v>
      </c>
      <c r="F9822" s="4" t="str">
        <f>HYPERLINK("http://141.218.60.56/~jnz1568/getInfo.php?workbook=12_05.xlsx&amp;sheet=U0&amp;row=9822&amp;col=6&amp;number=4.8&amp;sourceID=14","4.8")</f>
        <v>4.8</v>
      </c>
      <c r="G9822" s="4" t="str">
        <f>HYPERLINK("http://141.218.60.56/~jnz1568/getInfo.php?workbook=12_05.xlsx&amp;sheet=U0&amp;row=9822&amp;col=7&amp;number=0.00247&amp;sourceID=14","0.00247")</f>
        <v>0.00247</v>
      </c>
    </row>
    <row r="9823" spans="1:7">
      <c r="A9823" s="3"/>
      <c r="B9823" s="3"/>
      <c r="C9823" s="3"/>
      <c r="D9823" s="3"/>
      <c r="E9823" s="3">
        <v>20</v>
      </c>
      <c r="F9823" s="4" t="str">
        <f>HYPERLINK("http://141.218.60.56/~jnz1568/getInfo.php?workbook=12_05.xlsx&amp;sheet=U0&amp;row=9823&amp;col=6&amp;number=4.9&amp;sourceID=14","4.9")</f>
        <v>4.9</v>
      </c>
      <c r="G9823" s="4" t="str">
        <f>HYPERLINK("http://141.218.60.56/~jnz1568/getInfo.php?workbook=12_05.xlsx&amp;sheet=U0&amp;row=9823&amp;col=7&amp;number=0.00244&amp;sourceID=14","0.00244")</f>
        <v>0.00244</v>
      </c>
    </row>
    <row r="9824" spans="1:7">
      <c r="A9824" s="3">
        <v>12</v>
      </c>
      <c r="B9824" s="3">
        <v>5</v>
      </c>
      <c r="C9824" s="3">
        <v>5</v>
      </c>
      <c r="D9824" s="3">
        <v>64</v>
      </c>
      <c r="E9824" s="3">
        <v>1</v>
      </c>
      <c r="F9824" s="4" t="str">
        <f>HYPERLINK("http://141.218.60.56/~jnz1568/getInfo.php?workbook=12_05.xlsx&amp;sheet=U0&amp;row=9824&amp;col=6&amp;number=3&amp;sourceID=14","3")</f>
        <v>3</v>
      </c>
      <c r="G9824" s="4" t="str">
        <f>HYPERLINK("http://141.218.60.56/~jnz1568/getInfo.php?workbook=12_05.xlsx&amp;sheet=U0&amp;row=9824&amp;col=7&amp;number=0.000219&amp;sourceID=14","0.000219")</f>
        <v>0.000219</v>
      </c>
    </row>
    <row r="9825" spans="1:7">
      <c r="A9825" s="3"/>
      <c r="B9825" s="3"/>
      <c r="C9825" s="3"/>
      <c r="D9825" s="3"/>
      <c r="E9825" s="3">
        <v>2</v>
      </c>
      <c r="F9825" s="4" t="str">
        <f>HYPERLINK("http://141.218.60.56/~jnz1568/getInfo.php?workbook=12_05.xlsx&amp;sheet=U0&amp;row=9825&amp;col=6&amp;number=3.1&amp;sourceID=14","3.1")</f>
        <v>3.1</v>
      </c>
      <c r="G9825" s="4" t="str">
        <f>HYPERLINK("http://141.218.60.56/~jnz1568/getInfo.php?workbook=12_05.xlsx&amp;sheet=U0&amp;row=9825&amp;col=7&amp;number=0.000219&amp;sourceID=14","0.000219")</f>
        <v>0.000219</v>
      </c>
    </row>
    <row r="9826" spans="1:7">
      <c r="A9826" s="3"/>
      <c r="B9826" s="3"/>
      <c r="C9826" s="3"/>
      <c r="D9826" s="3"/>
      <c r="E9826" s="3">
        <v>3</v>
      </c>
      <c r="F9826" s="4" t="str">
        <f>HYPERLINK("http://141.218.60.56/~jnz1568/getInfo.php?workbook=12_05.xlsx&amp;sheet=U0&amp;row=9826&amp;col=6&amp;number=3.2&amp;sourceID=14","3.2")</f>
        <v>3.2</v>
      </c>
      <c r="G9826" s="4" t="str">
        <f>HYPERLINK("http://141.218.60.56/~jnz1568/getInfo.php?workbook=12_05.xlsx&amp;sheet=U0&amp;row=9826&amp;col=7&amp;number=0.000219&amp;sourceID=14","0.000219")</f>
        <v>0.000219</v>
      </c>
    </row>
    <row r="9827" spans="1:7">
      <c r="A9827" s="3"/>
      <c r="B9827" s="3"/>
      <c r="C9827" s="3"/>
      <c r="D9827" s="3"/>
      <c r="E9827" s="3">
        <v>4</v>
      </c>
      <c r="F9827" s="4" t="str">
        <f>HYPERLINK("http://141.218.60.56/~jnz1568/getInfo.php?workbook=12_05.xlsx&amp;sheet=U0&amp;row=9827&amp;col=6&amp;number=3.3&amp;sourceID=14","3.3")</f>
        <v>3.3</v>
      </c>
      <c r="G9827" s="4" t="str">
        <f>HYPERLINK("http://141.218.60.56/~jnz1568/getInfo.php?workbook=12_05.xlsx&amp;sheet=U0&amp;row=9827&amp;col=7&amp;number=0.000219&amp;sourceID=14","0.000219")</f>
        <v>0.000219</v>
      </c>
    </row>
    <row r="9828" spans="1:7">
      <c r="A9828" s="3"/>
      <c r="B9828" s="3"/>
      <c r="C9828" s="3"/>
      <c r="D9828" s="3"/>
      <c r="E9828" s="3">
        <v>5</v>
      </c>
      <c r="F9828" s="4" t="str">
        <f>HYPERLINK("http://141.218.60.56/~jnz1568/getInfo.php?workbook=12_05.xlsx&amp;sheet=U0&amp;row=9828&amp;col=6&amp;number=3.4&amp;sourceID=14","3.4")</f>
        <v>3.4</v>
      </c>
      <c r="G9828" s="4" t="str">
        <f>HYPERLINK("http://141.218.60.56/~jnz1568/getInfo.php?workbook=12_05.xlsx&amp;sheet=U0&amp;row=9828&amp;col=7&amp;number=0.000219&amp;sourceID=14","0.000219")</f>
        <v>0.000219</v>
      </c>
    </row>
    <row r="9829" spans="1:7">
      <c r="A9829" s="3"/>
      <c r="B9829" s="3"/>
      <c r="C9829" s="3"/>
      <c r="D9829" s="3"/>
      <c r="E9829" s="3">
        <v>6</v>
      </c>
      <c r="F9829" s="4" t="str">
        <f>HYPERLINK("http://141.218.60.56/~jnz1568/getInfo.php?workbook=12_05.xlsx&amp;sheet=U0&amp;row=9829&amp;col=6&amp;number=3.5&amp;sourceID=14","3.5")</f>
        <v>3.5</v>
      </c>
      <c r="G9829" s="4" t="str">
        <f>HYPERLINK("http://141.218.60.56/~jnz1568/getInfo.php?workbook=12_05.xlsx&amp;sheet=U0&amp;row=9829&amp;col=7&amp;number=0.000219&amp;sourceID=14","0.000219")</f>
        <v>0.000219</v>
      </c>
    </row>
    <row r="9830" spans="1:7">
      <c r="A9830" s="3"/>
      <c r="B9830" s="3"/>
      <c r="C9830" s="3"/>
      <c r="D9830" s="3"/>
      <c r="E9830" s="3">
        <v>7</v>
      </c>
      <c r="F9830" s="4" t="str">
        <f>HYPERLINK("http://141.218.60.56/~jnz1568/getInfo.php?workbook=12_05.xlsx&amp;sheet=U0&amp;row=9830&amp;col=6&amp;number=3.6&amp;sourceID=14","3.6")</f>
        <v>3.6</v>
      </c>
      <c r="G9830" s="4" t="str">
        <f>HYPERLINK("http://141.218.60.56/~jnz1568/getInfo.php?workbook=12_05.xlsx&amp;sheet=U0&amp;row=9830&amp;col=7&amp;number=0.000219&amp;sourceID=14","0.000219")</f>
        <v>0.000219</v>
      </c>
    </row>
    <row r="9831" spans="1:7">
      <c r="A9831" s="3"/>
      <c r="B9831" s="3"/>
      <c r="C9831" s="3"/>
      <c r="D9831" s="3"/>
      <c r="E9831" s="3">
        <v>8</v>
      </c>
      <c r="F9831" s="4" t="str">
        <f>HYPERLINK("http://141.218.60.56/~jnz1568/getInfo.php?workbook=12_05.xlsx&amp;sheet=U0&amp;row=9831&amp;col=6&amp;number=3.7&amp;sourceID=14","3.7")</f>
        <v>3.7</v>
      </c>
      <c r="G9831" s="4" t="str">
        <f>HYPERLINK("http://141.218.60.56/~jnz1568/getInfo.php?workbook=12_05.xlsx&amp;sheet=U0&amp;row=9831&amp;col=7&amp;number=0.000219&amp;sourceID=14","0.000219")</f>
        <v>0.000219</v>
      </c>
    </row>
    <row r="9832" spans="1:7">
      <c r="A9832" s="3"/>
      <c r="B9832" s="3"/>
      <c r="C9832" s="3"/>
      <c r="D9832" s="3"/>
      <c r="E9832" s="3">
        <v>9</v>
      </c>
      <c r="F9832" s="4" t="str">
        <f>HYPERLINK("http://141.218.60.56/~jnz1568/getInfo.php?workbook=12_05.xlsx&amp;sheet=U0&amp;row=9832&amp;col=6&amp;number=3.8&amp;sourceID=14","3.8")</f>
        <v>3.8</v>
      </c>
      <c r="G9832" s="4" t="str">
        <f>HYPERLINK("http://141.218.60.56/~jnz1568/getInfo.php?workbook=12_05.xlsx&amp;sheet=U0&amp;row=9832&amp;col=7&amp;number=0.000218&amp;sourceID=14","0.000218")</f>
        <v>0.000218</v>
      </c>
    </row>
    <row r="9833" spans="1:7">
      <c r="A9833" s="3"/>
      <c r="B9833" s="3"/>
      <c r="C9833" s="3"/>
      <c r="D9833" s="3"/>
      <c r="E9833" s="3">
        <v>10</v>
      </c>
      <c r="F9833" s="4" t="str">
        <f>HYPERLINK("http://141.218.60.56/~jnz1568/getInfo.php?workbook=12_05.xlsx&amp;sheet=U0&amp;row=9833&amp;col=6&amp;number=3.9&amp;sourceID=14","3.9")</f>
        <v>3.9</v>
      </c>
      <c r="G9833" s="4" t="str">
        <f>HYPERLINK("http://141.218.60.56/~jnz1568/getInfo.php?workbook=12_05.xlsx&amp;sheet=U0&amp;row=9833&amp;col=7&amp;number=0.000218&amp;sourceID=14","0.000218")</f>
        <v>0.000218</v>
      </c>
    </row>
    <row r="9834" spans="1:7">
      <c r="A9834" s="3"/>
      <c r="B9834" s="3"/>
      <c r="C9834" s="3"/>
      <c r="D9834" s="3"/>
      <c r="E9834" s="3">
        <v>11</v>
      </c>
      <c r="F9834" s="4" t="str">
        <f>HYPERLINK("http://141.218.60.56/~jnz1568/getInfo.php?workbook=12_05.xlsx&amp;sheet=U0&amp;row=9834&amp;col=6&amp;number=4&amp;sourceID=14","4")</f>
        <v>4</v>
      </c>
      <c r="G9834" s="4" t="str">
        <f>HYPERLINK("http://141.218.60.56/~jnz1568/getInfo.php?workbook=12_05.xlsx&amp;sheet=U0&amp;row=9834&amp;col=7&amp;number=0.000218&amp;sourceID=14","0.000218")</f>
        <v>0.000218</v>
      </c>
    </row>
    <row r="9835" spans="1:7">
      <c r="A9835" s="3"/>
      <c r="B9835" s="3"/>
      <c r="C9835" s="3"/>
      <c r="D9835" s="3"/>
      <c r="E9835" s="3">
        <v>12</v>
      </c>
      <c r="F9835" s="4" t="str">
        <f>HYPERLINK("http://141.218.60.56/~jnz1568/getInfo.php?workbook=12_05.xlsx&amp;sheet=U0&amp;row=9835&amp;col=6&amp;number=4.1&amp;sourceID=14","4.1")</f>
        <v>4.1</v>
      </c>
      <c r="G9835" s="4" t="str">
        <f>HYPERLINK("http://141.218.60.56/~jnz1568/getInfo.php?workbook=12_05.xlsx&amp;sheet=U0&amp;row=9835&amp;col=7&amp;number=0.000217&amp;sourceID=14","0.000217")</f>
        <v>0.000217</v>
      </c>
    </row>
    <row r="9836" spans="1:7">
      <c r="A9836" s="3"/>
      <c r="B9836" s="3"/>
      <c r="C9836" s="3"/>
      <c r="D9836" s="3"/>
      <c r="E9836" s="3">
        <v>13</v>
      </c>
      <c r="F9836" s="4" t="str">
        <f>HYPERLINK("http://141.218.60.56/~jnz1568/getInfo.php?workbook=12_05.xlsx&amp;sheet=U0&amp;row=9836&amp;col=6&amp;number=4.2&amp;sourceID=14","4.2")</f>
        <v>4.2</v>
      </c>
      <c r="G9836" s="4" t="str">
        <f>HYPERLINK("http://141.218.60.56/~jnz1568/getInfo.php?workbook=12_05.xlsx&amp;sheet=U0&amp;row=9836&amp;col=7&amp;number=0.000216&amp;sourceID=14","0.000216")</f>
        <v>0.000216</v>
      </c>
    </row>
    <row r="9837" spans="1:7">
      <c r="A9837" s="3"/>
      <c r="B9837" s="3"/>
      <c r="C9837" s="3"/>
      <c r="D9837" s="3"/>
      <c r="E9837" s="3">
        <v>14</v>
      </c>
      <c r="F9837" s="4" t="str">
        <f>HYPERLINK("http://141.218.60.56/~jnz1568/getInfo.php?workbook=12_05.xlsx&amp;sheet=U0&amp;row=9837&amp;col=6&amp;number=4.3&amp;sourceID=14","4.3")</f>
        <v>4.3</v>
      </c>
      <c r="G9837" s="4" t="str">
        <f>HYPERLINK("http://141.218.60.56/~jnz1568/getInfo.php?workbook=12_05.xlsx&amp;sheet=U0&amp;row=9837&amp;col=7&amp;number=0.000216&amp;sourceID=14","0.000216")</f>
        <v>0.000216</v>
      </c>
    </row>
    <row r="9838" spans="1:7">
      <c r="A9838" s="3"/>
      <c r="B9838" s="3"/>
      <c r="C9838" s="3"/>
      <c r="D9838" s="3"/>
      <c r="E9838" s="3">
        <v>15</v>
      </c>
      <c r="F9838" s="4" t="str">
        <f>HYPERLINK("http://141.218.60.56/~jnz1568/getInfo.php?workbook=12_05.xlsx&amp;sheet=U0&amp;row=9838&amp;col=6&amp;number=4.4&amp;sourceID=14","4.4")</f>
        <v>4.4</v>
      </c>
      <c r="G9838" s="4" t="str">
        <f>HYPERLINK("http://141.218.60.56/~jnz1568/getInfo.php?workbook=12_05.xlsx&amp;sheet=U0&amp;row=9838&amp;col=7&amp;number=0.000215&amp;sourceID=14","0.000215")</f>
        <v>0.000215</v>
      </c>
    </row>
    <row r="9839" spans="1:7">
      <c r="A9839" s="3"/>
      <c r="B9839" s="3"/>
      <c r="C9839" s="3"/>
      <c r="D9839" s="3"/>
      <c r="E9839" s="3">
        <v>16</v>
      </c>
      <c r="F9839" s="4" t="str">
        <f>HYPERLINK("http://141.218.60.56/~jnz1568/getInfo.php?workbook=12_05.xlsx&amp;sheet=U0&amp;row=9839&amp;col=6&amp;number=4.5&amp;sourceID=14","4.5")</f>
        <v>4.5</v>
      </c>
      <c r="G9839" s="4" t="str">
        <f>HYPERLINK("http://141.218.60.56/~jnz1568/getInfo.php?workbook=12_05.xlsx&amp;sheet=U0&amp;row=9839&amp;col=7&amp;number=0.000213&amp;sourceID=14","0.000213")</f>
        <v>0.000213</v>
      </c>
    </row>
    <row r="9840" spans="1:7">
      <c r="A9840" s="3"/>
      <c r="B9840" s="3"/>
      <c r="C9840" s="3"/>
      <c r="D9840" s="3"/>
      <c r="E9840" s="3">
        <v>17</v>
      </c>
      <c r="F9840" s="4" t="str">
        <f>HYPERLINK("http://141.218.60.56/~jnz1568/getInfo.php?workbook=12_05.xlsx&amp;sheet=U0&amp;row=9840&amp;col=6&amp;number=4.6&amp;sourceID=14","4.6")</f>
        <v>4.6</v>
      </c>
      <c r="G9840" s="4" t="str">
        <f>HYPERLINK("http://141.218.60.56/~jnz1568/getInfo.php?workbook=12_05.xlsx&amp;sheet=U0&amp;row=9840&amp;col=7&amp;number=0.000212&amp;sourceID=14","0.000212")</f>
        <v>0.000212</v>
      </c>
    </row>
    <row r="9841" spans="1:7">
      <c r="A9841" s="3"/>
      <c r="B9841" s="3"/>
      <c r="C9841" s="3"/>
      <c r="D9841" s="3"/>
      <c r="E9841" s="3">
        <v>18</v>
      </c>
      <c r="F9841" s="4" t="str">
        <f>HYPERLINK("http://141.218.60.56/~jnz1568/getInfo.php?workbook=12_05.xlsx&amp;sheet=U0&amp;row=9841&amp;col=6&amp;number=4.7&amp;sourceID=14","4.7")</f>
        <v>4.7</v>
      </c>
      <c r="G9841" s="4" t="str">
        <f>HYPERLINK("http://141.218.60.56/~jnz1568/getInfo.php?workbook=12_05.xlsx&amp;sheet=U0&amp;row=9841&amp;col=7&amp;number=0.00021&amp;sourceID=14","0.00021")</f>
        <v>0.00021</v>
      </c>
    </row>
    <row r="9842" spans="1:7">
      <c r="A9842" s="3"/>
      <c r="B9842" s="3"/>
      <c r="C9842" s="3"/>
      <c r="D9842" s="3"/>
      <c r="E9842" s="3">
        <v>19</v>
      </c>
      <c r="F9842" s="4" t="str">
        <f>HYPERLINK("http://141.218.60.56/~jnz1568/getInfo.php?workbook=12_05.xlsx&amp;sheet=U0&amp;row=9842&amp;col=6&amp;number=4.8&amp;sourceID=14","4.8")</f>
        <v>4.8</v>
      </c>
      <c r="G9842" s="4" t="str">
        <f>HYPERLINK("http://141.218.60.56/~jnz1568/getInfo.php?workbook=12_05.xlsx&amp;sheet=U0&amp;row=9842&amp;col=7&amp;number=0.000207&amp;sourceID=14","0.000207")</f>
        <v>0.000207</v>
      </c>
    </row>
    <row r="9843" spans="1:7">
      <c r="A9843" s="3"/>
      <c r="B9843" s="3"/>
      <c r="C9843" s="3"/>
      <c r="D9843" s="3"/>
      <c r="E9843" s="3">
        <v>20</v>
      </c>
      <c r="F9843" s="4" t="str">
        <f>HYPERLINK("http://141.218.60.56/~jnz1568/getInfo.php?workbook=12_05.xlsx&amp;sheet=U0&amp;row=9843&amp;col=6&amp;number=4.9&amp;sourceID=14","4.9")</f>
        <v>4.9</v>
      </c>
      <c r="G9843" s="4" t="str">
        <f>HYPERLINK("http://141.218.60.56/~jnz1568/getInfo.php?workbook=12_05.xlsx&amp;sheet=U0&amp;row=9843&amp;col=7&amp;number=0.000205&amp;sourceID=14","0.000205")</f>
        <v>0.000205</v>
      </c>
    </row>
    <row r="9844" spans="1:7">
      <c r="A9844" s="3">
        <v>12</v>
      </c>
      <c r="B9844" s="3">
        <v>5</v>
      </c>
      <c r="C9844" s="3">
        <v>5</v>
      </c>
      <c r="D9844" s="3">
        <v>65</v>
      </c>
      <c r="E9844" s="3">
        <v>1</v>
      </c>
      <c r="F9844" s="4" t="str">
        <f>HYPERLINK("http://141.218.60.56/~jnz1568/getInfo.php?workbook=12_05.xlsx&amp;sheet=U0&amp;row=9844&amp;col=6&amp;number=3&amp;sourceID=14","3")</f>
        <v>3</v>
      </c>
      <c r="G9844" s="4" t="str">
        <f>HYPERLINK("http://141.218.60.56/~jnz1568/getInfo.php?workbook=12_05.xlsx&amp;sheet=U0&amp;row=9844&amp;col=7&amp;number=0.049&amp;sourceID=14","0.049")</f>
        <v>0.049</v>
      </c>
    </row>
    <row r="9845" spans="1:7">
      <c r="A9845" s="3"/>
      <c r="B9845" s="3"/>
      <c r="C9845" s="3"/>
      <c r="D9845" s="3"/>
      <c r="E9845" s="3">
        <v>2</v>
      </c>
      <c r="F9845" s="4" t="str">
        <f>HYPERLINK("http://141.218.60.56/~jnz1568/getInfo.php?workbook=12_05.xlsx&amp;sheet=U0&amp;row=9845&amp;col=6&amp;number=3.1&amp;sourceID=14","3.1")</f>
        <v>3.1</v>
      </c>
      <c r="G9845" s="4" t="str">
        <f>HYPERLINK("http://141.218.60.56/~jnz1568/getInfo.php?workbook=12_05.xlsx&amp;sheet=U0&amp;row=9845&amp;col=7&amp;number=0.049&amp;sourceID=14","0.049")</f>
        <v>0.049</v>
      </c>
    </row>
    <row r="9846" spans="1:7">
      <c r="A9846" s="3"/>
      <c r="B9846" s="3"/>
      <c r="C9846" s="3"/>
      <c r="D9846" s="3"/>
      <c r="E9846" s="3">
        <v>3</v>
      </c>
      <c r="F9846" s="4" t="str">
        <f>HYPERLINK("http://141.218.60.56/~jnz1568/getInfo.php?workbook=12_05.xlsx&amp;sheet=U0&amp;row=9846&amp;col=6&amp;number=3.2&amp;sourceID=14","3.2")</f>
        <v>3.2</v>
      </c>
      <c r="G9846" s="4" t="str">
        <f>HYPERLINK("http://141.218.60.56/~jnz1568/getInfo.php?workbook=12_05.xlsx&amp;sheet=U0&amp;row=9846&amp;col=7&amp;number=0.049&amp;sourceID=14","0.049")</f>
        <v>0.049</v>
      </c>
    </row>
    <row r="9847" spans="1:7">
      <c r="A9847" s="3"/>
      <c r="B9847" s="3"/>
      <c r="C9847" s="3"/>
      <c r="D9847" s="3"/>
      <c r="E9847" s="3">
        <v>4</v>
      </c>
      <c r="F9847" s="4" t="str">
        <f>HYPERLINK("http://141.218.60.56/~jnz1568/getInfo.php?workbook=12_05.xlsx&amp;sheet=U0&amp;row=9847&amp;col=6&amp;number=3.3&amp;sourceID=14","3.3")</f>
        <v>3.3</v>
      </c>
      <c r="G9847" s="4" t="str">
        <f>HYPERLINK("http://141.218.60.56/~jnz1568/getInfo.php?workbook=12_05.xlsx&amp;sheet=U0&amp;row=9847&amp;col=7&amp;number=0.049&amp;sourceID=14","0.049")</f>
        <v>0.049</v>
      </c>
    </row>
    <row r="9848" spans="1:7">
      <c r="A9848" s="3"/>
      <c r="B9848" s="3"/>
      <c r="C9848" s="3"/>
      <c r="D9848" s="3"/>
      <c r="E9848" s="3">
        <v>5</v>
      </c>
      <c r="F9848" s="4" t="str">
        <f>HYPERLINK("http://141.218.60.56/~jnz1568/getInfo.php?workbook=12_05.xlsx&amp;sheet=U0&amp;row=9848&amp;col=6&amp;number=3.4&amp;sourceID=14","3.4")</f>
        <v>3.4</v>
      </c>
      <c r="G9848" s="4" t="str">
        <f>HYPERLINK("http://141.218.60.56/~jnz1568/getInfo.php?workbook=12_05.xlsx&amp;sheet=U0&amp;row=9848&amp;col=7&amp;number=0.049&amp;sourceID=14","0.049")</f>
        <v>0.049</v>
      </c>
    </row>
    <row r="9849" spans="1:7">
      <c r="A9849" s="3"/>
      <c r="B9849" s="3"/>
      <c r="C9849" s="3"/>
      <c r="D9849" s="3"/>
      <c r="E9849" s="3">
        <v>6</v>
      </c>
      <c r="F9849" s="4" t="str">
        <f>HYPERLINK("http://141.218.60.56/~jnz1568/getInfo.php?workbook=12_05.xlsx&amp;sheet=U0&amp;row=9849&amp;col=6&amp;number=3.5&amp;sourceID=14","3.5")</f>
        <v>3.5</v>
      </c>
      <c r="G9849" s="4" t="str">
        <f>HYPERLINK("http://141.218.60.56/~jnz1568/getInfo.php?workbook=12_05.xlsx&amp;sheet=U0&amp;row=9849&amp;col=7&amp;number=0.0489&amp;sourceID=14","0.0489")</f>
        <v>0.0489</v>
      </c>
    </row>
    <row r="9850" spans="1:7">
      <c r="A9850" s="3"/>
      <c r="B9850" s="3"/>
      <c r="C9850" s="3"/>
      <c r="D9850" s="3"/>
      <c r="E9850" s="3">
        <v>7</v>
      </c>
      <c r="F9850" s="4" t="str">
        <f>HYPERLINK("http://141.218.60.56/~jnz1568/getInfo.php?workbook=12_05.xlsx&amp;sheet=U0&amp;row=9850&amp;col=6&amp;number=3.6&amp;sourceID=14","3.6")</f>
        <v>3.6</v>
      </c>
      <c r="G9850" s="4" t="str">
        <f>HYPERLINK("http://141.218.60.56/~jnz1568/getInfo.php?workbook=12_05.xlsx&amp;sheet=U0&amp;row=9850&amp;col=7&amp;number=0.0489&amp;sourceID=14","0.0489")</f>
        <v>0.0489</v>
      </c>
    </row>
    <row r="9851" spans="1:7">
      <c r="A9851" s="3"/>
      <c r="B9851" s="3"/>
      <c r="C9851" s="3"/>
      <c r="D9851" s="3"/>
      <c r="E9851" s="3">
        <v>8</v>
      </c>
      <c r="F9851" s="4" t="str">
        <f>HYPERLINK("http://141.218.60.56/~jnz1568/getInfo.php?workbook=12_05.xlsx&amp;sheet=U0&amp;row=9851&amp;col=6&amp;number=3.7&amp;sourceID=14","3.7")</f>
        <v>3.7</v>
      </c>
      <c r="G9851" s="4" t="str">
        <f>HYPERLINK("http://141.218.60.56/~jnz1568/getInfo.php?workbook=12_05.xlsx&amp;sheet=U0&amp;row=9851&amp;col=7&amp;number=0.0489&amp;sourceID=14","0.0489")</f>
        <v>0.0489</v>
      </c>
    </row>
    <row r="9852" spans="1:7">
      <c r="A9852" s="3"/>
      <c r="B9852" s="3"/>
      <c r="C9852" s="3"/>
      <c r="D9852" s="3"/>
      <c r="E9852" s="3">
        <v>9</v>
      </c>
      <c r="F9852" s="4" t="str">
        <f>HYPERLINK("http://141.218.60.56/~jnz1568/getInfo.php?workbook=12_05.xlsx&amp;sheet=U0&amp;row=9852&amp;col=6&amp;number=3.8&amp;sourceID=14","3.8")</f>
        <v>3.8</v>
      </c>
      <c r="G9852" s="4" t="str">
        <f>HYPERLINK("http://141.218.60.56/~jnz1568/getInfo.php?workbook=12_05.xlsx&amp;sheet=U0&amp;row=9852&amp;col=7&amp;number=0.0489&amp;sourceID=14","0.0489")</f>
        <v>0.0489</v>
      </c>
    </row>
    <row r="9853" spans="1:7">
      <c r="A9853" s="3"/>
      <c r="B9853" s="3"/>
      <c r="C9853" s="3"/>
      <c r="D9853" s="3"/>
      <c r="E9853" s="3">
        <v>10</v>
      </c>
      <c r="F9853" s="4" t="str">
        <f>HYPERLINK("http://141.218.60.56/~jnz1568/getInfo.php?workbook=12_05.xlsx&amp;sheet=U0&amp;row=9853&amp;col=6&amp;number=3.9&amp;sourceID=14","3.9")</f>
        <v>3.9</v>
      </c>
      <c r="G9853" s="4" t="str">
        <f>HYPERLINK("http://141.218.60.56/~jnz1568/getInfo.php?workbook=12_05.xlsx&amp;sheet=U0&amp;row=9853&amp;col=7&amp;number=0.0489&amp;sourceID=14","0.0489")</f>
        <v>0.0489</v>
      </c>
    </row>
    <row r="9854" spans="1:7">
      <c r="A9854" s="3"/>
      <c r="B9854" s="3"/>
      <c r="C9854" s="3"/>
      <c r="D9854" s="3"/>
      <c r="E9854" s="3">
        <v>11</v>
      </c>
      <c r="F9854" s="4" t="str">
        <f>HYPERLINK("http://141.218.60.56/~jnz1568/getInfo.php?workbook=12_05.xlsx&amp;sheet=U0&amp;row=9854&amp;col=6&amp;number=4&amp;sourceID=14","4")</f>
        <v>4</v>
      </c>
      <c r="G9854" s="4" t="str">
        <f>HYPERLINK("http://141.218.60.56/~jnz1568/getInfo.php?workbook=12_05.xlsx&amp;sheet=U0&amp;row=9854&amp;col=7&amp;number=0.0488&amp;sourceID=14","0.0488")</f>
        <v>0.0488</v>
      </c>
    </row>
    <row r="9855" spans="1:7">
      <c r="A9855" s="3"/>
      <c r="B9855" s="3"/>
      <c r="C9855" s="3"/>
      <c r="D9855" s="3"/>
      <c r="E9855" s="3">
        <v>12</v>
      </c>
      <c r="F9855" s="4" t="str">
        <f>HYPERLINK("http://141.218.60.56/~jnz1568/getInfo.php?workbook=12_05.xlsx&amp;sheet=U0&amp;row=9855&amp;col=6&amp;number=4.1&amp;sourceID=14","4.1")</f>
        <v>4.1</v>
      </c>
      <c r="G9855" s="4" t="str">
        <f>HYPERLINK("http://141.218.60.56/~jnz1568/getInfo.php?workbook=12_05.xlsx&amp;sheet=U0&amp;row=9855&amp;col=7&amp;number=0.0488&amp;sourceID=14","0.0488")</f>
        <v>0.0488</v>
      </c>
    </row>
    <row r="9856" spans="1:7">
      <c r="A9856" s="3"/>
      <c r="B9856" s="3"/>
      <c r="C9856" s="3"/>
      <c r="D9856" s="3"/>
      <c r="E9856" s="3">
        <v>13</v>
      </c>
      <c r="F9856" s="4" t="str">
        <f>HYPERLINK("http://141.218.60.56/~jnz1568/getInfo.php?workbook=12_05.xlsx&amp;sheet=U0&amp;row=9856&amp;col=6&amp;number=4.2&amp;sourceID=14","4.2")</f>
        <v>4.2</v>
      </c>
      <c r="G9856" s="4" t="str">
        <f>HYPERLINK("http://141.218.60.56/~jnz1568/getInfo.php?workbook=12_05.xlsx&amp;sheet=U0&amp;row=9856&amp;col=7&amp;number=0.0487&amp;sourceID=14","0.0487")</f>
        <v>0.0487</v>
      </c>
    </row>
    <row r="9857" spans="1:7">
      <c r="A9857" s="3"/>
      <c r="B9857" s="3"/>
      <c r="C9857" s="3"/>
      <c r="D9857" s="3"/>
      <c r="E9857" s="3">
        <v>14</v>
      </c>
      <c r="F9857" s="4" t="str">
        <f>HYPERLINK("http://141.218.60.56/~jnz1568/getInfo.php?workbook=12_05.xlsx&amp;sheet=U0&amp;row=9857&amp;col=6&amp;number=4.3&amp;sourceID=14","4.3")</f>
        <v>4.3</v>
      </c>
      <c r="G9857" s="4" t="str">
        <f>HYPERLINK("http://141.218.60.56/~jnz1568/getInfo.php?workbook=12_05.xlsx&amp;sheet=U0&amp;row=9857&amp;col=7&amp;number=0.0486&amp;sourceID=14","0.0486")</f>
        <v>0.0486</v>
      </c>
    </row>
    <row r="9858" spans="1:7">
      <c r="A9858" s="3"/>
      <c r="B9858" s="3"/>
      <c r="C9858" s="3"/>
      <c r="D9858" s="3"/>
      <c r="E9858" s="3">
        <v>15</v>
      </c>
      <c r="F9858" s="4" t="str">
        <f>HYPERLINK("http://141.218.60.56/~jnz1568/getInfo.php?workbook=12_05.xlsx&amp;sheet=U0&amp;row=9858&amp;col=6&amp;number=4.4&amp;sourceID=14","4.4")</f>
        <v>4.4</v>
      </c>
      <c r="G9858" s="4" t="str">
        <f>HYPERLINK("http://141.218.60.56/~jnz1568/getInfo.php?workbook=12_05.xlsx&amp;sheet=U0&amp;row=9858&amp;col=7&amp;number=0.0486&amp;sourceID=14","0.0486")</f>
        <v>0.0486</v>
      </c>
    </row>
    <row r="9859" spans="1:7">
      <c r="A9859" s="3"/>
      <c r="B9859" s="3"/>
      <c r="C9859" s="3"/>
      <c r="D9859" s="3"/>
      <c r="E9859" s="3">
        <v>16</v>
      </c>
      <c r="F9859" s="4" t="str">
        <f>HYPERLINK("http://141.218.60.56/~jnz1568/getInfo.php?workbook=12_05.xlsx&amp;sheet=U0&amp;row=9859&amp;col=6&amp;number=4.5&amp;sourceID=14","4.5")</f>
        <v>4.5</v>
      </c>
      <c r="G9859" s="4" t="str">
        <f>HYPERLINK("http://141.218.60.56/~jnz1568/getInfo.php?workbook=12_05.xlsx&amp;sheet=U0&amp;row=9859&amp;col=7&amp;number=0.0484&amp;sourceID=14","0.0484")</f>
        <v>0.0484</v>
      </c>
    </row>
    <row r="9860" spans="1:7">
      <c r="A9860" s="3"/>
      <c r="B9860" s="3"/>
      <c r="C9860" s="3"/>
      <c r="D9860" s="3"/>
      <c r="E9860" s="3">
        <v>17</v>
      </c>
      <c r="F9860" s="4" t="str">
        <f>HYPERLINK("http://141.218.60.56/~jnz1568/getInfo.php?workbook=12_05.xlsx&amp;sheet=U0&amp;row=9860&amp;col=6&amp;number=4.6&amp;sourceID=14","4.6")</f>
        <v>4.6</v>
      </c>
      <c r="G9860" s="4" t="str">
        <f>HYPERLINK("http://141.218.60.56/~jnz1568/getInfo.php?workbook=12_05.xlsx&amp;sheet=U0&amp;row=9860&amp;col=7&amp;number=0.0483&amp;sourceID=14","0.0483")</f>
        <v>0.0483</v>
      </c>
    </row>
    <row r="9861" spans="1:7">
      <c r="A9861" s="3"/>
      <c r="B9861" s="3"/>
      <c r="C9861" s="3"/>
      <c r="D9861" s="3"/>
      <c r="E9861" s="3">
        <v>18</v>
      </c>
      <c r="F9861" s="4" t="str">
        <f>HYPERLINK("http://141.218.60.56/~jnz1568/getInfo.php?workbook=12_05.xlsx&amp;sheet=U0&amp;row=9861&amp;col=6&amp;number=4.7&amp;sourceID=14","4.7")</f>
        <v>4.7</v>
      </c>
      <c r="G9861" s="4" t="str">
        <f>HYPERLINK("http://141.218.60.56/~jnz1568/getInfo.php?workbook=12_05.xlsx&amp;sheet=U0&amp;row=9861&amp;col=7&amp;number=0.0481&amp;sourceID=14","0.0481")</f>
        <v>0.0481</v>
      </c>
    </row>
    <row r="9862" spans="1:7">
      <c r="A9862" s="3"/>
      <c r="B9862" s="3"/>
      <c r="C9862" s="3"/>
      <c r="D9862" s="3"/>
      <c r="E9862" s="3">
        <v>19</v>
      </c>
      <c r="F9862" s="4" t="str">
        <f>HYPERLINK("http://141.218.60.56/~jnz1568/getInfo.php?workbook=12_05.xlsx&amp;sheet=U0&amp;row=9862&amp;col=6&amp;number=4.8&amp;sourceID=14","4.8")</f>
        <v>4.8</v>
      </c>
      <c r="G9862" s="4" t="str">
        <f>HYPERLINK("http://141.218.60.56/~jnz1568/getInfo.php?workbook=12_05.xlsx&amp;sheet=U0&amp;row=9862&amp;col=7&amp;number=0.0479&amp;sourceID=14","0.0479")</f>
        <v>0.0479</v>
      </c>
    </row>
    <row r="9863" spans="1:7">
      <c r="A9863" s="3"/>
      <c r="B9863" s="3"/>
      <c r="C9863" s="3"/>
      <c r="D9863" s="3"/>
      <c r="E9863" s="3">
        <v>20</v>
      </c>
      <c r="F9863" s="4" t="str">
        <f>HYPERLINK("http://141.218.60.56/~jnz1568/getInfo.php?workbook=12_05.xlsx&amp;sheet=U0&amp;row=9863&amp;col=6&amp;number=4.9&amp;sourceID=14","4.9")</f>
        <v>4.9</v>
      </c>
      <c r="G9863" s="4" t="str">
        <f>HYPERLINK("http://141.218.60.56/~jnz1568/getInfo.php?workbook=12_05.xlsx&amp;sheet=U0&amp;row=9863&amp;col=7&amp;number=0.0476&amp;sourceID=14","0.0476")</f>
        <v>0.0476</v>
      </c>
    </row>
    <row r="9864" spans="1:7">
      <c r="A9864" s="3">
        <v>12</v>
      </c>
      <c r="B9864" s="3">
        <v>5</v>
      </c>
      <c r="C9864" s="3">
        <v>5</v>
      </c>
      <c r="D9864" s="3">
        <v>66</v>
      </c>
      <c r="E9864" s="3">
        <v>1</v>
      </c>
      <c r="F9864" s="4" t="str">
        <f>HYPERLINK("http://141.218.60.56/~jnz1568/getInfo.php?workbook=12_05.xlsx&amp;sheet=U0&amp;row=9864&amp;col=6&amp;number=3&amp;sourceID=14","3")</f>
        <v>3</v>
      </c>
      <c r="G9864" s="4" t="str">
        <f>HYPERLINK("http://141.218.60.56/~jnz1568/getInfo.php?workbook=12_05.xlsx&amp;sheet=U0&amp;row=9864&amp;col=7&amp;number=0.0271&amp;sourceID=14","0.0271")</f>
        <v>0.0271</v>
      </c>
    </row>
    <row r="9865" spans="1:7">
      <c r="A9865" s="3"/>
      <c r="B9865" s="3"/>
      <c r="C9865" s="3"/>
      <c r="D9865" s="3"/>
      <c r="E9865" s="3">
        <v>2</v>
      </c>
      <c r="F9865" s="4" t="str">
        <f>HYPERLINK("http://141.218.60.56/~jnz1568/getInfo.php?workbook=12_05.xlsx&amp;sheet=U0&amp;row=9865&amp;col=6&amp;number=3.1&amp;sourceID=14","3.1")</f>
        <v>3.1</v>
      </c>
      <c r="G9865" s="4" t="str">
        <f>HYPERLINK("http://141.218.60.56/~jnz1568/getInfo.php?workbook=12_05.xlsx&amp;sheet=U0&amp;row=9865&amp;col=7&amp;number=0.0271&amp;sourceID=14","0.0271")</f>
        <v>0.0271</v>
      </c>
    </row>
    <row r="9866" spans="1:7">
      <c r="A9866" s="3"/>
      <c r="B9866" s="3"/>
      <c r="C9866" s="3"/>
      <c r="D9866" s="3"/>
      <c r="E9866" s="3">
        <v>3</v>
      </c>
      <c r="F9866" s="4" t="str">
        <f>HYPERLINK("http://141.218.60.56/~jnz1568/getInfo.php?workbook=12_05.xlsx&amp;sheet=U0&amp;row=9866&amp;col=6&amp;number=3.2&amp;sourceID=14","3.2")</f>
        <v>3.2</v>
      </c>
      <c r="G9866" s="4" t="str">
        <f>HYPERLINK("http://141.218.60.56/~jnz1568/getInfo.php?workbook=12_05.xlsx&amp;sheet=U0&amp;row=9866&amp;col=7&amp;number=0.0271&amp;sourceID=14","0.0271")</f>
        <v>0.0271</v>
      </c>
    </row>
    <row r="9867" spans="1:7">
      <c r="A9867" s="3"/>
      <c r="B9867" s="3"/>
      <c r="C9867" s="3"/>
      <c r="D9867" s="3"/>
      <c r="E9867" s="3">
        <v>4</v>
      </c>
      <c r="F9867" s="4" t="str">
        <f>HYPERLINK("http://141.218.60.56/~jnz1568/getInfo.php?workbook=12_05.xlsx&amp;sheet=U0&amp;row=9867&amp;col=6&amp;number=3.3&amp;sourceID=14","3.3")</f>
        <v>3.3</v>
      </c>
      <c r="G9867" s="4" t="str">
        <f>HYPERLINK("http://141.218.60.56/~jnz1568/getInfo.php?workbook=12_05.xlsx&amp;sheet=U0&amp;row=9867&amp;col=7&amp;number=0.0271&amp;sourceID=14","0.0271")</f>
        <v>0.0271</v>
      </c>
    </row>
    <row r="9868" spans="1:7">
      <c r="A9868" s="3"/>
      <c r="B9868" s="3"/>
      <c r="C9868" s="3"/>
      <c r="D9868" s="3"/>
      <c r="E9868" s="3">
        <v>5</v>
      </c>
      <c r="F9868" s="4" t="str">
        <f>HYPERLINK("http://141.218.60.56/~jnz1568/getInfo.php?workbook=12_05.xlsx&amp;sheet=U0&amp;row=9868&amp;col=6&amp;number=3.4&amp;sourceID=14","3.4")</f>
        <v>3.4</v>
      </c>
      <c r="G9868" s="4" t="str">
        <f>HYPERLINK("http://141.218.60.56/~jnz1568/getInfo.php?workbook=12_05.xlsx&amp;sheet=U0&amp;row=9868&amp;col=7&amp;number=0.0271&amp;sourceID=14","0.0271")</f>
        <v>0.0271</v>
      </c>
    </row>
    <row r="9869" spans="1:7">
      <c r="A9869" s="3"/>
      <c r="B9869" s="3"/>
      <c r="C9869" s="3"/>
      <c r="D9869" s="3"/>
      <c r="E9869" s="3">
        <v>6</v>
      </c>
      <c r="F9869" s="4" t="str">
        <f>HYPERLINK("http://141.218.60.56/~jnz1568/getInfo.php?workbook=12_05.xlsx&amp;sheet=U0&amp;row=9869&amp;col=6&amp;number=3.5&amp;sourceID=14","3.5")</f>
        <v>3.5</v>
      </c>
      <c r="G9869" s="4" t="str">
        <f>HYPERLINK("http://141.218.60.56/~jnz1568/getInfo.php?workbook=12_05.xlsx&amp;sheet=U0&amp;row=9869&amp;col=7&amp;number=0.0271&amp;sourceID=14","0.0271")</f>
        <v>0.0271</v>
      </c>
    </row>
    <row r="9870" spans="1:7">
      <c r="A9870" s="3"/>
      <c r="B9870" s="3"/>
      <c r="C9870" s="3"/>
      <c r="D9870" s="3"/>
      <c r="E9870" s="3">
        <v>7</v>
      </c>
      <c r="F9870" s="4" t="str">
        <f>HYPERLINK("http://141.218.60.56/~jnz1568/getInfo.php?workbook=12_05.xlsx&amp;sheet=U0&amp;row=9870&amp;col=6&amp;number=3.6&amp;sourceID=14","3.6")</f>
        <v>3.6</v>
      </c>
      <c r="G9870" s="4" t="str">
        <f>HYPERLINK("http://141.218.60.56/~jnz1568/getInfo.php?workbook=12_05.xlsx&amp;sheet=U0&amp;row=9870&amp;col=7&amp;number=0.0271&amp;sourceID=14","0.0271")</f>
        <v>0.0271</v>
      </c>
    </row>
    <row r="9871" spans="1:7">
      <c r="A9871" s="3"/>
      <c r="B9871" s="3"/>
      <c r="C9871" s="3"/>
      <c r="D9871" s="3"/>
      <c r="E9871" s="3">
        <v>8</v>
      </c>
      <c r="F9871" s="4" t="str">
        <f>HYPERLINK("http://141.218.60.56/~jnz1568/getInfo.php?workbook=12_05.xlsx&amp;sheet=U0&amp;row=9871&amp;col=6&amp;number=3.7&amp;sourceID=14","3.7")</f>
        <v>3.7</v>
      </c>
      <c r="G9871" s="4" t="str">
        <f>HYPERLINK("http://141.218.60.56/~jnz1568/getInfo.php?workbook=12_05.xlsx&amp;sheet=U0&amp;row=9871&amp;col=7&amp;number=0.0271&amp;sourceID=14","0.0271")</f>
        <v>0.0271</v>
      </c>
    </row>
    <row r="9872" spans="1:7">
      <c r="A9872" s="3"/>
      <c r="B9872" s="3"/>
      <c r="C9872" s="3"/>
      <c r="D9872" s="3"/>
      <c r="E9872" s="3">
        <v>9</v>
      </c>
      <c r="F9872" s="4" t="str">
        <f>HYPERLINK("http://141.218.60.56/~jnz1568/getInfo.php?workbook=12_05.xlsx&amp;sheet=U0&amp;row=9872&amp;col=6&amp;number=3.8&amp;sourceID=14","3.8")</f>
        <v>3.8</v>
      </c>
      <c r="G9872" s="4" t="str">
        <f>HYPERLINK("http://141.218.60.56/~jnz1568/getInfo.php?workbook=12_05.xlsx&amp;sheet=U0&amp;row=9872&amp;col=7&amp;number=0.0271&amp;sourceID=14","0.0271")</f>
        <v>0.0271</v>
      </c>
    </row>
    <row r="9873" spans="1:7">
      <c r="A9873" s="3"/>
      <c r="B9873" s="3"/>
      <c r="C9873" s="3"/>
      <c r="D9873" s="3"/>
      <c r="E9873" s="3">
        <v>10</v>
      </c>
      <c r="F9873" s="4" t="str">
        <f>HYPERLINK("http://141.218.60.56/~jnz1568/getInfo.php?workbook=12_05.xlsx&amp;sheet=U0&amp;row=9873&amp;col=6&amp;number=3.9&amp;sourceID=14","3.9")</f>
        <v>3.9</v>
      </c>
      <c r="G9873" s="4" t="str">
        <f>HYPERLINK("http://141.218.60.56/~jnz1568/getInfo.php?workbook=12_05.xlsx&amp;sheet=U0&amp;row=9873&amp;col=7&amp;number=0.0272&amp;sourceID=14","0.0272")</f>
        <v>0.0272</v>
      </c>
    </row>
    <row r="9874" spans="1:7">
      <c r="A9874" s="3"/>
      <c r="B9874" s="3"/>
      <c r="C9874" s="3"/>
      <c r="D9874" s="3"/>
      <c r="E9874" s="3">
        <v>11</v>
      </c>
      <c r="F9874" s="4" t="str">
        <f>HYPERLINK("http://141.218.60.56/~jnz1568/getInfo.php?workbook=12_05.xlsx&amp;sheet=U0&amp;row=9874&amp;col=6&amp;number=4&amp;sourceID=14","4")</f>
        <v>4</v>
      </c>
      <c r="G9874" s="4" t="str">
        <f>HYPERLINK("http://141.218.60.56/~jnz1568/getInfo.php?workbook=12_05.xlsx&amp;sheet=U0&amp;row=9874&amp;col=7&amp;number=0.0272&amp;sourceID=14","0.0272")</f>
        <v>0.0272</v>
      </c>
    </row>
    <row r="9875" spans="1:7">
      <c r="A9875" s="3"/>
      <c r="B9875" s="3"/>
      <c r="C9875" s="3"/>
      <c r="D9875" s="3"/>
      <c r="E9875" s="3">
        <v>12</v>
      </c>
      <c r="F9875" s="4" t="str">
        <f>HYPERLINK("http://141.218.60.56/~jnz1568/getInfo.php?workbook=12_05.xlsx&amp;sheet=U0&amp;row=9875&amp;col=6&amp;number=4.1&amp;sourceID=14","4.1")</f>
        <v>4.1</v>
      </c>
      <c r="G9875" s="4" t="str">
        <f>HYPERLINK("http://141.218.60.56/~jnz1568/getInfo.php?workbook=12_05.xlsx&amp;sheet=U0&amp;row=9875&amp;col=7&amp;number=0.0272&amp;sourceID=14","0.0272")</f>
        <v>0.0272</v>
      </c>
    </row>
    <row r="9876" spans="1:7">
      <c r="A9876" s="3"/>
      <c r="B9876" s="3"/>
      <c r="C9876" s="3"/>
      <c r="D9876" s="3"/>
      <c r="E9876" s="3">
        <v>13</v>
      </c>
      <c r="F9876" s="4" t="str">
        <f>HYPERLINK("http://141.218.60.56/~jnz1568/getInfo.php?workbook=12_05.xlsx&amp;sheet=U0&amp;row=9876&amp;col=6&amp;number=4.2&amp;sourceID=14","4.2")</f>
        <v>4.2</v>
      </c>
      <c r="G9876" s="4" t="str">
        <f>HYPERLINK("http://141.218.60.56/~jnz1568/getInfo.php?workbook=12_05.xlsx&amp;sheet=U0&amp;row=9876&amp;col=7&amp;number=0.0272&amp;sourceID=14","0.0272")</f>
        <v>0.0272</v>
      </c>
    </row>
    <row r="9877" spans="1:7">
      <c r="A9877" s="3"/>
      <c r="B9877" s="3"/>
      <c r="C9877" s="3"/>
      <c r="D9877" s="3"/>
      <c r="E9877" s="3">
        <v>14</v>
      </c>
      <c r="F9877" s="4" t="str">
        <f>HYPERLINK("http://141.218.60.56/~jnz1568/getInfo.php?workbook=12_05.xlsx&amp;sheet=U0&amp;row=9877&amp;col=6&amp;number=4.3&amp;sourceID=14","4.3")</f>
        <v>4.3</v>
      </c>
      <c r="G9877" s="4" t="str">
        <f>HYPERLINK("http://141.218.60.56/~jnz1568/getInfo.php?workbook=12_05.xlsx&amp;sheet=U0&amp;row=9877&amp;col=7&amp;number=0.0273&amp;sourceID=14","0.0273")</f>
        <v>0.0273</v>
      </c>
    </row>
    <row r="9878" spans="1:7">
      <c r="A9878" s="3"/>
      <c r="B9878" s="3"/>
      <c r="C9878" s="3"/>
      <c r="D9878" s="3"/>
      <c r="E9878" s="3">
        <v>15</v>
      </c>
      <c r="F9878" s="4" t="str">
        <f>HYPERLINK("http://141.218.60.56/~jnz1568/getInfo.php?workbook=12_05.xlsx&amp;sheet=U0&amp;row=9878&amp;col=6&amp;number=4.4&amp;sourceID=14","4.4")</f>
        <v>4.4</v>
      </c>
      <c r="G9878" s="4" t="str">
        <f>HYPERLINK("http://141.218.60.56/~jnz1568/getInfo.php?workbook=12_05.xlsx&amp;sheet=U0&amp;row=9878&amp;col=7&amp;number=0.0273&amp;sourceID=14","0.0273")</f>
        <v>0.0273</v>
      </c>
    </row>
    <row r="9879" spans="1:7">
      <c r="A9879" s="3"/>
      <c r="B9879" s="3"/>
      <c r="C9879" s="3"/>
      <c r="D9879" s="3"/>
      <c r="E9879" s="3">
        <v>16</v>
      </c>
      <c r="F9879" s="4" t="str">
        <f>HYPERLINK("http://141.218.60.56/~jnz1568/getInfo.php?workbook=12_05.xlsx&amp;sheet=U0&amp;row=9879&amp;col=6&amp;number=4.5&amp;sourceID=14","4.5")</f>
        <v>4.5</v>
      </c>
      <c r="G9879" s="4" t="str">
        <f>HYPERLINK("http://141.218.60.56/~jnz1568/getInfo.php?workbook=12_05.xlsx&amp;sheet=U0&amp;row=9879&amp;col=7&amp;number=0.0274&amp;sourceID=14","0.0274")</f>
        <v>0.0274</v>
      </c>
    </row>
    <row r="9880" spans="1:7">
      <c r="A9880" s="3"/>
      <c r="B9880" s="3"/>
      <c r="C9880" s="3"/>
      <c r="D9880" s="3"/>
      <c r="E9880" s="3">
        <v>17</v>
      </c>
      <c r="F9880" s="4" t="str">
        <f>HYPERLINK("http://141.218.60.56/~jnz1568/getInfo.php?workbook=12_05.xlsx&amp;sheet=U0&amp;row=9880&amp;col=6&amp;number=4.6&amp;sourceID=14","4.6")</f>
        <v>4.6</v>
      </c>
      <c r="G9880" s="4" t="str">
        <f>HYPERLINK("http://141.218.60.56/~jnz1568/getInfo.php?workbook=12_05.xlsx&amp;sheet=U0&amp;row=9880&amp;col=7&amp;number=0.0274&amp;sourceID=14","0.0274")</f>
        <v>0.0274</v>
      </c>
    </row>
    <row r="9881" spans="1:7">
      <c r="A9881" s="3"/>
      <c r="B9881" s="3"/>
      <c r="C9881" s="3"/>
      <c r="D9881" s="3"/>
      <c r="E9881" s="3">
        <v>18</v>
      </c>
      <c r="F9881" s="4" t="str">
        <f>HYPERLINK("http://141.218.60.56/~jnz1568/getInfo.php?workbook=12_05.xlsx&amp;sheet=U0&amp;row=9881&amp;col=6&amp;number=4.7&amp;sourceID=14","4.7")</f>
        <v>4.7</v>
      </c>
      <c r="G9881" s="4" t="str">
        <f>HYPERLINK("http://141.218.60.56/~jnz1568/getInfo.php?workbook=12_05.xlsx&amp;sheet=U0&amp;row=9881&amp;col=7&amp;number=0.0275&amp;sourceID=14","0.0275")</f>
        <v>0.0275</v>
      </c>
    </row>
    <row r="9882" spans="1:7">
      <c r="A9882" s="3"/>
      <c r="B9882" s="3"/>
      <c r="C9882" s="3"/>
      <c r="D9882" s="3"/>
      <c r="E9882" s="3">
        <v>19</v>
      </c>
      <c r="F9882" s="4" t="str">
        <f>HYPERLINK("http://141.218.60.56/~jnz1568/getInfo.php?workbook=12_05.xlsx&amp;sheet=U0&amp;row=9882&amp;col=6&amp;number=4.8&amp;sourceID=14","4.8")</f>
        <v>4.8</v>
      </c>
      <c r="G9882" s="4" t="str">
        <f>HYPERLINK("http://141.218.60.56/~jnz1568/getInfo.php?workbook=12_05.xlsx&amp;sheet=U0&amp;row=9882&amp;col=7&amp;number=0.0276&amp;sourceID=14","0.0276")</f>
        <v>0.0276</v>
      </c>
    </row>
    <row r="9883" spans="1:7">
      <c r="A9883" s="3"/>
      <c r="B9883" s="3"/>
      <c r="C9883" s="3"/>
      <c r="D9883" s="3"/>
      <c r="E9883" s="3">
        <v>20</v>
      </c>
      <c r="F9883" s="4" t="str">
        <f>HYPERLINK("http://141.218.60.56/~jnz1568/getInfo.php?workbook=12_05.xlsx&amp;sheet=U0&amp;row=9883&amp;col=6&amp;number=4.9&amp;sourceID=14","4.9")</f>
        <v>4.9</v>
      </c>
      <c r="G9883" s="4" t="str">
        <f>HYPERLINK("http://141.218.60.56/~jnz1568/getInfo.php?workbook=12_05.xlsx&amp;sheet=U0&amp;row=9883&amp;col=7&amp;number=0.0278&amp;sourceID=14","0.0278")</f>
        <v>0.0278</v>
      </c>
    </row>
    <row r="9884" spans="1:7">
      <c r="A9884" s="3">
        <v>12</v>
      </c>
      <c r="B9884" s="3">
        <v>5</v>
      </c>
      <c r="C9884" s="3">
        <v>5</v>
      </c>
      <c r="D9884" s="3">
        <v>67</v>
      </c>
      <c r="E9884" s="3">
        <v>1</v>
      </c>
      <c r="F9884" s="4" t="str">
        <f>HYPERLINK("http://141.218.60.56/~jnz1568/getInfo.php?workbook=12_05.xlsx&amp;sheet=U0&amp;row=9884&amp;col=6&amp;number=3&amp;sourceID=14","3")</f>
        <v>3</v>
      </c>
      <c r="G9884" s="4" t="str">
        <f>HYPERLINK("http://141.218.60.56/~jnz1568/getInfo.php?workbook=12_05.xlsx&amp;sheet=U0&amp;row=9884&amp;col=7&amp;number=0.044&amp;sourceID=14","0.044")</f>
        <v>0.044</v>
      </c>
    </row>
    <row r="9885" spans="1:7">
      <c r="A9885" s="3"/>
      <c r="B9885" s="3"/>
      <c r="C9885" s="3"/>
      <c r="D9885" s="3"/>
      <c r="E9885" s="3">
        <v>2</v>
      </c>
      <c r="F9885" s="4" t="str">
        <f>HYPERLINK("http://141.218.60.56/~jnz1568/getInfo.php?workbook=12_05.xlsx&amp;sheet=U0&amp;row=9885&amp;col=6&amp;number=3.1&amp;sourceID=14","3.1")</f>
        <v>3.1</v>
      </c>
      <c r="G9885" s="4" t="str">
        <f>HYPERLINK("http://141.218.60.56/~jnz1568/getInfo.php?workbook=12_05.xlsx&amp;sheet=U0&amp;row=9885&amp;col=7&amp;number=0.044&amp;sourceID=14","0.044")</f>
        <v>0.044</v>
      </c>
    </row>
    <row r="9886" spans="1:7">
      <c r="A9886" s="3"/>
      <c r="B9886" s="3"/>
      <c r="C9886" s="3"/>
      <c r="D9886" s="3"/>
      <c r="E9886" s="3">
        <v>3</v>
      </c>
      <c r="F9886" s="4" t="str">
        <f>HYPERLINK("http://141.218.60.56/~jnz1568/getInfo.php?workbook=12_05.xlsx&amp;sheet=U0&amp;row=9886&amp;col=6&amp;number=3.2&amp;sourceID=14","3.2")</f>
        <v>3.2</v>
      </c>
      <c r="G9886" s="4" t="str">
        <f>HYPERLINK("http://141.218.60.56/~jnz1568/getInfo.php?workbook=12_05.xlsx&amp;sheet=U0&amp;row=9886&amp;col=7&amp;number=0.044&amp;sourceID=14","0.044")</f>
        <v>0.044</v>
      </c>
    </row>
    <row r="9887" spans="1:7">
      <c r="A9887" s="3"/>
      <c r="B9887" s="3"/>
      <c r="C9887" s="3"/>
      <c r="D9887" s="3"/>
      <c r="E9887" s="3">
        <v>4</v>
      </c>
      <c r="F9887" s="4" t="str">
        <f>HYPERLINK("http://141.218.60.56/~jnz1568/getInfo.php?workbook=12_05.xlsx&amp;sheet=U0&amp;row=9887&amp;col=6&amp;number=3.3&amp;sourceID=14","3.3")</f>
        <v>3.3</v>
      </c>
      <c r="G9887" s="4" t="str">
        <f>HYPERLINK("http://141.218.60.56/~jnz1568/getInfo.php?workbook=12_05.xlsx&amp;sheet=U0&amp;row=9887&amp;col=7&amp;number=0.044&amp;sourceID=14","0.044")</f>
        <v>0.044</v>
      </c>
    </row>
    <row r="9888" spans="1:7">
      <c r="A9888" s="3"/>
      <c r="B9888" s="3"/>
      <c r="C9888" s="3"/>
      <c r="D9888" s="3"/>
      <c r="E9888" s="3">
        <v>5</v>
      </c>
      <c r="F9888" s="4" t="str">
        <f>HYPERLINK("http://141.218.60.56/~jnz1568/getInfo.php?workbook=12_05.xlsx&amp;sheet=U0&amp;row=9888&amp;col=6&amp;number=3.4&amp;sourceID=14","3.4")</f>
        <v>3.4</v>
      </c>
      <c r="G9888" s="4" t="str">
        <f>HYPERLINK("http://141.218.60.56/~jnz1568/getInfo.php?workbook=12_05.xlsx&amp;sheet=U0&amp;row=9888&amp;col=7&amp;number=0.0441&amp;sourceID=14","0.0441")</f>
        <v>0.0441</v>
      </c>
    </row>
    <row r="9889" spans="1:7">
      <c r="A9889" s="3"/>
      <c r="B9889" s="3"/>
      <c r="C9889" s="3"/>
      <c r="D9889" s="3"/>
      <c r="E9889" s="3">
        <v>6</v>
      </c>
      <c r="F9889" s="4" t="str">
        <f>HYPERLINK("http://141.218.60.56/~jnz1568/getInfo.php?workbook=12_05.xlsx&amp;sheet=U0&amp;row=9889&amp;col=6&amp;number=3.5&amp;sourceID=14","3.5")</f>
        <v>3.5</v>
      </c>
      <c r="G9889" s="4" t="str">
        <f>HYPERLINK("http://141.218.60.56/~jnz1568/getInfo.php?workbook=12_05.xlsx&amp;sheet=U0&amp;row=9889&amp;col=7&amp;number=0.0441&amp;sourceID=14","0.0441")</f>
        <v>0.0441</v>
      </c>
    </row>
    <row r="9890" spans="1:7">
      <c r="A9890" s="3"/>
      <c r="B9890" s="3"/>
      <c r="C9890" s="3"/>
      <c r="D9890" s="3"/>
      <c r="E9890" s="3">
        <v>7</v>
      </c>
      <c r="F9890" s="4" t="str">
        <f>HYPERLINK("http://141.218.60.56/~jnz1568/getInfo.php?workbook=12_05.xlsx&amp;sheet=U0&amp;row=9890&amp;col=6&amp;number=3.6&amp;sourceID=14","3.6")</f>
        <v>3.6</v>
      </c>
      <c r="G9890" s="4" t="str">
        <f>HYPERLINK("http://141.218.60.56/~jnz1568/getInfo.php?workbook=12_05.xlsx&amp;sheet=U0&amp;row=9890&amp;col=7&amp;number=0.0441&amp;sourceID=14","0.0441")</f>
        <v>0.0441</v>
      </c>
    </row>
    <row r="9891" spans="1:7">
      <c r="A9891" s="3"/>
      <c r="B9891" s="3"/>
      <c r="C9891" s="3"/>
      <c r="D9891" s="3"/>
      <c r="E9891" s="3">
        <v>8</v>
      </c>
      <c r="F9891" s="4" t="str">
        <f>HYPERLINK("http://141.218.60.56/~jnz1568/getInfo.php?workbook=12_05.xlsx&amp;sheet=U0&amp;row=9891&amp;col=6&amp;number=3.7&amp;sourceID=14","3.7")</f>
        <v>3.7</v>
      </c>
      <c r="G9891" s="4" t="str">
        <f>HYPERLINK("http://141.218.60.56/~jnz1568/getInfo.php?workbook=12_05.xlsx&amp;sheet=U0&amp;row=9891&amp;col=7&amp;number=0.0441&amp;sourceID=14","0.0441")</f>
        <v>0.0441</v>
      </c>
    </row>
    <row r="9892" spans="1:7">
      <c r="A9892" s="3"/>
      <c r="B9892" s="3"/>
      <c r="C9892" s="3"/>
      <c r="D9892" s="3"/>
      <c r="E9892" s="3">
        <v>9</v>
      </c>
      <c r="F9892" s="4" t="str">
        <f>HYPERLINK("http://141.218.60.56/~jnz1568/getInfo.php?workbook=12_05.xlsx&amp;sheet=U0&amp;row=9892&amp;col=6&amp;number=3.8&amp;sourceID=14","3.8")</f>
        <v>3.8</v>
      </c>
      <c r="G9892" s="4" t="str">
        <f>HYPERLINK("http://141.218.60.56/~jnz1568/getInfo.php?workbook=12_05.xlsx&amp;sheet=U0&amp;row=9892&amp;col=7&amp;number=0.0441&amp;sourceID=14","0.0441")</f>
        <v>0.0441</v>
      </c>
    </row>
    <row r="9893" spans="1:7">
      <c r="A9893" s="3"/>
      <c r="B9893" s="3"/>
      <c r="C9893" s="3"/>
      <c r="D9893" s="3"/>
      <c r="E9893" s="3">
        <v>10</v>
      </c>
      <c r="F9893" s="4" t="str">
        <f>HYPERLINK("http://141.218.60.56/~jnz1568/getInfo.php?workbook=12_05.xlsx&amp;sheet=U0&amp;row=9893&amp;col=6&amp;number=3.9&amp;sourceID=14","3.9")</f>
        <v>3.9</v>
      </c>
      <c r="G9893" s="4" t="str">
        <f>HYPERLINK("http://141.218.60.56/~jnz1568/getInfo.php?workbook=12_05.xlsx&amp;sheet=U0&amp;row=9893&amp;col=7&amp;number=0.0442&amp;sourceID=14","0.0442")</f>
        <v>0.0442</v>
      </c>
    </row>
    <row r="9894" spans="1:7">
      <c r="A9894" s="3"/>
      <c r="B9894" s="3"/>
      <c r="C9894" s="3"/>
      <c r="D9894" s="3"/>
      <c r="E9894" s="3">
        <v>11</v>
      </c>
      <c r="F9894" s="4" t="str">
        <f>HYPERLINK("http://141.218.60.56/~jnz1568/getInfo.php?workbook=12_05.xlsx&amp;sheet=U0&amp;row=9894&amp;col=6&amp;number=4&amp;sourceID=14","4")</f>
        <v>4</v>
      </c>
      <c r="G9894" s="4" t="str">
        <f>HYPERLINK("http://141.218.60.56/~jnz1568/getInfo.php?workbook=12_05.xlsx&amp;sheet=U0&amp;row=9894&amp;col=7&amp;number=0.0442&amp;sourceID=14","0.0442")</f>
        <v>0.0442</v>
      </c>
    </row>
    <row r="9895" spans="1:7">
      <c r="A9895" s="3"/>
      <c r="B9895" s="3"/>
      <c r="C9895" s="3"/>
      <c r="D9895" s="3"/>
      <c r="E9895" s="3">
        <v>12</v>
      </c>
      <c r="F9895" s="4" t="str">
        <f>HYPERLINK("http://141.218.60.56/~jnz1568/getInfo.php?workbook=12_05.xlsx&amp;sheet=U0&amp;row=9895&amp;col=6&amp;number=4.1&amp;sourceID=14","4.1")</f>
        <v>4.1</v>
      </c>
      <c r="G9895" s="4" t="str">
        <f>HYPERLINK("http://141.218.60.56/~jnz1568/getInfo.php?workbook=12_05.xlsx&amp;sheet=U0&amp;row=9895&amp;col=7&amp;number=0.0443&amp;sourceID=14","0.0443")</f>
        <v>0.0443</v>
      </c>
    </row>
    <row r="9896" spans="1:7">
      <c r="A9896" s="3"/>
      <c r="B9896" s="3"/>
      <c r="C9896" s="3"/>
      <c r="D9896" s="3"/>
      <c r="E9896" s="3">
        <v>13</v>
      </c>
      <c r="F9896" s="4" t="str">
        <f>HYPERLINK("http://141.218.60.56/~jnz1568/getInfo.php?workbook=12_05.xlsx&amp;sheet=U0&amp;row=9896&amp;col=6&amp;number=4.2&amp;sourceID=14","4.2")</f>
        <v>4.2</v>
      </c>
      <c r="G9896" s="4" t="str">
        <f>HYPERLINK("http://141.218.60.56/~jnz1568/getInfo.php?workbook=12_05.xlsx&amp;sheet=U0&amp;row=9896&amp;col=7&amp;number=0.0443&amp;sourceID=14","0.0443")</f>
        <v>0.0443</v>
      </c>
    </row>
    <row r="9897" spans="1:7">
      <c r="A9897" s="3"/>
      <c r="B9897" s="3"/>
      <c r="C9897" s="3"/>
      <c r="D9897" s="3"/>
      <c r="E9897" s="3">
        <v>14</v>
      </c>
      <c r="F9897" s="4" t="str">
        <f>HYPERLINK("http://141.218.60.56/~jnz1568/getInfo.php?workbook=12_05.xlsx&amp;sheet=U0&amp;row=9897&amp;col=6&amp;number=4.3&amp;sourceID=14","4.3")</f>
        <v>4.3</v>
      </c>
      <c r="G9897" s="4" t="str">
        <f>HYPERLINK("http://141.218.60.56/~jnz1568/getInfo.php?workbook=12_05.xlsx&amp;sheet=U0&amp;row=9897&amp;col=7&amp;number=0.0444&amp;sourceID=14","0.0444")</f>
        <v>0.0444</v>
      </c>
    </row>
    <row r="9898" spans="1:7">
      <c r="A9898" s="3"/>
      <c r="B9898" s="3"/>
      <c r="C9898" s="3"/>
      <c r="D9898" s="3"/>
      <c r="E9898" s="3">
        <v>15</v>
      </c>
      <c r="F9898" s="4" t="str">
        <f>HYPERLINK("http://141.218.60.56/~jnz1568/getInfo.php?workbook=12_05.xlsx&amp;sheet=U0&amp;row=9898&amp;col=6&amp;number=4.4&amp;sourceID=14","4.4")</f>
        <v>4.4</v>
      </c>
      <c r="G9898" s="4" t="str">
        <f>HYPERLINK("http://141.218.60.56/~jnz1568/getInfo.php?workbook=12_05.xlsx&amp;sheet=U0&amp;row=9898&amp;col=7&amp;number=0.0445&amp;sourceID=14","0.0445")</f>
        <v>0.0445</v>
      </c>
    </row>
    <row r="9899" spans="1:7">
      <c r="A9899" s="3"/>
      <c r="B9899" s="3"/>
      <c r="C9899" s="3"/>
      <c r="D9899" s="3"/>
      <c r="E9899" s="3">
        <v>16</v>
      </c>
      <c r="F9899" s="4" t="str">
        <f>HYPERLINK("http://141.218.60.56/~jnz1568/getInfo.php?workbook=12_05.xlsx&amp;sheet=U0&amp;row=9899&amp;col=6&amp;number=4.5&amp;sourceID=14","4.5")</f>
        <v>4.5</v>
      </c>
      <c r="G9899" s="4" t="str">
        <f>HYPERLINK("http://141.218.60.56/~jnz1568/getInfo.php?workbook=12_05.xlsx&amp;sheet=U0&amp;row=9899&amp;col=7&amp;number=0.0446&amp;sourceID=14","0.0446")</f>
        <v>0.0446</v>
      </c>
    </row>
    <row r="9900" spans="1:7">
      <c r="A9900" s="3"/>
      <c r="B9900" s="3"/>
      <c r="C9900" s="3"/>
      <c r="D9900" s="3"/>
      <c r="E9900" s="3">
        <v>17</v>
      </c>
      <c r="F9900" s="4" t="str">
        <f>HYPERLINK("http://141.218.60.56/~jnz1568/getInfo.php?workbook=12_05.xlsx&amp;sheet=U0&amp;row=9900&amp;col=6&amp;number=4.6&amp;sourceID=14","4.6")</f>
        <v>4.6</v>
      </c>
      <c r="G9900" s="4" t="str">
        <f>HYPERLINK("http://141.218.60.56/~jnz1568/getInfo.php?workbook=12_05.xlsx&amp;sheet=U0&amp;row=9900&amp;col=7&amp;number=0.0448&amp;sourceID=14","0.0448")</f>
        <v>0.0448</v>
      </c>
    </row>
    <row r="9901" spans="1:7">
      <c r="A9901" s="3"/>
      <c r="B9901" s="3"/>
      <c r="C9901" s="3"/>
      <c r="D9901" s="3"/>
      <c r="E9901" s="3">
        <v>18</v>
      </c>
      <c r="F9901" s="4" t="str">
        <f>HYPERLINK("http://141.218.60.56/~jnz1568/getInfo.php?workbook=12_05.xlsx&amp;sheet=U0&amp;row=9901&amp;col=6&amp;number=4.7&amp;sourceID=14","4.7")</f>
        <v>4.7</v>
      </c>
      <c r="G9901" s="4" t="str">
        <f>HYPERLINK("http://141.218.60.56/~jnz1568/getInfo.php?workbook=12_05.xlsx&amp;sheet=U0&amp;row=9901&amp;col=7&amp;number=0.045&amp;sourceID=14","0.045")</f>
        <v>0.045</v>
      </c>
    </row>
    <row r="9902" spans="1:7">
      <c r="A9902" s="3"/>
      <c r="B9902" s="3"/>
      <c r="C9902" s="3"/>
      <c r="D9902" s="3"/>
      <c r="E9902" s="3">
        <v>19</v>
      </c>
      <c r="F9902" s="4" t="str">
        <f>HYPERLINK("http://141.218.60.56/~jnz1568/getInfo.php?workbook=12_05.xlsx&amp;sheet=U0&amp;row=9902&amp;col=6&amp;number=4.8&amp;sourceID=14","4.8")</f>
        <v>4.8</v>
      </c>
      <c r="G9902" s="4" t="str">
        <f>HYPERLINK("http://141.218.60.56/~jnz1568/getInfo.php?workbook=12_05.xlsx&amp;sheet=U0&amp;row=9902&amp;col=7&amp;number=0.0452&amp;sourceID=14","0.0452")</f>
        <v>0.0452</v>
      </c>
    </row>
    <row r="9903" spans="1:7">
      <c r="A9903" s="3"/>
      <c r="B9903" s="3"/>
      <c r="C9903" s="3"/>
      <c r="D9903" s="3"/>
      <c r="E9903" s="3">
        <v>20</v>
      </c>
      <c r="F9903" s="4" t="str">
        <f>HYPERLINK("http://141.218.60.56/~jnz1568/getInfo.php?workbook=12_05.xlsx&amp;sheet=U0&amp;row=9903&amp;col=6&amp;number=4.9&amp;sourceID=14","4.9")</f>
        <v>4.9</v>
      </c>
      <c r="G9903" s="4" t="str">
        <f>HYPERLINK("http://141.218.60.56/~jnz1568/getInfo.php?workbook=12_05.xlsx&amp;sheet=U0&amp;row=9903&amp;col=7&amp;number=0.0455&amp;sourceID=14","0.0455")</f>
        <v>0.0455</v>
      </c>
    </row>
    <row r="9904" spans="1:7">
      <c r="A9904" s="3">
        <v>12</v>
      </c>
      <c r="B9904" s="3">
        <v>5</v>
      </c>
      <c r="C9904" s="3">
        <v>5</v>
      </c>
      <c r="D9904" s="3">
        <v>68</v>
      </c>
      <c r="E9904" s="3">
        <v>1</v>
      </c>
      <c r="F9904" s="4" t="str">
        <f>HYPERLINK("http://141.218.60.56/~jnz1568/getInfo.php?workbook=12_05.xlsx&amp;sheet=U0&amp;row=9904&amp;col=6&amp;number=3&amp;sourceID=14","3")</f>
        <v>3</v>
      </c>
      <c r="G9904" s="4" t="str">
        <f>HYPERLINK("http://141.218.60.56/~jnz1568/getInfo.php?workbook=12_05.xlsx&amp;sheet=U0&amp;row=9904&amp;col=7&amp;number=0.0212&amp;sourceID=14","0.0212")</f>
        <v>0.0212</v>
      </c>
    </row>
    <row r="9905" spans="1:7">
      <c r="A9905" s="3"/>
      <c r="B9905" s="3"/>
      <c r="C9905" s="3"/>
      <c r="D9905" s="3"/>
      <c r="E9905" s="3">
        <v>2</v>
      </c>
      <c r="F9905" s="4" t="str">
        <f>HYPERLINK("http://141.218.60.56/~jnz1568/getInfo.php?workbook=12_05.xlsx&amp;sheet=U0&amp;row=9905&amp;col=6&amp;number=3.1&amp;sourceID=14","3.1")</f>
        <v>3.1</v>
      </c>
      <c r="G9905" s="4" t="str">
        <f>HYPERLINK("http://141.218.60.56/~jnz1568/getInfo.php?workbook=12_05.xlsx&amp;sheet=U0&amp;row=9905&amp;col=7&amp;number=0.0212&amp;sourceID=14","0.0212")</f>
        <v>0.0212</v>
      </c>
    </row>
    <row r="9906" spans="1:7">
      <c r="A9906" s="3"/>
      <c r="B9906" s="3"/>
      <c r="C9906" s="3"/>
      <c r="D9906" s="3"/>
      <c r="E9906" s="3">
        <v>3</v>
      </c>
      <c r="F9906" s="4" t="str">
        <f>HYPERLINK("http://141.218.60.56/~jnz1568/getInfo.php?workbook=12_05.xlsx&amp;sheet=U0&amp;row=9906&amp;col=6&amp;number=3.2&amp;sourceID=14","3.2")</f>
        <v>3.2</v>
      </c>
      <c r="G9906" s="4" t="str">
        <f>HYPERLINK("http://141.218.60.56/~jnz1568/getInfo.php?workbook=12_05.xlsx&amp;sheet=U0&amp;row=9906&amp;col=7&amp;number=0.0212&amp;sourceID=14","0.0212")</f>
        <v>0.0212</v>
      </c>
    </row>
    <row r="9907" spans="1:7">
      <c r="A9907" s="3"/>
      <c r="B9907" s="3"/>
      <c r="C9907" s="3"/>
      <c r="D9907" s="3"/>
      <c r="E9907" s="3">
        <v>4</v>
      </c>
      <c r="F9907" s="4" t="str">
        <f>HYPERLINK("http://141.218.60.56/~jnz1568/getInfo.php?workbook=12_05.xlsx&amp;sheet=U0&amp;row=9907&amp;col=6&amp;number=3.3&amp;sourceID=14","3.3")</f>
        <v>3.3</v>
      </c>
      <c r="G9907" s="4" t="str">
        <f>HYPERLINK("http://141.218.60.56/~jnz1568/getInfo.php?workbook=12_05.xlsx&amp;sheet=U0&amp;row=9907&amp;col=7&amp;number=0.0212&amp;sourceID=14","0.0212")</f>
        <v>0.0212</v>
      </c>
    </row>
    <row r="9908" spans="1:7">
      <c r="A9908" s="3"/>
      <c r="B9908" s="3"/>
      <c r="C9908" s="3"/>
      <c r="D9908" s="3"/>
      <c r="E9908" s="3">
        <v>5</v>
      </c>
      <c r="F9908" s="4" t="str">
        <f>HYPERLINK("http://141.218.60.56/~jnz1568/getInfo.php?workbook=12_05.xlsx&amp;sheet=U0&amp;row=9908&amp;col=6&amp;number=3.4&amp;sourceID=14","3.4")</f>
        <v>3.4</v>
      </c>
      <c r="G9908" s="4" t="str">
        <f>HYPERLINK("http://141.218.60.56/~jnz1568/getInfo.php?workbook=12_05.xlsx&amp;sheet=U0&amp;row=9908&amp;col=7&amp;number=0.0212&amp;sourceID=14","0.0212")</f>
        <v>0.0212</v>
      </c>
    </row>
    <row r="9909" spans="1:7">
      <c r="A9909" s="3"/>
      <c r="B9909" s="3"/>
      <c r="C9909" s="3"/>
      <c r="D9909" s="3"/>
      <c r="E9909" s="3">
        <v>6</v>
      </c>
      <c r="F9909" s="4" t="str">
        <f>HYPERLINK("http://141.218.60.56/~jnz1568/getInfo.php?workbook=12_05.xlsx&amp;sheet=U0&amp;row=9909&amp;col=6&amp;number=3.5&amp;sourceID=14","3.5")</f>
        <v>3.5</v>
      </c>
      <c r="G9909" s="4" t="str">
        <f>HYPERLINK("http://141.218.60.56/~jnz1568/getInfo.php?workbook=12_05.xlsx&amp;sheet=U0&amp;row=9909&amp;col=7&amp;number=0.0212&amp;sourceID=14","0.0212")</f>
        <v>0.0212</v>
      </c>
    </row>
    <row r="9910" spans="1:7">
      <c r="A9910" s="3"/>
      <c r="B9910" s="3"/>
      <c r="C9910" s="3"/>
      <c r="D9910" s="3"/>
      <c r="E9910" s="3">
        <v>7</v>
      </c>
      <c r="F9910" s="4" t="str">
        <f>HYPERLINK("http://141.218.60.56/~jnz1568/getInfo.php?workbook=12_05.xlsx&amp;sheet=U0&amp;row=9910&amp;col=6&amp;number=3.6&amp;sourceID=14","3.6")</f>
        <v>3.6</v>
      </c>
      <c r="G9910" s="4" t="str">
        <f>HYPERLINK("http://141.218.60.56/~jnz1568/getInfo.php?workbook=12_05.xlsx&amp;sheet=U0&amp;row=9910&amp;col=7&amp;number=0.0212&amp;sourceID=14","0.0212")</f>
        <v>0.0212</v>
      </c>
    </row>
    <row r="9911" spans="1:7">
      <c r="A9911" s="3"/>
      <c r="B9911" s="3"/>
      <c r="C9911" s="3"/>
      <c r="D9911" s="3"/>
      <c r="E9911" s="3">
        <v>8</v>
      </c>
      <c r="F9911" s="4" t="str">
        <f>HYPERLINK("http://141.218.60.56/~jnz1568/getInfo.php?workbook=12_05.xlsx&amp;sheet=U0&amp;row=9911&amp;col=6&amp;number=3.7&amp;sourceID=14","3.7")</f>
        <v>3.7</v>
      </c>
      <c r="G9911" s="4" t="str">
        <f>HYPERLINK("http://141.218.60.56/~jnz1568/getInfo.php?workbook=12_05.xlsx&amp;sheet=U0&amp;row=9911&amp;col=7&amp;number=0.0211&amp;sourceID=14","0.0211")</f>
        <v>0.0211</v>
      </c>
    </row>
    <row r="9912" spans="1:7">
      <c r="A9912" s="3"/>
      <c r="B9912" s="3"/>
      <c r="C9912" s="3"/>
      <c r="D9912" s="3"/>
      <c r="E9912" s="3">
        <v>9</v>
      </c>
      <c r="F9912" s="4" t="str">
        <f>HYPERLINK("http://141.218.60.56/~jnz1568/getInfo.php?workbook=12_05.xlsx&amp;sheet=U0&amp;row=9912&amp;col=6&amp;number=3.8&amp;sourceID=14","3.8")</f>
        <v>3.8</v>
      </c>
      <c r="G9912" s="4" t="str">
        <f>HYPERLINK("http://141.218.60.56/~jnz1568/getInfo.php?workbook=12_05.xlsx&amp;sheet=U0&amp;row=9912&amp;col=7&amp;number=0.0211&amp;sourceID=14","0.0211")</f>
        <v>0.0211</v>
      </c>
    </row>
    <row r="9913" spans="1:7">
      <c r="A9913" s="3"/>
      <c r="B9913" s="3"/>
      <c r="C9913" s="3"/>
      <c r="D9913" s="3"/>
      <c r="E9913" s="3">
        <v>10</v>
      </c>
      <c r="F9913" s="4" t="str">
        <f>HYPERLINK("http://141.218.60.56/~jnz1568/getInfo.php?workbook=12_05.xlsx&amp;sheet=U0&amp;row=9913&amp;col=6&amp;number=3.9&amp;sourceID=14","3.9")</f>
        <v>3.9</v>
      </c>
      <c r="G9913" s="4" t="str">
        <f>HYPERLINK("http://141.218.60.56/~jnz1568/getInfo.php?workbook=12_05.xlsx&amp;sheet=U0&amp;row=9913&amp;col=7&amp;number=0.0211&amp;sourceID=14","0.0211")</f>
        <v>0.0211</v>
      </c>
    </row>
    <row r="9914" spans="1:7">
      <c r="A9914" s="3"/>
      <c r="B9914" s="3"/>
      <c r="C9914" s="3"/>
      <c r="D9914" s="3"/>
      <c r="E9914" s="3">
        <v>11</v>
      </c>
      <c r="F9914" s="4" t="str">
        <f>HYPERLINK("http://141.218.60.56/~jnz1568/getInfo.php?workbook=12_05.xlsx&amp;sheet=U0&amp;row=9914&amp;col=6&amp;number=4&amp;sourceID=14","4")</f>
        <v>4</v>
      </c>
      <c r="G9914" s="4" t="str">
        <f>HYPERLINK("http://141.218.60.56/~jnz1568/getInfo.php?workbook=12_05.xlsx&amp;sheet=U0&amp;row=9914&amp;col=7&amp;number=0.021&amp;sourceID=14","0.021")</f>
        <v>0.021</v>
      </c>
    </row>
    <row r="9915" spans="1:7">
      <c r="A9915" s="3"/>
      <c r="B9915" s="3"/>
      <c r="C9915" s="3"/>
      <c r="D9915" s="3"/>
      <c r="E9915" s="3">
        <v>12</v>
      </c>
      <c r="F9915" s="4" t="str">
        <f>HYPERLINK("http://141.218.60.56/~jnz1568/getInfo.php?workbook=12_05.xlsx&amp;sheet=U0&amp;row=9915&amp;col=6&amp;number=4.1&amp;sourceID=14","4.1")</f>
        <v>4.1</v>
      </c>
      <c r="G9915" s="4" t="str">
        <f>HYPERLINK("http://141.218.60.56/~jnz1568/getInfo.php?workbook=12_05.xlsx&amp;sheet=U0&amp;row=9915&amp;col=7&amp;number=0.021&amp;sourceID=14","0.021")</f>
        <v>0.021</v>
      </c>
    </row>
    <row r="9916" spans="1:7">
      <c r="A9916" s="3"/>
      <c r="B9916" s="3"/>
      <c r="C9916" s="3"/>
      <c r="D9916" s="3"/>
      <c r="E9916" s="3">
        <v>13</v>
      </c>
      <c r="F9916" s="4" t="str">
        <f>HYPERLINK("http://141.218.60.56/~jnz1568/getInfo.php?workbook=12_05.xlsx&amp;sheet=U0&amp;row=9916&amp;col=6&amp;number=4.2&amp;sourceID=14","4.2")</f>
        <v>4.2</v>
      </c>
      <c r="G9916" s="4" t="str">
        <f>HYPERLINK("http://141.218.60.56/~jnz1568/getInfo.php?workbook=12_05.xlsx&amp;sheet=U0&amp;row=9916&amp;col=7&amp;number=0.0209&amp;sourceID=14","0.0209")</f>
        <v>0.0209</v>
      </c>
    </row>
    <row r="9917" spans="1:7">
      <c r="A9917" s="3"/>
      <c r="B9917" s="3"/>
      <c r="C9917" s="3"/>
      <c r="D9917" s="3"/>
      <c r="E9917" s="3">
        <v>14</v>
      </c>
      <c r="F9917" s="4" t="str">
        <f>HYPERLINK("http://141.218.60.56/~jnz1568/getInfo.php?workbook=12_05.xlsx&amp;sheet=U0&amp;row=9917&amp;col=6&amp;number=4.3&amp;sourceID=14","4.3")</f>
        <v>4.3</v>
      </c>
      <c r="G9917" s="4" t="str">
        <f>HYPERLINK("http://141.218.60.56/~jnz1568/getInfo.php?workbook=12_05.xlsx&amp;sheet=U0&amp;row=9917&amp;col=7&amp;number=0.0209&amp;sourceID=14","0.0209")</f>
        <v>0.0209</v>
      </c>
    </row>
    <row r="9918" spans="1:7">
      <c r="A9918" s="3"/>
      <c r="B9918" s="3"/>
      <c r="C9918" s="3"/>
      <c r="D9918" s="3"/>
      <c r="E9918" s="3">
        <v>15</v>
      </c>
      <c r="F9918" s="4" t="str">
        <f>HYPERLINK("http://141.218.60.56/~jnz1568/getInfo.php?workbook=12_05.xlsx&amp;sheet=U0&amp;row=9918&amp;col=6&amp;number=4.4&amp;sourceID=14","4.4")</f>
        <v>4.4</v>
      </c>
      <c r="G9918" s="4" t="str">
        <f>HYPERLINK("http://141.218.60.56/~jnz1568/getInfo.php?workbook=12_05.xlsx&amp;sheet=U0&amp;row=9918&amp;col=7&amp;number=0.0208&amp;sourceID=14","0.0208")</f>
        <v>0.0208</v>
      </c>
    </row>
    <row r="9919" spans="1:7">
      <c r="A9919" s="3"/>
      <c r="B9919" s="3"/>
      <c r="C9919" s="3"/>
      <c r="D9919" s="3"/>
      <c r="E9919" s="3">
        <v>16</v>
      </c>
      <c r="F9919" s="4" t="str">
        <f>HYPERLINK("http://141.218.60.56/~jnz1568/getInfo.php?workbook=12_05.xlsx&amp;sheet=U0&amp;row=9919&amp;col=6&amp;number=4.5&amp;sourceID=14","4.5")</f>
        <v>4.5</v>
      </c>
      <c r="G9919" s="4" t="str">
        <f>HYPERLINK("http://141.218.60.56/~jnz1568/getInfo.php?workbook=12_05.xlsx&amp;sheet=U0&amp;row=9919&amp;col=7&amp;number=0.0206&amp;sourceID=14","0.0206")</f>
        <v>0.0206</v>
      </c>
    </row>
    <row r="9920" spans="1:7">
      <c r="A9920" s="3"/>
      <c r="B9920" s="3"/>
      <c r="C9920" s="3"/>
      <c r="D9920" s="3"/>
      <c r="E9920" s="3">
        <v>17</v>
      </c>
      <c r="F9920" s="4" t="str">
        <f>HYPERLINK("http://141.218.60.56/~jnz1568/getInfo.php?workbook=12_05.xlsx&amp;sheet=U0&amp;row=9920&amp;col=6&amp;number=4.6&amp;sourceID=14","4.6")</f>
        <v>4.6</v>
      </c>
      <c r="G9920" s="4" t="str">
        <f>HYPERLINK("http://141.218.60.56/~jnz1568/getInfo.php?workbook=12_05.xlsx&amp;sheet=U0&amp;row=9920&amp;col=7&amp;number=0.0205&amp;sourceID=14","0.0205")</f>
        <v>0.0205</v>
      </c>
    </row>
    <row r="9921" spans="1:7">
      <c r="A9921" s="3"/>
      <c r="B9921" s="3"/>
      <c r="C9921" s="3"/>
      <c r="D9921" s="3"/>
      <c r="E9921" s="3">
        <v>18</v>
      </c>
      <c r="F9921" s="4" t="str">
        <f>HYPERLINK("http://141.218.60.56/~jnz1568/getInfo.php?workbook=12_05.xlsx&amp;sheet=U0&amp;row=9921&amp;col=6&amp;number=4.7&amp;sourceID=14","4.7")</f>
        <v>4.7</v>
      </c>
      <c r="G9921" s="4" t="str">
        <f>HYPERLINK("http://141.218.60.56/~jnz1568/getInfo.php?workbook=12_05.xlsx&amp;sheet=U0&amp;row=9921&amp;col=7&amp;number=0.0203&amp;sourceID=14","0.0203")</f>
        <v>0.0203</v>
      </c>
    </row>
    <row r="9922" spans="1:7">
      <c r="A9922" s="3"/>
      <c r="B9922" s="3"/>
      <c r="C9922" s="3"/>
      <c r="D9922" s="3"/>
      <c r="E9922" s="3">
        <v>19</v>
      </c>
      <c r="F9922" s="4" t="str">
        <f>HYPERLINK("http://141.218.60.56/~jnz1568/getInfo.php?workbook=12_05.xlsx&amp;sheet=U0&amp;row=9922&amp;col=6&amp;number=4.8&amp;sourceID=14","4.8")</f>
        <v>4.8</v>
      </c>
      <c r="G9922" s="4" t="str">
        <f>HYPERLINK("http://141.218.60.56/~jnz1568/getInfo.php?workbook=12_05.xlsx&amp;sheet=U0&amp;row=9922&amp;col=7&amp;number=0.0201&amp;sourceID=14","0.0201")</f>
        <v>0.0201</v>
      </c>
    </row>
    <row r="9923" spans="1:7">
      <c r="A9923" s="3"/>
      <c r="B9923" s="3"/>
      <c r="C9923" s="3"/>
      <c r="D9923" s="3"/>
      <c r="E9923" s="3">
        <v>20</v>
      </c>
      <c r="F9923" s="4" t="str">
        <f>HYPERLINK("http://141.218.60.56/~jnz1568/getInfo.php?workbook=12_05.xlsx&amp;sheet=U0&amp;row=9923&amp;col=6&amp;number=4.9&amp;sourceID=14","4.9")</f>
        <v>4.9</v>
      </c>
      <c r="G9923" s="4" t="str">
        <f>HYPERLINK("http://141.218.60.56/~jnz1568/getInfo.php?workbook=12_05.xlsx&amp;sheet=U0&amp;row=9923&amp;col=7&amp;number=0.0198&amp;sourceID=14","0.0198")</f>
        <v>0.0198</v>
      </c>
    </row>
    <row r="9924" spans="1:7">
      <c r="A9924" s="3">
        <v>12</v>
      </c>
      <c r="B9924" s="3">
        <v>5</v>
      </c>
      <c r="C9924" s="3">
        <v>5</v>
      </c>
      <c r="D9924" s="3">
        <v>70</v>
      </c>
      <c r="E9924" s="3">
        <v>1</v>
      </c>
      <c r="F9924" s="4" t="str">
        <f>HYPERLINK("http://141.218.60.56/~jnz1568/getInfo.php?workbook=12_05.xlsx&amp;sheet=U0&amp;row=9924&amp;col=6&amp;number=3&amp;sourceID=14","3")</f>
        <v>3</v>
      </c>
      <c r="G9924" s="4" t="str">
        <f>HYPERLINK("http://141.218.60.56/~jnz1568/getInfo.php?workbook=12_05.xlsx&amp;sheet=U0&amp;row=9924&amp;col=7&amp;number=0.00832&amp;sourceID=14","0.00832")</f>
        <v>0.00832</v>
      </c>
    </row>
    <row r="9925" spans="1:7">
      <c r="A9925" s="3"/>
      <c r="B9925" s="3"/>
      <c r="C9925" s="3"/>
      <c r="D9925" s="3"/>
      <c r="E9925" s="3">
        <v>2</v>
      </c>
      <c r="F9925" s="4" t="str">
        <f>HYPERLINK("http://141.218.60.56/~jnz1568/getInfo.php?workbook=12_05.xlsx&amp;sheet=U0&amp;row=9925&amp;col=6&amp;number=3.1&amp;sourceID=14","3.1")</f>
        <v>3.1</v>
      </c>
      <c r="G9925" s="4" t="str">
        <f>HYPERLINK("http://141.218.60.56/~jnz1568/getInfo.php?workbook=12_05.xlsx&amp;sheet=U0&amp;row=9925&amp;col=7&amp;number=0.00832&amp;sourceID=14","0.00832")</f>
        <v>0.00832</v>
      </c>
    </row>
    <row r="9926" spans="1:7">
      <c r="A9926" s="3"/>
      <c r="B9926" s="3"/>
      <c r="C9926" s="3"/>
      <c r="D9926" s="3"/>
      <c r="E9926" s="3">
        <v>3</v>
      </c>
      <c r="F9926" s="4" t="str">
        <f>HYPERLINK("http://141.218.60.56/~jnz1568/getInfo.php?workbook=12_05.xlsx&amp;sheet=U0&amp;row=9926&amp;col=6&amp;number=3.2&amp;sourceID=14","3.2")</f>
        <v>3.2</v>
      </c>
      <c r="G9926" s="4" t="str">
        <f>HYPERLINK("http://141.218.60.56/~jnz1568/getInfo.php?workbook=12_05.xlsx&amp;sheet=U0&amp;row=9926&amp;col=7&amp;number=0.00832&amp;sourceID=14","0.00832")</f>
        <v>0.00832</v>
      </c>
    </row>
    <row r="9927" spans="1:7">
      <c r="A9927" s="3"/>
      <c r="B9927" s="3"/>
      <c r="C9927" s="3"/>
      <c r="D9927" s="3"/>
      <c r="E9927" s="3">
        <v>4</v>
      </c>
      <c r="F9927" s="4" t="str">
        <f>HYPERLINK("http://141.218.60.56/~jnz1568/getInfo.php?workbook=12_05.xlsx&amp;sheet=U0&amp;row=9927&amp;col=6&amp;number=3.3&amp;sourceID=14","3.3")</f>
        <v>3.3</v>
      </c>
      <c r="G9927" s="4" t="str">
        <f>HYPERLINK("http://141.218.60.56/~jnz1568/getInfo.php?workbook=12_05.xlsx&amp;sheet=U0&amp;row=9927&amp;col=7&amp;number=0.00831&amp;sourceID=14","0.00831")</f>
        <v>0.00831</v>
      </c>
    </row>
    <row r="9928" spans="1:7">
      <c r="A9928" s="3"/>
      <c r="B9928" s="3"/>
      <c r="C9928" s="3"/>
      <c r="D9928" s="3"/>
      <c r="E9928" s="3">
        <v>5</v>
      </c>
      <c r="F9928" s="4" t="str">
        <f>HYPERLINK("http://141.218.60.56/~jnz1568/getInfo.php?workbook=12_05.xlsx&amp;sheet=U0&amp;row=9928&amp;col=6&amp;number=3.4&amp;sourceID=14","3.4")</f>
        <v>3.4</v>
      </c>
      <c r="G9928" s="4" t="str">
        <f>HYPERLINK("http://141.218.60.56/~jnz1568/getInfo.php?workbook=12_05.xlsx&amp;sheet=U0&amp;row=9928&amp;col=7&amp;number=0.00831&amp;sourceID=14","0.00831")</f>
        <v>0.00831</v>
      </c>
    </row>
    <row r="9929" spans="1:7">
      <c r="A9929" s="3"/>
      <c r="B9929" s="3"/>
      <c r="C9929" s="3"/>
      <c r="D9929" s="3"/>
      <c r="E9929" s="3">
        <v>6</v>
      </c>
      <c r="F9929" s="4" t="str">
        <f>HYPERLINK("http://141.218.60.56/~jnz1568/getInfo.php?workbook=12_05.xlsx&amp;sheet=U0&amp;row=9929&amp;col=6&amp;number=3.5&amp;sourceID=14","3.5")</f>
        <v>3.5</v>
      </c>
      <c r="G9929" s="4" t="str">
        <f>HYPERLINK("http://141.218.60.56/~jnz1568/getInfo.php?workbook=12_05.xlsx&amp;sheet=U0&amp;row=9929&amp;col=7&amp;number=0.0083&amp;sourceID=14","0.0083")</f>
        <v>0.0083</v>
      </c>
    </row>
    <row r="9930" spans="1:7">
      <c r="A9930" s="3"/>
      <c r="B9930" s="3"/>
      <c r="C9930" s="3"/>
      <c r="D9930" s="3"/>
      <c r="E9930" s="3">
        <v>7</v>
      </c>
      <c r="F9930" s="4" t="str">
        <f>HYPERLINK("http://141.218.60.56/~jnz1568/getInfo.php?workbook=12_05.xlsx&amp;sheet=U0&amp;row=9930&amp;col=6&amp;number=3.6&amp;sourceID=14","3.6")</f>
        <v>3.6</v>
      </c>
      <c r="G9930" s="4" t="str">
        <f>HYPERLINK("http://141.218.60.56/~jnz1568/getInfo.php?workbook=12_05.xlsx&amp;sheet=U0&amp;row=9930&amp;col=7&amp;number=0.0083&amp;sourceID=14","0.0083")</f>
        <v>0.0083</v>
      </c>
    </row>
    <row r="9931" spans="1:7">
      <c r="A9931" s="3"/>
      <c r="B9931" s="3"/>
      <c r="C9931" s="3"/>
      <c r="D9931" s="3"/>
      <c r="E9931" s="3">
        <v>8</v>
      </c>
      <c r="F9931" s="4" t="str">
        <f>HYPERLINK("http://141.218.60.56/~jnz1568/getInfo.php?workbook=12_05.xlsx&amp;sheet=U0&amp;row=9931&amp;col=6&amp;number=3.7&amp;sourceID=14","3.7")</f>
        <v>3.7</v>
      </c>
      <c r="G9931" s="4" t="str">
        <f>HYPERLINK("http://141.218.60.56/~jnz1568/getInfo.php?workbook=12_05.xlsx&amp;sheet=U0&amp;row=9931&amp;col=7&amp;number=0.00829&amp;sourceID=14","0.00829")</f>
        <v>0.00829</v>
      </c>
    </row>
    <row r="9932" spans="1:7">
      <c r="A9932" s="3"/>
      <c r="B9932" s="3"/>
      <c r="C9932" s="3"/>
      <c r="D9932" s="3"/>
      <c r="E9932" s="3">
        <v>9</v>
      </c>
      <c r="F9932" s="4" t="str">
        <f>HYPERLINK("http://141.218.60.56/~jnz1568/getInfo.php?workbook=12_05.xlsx&amp;sheet=U0&amp;row=9932&amp;col=6&amp;number=3.8&amp;sourceID=14","3.8")</f>
        <v>3.8</v>
      </c>
      <c r="G9932" s="4" t="str">
        <f>HYPERLINK("http://141.218.60.56/~jnz1568/getInfo.php?workbook=12_05.xlsx&amp;sheet=U0&amp;row=9932&amp;col=7&amp;number=0.00828&amp;sourceID=14","0.00828")</f>
        <v>0.00828</v>
      </c>
    </row>
    <row r="9933" spans="1:7">
      <c r="A9933" s="3"/>
      <c r="B9933" s="3"/>
      <c r="C9933" s="3"/>
      <c r="D9933" s="3"/>
      <c r="E9933" s="3">
        <v>10</v>
      </c>
      <c r="F9933" s="4" t="str">
        <f>HYPERLINK("http://141.218.60.56/~jnz1568/getInfo.php?workbook=12_05.xlsx&amp;sheet=U0&amp;row=9933&amp;col=6&amp;number=3.9&amp;sourceID=14","3.9")</f>
        <v>3.9</v>
      </c>
      <c r="G9933" s="4" t="str">
        <f>HYPERLINK("http://141.218.60.56/~jnz1568/getInfo.php?workbook=12_05.xlsx&amp;sheet=U0&amp;row=9933&amp;col=7&amp;number=0.00827&amp;sourceID=14","0.00827")</f>
        <v>0.00827</v>
      </c>
    </row>
    <row r="9934" spans="1:7">
      <c r="A9934" s="3"/>
      <c r="B9934" s="3"/>
      <c r="C9934" s="3"/>
      <c r="D9934" s="3"/>
      <c r="E9934" s="3">
        <v>11</v>
      </c>
      <c r="F9934" s="4" t="str">
        <f>HYPERLINK("http://141.218.60.56/~jnz1568/getInfo.php?workbook=12_05.xlsx&amp;sheet=U0&amp;row=9934&amp;col=6&amp;number=4&amp;sourceID=14","4")</f>
        <v>4</v>
      </c>
      <c r="G9934" s="4" t="str">
        <f>HYPERLINK("http://141.218.60.56/~jnz1568/getInfo.php?workbook=12_05.xlsx&amp;sheet=U0&amp;row=9934&amp;col=7&amp;number=0.00825&amp;sourceID=14","0.00825")</f>
        <v>0.00825</v>
      </c>
    </row>
    <row r="9935" spans="1:7">
      <c r="A9935" s="3"/>
      <c r="B9935" s="3"/>
      <c r="C9935" s="3"/>
      <c r="D9935" s="3"/>
      <c r="E9935" s="3">
        <v>12</v>
      </c>
      <c r="F9935" s="4" t="str">
        <f>HYPERLINK("http://141.218.60.56/~jnz1568/getInfo.php?workbook=12_05.xlsx&amp;sheet=U0&amp;row=9935&amp;col=6&amp;number=4.1&amp;sourceID=14","4.1")</f>
        <v>4.1</v>
      </c>
      <c r="G9935" s="4" t="str">
        <f>HYPERLINK("http://141.218.60.56/~jnz1568/getInfo.php?workbook=12_05.xlsx&amp;sheet=U0&amp;row=9935&amp;col=7&amp;number=0.00823&amp;sourceID=14","0.00823")</f>
        <v>0.00823</v>
      </c>
    </row>
    <row r="9936" spans="1:7">
      <c r="A9936" s="3"/>
      <c r="B9936" s="3"/>
      <c r="C9936" s="3"/>
      <c r="D9936" s="3"/>
      <c r="E9936" s="3">
        <v>13</v>
      </c>
      <c r="F9936" s="4" t="str">
        <f>HYPERLINK("http://141.218.60.56/~jnz1568/getInfo.php?workbook=12_05.xlsx&amp;sheet=U0&amp;row=9936&amp;col=6&amp;number=4.2&amp;sourceID=14","4.2")</f>
        <v>4.2</v>
      </c>
      <c r="G9936" s="4" t="str">
        <f>HYPERLINK("http://141.218.60.56/~jnz1568/getInfo.php?workbook=12_05.xlsx&amp;sheet=U0&amp;row=9936&amp;col=7&amp;number=0.00821&amp;sourceID=14","0.00821")</f>
        <v>0.00821</v>
      </c>
    </row>
    <row r="9937" spans="1:7">
      <c r="A9937" s="3"/>
      <c r="B9937" s="3"/>
      <c r="C9937" s="3"/>
      <c r="D9937" s="3"/>
      <c r="E9937" s="3">
        <v>14</v>
      </c>
      <c r="F9937" s="4" t="str">
        <f>HYPERLINK("http://141.218.60.56/~jnz1568/getInfo.php?workbook=12_05.xlsx&amp;sheet=U0&amp;row=9937&amp;col=6&amp;number=4.3&amp;sourceID=14","4.3")</f>
        <v>4.3</v>
      </c>
      <c r="G9937" s="4" t="str">
        <f>HYPERLINK("http://141.218.60.56/~jnz1568/getInfo.php?workbook=12_05.xlsx&amp;sheet=U0&amp;row=9937&amp;col=7&amp;number=0.00818&amp;sourceID=14","0.00818")</f>
        <v>0.00818</v>
      </c>
    </row>
    <row r="9938" spans="1:7">
      <c r="A9938" s="3"/>
      <c r="B9938" s="3"/>
      <c r="C9938" s="3"/>
      <c r="D9938" s="3"/>
      <c r="E9938" s="3">
        <v>15</v>
      </c>
      <c r="F9938" s="4" t="str">
        <f>HYPERLINK("http://141.218.60.56/~jnz1568/getInfo.php?workbook=12_05.xlsx&amp;sheet=U0&amp;row=9938&amp;col=6&amp;number=4.4&amp;sourceID=14","4.4")</f>
        <v>4.4</v>
      </c>
      <c r="G9938" s="4" t="str">
        <f>HYPERLINK("http://141.218.60.56/~jnz1568/getInfo.php?workbook=12_05.xlsx&amp;sheet=U0&amp;row=9938&amp;col=7&amp;number=0.00814&amp;sourceID=14","0.00814")</f>
        <v>0.00814</v>
      </c>
    </row>
    <row r="9939" spans="1:7">
      <c r="A9939" s="3"/>
      <c r="B9939" s="3"/>
      <c r="C9939" s="3"/>
      <c r="D9939" s="3"/>
      <c r="E9939" s="3">
        <v>16</v>
      </c>
      <c r="F9939" s="4" t="str">
        <f>HYPERLINK("http://141.218.60.56/~jnz1568/getInfo.php?workbook=12_05.xlsx&amp;sheet=U0&amp;row=9939&amp;col=6&amp;number=4.5&amp;sourceID=14","4.5")</f>
        <v>4.5</v>
      </c>
      <c r="G9939" s="4" t="str">
        <f>HYPERLINK("http://141.218.60.56/~jnz1568/getInfo.php?workbook=12_05.xlsx&amp;sheet=U0&amp;row=9939&amp;col=7&amp;number=0.00809&amp;sourceID=14","0.00809")</f>
        <v>0.00809</v>
      </c>
    </row>
    <row r="9940" spans="1:7">
      <c r="A9940" s="3"/>
      <c r="B9940" s="3"/>
      <c r="C9940" s="3"/>
      <c r="D9940" s="3"/>
      <c r="E9940" s="3">
        <v>17</v>
      </c>
      <c r="F9940" s="4" t="str">
        <f>HYPERLINK("http://141.218.60.56/~jnz1568/getInfo.php?workbook=12_05.xlsx&amp;sheet=U0&amp;row=9940&amp;col=6&amp;number=4.6&amp;sourceID=14","4.6")</f>
        <v>4.6</v>
      </c>
      <c r="G9940" s="4" t="str">
        <f>HYPERLINK("http://141.218.60.56/~jnz1568/getInfo.php?workbook=12_05.xlsx&amp;sheet=U0&amp;row=9940&amp;col=7&amp;number=0.00803&amp;sourceID=14","0.00803")</f>
        <v>0.00803</v>
      </c>
    </row>
    <row r="9941" spans="1:7">
      <c r="A9941" s="3"/>
      <c r="B9941" s="3"/>
      <c r="C9941" s="3"/>
      <c r="D9941" s="3"/>
      <c r="E9941" s="3">
        <v>18</v>
      </c>
      <c r="F9941" s="4" t="str">
        <f>HYPERLINK("http://141.218.60.56/~jnz1568/getInfo.php?workbook=12_05.xlsx&amp;sheet=U0&amp;row=9941&amp;col=6&amp;number=4.7&amp;sourceID=14","4.7")</f>
        <v>4.7</v>
      </c>
      <c r="G9941" s="4" t="str">
        <f>HYPERLINK("http://141.218.60.56/~jnz1568/getInfo.php?workbook=12_05.xlsx&amp;sheet=U0&amp;row=9941&amp;col=7&amp;number=0.00796&amp;sourceID=14","0.00796")</f>
        <v>0.00796</v>
      </c>
    </row>
    <row r="9942" spans="1:7">
      <c r="A9942" s="3"/>
      <c r="B9942" s="3"/>
      <c r="C9942" s="3"/>
      <c r="D9942" s="3"/>
      <c r="E9942" s="3">
        <v>19</v>
      </c>
      <c r="F9942" s="4" t="str">
        <f>HYPERLINK("http://141.218.60.56/~jnz1568/getInfo.php?workbook=12_05.xlsx&amp;sheet=U0&amp;row=9942&amp;col=6&amp;number=4.8&amp;sourceID=14","4.8")</f>
        <v>4.8</v>
      </c>
      <c r="G9942" s="4" t="str">
        <f>HYPERLINK("http://141.218.60.56/~jnz1568/getInfo.php?workbook=12_05.xlsx&amp;sheet=U0&amp;row=9942&amp;col=7&amp;number=0.00787&amp;sourceID=14","0.00787")</f>
        <v>0.00787</v>
      </c>
    </row>
    <row r="9943" spans="1:7">
      <c r="A9943" s="3"/>
      <c r="B9943" s="3"/>
      <c r="C9943" s="3"/>
      <c r="D9943" s="3"/>
      <c r="E9943" s="3">
        <v>20</v>
      </c>
      <c r="F9943" s="4" t="str">
        <f>HYPERLINK("http://141.218.60.56/~jnz1568/getInfo.php?workbook=12_05.xlsx&amp;sheet=U0&amp;row=9943&amp;col=6&amp;number=4.9&amp;sourceID=14","4.9")</f>
        <v>4.9</v>
      </c>
      <c r="G9943" s="4" t="str">
        <f>HYPERLINK("http://141.218.60.56/~jnz1568/getInfo.php?workbook=12_05.xlsx&amp;sheet=U0&amp;row=9943&amp;col=7&amp;number=0.00775&amp;sourceID=14","0.00775")</f>
        <v>0.00775</v>
      </c>
    </row>
    <row r="9944" spans="1:7">
      <c r="A9944" s="3">
        <v>12</v>
      </c>
      <c r="B9944" s="3">
        <v>5</v>
      </c>
      <c r="C9944" s="3">
        <v>5</v>
      </c>
      <c r="D9944" s="3">
        <v>71</v>
      </c>
      <c r="E9944" s="3">
        <v>1</v>
      </c>
      <c r="F9944" s="4" t="str">
        <f>HYPERLINK("http://141.218.60.56/~jnz1568/getInfo.php?workbook=12_05.xlsx&amp;sheet=U0&amp;row=9944&amp;col=6&amp;number=3&amp;sourceID=14","3")</f>
        <v>3</v>
      </c>
      <c r="G9944" s="4" t="str">
        <f>HYPERLINK("http://141.218.60.56/~jnz1568/getInfo.php?workbook=12_05.xlsx&amp;sheet=U0&amp;row=9944&amp;col=7&amp;number=0.0879&amp;sourceID=14","0.0879")</f>
        <v>0.0879</v>
      </c>
    </row>
    <row r="9945" spans="1:7">
      <c r="A9945" s="3"/>
      <c r="B9945" s="3"/>
      <c r="C9945" s="3"/>
      <c r="D9945" s="3"/>
      <c r="E9945" s="3">
        <v>2</v>
      </c>
      <c r="F9945" s="4" t="str">
        <f>HYPERLINK("http://141.218.60.56/~jnz1568/getInfo.php?workbook=12_05.xlsx&amp;sheet=U0&amp;row=9945&amp;col=6&amp;number=3.1&amp;sourceID=14","3.1")</f>
        <v>3.1</v>
      </c>
      <c r="G9945" s="4" t="str">
        <f>HYPERLINK("http://141.218.60.56/~jnz1568/getInfo.php?workbook=12_05.xlsx&amp;sheet=U0&amp;row=9945&amp;col=7&amp;number=0.0879&amp;sourceID=14","0.0879")</f>
        <v>0.0879</v>
      </c>
    </row>
    <row r="9946" spans="1:7">
      <c r="A9946" s="3"/>
      <c r="B9946" s="3"/>
      <c r="C9946" s="3"/>
      <c r="D9946" s="3"/>
      <c r="E9946" s="3">
        <v>3</v>
      </c>
      <c r="F9946" s="4" t="str">
        <f>HYPERLINK("http://141.218.60.56/~jnz1568/getInfo.php?workbook=12_05.xlsx&amp;sheet=U0&amp;row=9946&amp;col=6&amp;number=3.2&amp;sourceID=14","3.2")</f>
        <v>3.2</v>
      </c>
      <c r="G9946" s="4" t="str">
        <f>HYPERLINK("http://141.218.60.56/~jnz1568/getInfo.php?workbook=12_05.xlsx&amp;sheet=U0&amp;row=9946&amp;col=7&amp;number=0.0879&amp;sourceID=14","0.0879")</f>
        <v>0.0879</v>
      </c>
    </row>
    <row r="9947" spans="1:7">
      <c r="A9947" s="3"/>
      <c r="B9947" s="3"/>
      <c r="C9947" s="3"/>
      <c r="D9947" s="3"/>
      <c r="E9947" s="3">
        <v>4</v>
      </c>
      <c r="F9947" s="4" t="str">
        <f>HYPERLINK("http://141.218.60.56/~jnz1568/getInfo.php?workbook=12_05.xlsx&amp;sheet=U0&amp;row=9947&amp;col=6&amp;number=3.3&amp;sourceID=14","3.3")</f>
        <v>3.3</v>
      </c>
      <c r="G9947" s="4" t="str">
        <f>HYPERLINK("http://141.218.60.56/~jnz1568/getInfo.php?workbook=12_05.xlsx&amp;sheet=U0&amp;row=9947&amp;col=7&amp;number=0.0879&amp;sourceID=14","0.0879")</f>
        <v>0.0879</v>
      </c>
    </row>
    <row r="9948" spans="1:7">
      <c r="A9948" s="3"/>
      <c r="B9948" s="3"/>
      <c r="C9948" s="3"/>
      <c r="D9948" s="3"/>
      <c r="E9948" s="3">
        <v>5</v>
      </c>
      <c r="F9948" s="4" t="str">
        <f>HYPERLINK("http://141.218.60.56/~jnz1568/getInfo.php?workbook=12_05.xlsx&amp;sheet=U0&amp;row=9948&amp;col=6&amp;number=3.4&amp;sourceID=14","3.4")</f>
        <v>3.4</v>
      </c>
      <c r="G9948" s="4" t="str">
        <f>HYPERLINK("http://141.218.60.56/~jnz1568/getInfo.php?workbook=12_05.xlsx&amp;sheet=U0&amp;row=9948&amp;col=7&amp;number=0.088&amp;sourceID=14","0.088")</f>
        <v>0.088</v>
      </c>
    </row>
    <row r="9949" spans="1:7">
      <c r="A9949" s="3"/>
      <c r="B9949" s="3"/>
      <c r="C9949" s="3"/>
      <c r="D9949" s="3"/>
      <c r="E9949" s="3">
        <v>6</v>
      </c>
      <c r="F9949" s="4" t="str">
        <f>HYPERLINK("http://141.218.60.56/~jnz1568/getInfo.php?workbook=12_05.xlsx&amp;sheet=U0&amp;row=9949&amp;col=6&amp;number=3.5&amp;sourceID=14","3.5")</f>
        <v>3.5</v>
      </c>
      <c r="G9949" s="4" t="str">
        <f>HYPERLINK("http://141.218.60.56/~jnz1568/getInfo.php?workbook=12_05.xlsx&amp;sheet=U0&amp;row=9949&amp;col=7&amp;number=0.088&amp;sourceID=14","0.088")</f>
        <v>0.088</v>
      </c>
    </row>
    <row r="9950" spans="1:7">
      <c r="A9950" s="3"/>
      <c r="B9950" s="3"/>
      <c r="C9950" s="3"/>
      <c r="D9950" s="3"/>
      <c r="E9950" s="3">
        <v>7</v>
      </c>
      <c r="F9950" s="4" t="str">
        <f>HYPERLINK("http://141.218.60.56/~jnz1568/getInfo.php?workbook=12_05.xlsx&amp;sheet=U0&amp;row=9950&amp;col=6&amp;number=3.6&amp;sourceID=14","3.6")</f>
        <v>3.6</v>
      </c>
      <c r="G9950" s="4" t="str">
        <f>HYPERLINK("http://141.218.60.56/~jnz1568/getInfo.php?workbook=12_05.xlsx&amp;sheet=U0&amp;row=9950&amp;col=7&amp;number=0.088&amp;sourceID=14","0.088")</f>
        <v>0.088</v>
      </c>
    </row>
    <row r="9951" spans="1:7">
      <c r="A9951" s="3"/>
      <c r="B9951" s="3"/>
      <c r="C9951" s="3"/>
      <c r="D9951" s="3"/>
      <c r="E9951" s="3">
        <v>8</v>
      </c>
      <c r="F9951" s="4" t="str">
        <f>HYPERLINK("http://141.218.60.56/~jnz1568/getInfo.php?workbook=12_05.xlsx&amp;sheet=U0&amp;row=9951&amp;col=6&amp;number=3.7&amp;sourceID=14","3.7")</f>
        <v>3.7</v>
      </c>
      <c r="G9951" s="4" t="str">
        <f>HYPERLINK("http://141.218.60.56/~jnz1568/getInfo.php?workbook=12_05.xlsx&amp;sheet=U0&amp;row=9951&amp;col=7&amp;number=0.0881&amp;sourceID=14","0.0881")</f>
        <v>0.0881</v>
      </c>
    </row>
    <row r="9952" spans="1:7">
      <c r="A9952" s="3"/>
      <c r="B9952" s="3"/>
      <c r="C9952" s="3"/>
      <c r="D9952" s="3"/>
      <c r="E9952" s="3">
        <v>9</v>
      </c>
      <c r="F9952" s="4" t="str">
        <f>HYPERLINK("http://141.218.60.56/~jnz1568/getInfo.php?workbook=12_05.xlsx&amp;sheet=U0&amp;row=9952&amp;col=6&amp;number=3.8&amp;sourceID=14","3.8")</f>
        <v>3.8</v>
      </c>
      <c r="G9952" s="4" t="str">
        <f>HYPERLINK("http://141.218.60.56/~jnz1568/getInfo.php?workbook=12_05.xlsx&amp;sheet=U0&amp;row=9952&amp;col=7&amp;number=0.0881&amp;sourceID=14","0.0881")</f>
        <v>0.0881</v>
      </c>
    </row>
    <row r="9953" spans="1:7">
      <c r="A9953" s="3"/>
      <c r="B9953" s="3"/>
      <c r="C9953" s="3"/>
      <c r="D9953" s="3"/>
      <c r="E9953" s="3">
        <v>10</v>
      </c>
      <c r="F9953" s="4" t="str">
        <f>HYPERLINK("http://141.218.60.56/~jnz1568/getInfo.php?workbook=12_05.xlsx&amp;sheet=U0&amp;row=9953&amp;col=6&amp;number=3.9&amp;sourceID=14","3.9")</f>
        <v>3.9</v>
      </c>
      <c r="G9953" s="4" t="str">
        <f>HYPERLINK("http://141.218.60.56/~jnz1568/getInfo.php?workbook=12_05.xlsx&amp;sheet=U0&amp;row=9953&amp;col=7&amp;number=0.0882&amp;sourceID=14","0.0882")</f>
        <v>0.0882</v>
      </c>
    </row>
    <row r="9954" spans="1:7">
      <c r="A9954" s="3"/>
      <c r="B9954" s="3"/>
      <c r="C9954" s="3"/>
      <c r="D9954" s="3"/>
      <c r="E9954" s="3">
        <v>11</v>
      </c>
      <c r="F9954" s="4" t="str">
        <f>HYPERLINK("http://141.218.60.56/~jnz1568/getInfo.php?workbook=12_05.xlsx&amp;sheet=U0&amp;row=9954&amp;col=6&amp;number=4&amp;sourceID=14","4")</f>
        <v>4</v>
      </c>
      <c r="G9954" s="4" t="str">
        <f>HYPERLINK("http://141.218.60.56/~jnz1568/getInfo.php?workbook=12_05.xlsx&amp;sheet=U0&amp;row=9954&amp;col=7&amp;number=0.0883&amp;sourceID=14","0.0883")</f>
        <v>0.0883</v>
      </c>
    </row>
    <row r="9955" spans="1:7">
      <c r="A9955" s="3"/>
      <c r="B9955" s="3"/>
      <c r="C9955" s="3"/>
      <c r="D9955" s="3"/>
      <c r="E9955" s="3">
        <v>12</v>
      </c>
      <c r="F9955" s="4" t="str">
        <f>HYPERLINK("http://141.218.60.56/~jnz1568/getInfo.php?workbook=12_05.xlsx&amp;sheet=U0&amp;row=9955&amp;col=6&amp;number=4.1&amp;sourceID=14","4.1")</f>
        <v>4.1</v>
      </c>
      <c r="G9955" s="4" t="str">
        <f>HYPERLINK("http://141.218.60.56/~jnz1568/getInfo.php?workbook=12_05.xlsx&amp;sheet=U0&amp;row=9955&amp;col=7&amp;number=0.0884&amp;sourceID=14","0.0884")</f>
        <v>0.0884</v>
      </c>
    </row>
    <row r="9956" spans="1:7">
      <c r="A9956" s="3"/>
      <c r="B9956" s="3"/>
      <c r="C9956" s="3"/>
      <c r="D9956" s="3"/>
      <c r="E9956" s="3">
        <v>13</v>
      </c>
      <c r="F9956" s="4" t="str">
        <f>HYPERLINK("http://141.218.60.56/~jnz1568/getInfo.php?workbook=12_05.xlsx&amp;sheet=U0&amp;row=9956&amp;col=6&amp;number=4.2&amp;sourceID=14","4.2")</f>
        <v>4.2</v>
      </c>
      <c r="G9956" s="4" t="str">
        <f>HYPERLINK("http://141.218.60.56/~jnz1568/getInfo.php?workbook=12_05.xlsx&amp;sheet=U0&amp;row=9956&amp;col=7&amp;number=0.0885&amp;sourceID=14","0.0885")</f>
        <v>0.0885</v>
      </c>
    </row>
    <row r="9957" spans="1:7">
      <c r="A9957" s="3"/>
      <c r="B9957" s="3"/>
      <c r="C9957" s="3"/>
      <c r="D9957" s="3"/>
      <c r="E9957" s="3">
        <v>14</v>
      </c>
      <c r="F9957" s="4" t="str">
        <f>HYPERLINK("http://141.218.60.56/~jnz1568/getInfo.php?workbook=12_05.xlsx&amp;sheet=U0&amp;row=9957&amp;col=6&amp;number=4.3&amp;sourceID=14","4.3")</f>
        <v>4.3</v>
      </c>
      <c r="G9957" s="4" t="str">
        <f>HYPERLINK("http://141.218.60.56/~jnz1568/getInfo.php?workbook=12_05.xlsx&amp;sheet=U0&amp;row=9957&amp;col=7&amp;number=0.0887&amp;sourceID=14","0.0887")</f>
        <v>0.0887</v>
      </c>
    </row>
    <row r="9958" spans="1:7">
      <c r="A9958" s="3"/>
      <c r="B9958" s="3"/>
      <c r="C9958" s="3"/>
      <c r="D9958" s="3"/>
      <c r="E9958" s="3">
        <v>15</v>
      </c>
      <c r="F9958" s="4" t="str">
        <f>HYPERLINK("http://141.218.60.56/~jnz1568/getInfo.php?workbook=12_05.xlsx&amp;sheet=U0&amp;row=9958&amp;col=6&amp;number=4.4&amp;sourceID=14","4.4")</f>
        <v>4.4</v>
      </c>
      <c r="G9958" s="4" t="str">
        <f>HYPERLINK("http://141.218.60.56/~jnz1568/getInfo.php?workbook=12_05.xlsx&amp;sheet=U0&amp;row=9958&amp;col=7&amp;number=0.0889&amp;sourceID=14","0.0889")</f>
        <v>0.0889</v>
      </c>
    </row>
    <row r="9959" spans="1:7">
      <c r="A9959" s="3"/>
      <c r="B9959" s="3"/>
      <c r="C9959" s="3"/>
      <c r="D9959" s="3"/>
      <c r="E9959" s="3">
        <v>16</v>
      </c>
      <c r="F9959" s="4" t="str">
        <f>HYPERLINK("http://141.218.60.56/~jnz1568/getInfo.php?workbook=12_05.xlsx&amp;sheet=U0&amp;row=9959&amp;col=6&amp;number=4.5&amp;sourceID=14","4.5")</f>
        <v>4.5</v>
      </c>
      <c r="G9959" s="4" t="str">
        <f>HYPERLINK("http://141.218.60.56/~jnz1568/getInfo.php?workbook=12_05.xlsx&amp;sheet=U0&amp;row=9959&amp;col=7&amp;number=0.0892&amp;sourceID=14","0.0892")</f>
        <v>0.0892</v>
      </c>
    </row>
    <row r="9960" spans="1:7">
      <c r="A9960" s="3"/>
      <c r="B9960" s="3"/>
      <c r="C9960" s="3"/>
      <c r="D9960" s="3"/>
      <c r="E9960" s="3">
        <v>17</v>
      </c>
      <c r="F9960" s="4" t="str">
        <f>HYPERLINK("http://141.218.60.56/~jnz1568/getInfo.php?workbook=12_05.xlsx&amp;sheet=U0&amp;row=9960&amp;col=6&amp;number=4.6&amp;sourceID=14","4.6")</f>
        <v>4.6</v>
      </c>
      <c r="G9960" s="4" t="str">
        <f>HYPERLINK("http://141.218.60.56/~jnz1568/getInfo.php?workbook=12_05.xlsx&amp;sheet=U0&amp;row=9960&amp;col=7&amp;number=0.0895&amp;sourceID=14","0.0895")</f>
        <v>0.0895</v>
      </c>
    </row>
    <row r="9961" spans="1:7">
      <c r="A9961" s="3"/>
      <c r="B9961" s="3"/>
      <c r="C9961" s="3"/>
      <c r="D9961" s="3"/>
      <c r="E9961" s="3">
        <v>18</v>
      </c>
      <c r="F9961" s="4" t="str">
        <f>HYPERLINK("http://141.218.60.56/~jnz1568/getInfo.php?workbook=12_05.xlsx&amp;sheet=U0&amp;row=9961&amp;col=6&amp;number=4.7&amp;sourceID=14","4.7")</f>
        <v>4.7</v>
      </c>
      <c r="G9961" s="4" t="str">
        <f>HYPERLINK("http://141.218.60.56/~jnz1568/getInfo.php?workbook=12_05.xlsx&amp;sheet=U0&amp;row=9961&amp;col=7&amp;number=0.0899&amp;sourceID=14","0.0899")</f>
        <v>0.0899</v>
      </c>
    </row>
    <row r="9962" spans="1:7">
      <c r="A9962" s="3"/>
      <c r="B9962" s="3"/>
      <c r="C9962" s="3"/>
      <c r="D9962" s="3"/>
      <c r="E9962" s="3">
        <v>19</v>
      </c>
      <c r="F9962" s="4" t="str">
        <f>HYPERLINK("http://141.218.60.56/~jnz1568/getInfo.php?workbook=12_05.xlsx&amp;sheet=U0&amp;row=9962&amp;col=6&amp;number=4.8&amp;sourceID=14","4.8")</f>
        <v>4.8</v>
      </c>
      <c r="G9962" s="4" t="str">
        <f>HYPERLINK("http://141.218.60.56/~jnz1568/getInfo.php?workbook=12_05.xlsx&amp;sheet=U0&amp;row=9962&amp;col=7&amp;number=0.0904&amp;sourceID=14","0.0904")</f>
        <v>0.0904</v>
      </c>
    </row>
    <row r="9963" spans="1:7">
      <c r="A9963" s="3"/>
      <c r="B9963" s="3"/>
      <c r="C9963" s="3"/>
      <c r="D9963" s="3"/>
      <c r="E9963" s="3">
        <v>20</v>
      </c>
      <c r="F9963" s="4" t="str">
        <f>HYPERLINK("http://141.218.60.56/~jnz1568/getInfo.php?workbook=12_05.xlsx&amp;sheet=U0&amp;row=9963&amp;col=6&amp;number=4.9&amp;sourceID=14","4.9")</f>
        <v>4.9</v>
      </c>
      <c r="G9963" s="4" t="str">
        <f>HYPERLINK("http://141.218.60.56/~jnz1568/getInfo.php?workbook=12_05.xlsx&amp;sheet=U0&amp;row=9963&amp;col=7&amp;number=0.0911&amp;sourceID=14","0.0911")</f>
        <v>0.0911</v>
      </c>
    </row>
    <row r="9964" spans="1:7">
      <c r="A9964" s="3">
        <v>12</v>
      </c>
      <c r="B9964" s="3">
        <v>5</v>
      </c>
      <c r="C9964" s="3">
        <v>5</v>
      </c>
      <c r="D9964" s="3">
        <v>72</v>
      </c>
      <c r="E9964" s="3">
        <v>1</v>
      </c>
      <c r="F9964" s="4" t="str">
        <f>HYPERLINK("http://141.218.60.56/~jnz1568/getInfo.php?workbook=12_05.xlsx&amp;sheet=U0&amp;row=9964&amp;col=6&amp;number=3&amp;sourceID=14","3")</f>
        <v>3</v>
      </c>
      <c r="G9964" s="4" t="str">
        <f>HYPERLINK("http://141.218.60.56/~jnz1568/getInfo.php?workbook=12_05.xlsx&amp;sheet=U0&amp;row=9964&amp;col=7&amp;number=2.45e-05&amp;sourceID=14","2.45e-05")</f>
        <v>2.45e-05</v>
      </c>
    </row>
    <row r="9965" spans="1:7">
      <c r="A9965" s="3"/>
      <c r="B9965" s="3"/>
      <c r="C9965" s="3"/>
      <c r="D9965" s="3"/>
      <c r="E9965" s="3">
        <v>2</v>
      </c>
      <c r="F9965" s="4" t="str">
        <f>HYPERLINK("http://141.218.60.56/~jnz1568/getInfo.php?workbook=12_05.xlsx&amp;sheet=U0&amp;row=9965&amp;col=6&amp;number=3.1&amp;sourceID=14","3.1")</f>
        <v>3.1</v>
      </c>
      <c r="G9965" s="4" t="str">
        <f>HYPERLINK("http://141.218.60.56/~jnz1568/getInfo.php?workbook=12_05.xlsx&amp;sheet=U0&amp;row=9965&amp;col=7&amp;number=2.45e-05&amp;sourceID=14","2.45e-05")</f>
        <v>2.45e-05</v>
      </c>
    </row>
    <row r="9966" spans="1:7">
      <c r="A9966" s="3"/>
      <c r="B9966" s="3"/>
      <c r="C9966" s="3"/>
      <c r="D9966" s="3"/>
      <c r="E9966" s="3">
        <v>3</v>
      </c>
      <c r="F9966" s="4" t="str">
        <f>HYPERLINK("http://141.218.60.56/~jnz1568/getInfo.php?workbook=12_05.xlsx&amp;sheet=U0&amp;row=9966&amp;col=6&amp;number=3.2&amp;sourceID=14","3.2")</f>
        <v>3.2</v>
      </c>
      <c r="G9966" s="4" t="str">
        <f>HYPERLINK("http://141.218.60.56/~jnz1568/getInfo.php?workbook=12_05.xlsx&amp;sheet=U0&amp;row=9966&amp;col=7&amp;number=2.45e-05&amp;sourceID=14","2.45e-05")</f>
        <v>2.45e-05</v>
      </c>
    </row>
    <row r="9967" spans="1:7">
      <c r="A9967" s="3"/>
      <c r="B9967" s="3"/>
      <c r="C9967" s="3"/>
      <c r="D9967" s="3"/>
      <c r="E9967" s="3">
        <v>4</v>
      </c>
      <c r="F9967" s="4" t="str">
        <f>HYPERLINK("http://141.218.60.56/~jnz1568/getInfo.php?workbook=12_05.xlsx&amp;sheet=U0&amp;row=9967&amp;col=6&amp;number=3.3&amp;sourceID=14","3.3")</f>
        <v>3.3</v>
      </c>
      <c r="G9967" s="4" t="str">
        <f>HYPERLINK("http://141.218.60.56/~jnz1568/getInfo.php?workbook=12_05.xlsx&amp;sheet=U0&amp;row=9967&amp;col=7&amp;number=2.45e-05&amp;sourceID=14","2.45e-05")</f>
        <v>2.45e-05</v>
      </c>
    </row>
    <row r="9968" spans="1:7">
      <c r="A9968" s="3"/>
      <c r="B9968" s="3"/>
      <c r="C9968" s="3"/>
      <c r="D9968" s="3"/>
      <c r="E9968" s="3">
        <v>5</v>
      </c>
      <c r="F9968" s="4" t="str">
        <f>HYPERLINK("http://141.218.60.56/~jnz1568/getInfo.php?workbook=12_05.xlsx&amp;sheet=U0&amp;row=9968&amp;col=6&amp;number=3.4&amp;sourceID=14","3.4")</f>
        <v>3.4</v>
      </c>
      <c r="G9968" s="4" t="str">
        <f>HYPERLINK("http://141.218.60.56/~jnz1568/getInfo.php?workbook=12_05.xlsx&amp;sheet=U0&amp;row=9968&amp;col=7&amp;number=2.45e-05&amp;sourceID=14","2.45e-05")</f>
        <v>2.45e-05</v>
      </c>
    </row>
    <row r="9969" spans="1:7">
      <c r="A9969" s="3"/>
      <c r="B9969" s="3"/>
      <c r="C9969" s="3"/>
      <c r="D9969" s="3"/>
      <c r="E9969" s="3">
        <v>6</v>
      </c>
      <c r="F9969" s="4" t="str">
        <f>HYPERLINK("http://141.218.60.56/~jnz1568/getInfo.php?workbook=12_05.xlsx&amp;sheet=U0&amp;row=9969&amp;col=6&amp;number=3.5&amp;sourceID=14","3.5")</f>
        <v>3.5</v>
      </c>
      <c r="G9969" s="4" t="str">
        <f>HYPERLINK("http://141.218.60.56/~jnz1568/getInfo.php?workbook=12_05.xlsx&amp;sheet=U0&amp;row=9969&amp;col=7&amp;number=2.45e-05&amp;sourceID=14","2.45e-05")</f>
        <v>2.45e-05</v>
      </c>
    </row>
    <row r="9970" spans="1:7">
      <c r="A9970" s="3"/>
      <c r="B9970" s="3"/>
      <c r="C9970" s="3"/>
      <c r="D9970" s="3"/>
      <c r="E9970" s="3">
        <v>7</v>
      </c>
      <c r="F9970" s="4" t="str">
        <f>HYPERLINK("http://141.218.60.56/~jnz1568/getInfo.php?workbook=12_05.xlsx&amp;sheet=U0&amp;row=9970&amp;col=6&amp;number=3.6&amp;sourceID=14","3.6")</f>
        <v>3.6</v>
      </c>
      <c r="G9970" s="4" t="str">
        <f>HYPERLINK("http://141.218.60.56/~jnz1568/getInfo.php?workbook=12_05.xlsx&amp;sheet=U0&amp;row=9970&amp;col=7&amp;number=2.45e-05&amp;sourceID=14","2.45e-05")</f>
        <v>2.45e-05</v>
      </c>
    </row>
    <row r="9971" spans="1:7">
      <c r="A9971" s="3"/>
      <c r="B9971" s="3"/>
      <c r="C9971" s="3"/>
      <c r="D9971" s="3"/>
      <c r="E9971" s="3">
        <v>8</v>
      </c>
      <c r="F9971" s="4" t="str">
        <f>HYPERLINK("http://141.218.60.56/~jnz1568/getInfo.php?workbook=12_05.xlsx&amp;sheet=U0&amp;row=9971&amp;col=6&amp;number=3.7&amp;sourceID=14","3.7")</f>
        <v>3.7</v>
      </c>
      <c r="G9971" s="4" t="str">
        <f>HYPERLINK("http://141.218.60.56/~jnz1568/getInfo.php?workbook=12_05.xlsx&amp;sheet=U0&amp;row=9971&amp;col=7&amp;number=2.46e-05&amp;sourceID=14","2.46e-05")</f>
        <v>2.46e-05</v>
      </c>
    </row>
    <row r="9972" spans="1:7">
      <c r="A9972" s="3"/>
      <c r="B9972" s="3"/>
      <c r="C9972" s="3"/>
      <c r="D9972" s="3"/>
      <c r="E9972" s="3">
        <v>9</v>
      </c>
      <c r="F9972" s="4" t="str">
        <f>HYPERLINK("http://141.218.60.56/~jnz1568/getInfo.php?workbook=12_05.xlsx&amp;sheet=U0&amp;row=9972&amp;col=6&amp;number=3.8&amp;sourceID=14","3.8")</f>
        <v>3.8</v>
      </c>
      <c r="G9972" s="4" t="str">
        <f>HYPERLINK("http://141.218.60.56/~jnz1568/getInfo.php?workbook=12_05.xlsx&amp;sheet=U0&amp;row=9972&amp;col=7&amp;number=2.46e-05&amp;sourceID=14","2.46e-05")</f>
        <v>2.46e-05</v>
      </c>
    </row>
    <row r="9973" spans="1:7">
      <c r="A9973" s="3"/>
      <c r="B9973" s="3"/>
      <c r="C9973" s="3"/>
      <c r="D9973" s="3"/>
      <c r="E9973" s="3">
        <v>10</v>
      </c>
      <c r="F9973" s="4" t="str">
        <f>HYPERLINK("http://141.218.60.56/~jnz1568/getInfo.php?workbook=12_05.xlsx&amp;sheet=U0&amp;row=9973&amp;col=6&amp;number=3.9&amp;sourceID=14","3.9")</f>
        <v>3.9</v>
      </c>
      <c r="G9973" s="4" t="str">
        <f>HYPERLINK("http://141.218.60.56/~jnz1568/getInfo.php?workbook=12_05.xlsx&amp;sheet=U0&amp;row=9973&amp;col=7&amp;number=2.46e-05&amp;sourceID=14","2.46e-05")</f>
        <v>2.46e-05</v>
      </c>
    </row>
    <row r="9974" spans="1:7">
      <c r="A9974" s="3"/>
      <c r="B9974" s="3"/>
      <c r="C9974" s="3"/>
      <c r="D9974" s="3"/>
      <c r="E9974" s="3">
        <v>11</v>
      </c>
      <c r="F9974" s="4" t="str">
        <f>HYPERLINK("http://141.218.60.56/~jnz1568/getInfo.php?workbook=12_05.xlsx&amp;sheet=U0&amp;row=9974&amp;col=6&amp;number=4&amp;sourceID=14","4")</f>
        <v>4</v>
      </c>
      <c r="G9974" s="4" t="str">
        <f>HYPERLINK("http://141.218.60.56/~jnz1568/getInfo.php?workbook=12_05.xlsx&amp;sheet=U0&amp;row=9974&amp;col=7&amp;number=2.46e-05&amp;sourceID=14","2.46e-05")</f>
        <v>2.46e-05</v>
      </c>
    </row>
    <row r="9975" spans="1:7">
      <c r="A9975" s="3"/>
      <c r="B9975" s="3"/>
      <c r="C9975" s="3"/>
      <c r="D9975" s="3"/>
      <c r="E9975" s="3">
        <v>12</v>
      </c>
      <c r="F9975" s="4" t="str">
        <f>HYPERLINK("http://141.218.60.56/~jnz1568/getInfo.php?workbook=12_05.xlsx&amp;sheet=U0&amp;row=9975&amp;col=6&amp;number=4.1&amp;sourceID=14","4.1")</f>
        <v>4.1</v>
      </c>
      <c r="G9975" s="4" t="str">
        <f>HYPERLINK("http://141.218.60.56/~jnz1568/getInfo.php?workbook=12_05.xlsx&amp;sheet=U0&amp;row=9975&amp;col=7&amp;number=2.47e-05&amp;sourceID=14","2.47e-05")</f>
        <v>2.47e-05</v>
      </c>
    </row>
    <row r="9976" spans="1:7">
      <c r="A9976" s="3"/>
      <c r="B9976" s="3"/>
      <c r="C9976" s="3"/>
      <c r="D9976" s="3"/>
      <c r="E9976" s="3">
        <v>13</v>
      </c>
      <c r="F9976" s="4" t="str">
        <f>HYPERLINK("http://141.218.60.56/~jnz1568/getInfo.php?workbook=12_05.xlsx&amp;sheet=U0&amp;row=9976&amp;col=6&amp;number=4.2&amp;sourceID=14","4.2")</f>
        <v>4.2</v>
      </c>
      <c r="G9976" s="4" t="str">
        <f>HYPERLINK("http://141.218.60.56/~jnz1568/getInfo.php?workbook=12_05.xlsx&amp;sheet=U0&amp;row=9976&amp;col=7&amp;number=2.47e-05&amp;sourceID=14","2.47e-05")</f>
        <v>2.47e-05</v>
      </c>
    </row>
    <row r="9977" spans="1:7">
      <c r="A9977" s="3"/>
      <c r="B9977" s="3"/>
      <c r="C9977" s="3"/>
      <c r="D9977" s="3"/>
      <c r="E9977" s="3">
        <v>14</v>
      </c>
      <c r="F9977" s="4" t="str">
        <f>HYPERLINK("http://141.218.60.56/~jnz1568/getInfo.php?workbook=12_05.xlsx&amp;sheet=U0&amp;row=9977&amp;col=6&amp;number=4.3&amp;sourceID=14","4.3")</f>
        <v>4.3</v>
      </c>
      <c r="G9977" s="4" t="str">
        <f>HYPERLINK("http://141.218.60.56/~jnz1568/getInfo.php?workbook=12_05.xlsx&amp;sheet=U0&amp;row=9977&amp;col=7&amp;number=2.48e-05&amp;sourceID=14","2.48e-05")</f>
        <v>2.48e-05</v>
      </c>
    </row>
    <row r="9978" spans="1:7">
      <c r="A9978" s="3"/>
      <c r="B9978" s="3"/>
      <c r="C9978" s="3"/>
      <c r="D9978" s="3"/>
      <c r="E9978" s="3">
        <v>15</v>
      </c>
      <c r="F9978" s="4" t="str">
        <f>HYPERLINK("http://141.218.60.56/~jnz1568/getInfo.php?workbook=12_05.xlsx&amp;sheet=U0&amp;row=9978&amp;col=6&amp;number=4.4&amp;sourceID=14","4.4")</f>
        <v>4.4</v>
      </c>
      <c r="G9978" s="4" t="str">
        <f>HYPERLINK("http://141.218.60.56/~jnz1568/getInfo.php?workbook=12_05.xlsx&amp;sheet=U0&amp;row=9978&amp;col=7&amp;number=2.49e-05&amp;sourceID=14","2.49e-05")</f>
        <v>2.49e-05</v>
      </c>
    </row>
    <row r="9979" spans="1:7">
      <c r="A9979" s="3"/>
      <c r="B9979" s="3"/>
      <c r="C9979" s="3"/>
      <c r="D9979" s="3"/>
      <c r="E9979" s="3">
        <v>16</v>
      </c>
      <c r="F9979" s="4" t="str">
        <f>HYPERLINK("http://141.218.60.56/~jnz1568/getInfo.php?workbook=12_05.xlsx&amp;sheet=U0&amp;row=9979&amp;col=6&amp;number=4.5&amp;sourceID=14","4.5")</f>
        <v>4.5</v>
      </c>
      <c r="G9979" s="4" t="str">
        <f>HYPERLINK("http://141.218.60.56/~jnz1568/getInfo.php?workbook=12_05.xlsx&amp;sheet=U0&amp;row=9979&amp;col=7&amp;number=2.5e-05&amp;sourceID=14","2.5e-05")</f>
        <v>2.5e-05</v>
      </c>
    </row>
    <row r="9980" spans="1:7">
      <c r="A9980" s="3"/>
      <c r="B9980" s="3"/>
      <c r="C9980" s="3"/>
      <c r="D9980" s="3"/>
      <c r="E9980" s="3">
        <v>17</v>
      </c>
      <c r="F9980" s="4" t="str">
        <f>HYPERLINK("http://141.218.60.56/~jnz1568/getInfo.php?workbook=12_05.xlsx&amp;sheet=U0&amp;row=9980&amp;col=6&amp;number=4.6&amp;sourceID=14","4.6")</f>
        <v>4.6</v>
      </c>
      <c r="G9980" s="4" t="str">
        <f>HYPERLINK("http://141.218.60.56/~jnz1568/getInfo.php?workbook=12_05.xlsx&amp;sheet=U0&amp;row=9980&amp;col=7&amp;number=2.51e-05&amp;sourceID=14","2.51e-05")</f>
        <v>2.51e-05</v>
      </c>
    </row>
    <row r="9981" spans="1:7">
      <c r="A9981" s="3"/>
      <c r="B9981" s="3"/>
      <c r="C9981" s="3"/>
      <c r="D9981" s="3"/>
      <c r="E9981" s="3">
        <v>18</v>
      </c>
      <c r="F9981" s="4" t="str">
        <f>HYPERLINK("http://141.218.60.56/~jnz1568/getInfo.php?workbook=12_05.xlsx&amp;sheet=U0&amp;row=9981&amp;col=6&amp;number=4.7&amp;sourceID=14","4.7")</f>
        <v>4.7</v>
      </c>
      <c r="G9981" s="4" t="str">
        <f>HYPERLINK("http://141.218.60.56/~jnz1568/getInfo.php?workbook=12_05.xlsx&amp;sheet=U0&amp;row=9981&amp;col=7&amp;number=2.52e-05&amp;sourceID=14","2.52e-05")</f>
        <v>2.52e-05</v>
      </c>
    </row>
    <row r="9982" spans="1:7">
      <c r="A9982" s="3"/>
      <c r="B9982" s="3"/>
      <c r="C9982" s="3"/>
      <c r="D9982" s="3"/>
      <c r="E9982" s="3">
        <v>19</v>
      </c>
      <c r="F9982" s="4" t="str">
        <f>HYPERLINK("http://141.218.60.56/~jnz1568/getInfo.php?workbook=12_05.xlsx&amp;sheet=U0&amp;row=9982&amp;col=6&amp;number=4.8&amp;sourceID=14","4.8")</f>
        <v>4.8</v>
      </c>
      <c r="G9982" s="4" t="str">
        <f>HYPERLINK("http://141.218.60.56/~jnz1568/getInfo.php?workbook=12_05.xlsx&amp;sheet=U0&amp;row=9982&amp;col=7&amp;number=2.54e-05&amp;sourceID=14","2.54e-05")</f>
        <v>2.54e-05</v>
      </c>
    </row>
    <row r="9983" spans="1:7">
      <c r="A9983" s="3"/>
      <c r="B9983" s="3"/>
      <c r="C9983" s="3"/>
      <c r="D9983" s="3"/>
      <c r="E9983" s="3">
        <v>20</v>
      </c>
      <c r="F9983" s="4" t="str">
        <f>HYPERLINK("http://141.218.60.56/~jnz1568/getInfo.php?workbook=12_05.xlsx&amp;sheet=U0&amp;row=9983&amp;col=6&amp;number=4.9&amp;sourceID=14","4.9")</f>
        <v>4.9</v>
      </c>
      <c r="G9983" s="4" t="str">
        <f>HYPERLINK("http://141.218.60.56/~jnz1568/getInfo.php?workbook=12_05.xlsx&amp;sheet=U0&amp;row=9983&amp;col=7&amp;number=2.57e-05&amp;sourceID=14","2.57e-05")</f>
        <v>2.57e-05</v>
      </c>
    </row>
    <row r="9984" spans="1:7">
      <c r="A9984" s="3">
        <v>12</v>
      </c>
      <c r="B9984" s="3">
        <v>5</v>
      </c>
      <c r="C9984" s="3">
        <v>5</v>
      </c>
      <c r="D9984" s="3">
        <v>73</v>
      </c>
      <c r="E9984" s="3">
        <v>1</v>
      </c>
      <c r="F9984" s="4" t="str">
        <f>HYPERLINK("http://141.218.60.56/~jnz1568/getInfo.php?workbook=12_05.xlsx&amp;sheet=U0&amp;row=9984&amp;col=6&amp;number=3&amp;sourceID=14","3")</f>
        <v>3</v>
      </c>
      <c r="G9984" s="4" t="str">
        <f>HYPERLINK("http://141.218.60.56/~jnz1568/getInfo.php?workbook=12_05.xlsx&amp;sheet=U0&amp;row=9984&amp;col=7&amp;number=8.06e-05&amp;sourceID=14","8.06e-05")</f>
        <v>8.06e-05</v>
      </c>
    </row>
    <row r="9985" spans="1:7">
      <c r="A9985" s="3"/>
      <c r="B9985" s="3"/>
      <c r="C9985" s="3"/>
      <c r="D9985" s="3"/>
      <c r="E9985" s="3">
        <v>2</v>
      </c>
      <c r="F9985" s="4" t="str">
        <f>HYPERLINK("http://141.218.60.56/~jnz1568/getInfo.php?workbook=12_05.xlsx&amp;sheet=U0&amp;row=9985&amp;col=6&amp;number=3.1&amp;sourceID=14","3.1")</f>
        <v>3.1</v>
      </c>
      <c r="G9985" s="4" t="str">
        <f>HYPERLINK("http://141.218.60.56/~jnz1568/getInfo.php?workbook=12_05.xlsx&amp;sheet=U0&amp;row=9985&amp;col=7&amp;number=8.05e-05&amp;sourceID=14","8.05e-05")</f>
        <v>8.05e-05</v>
      </c>
    </row>
    <row r="9986" spans="1:7">
      <c r="A9986" s="3"/>
      <c r="B9986" s="3"/>
      <c r="C9986" s="3"/>
      <c r="D9986" s="3"/>
      <c r="E9986" s="3">
        <v>3</v>
      </c>
      <c r="F9986" s="4" t="str">
        <f>HYPERLINK("http://141.218.60.56/~jnz1568/getInfo.php?workbook=12_05.xlsx&amp;sheet=U0&amp;row=9986&amp;col=6&amp;number=3.2&amp;sourceID=14","3.2")</f>
        <v>3.2</v>
      </c>
      <c r="G9986" s="4" t="str">
        <f>HYPERLINK("http://141.218.60.56/~jnz1568/getInfo.php?workbook=12_05.xlsx&amp;sheet=U0&amp;row=9986&amp;col=7&amp;number=8.05e-05&amp;sourceID=14","8.05e-05")</f>
        <v>8.05e-05</v>
      </c>
    </row>
    <row r="9987" spans="1:7">
      <c r="A9987" s="3"/>
      <c r="B9987" s="3"/>
      <c r="C9987" s="3"/>
      <c r="D9987" s="3"/>
      <c r="E9987" s="3">
        <v>4</v>
      </c>
      <c r="F9987" s="4" t="str">
        <f>HYPERLINK("http://141.218.60.56/~jnz1568/getInfo.php?workbook=12_05.xlsx&amp;sheet=U0&amp;row=9987&amp;col=6&amp;number=3.3&amp;sourceID=14","3.3")</f>
        <v>3.3</v>
      </c>
      <c r="G9987" s="4" t="str">
        <f>HYPERLINK("http://141.218.60.56/~jnz1568/getInfo.php?workbook=12_05.xlsx&amp;sheet=U0&amp;row=9987&amp;col=7&amp;number=8.05e-05&amp;sourceID=14","8.05e-05")</f>
        <v>8.05e-05</v>
      </c>
    </row>
    <row r="9988" spans="1:7">
      <c r="A9988" s="3"/>
      <c r="B9988" s="3"/>
      <c r="C9988" s="3"/>
      <c r="D9988" s="3"/>
      <c r="E9988" s="3">
        <v>5</v>
      </c>
      <c r="F9988" s="4" t="str">
        <f>HYPERLINK("http://141.218.60.56/~jnz1568/getInfo.php?workbook=12_05.xlsx&amp;sheet=U0&amp;row=9988&amp;col=6&amp;number=3.4&amp;sourceID=14","3.4")</f>
        <v>3.4</v>
      </c>
      <c r="G9988" s="4" t="str">
        <f>HYPERLINK("http://141.218.60.56/~jnz1568/getInfo.php?workbook=12_05.xlsx&amp;sheet=U0&amp;row=9988&amp;col=7&amp;number=8.04e-05&amp;sourceID=14","8.04e-05")</f>
        <v>8.04e-05</v>
      </c>
    </row>
    <row r="9989" spans="1:7">
      <c r="A9989" s="3"/>
      <c r="B9989" s="3"/>
      <c r="C9989" s="3"/>
      <c r="D9989" s="3"/>
      <c r="E9989" s="3">
        <v>6</v>
      </c>
      <c r="F9989" s="4" t="str">
        <f>HYPERLINK("http://141.218.60.56/~jnz1568/getInfo.php?workbook=12_05.xlsx&amp;sheet=U0&amp;row=9989&amp;col=6&amp;number=3.5&amp;sourceID=14","3.5")</f>
        <v>3.5</v>
      </c>
      <c r="G9989" s="4" t="str">
        <f>HYPERLINK("http://141.218.60.56/~jnz1568/getInfo.php?workbook=12_05.xlsx&amp;sheet=U0&amp;row=9989&amp;col=7&amp;number=8.04e-05&amp;sourceID=14","8.04e-05")</f>
        <v>8.04e-05</v>
      </c>
    </row>
    <row r="9990" spans="1:7">
      <c r="A9990" s="3"/>
      <c r="B9990" s="3"/>
      <c r="C9990" s="3"/>
      <c r="D9990" s="3"/>
      <c r="E9990" s="3">
        <v>7</v>
      </c>
      <c r="F9990" s="4" t="str">
        <f>HYPERLINK("http://141.218.60.56/~jnz1568/getInfo.php?workbook=12_05.xlsx&amp;sheet=U0&amp;row=9990&amp;col=6&amp;number=3.6&amp;sourceID=14","3.6")</f>
        <v>3.6</v>
      </c>
      <c r="G9990" s="4" t="str">
        <f>HYPERLINK("http://141.218.60.56/~jnz1568/getInfo.php?workbook=12_05.xlsx&amp;sheet=U0&amp;row=9990&amp;col=7&amp;number=8.03e-05&amp;sourceID=14","8.03e-05")</f>
        <v>8.03e-05</v>
      </c>
    </row>
    <row r="9991" spans="1:7">
      <c r="A9991" s="3"/>
      <c r="B9991" s="3"/>
      <c r="C9991" s="3"/>
      <c r="D9991" s="3"/>
      <c r="E9991" s="3">
        <v>8</v>
      </c>
      <c r="F9991" s="4" t="str">
        <f>HYPERLINK("http://141.218.60.56/~jnz1568/getInfo.php?workbook=12_05.xlsx&amp;sheet=U0&amp;row=9991&amp;col=6&amp;number=3.7&amp;sourceID=14","3.7")</f>
        <v>3.7</v>
      </c>
      <c r="G9991" s="4" t="str">
        <f>HYPERLINK("http://141.218.60.56/~jnz1568/getInfo.php?workbook=12_05.xlsx&amp;sheet=U0&amp;row=9991&amp;col=7&amp;number=8.03e-05&amp;sourceID=14","8.03e-05")</f>
        <v>8.03e-05</v>
      </c>
    </row>
    <row r="9992" spans="1:7">
      <c r="A9992" s="3"/>
      <c r="B9992" s="3"/>
      <c r="C9992" s="3"/>
      <c r="D9992" s="3"/>
      <c r="E9992" s="3">
        <v>9</v>
      </c>
      <c r="F9992" s="4" t="str">
        <f>HYPERLINK("http://141.218.60.56/~jnz1568/getInfo.php?workbook=12_05.xlsx&amp;sheet=U0&amp;row=9992&amp;col=6&amp;number=3.8&amp;sourceID=14","3.8")</f>
        <v>3.8</v>
      </c>
      <c r="G9992" s="4" t="str">
        <f>HYPERLINK("http://141.218.60.56/~jnz1568/getInfo.php?workbook=12_05.xlsx&amp;sheet=U0&amp;row=9992&amp;col=7&amp;number=8.02e-05&amp;sourceID=14","8.02e-05")</f>
        <v>8.02e-05</v>
      </c>
    </row>
    <row r="9993" spans="1:7">
      <c r="A9993" s="3"/>
      <c r="B9993" s="3"/>
      <c r="C9993" s="3"/>
      <c r="D9993" s="3"/>
      <c r="E9993" s="3">
        <v>10</v>
      </c>
      <c r="F9993" s="4" t="str">
        <f>HYPERLINK("http://141.218.60.56/~jnz1568/getInfo.php?workbook=12_05.xlsx&amp;sheet=U0&amp;row=9993&amp;col=6&amp;number=3.9&amp;sourceID=14","3.9")</f>
        <v>3.9</v>
      </c>
      <c r="G9993" s="4" t="str">
        <f>HYPERLINK("http://141.218.60.56/~jnz1568/getInfo.php?workbook=12_05.xlsx&amp;sheet=U0&amp;row=9993&amp;col=7&amp;number=8.01e-05&amp;sourceID=14","8.01e-05")</f>
        <v>8.01e-05</v>
      </c>
    </row>
    <row r="9994" spans="1:7">
      <c r="A9994" s="3"/>
      <c r="B9994" s="3"/>
      <c r="C9994" s="3"/>
      <c r="D9994" s="3"/>
      <c r="E9994" s="3">
        <v>11</v>
      </c>
      <c r="F9994" s="4" t="str">
        <f>HYPERLINK("http://141.218.60.56/~jnz1568/getInfo.php?workbook=12_05.xlsx&amp;sheet=U0&amp;row=9994&amp;col=6&amp;number=4&amp;sourceID=14","4")</f>
        <v>4</v>
      </c>
      <c r="G9994" s="4" t="str">
        <f>HYPERLINK("http://141.218.60.56/~jnz1568/getInfo.php?workbook=12_05.xlsx&amp;sheet=U0&amp;row=9994&amp;col=7&amp;number=7.99e-05&amp;sourceID=14","7.99e-05")</f>
        <v>7.99e-05</v>
      </c>
    </row>
    <row r="9995" spans="1:7">
      <c r="A9995" s="3"/>
      <c r="B9995" s="3"/>
      <c r="C9995" s="3"/>
      <c r="D9995" s="3"/>
      <c r="E9995" s="3">
        <v>12</v>
      </c>
      <c r="F9995" s="4" t="str">
        <f>HYPERLINK("http://141.218.60.56/~jnz1568/getInfo.php?workbook=12_05.xlsx&amp;sheet=U0&amp;row=9995&amp;col=6&amp;number=4.1&amp;sourceID=14","4.1")</f>
        <v>4.1</v>
      </c>
      <c r="G9995" s="4" t="str">
        <f>HYPERLINK("http://141.218.60.56/~jnz1568/getInfo.php?workbook=12_05.xlsx&amp;sheet=U0&amp;row=9995&amp;col=7&amp;number=7.98e-05&amp;sourceID=14","7.98e-05")</f>
        <v>7.98e-05</v>
      </c>
    </row>
    <row r="9996" spans="1:7">
      <c r="A9996" s="3"/>
      <c r="B9996" s="3"/>
      <c r="C9996" s="3"/>
      <c r="D9996" s="3"/>
      <c r="E9996" s="3">
        <v>13</v>
      </c>
      <c r="F9996" s="4" t="str">
        <f>HYPERLINK("http://141.218.60.56/~jnz1568/getInfo.php?workbook=12_05.xlsx&amp;sheet=U0&amp;row=9996&amp;col=6&amp;number=4.2&amp;sourceID=14","4.2")</f>
        <v>4.2</v>
      </c>
      <c r="G9996" s="4" t="str">
        <f>HYPERLINK("http://141.218.60.56/~jnz1568/getInfo.php?workbook=12_05.xlsx&amp;sheet=U0&amp;row=9996&amp;col=7&amp;number=7.95e-05&amp;sourceID=14","7.95e-05")</f>
        <v>7.95e-05</v>
      </c>
    </row>
    <row r="9997" spans="1:7">
      <c r="A9997" s="3"/>
      <c r="B9997" s="3"/>
      <c r="C9997" s="3"/>
      <c r="D9997" s="3"/>
      <c r="E9997" s="3">
        <v>14</v>
      </c>
      <c r="F9997" s="4" t="str">
        <f>HYPERLINK("http://141.218.60.56/~jnz1568/getInfo.php?workbook=12_05.xlsx&amp;sheet=U0&amp;row=9997&amp;col=6&amp;number=4.3&amp;sourceID=14","4.3")</f>
        <v>4.3</v>
      </c>
      <c r="G9997" s="4" t="str">
        <f>HYPERLINK("http://141.218.60.56/~jnz1568/getInfo.php?workbook=12_05.xlsx&amp;sheet=U0&amp;row=9997&amp;col=7&amp;number=7.93e-05&amp;sourceID=14","7.93e-05")</f>
        <v>7.93e-05</v>
      </c>
    </row>
    <row r="9998" spans="1:7">
      <c r="A9998" s="3"/>
      <c r="B9998" s="3"/>
      <c r="C9998" s="3"/>
      <c r="D9998" s="3"/>
      <c r="E9998" s="3">
        <v>15</v>
      </c>
      <c r="F9998" s="4" t="str">
        <f>HYPERLINK("http://141.218.60.56/~jnz1568/getInfo.php?workbook=12_05.xlsx&amp;sheet=U0&amp;row=9998&amp;col=6&amp;number=4.4&amp;sourceID=14","4.4")</f>
        <v>4.4</v>
      </c>
      <c r="G9998" s="4" t="str">
        <f>HYPERLINK("http://141.218.60.56/~jnz1568/getInfo.php?workbook=12_05.xlsx&amp;sheet=U0&amp;row=9998&amp;col=7&amp;number=7.89e-05&amp;sourceID=14","7.89e-05")</f>
        <v>7.89e-05</v>
      </c>
    </row>
    <row r="9999" spans="1:7">
      <c r="A9999" s="3"/>
      <c r="B9999" s="3"/>
      <c r="C9999" s="3"/>
      <c r="D9999" s="3"/>
      <c r="E9999" s="3">
        <v>16</v>
      </c>
      <c r="F9999" s="4" t="str">
        <f>HYPERLINK("http://141.218.60.56/~jnz1568/getInfo.php?workbook=12_05.xlsx&amp;sheet=U0&amp;row=9999&amp;col=6&amp;number=4.5&amp;sourceID=14","4.5")</f>
        <v>4.5</v>
      </c>
      <c r="G9999" s="4" t="str">
        <f>HYPERLINK("http://141.218.60.56/~jnz1568/getInfo.php?workbook=12_05.xlsx&amp;sheet=U0&amp;row=9999&amp;col=7&amp;number=7.85e-05&amp;sourceID=14","7.85e-05")</f>
        <v>7.85e-05</v>
      </c>
    </row>
    <row r="10000" spans="1:7">
      <c r="A10000" s="3"/>
      <c r="B10000" s="3"/>
      <c r="C10000" s="3"/>
      <c r="D10000" s="3"/>
      <c r="E10000" s="3">
        <v>17</v>
      </c>
      <c r="F10000" s="4" t="str">
        <f>HYPERLINK("http://141.218.60.56/~jnz1568/getInfo.php?workbook=12_05.xlsx&amp;sheet=U0&amp;row=10000&amp;col=6&amp;number=4.6&amp;sourceID=14","4.6")</f>
        <v>4.6</v>
      </c>
      <c r="G10000" s="4" t="str">
        <f>HYPERLINK("http://141.218.60.56/~jnz1568/getInfo.php?workbook=12_05.xlsx&amp;sheet=U0&amp;row=10000&amp;col=7&amp;number=7.79e-05&amp;sourceID=14","7.79e-05")</f>
        <v>7.79e-05</v>
      </c>
    </row>
    <row r="10001" spans="1:7">
      <c r="A10001" s="3"/>
      <c r="B10001" s="3"/>
      <c r="C10001" s="3"/>
      <c r="D10001" s="3"/>
      <c r="E10001" s="3">
        <v>18</v>
      </c>
      <c r="F10001" s="4" t="str">
        <f>HYPERLINK("http://141.218.60.56/~jnz1568/getInfo.php?workbook=12_05.xlsx&amp;sheet=U0&amp;row=10001&amp;col=6&amp;number=4.7&amp;sourceID=14","4.7")</f>
        <v>4.7</v>
      </c>
      <c r="G10001" s="4" t="str">
        <f>HYPERLINK("http://141.218.60.56/~jnz1568/getInfo.php?workbook=12_05.xlsx&amp;sheet=U0&amp;row=10001&amp;col=7&amp;number=7.73e-05&amp;sourceID=14","7.73e-05")</f>
        <v>7.73e-05</v>
      </c>
    </row>
    <row r="10002" spans="1:7">
      <c r="A10002" s="3"/>
      <c r="B10002" s="3"/>
      <c r="C10002" s="3"/>
      <c r="D10002" s="3"/>
      <c r="E10002" s="3">
        <v>19</v>
      </c>
      <c r="F10002" s="4" t="str">
        <f>HYPERLINK("http://141.218.60.56/~jnz1568/getInfo.php?workbook=12_05.xlsx&amp;sheet=U0&amp;row=10002&amp;col=6&amp;number=4.8&amp;sourceID=14","4.8")</f>
        <v>4.8</v>
      </c>
      <c r="G10002" s="4" t="str">
        <f>HYPERLINK("http://141.218.60.56/~jnz1568/getInfo.php?workbook=12_05.xlsx&amp;sheet=U0&amp;row=10002&amp;col=7&amp;number=7.64e-05&amp;sourceID=14","7.64e-05")</f>
        <v>7.64e-05</v>
      </c>
    </row>
    <row r="10003" spans="1:7">
      <c r="A10003" s="3"/>
      <c r="B10003" s="3"/>
      <c r="C10003" s="3"/>
      <c r="D10003" s="3"/>
      <c r="E10003" s="3">
        <v>20</v>
      </c>
      <c r="F10003" s="4" t="str">
        <f>HYPERLINK("http://141.218.60.56/~jnz1568/getInfo.php?workbook=12_05.xlsx&amp;sheet=U0&amp;row=10003&amp;col=6&amp;number=4.9&amp;sourceID=14","4.9")</f>
        <v>4.9</v>
      </c>
      <c r="G10003" s="4" t="str">
        <f>HYPERLINK("http://141.218.60.56/~jnz1568/getInfo.php?workbook=12_05.xlsx&amp;sheet=U0&amp;row=10003&amp;col=7&amp;number=7.54e-05&amp;sourceID=14","7.54e-05")</f>
        <v>7.54e-05</v>
      </c>
    </row>
    <row r="10004" spans="1:7">
      <c r="A10004" s="3">
        <v>12</v>
      </c>
      <c r="B10004" s="3">
        <v>5</v>
      </c>
      <c r="C10004" s="3">
        <v>5</v>
      </c>
      <c r="D10004" s="3">
        <v>74</v>
      </c>
      <c r="E10004" s="3">
        <v>1</v>
      </c>
      <c r="F10004" s="4" t="str">
        <f>HYPERLINK("http://141.218.60.56/~jnz1568/getInfo.php?workbook=12_05.xlsx&amp;sheet=U0&amp;row=10004&amp;col=6&amp;number=3&amp;sourceID=14","3")</f>
        <v>3</v>
      </c>
      <c r="G10004" s="4" t="str">
        <f>HYPERLINK("http://141.218.60.56/~jnz1568/getInfo.php?workbook=12_05.xlsx&amp;sheet=U0&amp;row=10004&amp;col=7&amp;number=0.0013&amp;sourceID=14","0.0013")</f>
        <v>0.0013</v>
      </c>
    </row>
    <row r="10005" spans="1:7">
      <c r="A10005" s="3"/>
      <c r="B10005" s="3"/>
      <c r="C10005" s="3"/>
      <c r="D10005" s="3"/>
      <c r="E10005" s="3">
        <v>2</v>
      </c>
      <c r="F10005" s="4" t="str">
        <f>HYPERLINK("http://141.218.60.56/~jnz1568/getInfo.php?workbook=12_05.xlsx&amp;sheet=U0&amp;row=10005&amp;col=6&amp;number=3.1&amp;sourceID=14","3.1")</f>
        <v>3.1</v>
      </c>
      <c r="G10005" s="4" t="str">
        <f>HYPERLINK("http://141.218.60.56/~jnz1568/getInfo.php?workbook=12_05.xlsx&amp;sheet=U0&amp;row=10005&amp;col=7&amp;number=0.0013&amp;sourceID=14","0.0013")</f>
        <v>0.0013</v>
      </c>
    </row>
    <row r="10006" spans="1:7">
      <c r="A10006" s="3"/>
      <c r="B10006" s="3"/>
      <c r="C10006" s="3"/>
      <c r="D10006" s="3"/>
      <c r="E10006" s="3">
        <v>3</v>
      </c>
      <c r="F10006" s="4" t="str">
        <f>HYPERLINK("http://141.218.60.56/~jnz1568/getInfo.php?workbook=12_05.xlsx&amp;sheet=U0&amp;row=10006&amp;col=6&amp;number=3.2&amp;sourceID=14","3.2")</f>
        <v>3.2</v>
      </c>
      <c r="G10006" s="4" t="str">
        <f>HYPERLINK("http://141.218.60.56/~jnz1568/getInfo.php?workbook=12_05.xlsx&amp;sheet=U0&amp;row=10006&amp;col=7&amp;number=0.0013&amp;sourceID=14","0.0013")</f>
        <v>0.0013</v>
      </c>
    </row>
    <row r="10007" spans="1:7">
      <c r="A10007" s="3"/>
      <c r="B10007" s="3"/>
      <c r="C10007" s="3"/>
      <c r="D10007" s="3"/>
      <c r="E10007" s="3">
        <v>4</v>
      </c>
      <c r="F10007" s="4" t="str">
        <f>HYPERLINK("http://141.218.60.56/~jnz1568/getInfo.php?workbook=12_05.xlsx&amp;sheet=U0&amp;row=10007&amp;col=6&amp;number=3.3&amp;sourceID=14","3.3")</f>
        <v>3.3</v>
      </c>
      <c r="G10007" s="4" t="str">
        <f>HYPERLINK("http://141.218.60.56/~jnz1568/getInfo.php?workbook=12_05.xlsx&amp;sheet=U0&amp;row=10007&amp;col=7&amp;number=0.0013&amp;sourceID=14","0.0013")</f>
        <v>0.0013</v>
      </c>
    </row>
    <row r="10008" spans="1:7">
      <c r="A10008" s="3"/>
      <c r="B10008" s="3"/>
      <c r="C10008" s="3"/>
      <c r="D10008" s="3"/>
      <c r="E10008" s="3">
        <v>5</v>
      </c>
      <c r="F10008" s="4" t="str">
        <f>HYPERLINK("http://141.218.60.56/~jnz1568/getInfo.php?workbook=12_05.xlsx&amp;sheet=U0&amp;row=10008&amp;col=6&amp;number=3.4&amp;sourceID=14","3.4")</f>
        <v>3.4</v>
      </c>
      <c r="G10008" s="4" t="str">
        <f>HYPERLINK("http://141.218.60.56/~jnz1568/getInfo.php?workbook=12_05.xlsx&amp;sheet=U0&amp;row=10008&amp;col=7&amp;number=0.0013&amp;sourceID=14","0.0013")</f>
        <v>0.0013</v>
      </c>
    </row>
    <row r="10009" spans="1:7">
      <c r="A10009" s="3"/>
      <c r="B10009" s="3"/>
      <c r="C10009" s="3"/>
      <c r="D10009" s="3"/>
      <c r="E10009" s="3">
        <v>6</v>
      </c>
      <c r="F10009" s="4" t="str">
        <f>HYPERLINK("http://141.218.60.56/~jnz1568/getInfo.php?workbook=12_05.xlsx&amp;sheet=U0&amp;row=10009&amp;col=6&amp;number=3.5&amp;sourceID=14","3.5")</f>
        <v>3.5</v>
      </c>
      <c r="G10009" s="4" t="str">
        <f>HYPERLINK("http://141.218.60.56/~jnz1568/getInfo.php?workbook=12_05.xlsx&amp;sheet=U0&amp;row=10009&amp;col=7&amp;number=0.0013&amp;sourceID=14","0.0013")</f>
        <v>0.0013</v>
      </c>
    </row>
    <row r="10010" spans="1:7">
      <c r="A10010" s="3"/>
      <c r="B10010" s="3"/>
      <c r="C10010" s="3"/>
      <c r="D10010" s="3"/>
      <c r="E10010" s="3">
        <v>7</v>
      </c>
      <c r="F10010" s="4" t="str">
        <f>HYPERLINK("http://141.218.60.56/~jnz1568/getInfo.php?workbook=12_05.xlsx&amp;sheet=U0&amp;row=10010&amp;col=6&amp;number=3.6&amp;sourceID=14","3.6")</f>
        <v>3.6</v>
      </c>
      <c r="G10010" s="4" t="str">
        <f>HYPERLINK("http://141.218.60.56/~jnz1568/getInfo.php?workbook=12_05.xlsx&amp;sheet=U0&amp;row=10010&amp;col=7&amp;number=0.0013&amp;sourceID=14","0.0013")</f>
        <v>0.0013</v>
      </c>
    </row>
    <row r="10011" spans="1:7">
      <c r="A10011" s="3"/>
      <c r="B10011" s="3"/>
      <c r="C10011" s="3"/>
      <c r="D10011" s="3"/>
      <c r="E10011" s="3">
        <v>8</v>
      </c>
      <c r="F10011" s="4" t="str">
        <f>HYPERLINK("http://141.218.60.56/~jnz1568/getInfo.php?workbook=12_05.xlsx&amp;sheet=U0&amp;row=10011&amp;col=6&amp;number=3.7&amp;sourceID=14","3.7")</f>
        <v>3.7</v>
      </c>
      <c r="G10011" s="4" t="str">
        <f>HYPERLINK("http://141.218.60.56/~jnz1568/getInfo.php?workbook=12_05.xlsx&amp;sheet=U0&amp;row=10011&amp;col=7&amp;number=0.0013&amp;sourceID=14","0.0013")</f>
        <v>0.0013</v>
      </c>
    </row>
    <row r="10012" spans="1:7">
      <c r="A10012" s="3"/>
      <c r="B10012" s="3"/>
      <c r="C10012" s="3"/>
      <c r="D10012" s="3"/>
      <c r="E10012" s="3">
        <v>9</v>
      </c>
      <c r="F10012" s="4" t="str">
        <f>HYPERLINK("http://141.218.60.56/~jnz1568/getInfo.php?workbook=12_05.xlsx&amp;sheet=U0&amp;row=10012&amp;col=6&amp;number=3.8&amp;sourceID=14","3.8")</f>
        <v>3.8</v>
      </c>
      <c r="G10012" s="4" t="str">
        <f>HYPERLINK("http://141.218.60.56/~jnz1568/getInfo.php?workbook=12_05.xlsx&amp;sheet=U0&amp;row=10012&amp;col=7&amp;number=0.0013&amp;sourceID=14","0.0013")</f>
        <v>0.0013</v>
      </c>
    </row>
    <row r="10013" spans="1:7">
      <c r="A10013" s="3"/>
      <c r="B10013" s="3"/>
      <c r="C10013" s="3"/>
      <c r="D10013" s="3"/>
      <c r="E10013" s="3">
        <v>10</v>
      </c>
      <c r="F10013" s="4" t="str">
        <f>HYPERLINK("http://141.218.60.56/~jnz1568/getInfo.php?workbook=12_05.xlsx&amp;sheet=U0&amp;row=10013&amp;col=6&amp;number=3.9&amp;sourceID=14","3.9")</f>
        <v>3.9</v>
      </c>
      <c r="G10013" s="4" t="str">
        <f>HYPERLINK("http://141.218.60.56/~jnz1568/getInfo.php?workbook=12_05.xlsx&amp;sheet=U0&amp;row=10013&amp;col=7&amp;number=0.0013&amp;sourceID=14","0.0013")</f>
        <v>0.0013</v>
      </c>
    </row>
    <row r="10014" spans="1:7">
      <c r="A10014" s="3"/>
      <c r="B10014" s="3"/>
      <c r="C10014" s="3"/>
      <c r="D10014" s="3"/>
      <c r="E10014" s="3">
        <v>11</v>
      </c>
      <c r="F10014" s="4" t="str">
        <f>HYPERLINK("http://141.218.60.56/~jnz1568/getInfo.php?workbook=12_05.xlsx&amp;sheet=U0&amp;row=10014&amp;col=6&amp;number=4&amp;sourceID=14","4")</f>
        <v>4</v>
      </c>
      <c r="G10014" s="4" t="str">
        <f>HYPERLINK("http://141.218.60.56/~jnz1568/getInfo.php?workbook=12_05.xlsx&amp;sheet=U0&amp;row=10014&amp;col=7&amp;number=0.00129&amp;sourceID=14","0.00129")</f>
        <v>0.00129</v>
      </c>
    </row>
    <row r="10015" spans="1:7">
      <c r="A10015" s="3"/>
      <c r="B10015" s="3"/>
      <c r="C10015" s="3"/>
      <c r="D10015" s="3"/>
      <c r="E10015" s="3">
        <v>12</v>
      </c>
      <c r="F10015" s="4" t="str">
        <f>HYPERLINK("http://141.218.60.56/~jnz1568/getInfo.php?workbook=12_05.xlsx&amp;sheet=U0&amp;row=10015&amp;col=6&amp;number=4.1&amp;sourceID=14","4.1")</f>
        <v>4.1</v>
      </c>
      <c r="G10015" s="4" t="str">
        <f>HYPERLINK("http://141.218.60.56/~jnz1568/getInfo.php?workbook=12_05.xlsx&amp;sheet=U0&amp;row=10015&amp;col=7&amp;number=0.00129&amp;sourceID=14","0.00129")</f>
        <v>0.00129</v>
      </c>
    </row>
    <row r="10016" spans="1:7">
      <c r="A10016" s="3"/>
      <c r="B10016" s="3"/>
      <c r="C10016" s="3"/>
      <c r="D10016" s="3"/>
      <c r="E10016" s="3">
        <v>13</v>
      </c>
      <c r="F10016" s="4" t="str">
        <f>HYPERLINK("http://141.218.60.56/~jnz1568/getInfo.php?workbook=12_05.xlsx&amp;sheet=U0&amp;row=10016&amp;col=6&amp;number=4.2&amp;sourceID=14","4.2")</f>
        <v>4.2</v>
      </c>
      <c r="G10016" s="4" t="str">
        <f>HYPERLINK("http://141.218.60.56/~jnz1568/getInfo.php?workbook=12_05.xlsx&amp;sheet=U0&amp;row=10016&amp;col=7&amp;number=0.00129&amp;sourceID=14","0.00129")</f>
        <v>0.00129</v>
      </c>
    </row>
    <row r="10017" spans="1:7">
      <c r="A10017" s="3"/>
      <c r="B10017" s="3"/>
      <c r="C10017" s="3"/>
      <c r="D10017" s="3"/>
      <c r="E10017" s="3">
        <v>14</v>
      </c>
      <c r="F10017" s="4" t="str">
        <f>HYPERLINK("http://141.218.60.56/~jnz1568/getInfo.php?workbook=12_05.xlsx&amp;sheet=U0&amp;row=10017&amp;col=6&amp;number=4.3&amp;sourceID=14","4.3")</f>
        <v>4.3</v>
      </c>
      <c r="G10017" s="4" t="str">
        <f>HYPERLINK("http://141.218.60.56/~jnz1568/getInfo.php?workbook=12_05.xlsx&amp;sheet=U0&amp;row=10017&amp;col=7&amp;number=0.00128&amp;sourceID=14","0.00128")</f>
        <v>0.00128</v>
      </c>
    </row>
    <row r="10018" spans="1:7">
      <c r="A10018" s="3"/>
      <c r="B10018" s="3"/>
      <c r="C10018" s="3"/>
      <c r="D10018" s="3"/>
      <c r="E10018" s="3">
        <v>15</v>
      </c>
      <c r="F10018" s="4" t="str">
        <f>HYPERLINK("http://141.218.60.56/~jnz1568/getInfo.php?workbook=12_05.xlsx&amp;sheet=U0&amp;row=10018&amp;col=6&amp;number=4.4&amp;sourceID=14","4.4")</f>
        <v>4.4</v>
      </c>
      <c r="G10018" s="4" t="str">
        <f>HYPERLINK("http://141.218.60.56/~jnz1568/getInfo.php?workbook=12_05.xlsx&amp;sheet=U0&amp;row=10018&amp;col=7&amp;number=0.00128&amp;sourceID=14","0.00128")</f>
        <v>0.00128</v>
      </c>
    </row>
    <row r="10019" spans="1:7">
      <c r="A10019" s="3"/>
      <c r="B10019" s="3"/>
      <c r="C10019" s="3"/>
      <c r="D10019" s="3"/>
      <c r="E10019" s="3">
        <v>16</v>
      </c>
      <c r="F10019" s="4" t="str">
        <f>HYPERLINK("http://141.218.60.56/~jnz1568/getInfo.php?workbook=12_05.xlsx&amp;sheet=U0&amp;row=10019&amp;col=6&amp;number=4.5&amp;sourceID=14","4.5")</f>
        <v>4.5</v>
      </c>
      <c r="G10019" s="4" t="str">
        <f>HYPERLINK("http://141.218.60.56/~jnz1568/getInfo.php?workbook=12_05.xlsx&amp;sheet=U0&amp;row=10019&amp;col=7&amp;number=0.00127&amp;sourceID=14","0.00127")</f>
        <v>0.00127</v>
      </c>
    </row>
    <row r="10020" spans="1:7">
      <c r="A10020" s="3"/>
      <c r="B10020" s="3"/>
      <c r="C10020" s="3"/>
      <c r="D10020" s="3"/>
      <c r="E10020" s="3">
        <v>17</v>
      </c>
      <c r="F10020" s="4" t="str">
        <f>HYPERLINK("http://141.218.60.56/~jnz1568/getInfo.php?workbook=12_05.xlsx&amp;sheet=U0&amp;row=10020&amp;col=6&amp;number=4.6&amp;sourceID=14","4.6")</f>
        <v>4.6</v>
      </c>
      <c r="G10020" s="4" t="str">
        <f>HYPERLINK("http://141.218.60.56/~jnz1568/getInfo.php?workbook=12_05.xlsx&amp;sheet=U0&amp;row=10020&amp;col=7&amp;number=0.00126&amp;sourceID=14","0.00126")</f>
        <v>0.00126</v>
      </c>
    </row>
    <row r="10021" spans="1:7">
      <c r="A10021" s="3"/>
      <c r="B10021" s="3"/>
      <c r="C10021" s="3"/>
      <c r="D10021" s="3"/>
      <c r="E10021" s="3">
        <v>18</v>
      </c>
      <c r="F10021" s="4" t="str">
        <f>HYPERLINK("http://141.218.60.56/~jnz1568/getInfo.php?workbook=12_05.xlsx&amp;sheet=U0&amp;row=10021&amp;col=6&amp;number=4.7&amp;sourceID=14","4.7")</f>
        <v>4.7</v>
      </c>
      <c r="G10021" s="4" t="str">
        <f>HYPERLINK("http://141.218.60.56/~jnz1568/getInfo.php?workbook=12_05.xlsx&amp;sheet=U0&amp;row=10021&amp;col=7&amp;number=0.00125&amp;sourceID=14","0.00125")</f>
        <v>0.00125</v>
      </c>
    </row>
    <row r="10022" spans="1:7">
      <c r="A10022" s="3"/>
      <c r="B10022" s="3"/>
      <c r="C10022" s="3"/>
      <c r="D10022" s="3"/>
      <c r="E10022" s="3">
        <v>19</v>
      </c>
      <c r="F10022" s="4" t="str">
        <f>HYPERLINK("http://141.218.60.56/~jnz1568/getInfo.php?workbook=12_05.xlsx&amp;sheet=U0&amp;row=10022&amp;col=6&amp;number=4.8&amp;sourceID=14","4.8")</f>
        <v>4.8</v>
      </c>
      <c r="G10022" s="4" t="str">
        <f>HYPERLINK("http://141.218.60.56/~jnz1568/getInfo.php?workbook=12_05.xlsx&amp;sheet=U0&amp;row=10022&amp;col=7&amp;number=0.00124&amp;sourceID=14","0.00124")</f>
        <v>0.00124</v>
      </c>
    </row>
    <row r="10023" spans="1:7">
      <c r="A10023" s="3"/>
      <c r="B10023" s="3"/>
      <c r="C10023" s="3"/>
      <c r="D10023" s="3"/>
      <c r="E10023" s="3">
        <v>20</v>
      </c>
      <c r="F10023" s="4" t="str">
        <f>HYPERLINK("http://141.218.60.56/~jnz1568/getInfo.php?workbook=12_05.xlsx&amp;sheet=U0&amp;row=10023&amp;col=6&amp;number=4.9&amp;sourceID=14","4.9")</f>
        <v>4.9</v>
      </c>
      <c r="G10023" s="4" t="str">
        <f>HYPERLINK("http://141.218.60.56/~jnz1568/getInfo.php?workbook=12_05.xlsx&amp;sheet=U0&amp;row=10023&amp;col=7&amp;number=0.00122&amp;sourceID=14","0.00122")</f>
        <v>0.00122</v>
      </c>
    </row>
    <row r="10024" spans="1:7">
      <c r="A10024" s="3">
        <v>12</v>
      </c>
      <c r="B10024" s="3">
        <v>5</v>
      </c>
      <c r="C10024" s="3">
        <v>5</v>
      </c>
      <c r="D10024" s="3">
        <v>75</v>
      </c>
      <c r="E10024" s="3">
        <v>1</v>
      </c>
      <c r="F10024" s="4" t="str">
        <f>HYPERLINK("http://141.218.60.56/~jnz1568/getInfo.php?workbook=12_05.xlsx&amp;sheet=U0&amp;row=10024&amp;col=6&amp;number=3&amp;sourceID=14","3")</f>
        <v>3</v>
      </c>
      <c r="G10024" s="4" t="str">
        <f>HYPERLINK("http://141.218.60.56/~jnz1568/getInfo.php?workbook=12_05.xlsx&amp;sheet=U0&amp;row=10024&amp;col=7&amp;number=0.00251&amp;sourceID=14","0.00251")</f>
        <v>0.00251</v>
      </c>
    </row>
    <row r="10025" spans="1:7">
      <c r="A10025" s="3"/>
      <c r="B10025" s="3"/>
      <c r="C10025" s="3"/>
      <c r="D10025" s="3"/>
      <c r="E10025" s="3">
        <v>2</v>
      </c>
      <c r="F10025" s="4" t="str">
        <f>HYPERLINK("http://141.218.60.56/~jnz1568/getInfo.php?workbook=12_05.xlsx&amp;sheet=U0&amp;row=10025&amp;col=6&amp;number=3.1&amp;sourceID=14","3.1")</f>
        <v>3.1</v>
      </c>
      <c r="G10025" s="4" t="str">
        <f>HYPERLINK("http://141.218.60.56/~jnz1568/getInfo.php?workbook=12_05.xlsx&amp;sheet=U0&amp;row=10025&amp;col=7&amp;number=0.00251&amp;sourceID=14","0.00251")</f>
        <v>0.00251</v>
      </c>
    </row>
    <row r="10026" spans="1:7">
      <c r="A10026" s="3"/>
      <c r="B10026" s="3"/>
      <c r="C10026" s="3"/>
      <c r="D10026" s="3"/>
      <c r="E10026" s="3">
        <v>3</v>
      </c>
      <c r="F10026" s="4" t="str">
        <f>HYPERLINK("http://141.218.60.56/~jnz1568/getInfo.php?workbook=12_05.xlsx&amp;sheet=U0&amp;row=10026&amp;col=6&amp;number=3.2&amp;sourceID=14","3.2")</f>
        <v>3.2</v>
      </c>
      <c r="G10026" s="4" t="str">
        <f>HYPERLINK("http://141.218.60.56/~jnz1568/getInfo.php?workbook=12_05.xlsx&amp;sheet=U0&amp;row=10026&amp;col=7&amp;number=0.00251&amp;sourceID=14","0.00251")</f>
        <v>0.00251</v>
      </c>
    </row>
    <row r="10027" spans="1:7">
      <c r="A10027" s="3"/>
      <c r="B10027" s="3"/>
      <c r="C10027" s="3"/>
      <c r="D10027" s="3"/>
      <c r="E10027" s="3">
        <v>4</v>
      </c>
      <c r="F10027" s="4" t="str">
        <f>HYPERLINK("http://141.218.60.56/~jnz1568/getInfo.php?workbook=12_05.xlsx&amp;sheet=U0&amp;row=10027&amp;col=6&amp;number=3.3&amp;sourceID=14","3.3")</f>
        <v>3.3</v>
      </c>
      <c r="G10027" s="4" t="str">
        <f>HYPERLINK("http://141.218.60.56/~jnz1568/getInfo.php?workbook=12_05.xlsx&amp;sheet=U0&amp;row=10027&amp;col=7&amp;number=0.00251&amp;sourceID=14","0.00251")</f>
        <v>0.00251</v>
      </c>
    </row>
    <row r="10028" spans="1:7">
      <c r="A10028" s="3"/>
      <c r="B10028" s="3"/>
      <c r="C10028" s="3"/>
      <c r="D10028" s="3"/>
      <c r="E10028" s="3">
        <v>5</v>
      </c>
      <c r="F10028" s="4" t="str">
        <f>HYPERLINK("http://141.218.60.56/~jnz1568/getInfo.php?workbook=12_05.xlsx&amp;sheet=U0&amp;row=10028&amp;col=6&amp;number=3.4&amp;sourceID=14","3.4")</f>
        <v>3.4</v>
      </c>
      <c r="G10028" s="4" t="str">
        <f>HYPERLINK("http://141.218.60.56/~jnz1568/getInfo.php?workbook=12_05.xlsx&amp;sheet=U0&amp;row=10028&amp;col=7&amp;number=0.00251&amp;sourceID=14","0.00251")</f>
        <v>0.00251</v>
      </c>
    </row>
    <row r="10029" spans="1:7">
      <c r="A10029" s="3"/>
      <c r="B10029" s="3"/>
      <c r="C10029" s="3"/>
      <c r="D10029" s="3"/>
      <c r="E10029" s="3">
        <v>6</v>
      </c>
      <c r="F10029" s="4" t="str">
        <f>HYPERLINK("http://141.218.60.56/~jnz1568/getInfo.php?workbook=12_05.xlsx&amp;sheet=U0&amp;row=10029&amp;col=6&amp;number=3.5&amp;sourceID=14","3.5")</f>
        <v>3.5</v>
      </c>
      <c r="G10029" s="4" t="str">
        <f>HYPERLINK("http://141.218.60.56/~jnz1568/getInfo.php?workbook=12_05.xlsx&amp;sheet=U0&amp;row=10029&amp;col=7&amp;number=0.0025&amp;sourceID=14","0.0025")</f>
        <v>0.0025</v>
      </c>
    </row>
    <row r="10030" spans="1:7">
      <c r="A10030" s="3"/>
      <c r="B10030" s="3"/>
      <c r="C10030" s="3"/>
      <c r="D10030" s="3"/>
      <c r="E10030" s="3">
        <v>7</v>
      </c>
      <c r="F10030" s="4" t="str">
        <f>HYPERLINK("http://141.218.60.56/~jnz1568/getInfo.php?workbook=12_05.xlsx&amp;sheet=U0&amp;row=10030&amp;col=6&amp;number=3.6&amp;sourceID=14","3.6")</f>
        <v>3.6</v>
      </c>
      <c r="G10030" s="4" t="str">
        <f>HYPERLINK("http://141.218.60.56/~jnz1568/getInfo.php?workbook=12_05.xlsx&amp;sheet=U0&amp;row=10030&amp;col=7&amp;number=0.0025&amp;sourceID=14","0.0025")</f>
        <v>0.0025</v>
      </c>
    </row>
    <row r="10031" spans="1:7">
      <c r="A10031" s="3"/>
      <c r="B10031" s="3"/>
      <c r="C10031" s="3"/>
      <c r="D10031" s="3"/>
      <c r="E10031" s="3">
        <v>8</v>
      </c>
      <c r="F10031" s="4" t="str">
        <f>HYPERLINK("http://141.218.60.56/~jnz1568/getInfo.php?workbook=12_05.xlsx&amp;sheet=U0&amp;row=10031&amp;col=6&amp;number=3.7&amp;sourceID=14","3.7")</f>
        <v>3.7</v>
      </c>
      <c r="G10031" s="4" t="str">
        <f>HYPERLINK("http://141.218.60.56/~jnz1568/getInfo.php?workbook=12_05.xlsx&amp;sheet=U0&amp;row=10031&amp;col=7&amp;number=0.0025&amp;sourceID=14","0.0025")</f>
        <v>0.0025</v>
      </c>
    </row>
    <row r="10032" spans="1:7">
      <c r="A10032" s="3"/>
      <c r="B10032" s="3"/>
      <c r="C10032" s="3"/>
      <c r="D10032" s="3"/>
      <c r="E10032" s="3">
        <v>9</v>
      </c>
      <c r="F10032" s="4" t="str">
        <f>HYPERLINK("http://141.218.60.56/~jnz1568/getInfo.php?workbook=12_05.xlsx&amp;sheet=U0&amp;row=10032&amp;col=6&amp;number=3.8&amp;sourceID=14","3.8")</f>
        <v>3.8</v>
      </c>
      <c r="G10032" s="4" t="str">
        <f>HYPERLINK("http://141.218.60.56/~jnz1568/getInfo.php?workbook=12_05.xlsx&amp;sheet=U0&amp;row=10032&amp;col=7&amp;number=0.0025&amp;sourceID=14","0.0025")</f>
        <v>0.0025</v>
      </c>
    </row>
    <row r="10033" spans="1:7">
      <c r="A10033" s="3"/>
      <c r="B10033" s="3"/>
      <c r="C10033" s="3"/>
      <c r="D10033" s="3"/>
      <c r="E10033" s="3">
        <v>10</v>
      </c>
      <c r="F10033" s="4" t="str">
        <f>HYPERLINK("http://141.218.60.56/~jnz1568/getInfo.php?workbook=12_05.xlsx&amp;sheet=U0&amp;row=10033&amp;col=6&amp;number=3.9&amp;sourceID=14","3.9")</f>
        <v>3.9</v>
      </c>
      <c r="G10033" s="4" t="str">
        <f>HYPERLINK("http://141.218.60.56/~jnz1568/getInfo.php?workbook=12_05.xlsx&amp;sheet=U0&amp;row=10033&amp;col=7&amp;number=0.00249&amp;sourceID=14","0.00249")</f>
        <v>0.00249</v>
      </c>
    </row>
    <row r="10034" spans="1:7">
      <c r="A10034" s="3"/>
      <c r="B10034" s="3"/>
      <c r="C10034" s="3"/>
      <c r="D10034" s="3"/>
      <c r="E10034" s="3">
        <v>11</v>
      </c>
      <c r="F10034" s="4" t="str">
        <f>HYPERLINK("http://141.218.60.56/~jnz1568/getInfo.php?workbook=12_05.xlsx&amp;sheet=U0&amp;row=10034&amp;col=6&amp;number=4&amp;sourceID=14","4")</f>
        <v>4</v>
      </c>
      <c r="G10034" s="4" t="str">
        <f>HYPERLINK("http://141.218.60.56/~jnz1568/getInfo.php?workbook=12_05.xlsx&amp;sheet=U0&amp;row=10034&amp;col=7&amp;number=0.00249&amp;sourceID=14","0.00249")</f>
        <v>0.00249</v>
      </c>
    </row>
    <row r="10035" spans="1:7">
      <c r="A10035" s="3"/>
      <c r="B10035" s="3"/>
      <c r="C10035" s="3"/>
      <c r="D10035" s="3"/>
      <c r="E10035" s="3">
        <v>12</v>
      </c>
      <c r="F10035" s="4" t="str">
        <f>HYPERLINK("http://141.218.60.56/~jnz1568/getInfo.php?workbook=12_05.xlsx&amp;sheet=U0&amp;row=10035&amp;col=6&amp;number=4.1&amp;sourceID=14","4.1")</f>
        <v>4.1</v>
      </c>
      <c r="G10035" s="4" t="str">
        <f>HYPERLINK("http://141.218.60.56/~jnz1568/getInfo.php?workbook=12_05.xlsx&amp;sheet=U0&amp;row=10035&amp;col=7&amp;number=0.00249&amp;sourceID=14","0.00249")</f>
        <v>0.00249</v>
      </c>
    </row>
    <row r="10036" spans="1:7">
      <c r="A10036" s="3"/>
      <c r="B10036" s="3"/>
      <c r="C10036" s="3"/>
      <c r="D10036" s="3"/>
      <c r="E10036" s="3">
        <v>13</v>
      </c>
      <c r="F10036" s="4" t="str">
        <f>HYPERLINK("http://141.218.60.56/~jnz1568/getInfo.php?workbook=12_05.xlsx&amp;sheet=U0&amp;row=10036&amp;col=6&amp;number=4.2&amp;sourceID=14","4.2")</f>
        <v>4.2</v>
      </c>
      <c r="G10036" s="4" t="str">
        <f>HYPERLINK("http://141.218.60.56/~jnz1568/getInfo.php?workbook=12_05.xlsx&amp;sheet=U0&amp;row=10036&amp;col=7&amp;number=0.00248&amp;sourceID=14","0.00248")</f>
        <v>0.00248</v>
      </c>
    </row>
    <row r="10037" spans="1:7">
      <c r="A10037" s="3"/>
      <c r="B10037" s="3"/>
      <c r="C10037" s="3"/>
      <c r="D10037" s="3"/>
      <c r="E10037" s="3">
        <v>14</v>
      </c>
      <c r="F10037" s="4" t="str">
        <f>HYPERLINK("http://141.218.60.56/~jnz1568/getInfo.php?workbook=12_05.xlsx&amp;sheet=U0&amp;row=10037&amp;col=6&amp;number=4.3&amp;sourceID=14","4.3")</f>
        <v>4.3</v>
      </c>
      <c r="G10037" s="4" t="str">
        <f>HYPERLINK("http://141.218.60.56/~jnz1568/getInfo.php?workbook=12_05.xlsx&amp;sheet=U0&amp;row=10037&amp;col=7&amp;number=0.00247&amp;sourceID=14","0.00247")</f>
        <v>0.00247</v>
      </c>
    </row>
    <row r="10038" spans="1:7">
      <c r="A10038" s="3"/>
      <c r="B10038" s="3"/>
      <c r="C10038" s="3"/>
      <c r="D10038" s="3"/>
      <c r="E10038" s="3">
        <v>15</v>
      </c>
      <c r="F10038" s="4" t="str">
        <f>HYPERLINK("http://141.218.60.56/~jnz1568/getInfo.php?workbook=12_05.xlsx&amp;sheet=U0&amp;row=10038&amp;col=6&amp;number=4.4&amp;sourceID=14","4.4")</f>
        <v>4.4</v>
      </c>
      <c r="G10038" s="4" t="str">
        <f>HYPERLINK("http://141.218.60.56/~jnz1568/getInfo.php?workbook=12_05.xlsx&amp;sheet=U0&amp;row=10038&amp;col=7&amp;number=0.00246&amp;sourceID=14","0.00246")</f>
        <v>0.00246</v>
      </c>
    </row>
    <row r="10039" spans="1:7">
      <c r="A10039" s="3"/>
      <c r="B10039" s="3"/>
      <c r="C10039" s="3"/>
      <c r="D10039" s="3"/>
      <c r="E10039" s="3">
        <v>16</v>
      </c>
      <c r="F10039" s="4" t="str">
        <f>HYPERLINK("http://141.218.60.56/~jnz1568/getInfo.php?workbook=12_05.xlsx&amp;sheet=U0&amp;row=10039&amp;col=6&amp;number=4.5&amp;sourceID=14","4.5")</f>
        <v>4.5</v>
      </c>
      <c r="G10039" s="4" t="str">
        <f>HYPERLINK("http://141.218.60.56/~jnz1568/getInfo.php?workbook=12_05.xlsx&amp;sheet=U0&amp;row=10039&amp;col=7&amp;number=0.00245&amp;sourceID=14","0.00245")</f>
        <v>0.00245</v>
      </c>
    </row>
    <row r="10040" spans="1:7">
      <c r="A10040" s="3"/>
      <c r="B10040" s="3"/>
      <c r="C10040" s="3"/>
      <c r="D10040" s="3"/>
      <c r="E10040" s="3">
        <v>17</v>
      </c>
      <c r="F10040" s="4" t="str">
        <f>HYPERLINK("http://141.218.60.56/~jnz1568/getInfo.php?workbook=12_05.xlsx&amp;sheet=U0&amp;row=10040&amp;col=6&amp;number=4.6&amp;sourceID=14","4.6")</f>
        <v>4.6</v>
      </c>
      <c r="G10040" s="4" t="str">
        <f>HYPERLINK("http://141.218.60.56/~jnz1568/getInfo.php?workbook=12_05.xlsx&amp;sheet=U0&amp;row=10040&amp;col=7&amp;number=0.00243&amp;sourceID=14","0.00243")</f>
        <v>0.00243</v>
      </c>
    </row>
    <row r="10041" spans="1:7">
      <c r="A10041" s="3"/>
      <c r="B10041" s="3"/>
      <c r="C10041" s="3"/>
      <c r="D10041" s="3"/>
      <c r="E10041" s="3">
        <v>18</v>
      </c>
      <c r="F10041" s="4" t="str">
        <f>HYPERLINK("http://141.218.60.56/~jnz1568/getInfo.php?workbook=12_05.xlsx&amp;sheet=U0&amp;row=10041&amp;col=6&amp;number=4.7&amp;sourceID=14","4.7")</f>
        <v>4.7</v>
      </c>
      <c r="G10041" s="4" t="str">
        <f>HYPERLINK("http://141.218.60.56/~jnz1568/getInfo.php?workbook=12_05.xlsx&amp;sheet=U0&amp;row=10041&amp;col=7&amp;number=0.00241&amp;sourceID=14","0.00241")</f>
        <v>0.00241</v>
      </c>
    </row>
    <row r="10042" spans="1:7">
      <c r="A10042" s="3"/>
      <c r="B10042" s="3"/>
      <c r="C10042" s="3"/>
      <c r="D10042" s="3"/>
      <c r="E10042" s="3">
        <v>19</v>
      </c>
      <c r="F10042" s="4" t="str">
        <f>HYPERLINK("http://141.218.60.56/~jnz1568/getInfo.php?workbook=12_05.xlsx&amp;sheet=U0&amp;row=10042&amp;col=6&amp;number=4.8&amp;sourceID=14","4.8")</f>
        <v>4.8</v>
      </c>
      <c r="G10042" s="4" t="str">
        <f>HYPERLINK("http://141.218.60.56/~jnz1568/getInfo.php?workbook=12_05.xlsx&amp;sheet=U0&amp;row=10042&amp;col=7&amp;number=0.00239&amp;sourceID=14","0.00239")</f>
        <v>0.00239</v>
      </c>
    </row>
    <row r="10043" spans="1:7">
      <c r="A10043" s="3"/>
      <c r="B10043" s="3"/>
      <c r="C10043" s="3"/>
      <c r="D10043" s="3"/>
      <c r="E10043" s="3">
        <v>20</v>
      </c>
      <c r="F10043" s="4" t="str">
        <f>HYPERLINK("http://141.218.60.56/~jnz1568/getInfo.php?workbook=12_05.xlsx&amp;sheet=U0&amp;row=10043&amp;col=6&amp;number=4.9&amp;sourceID=14","4.9")</f>
        <v>4.9</v>
      </c>
      <c r="G10043" s="4" t="str">
        <f>HYPERLINK("http://141.218.60.56/~jnz1568/getInfo.php?workbook=12_05.xlsx&amp;sheet=U0&amp;row=10043&amp;col=7&amp;number=0.00236&amp;sourceID=14","0.00236")</f>
        <v>0.00236</v>
      </c>
    </row>
    <row r="10044" spans="1:7">
      <c r="A10044" s="3">
        <v>12</v>
      </c>
      <c r="B10044" s="3">
        <v>5</v>
      </c>
      <c r="C10044" s="3">
        <v>5</v>
      </c>
      <c r="D10044" s="3">
        <v>76</v>
      </c>
      <c r="E10044" s="3">
        <v>1</v>
      </c>
      <c r="F10044" s="4" t="str">
        <f>HYPERLINK("http://141.218.60.56/~jnz1568/getInfo.php?workbook=12_05.xlsx&amp;sheet=U0&amp;row=10044&amp;col=6&amp;number=3&amp;sourceID=14","3")</f>
        <v>3</v>
      </c>
      <c r="G10044" s="4" t="str">
        <f>HYPERLINK("http://141.218.60.56/~jnz1568/getInfo.php?workbook=12_05.xlsx&amp;sheet=U0&amp;row=10044&amp;col=7&amp;number=0.00936&amp;sourceID=14","0.00936")</f>
        <v>0.00936</v>
      </c>
    </row>
    <row r="10045" spans="1:7">
      <c r="A10045" s="3"/>
      <c r="B10045" s="3"/>
      <c r="C10045" s="3"/>
      <c r="D10045" s="3"/>
      <c r="E10045" s="3">
        <v>2</v>
      </c>
      <c r="F10045" s="4" t="str">
        <f>HYPERLINK("http://141.218.60.56/~jnz1568/getInfo.php?workbook=12_05.xlsx&amp;sheet=U0&amp;row=10045&amp;col=6&amp;number=3.1&amp;sourceID=14","3.1")</f>
        <v>3.1</v>
      </c>
      <c r="G10045" s="4" t="str">
        <f>HYPERLINK("http://141.218.60.56/~jnz1568/getInfo.php?workbook=12_05.xlsx&amp;sheet=U0&amp;row=10045&amp;col=7&amp;number=0.00936&amp;sourceID=14","0.00936")</f>
        <v>0.00936</v>
      </c>
    </row>
    <row r="10046" spans="1:7">
      <c r="A10046" s="3"/>
      <c r="B10046" s="3"/>
      <c r="C10046" s="3"/>
      <c r="D10046" s="3"/>
      <c r="E10046" s="3">
        <v>3</v>
      </c>
      <c r="F10046" s="4" t="str">
        <f>HYPERLINK("http://141.218.60.56/~jnz1568/getInfo.php?workbook=12_05.xlsx&amp;sheet=U0&amp;row=10046&amp;col=6&amp;number=3.2&amp;sourceID=14","3.2")</f>
        <v>3.2</v>
      </c>
      <c r="G10046" s="4" t="str">
        <f>HYPERLINK("http://141.218.60.56/~jnz1568/getInfo.php?workbook=12_05.xlsx&amp;sheet=U0&amp;row=10046&amp;col=7&amp;number=0.00935&amp;sourceID=14","0.00935")</f>
        <v>0.00935</v>
      </c>
    </row>
    <row r="10047" spans="1:7">
      <c r="A10047" s="3"/>
      <c r="B10047" s="3"/>
      <c r="C10047" s="3"/>
      <c r="D10047" s="3"/>
      <c r="E10047" s="3">
        <v>4</v>
      </c>
      <c r="F10047" s="4" t="str">
        <f>HYPERLINK("http://141.218.60.56/~jnz1568/getInfo.php?workbook=12_05.xlsx&amp;sheet=U0&amp;row=10047&amp;col=6&amp;number=3.3&amp;sourceID=14","3.3")</f>
        <v>3.3</v>
      </c>
      <c r="G10047" s="4" t="str">
        <f>HYPERLINK("http://141.218.60.56/~jnz1568/getInfo.php?workbook=12_05.xlsx&amp;sheet=U0&amp;row=10047&amp;col=7&amp;number=0.00935&amp;sourceID=14","0.00935")</f>
        <v>0.00935</v>
      </c>
    </row>
    <row r="10048" spans="1:7">
      <c r="A10048" s="3"/>
      <c r="B10048" s="3"/>
      <c r="C10048" s="3"/>
      <c r="D10048" s="3"/>
      <c r="E10048" s="3">
        <v>5</v>
      </c>
      <c r="F10048" s="4" t="str">
        <f>HYPERLINK("http://141.218.60.56/~jnz1568/getInfo.php?workbook=12_05.xlsx&amp;sheet=U0&amp;row=10048&amp;col=6&amp;number=3.4&amp;sourceID=14","3.4")</f>
        <v>3.4</v>
      </c>
      <c r="G10048" s="4" t="str">
        <f>HYPERLINK("http://141.218.60.56/~jnz1568/getInfo.php?workbook=12_05.xlsx&amp;sheet=U0&amp;row=10048&amp;col=7&amp;number=0.00935&amp;sourceID=14","0.00935")</f>
        <v>0.00935</v>
      </c>
    </row>
    <row r="10049" spans="1:7">
      <c r="A10049" s="3"/>
      <c r="B10049" s="3"/>
      <c r="C10049" s="3"/>
      <c r="D10049" s="3"/>
      <c r="E10049" s="3">
        <v>6</v>
      </c>
      <c r="F10049" s="4" t="str">
        <f>HYPERLINK("http://141.218.60.56/~jnz1568/getInfo.php?workbook=12_05.xlsx&amp;sheet=U0&amp;row=10049&amp;col=6&amp;number=3.5&amp;sourceID=14","3.5")</f>
        <v>3.5</v>
      </c>
      <c r="G10049" s="4" t="str">
        <f>HYPERLINK("http://141.218.60.56/~jnz1568/getInfo.php?workbook=12_05.xlsx&amp;sheet=U0&amp;row=10049&amp;col=7&amp;number=0.00934&amp;sourceID=14","0.00934")</f>
        <v>0.00934</v>
      </c>
    </row>
    <row r="10050" spans="1:7">
      <c r="A10050" s="3"/>
      <c r="B10050" s="3"/>
      <c r="C10050" s="3"/>
      <c r="D10050" s="3"/>
      <c r="E10050" s="3">
        <v>7</v>
      </c>
      <c r="F10050" s="4" t="str">
        <f>HYPERLINK("http://141.218.60.56/~jnz1568/getInfo.php?workbook=12_05.xlsx&amp;sheet=U0&amp;row=10050&amp;col=6&amp;number=3.6&amp;sourceID=14","3.6")</f>
        <v>3.6</v>
      </c>
      <c r="G10050" s="4" t="str">
        <f>HYPERLINK("http://141.218.60.56/~jnz1568/getInfo.php?workbook=12_05.xlsx&amp;sheet=U0&amp;row=10050&amp;col=7&amp;number=0.00934&amp;sourceID=14","0.00934")</f>
        <v>0.00934</v>
      </c>
    </row>
    <row r="10051" spans="1:7">
      <c r="A10051" s="3"/>
      <c r="B10051" s="3"/>
      <c r="C10051" s="3"/>
      <c r="D10051" s="3"/>
      <c r="E10051" s="3">
        <v>8</v>
      </c>
      <c r="F10051" s="4" t="str">
        <f>HYPERLINK("http://141.218.60.56/~jnz1568/getInfo.php?workbook=12_05.xlsx&amp;sheet=U0&amp;row=10051&amp;col=6&amp;number=3.7&amp;sourceID=14","3.7")</f>
        <v>3.7</v>
      </c>
      <c r="G10051" s="4" t="str">
        <f>HYPERLINK("http://141.218.60.56/~jnz1568/getInfo.php?workbook=12_05.xlsx&amp;sheet=U0&amp;row=10051&amp;col=7&amp;number=0.00933&amp;sourceID=14","0.00933")</f>
        <v>0.00933</v>
      </c>
    </row>
    <row r="10052" spans="1:7">
      <c r="A10052" s="3"/>
      <c r="B10052" s="3"/>
      <c r="C10052" s="3"/>
      <c r="D10052" s="3"/>
      <c r="E10052" s="3">
        <v>9</v>
      </c>
      <c r="F10052" s="4" t="str">
        <f>HYPERLINK("http://141.218.60.56/~jnz1568/getInfo.php?workbook=12_05.xlsx&amp;sheet=U0&amp;row=10052&amp;col=6&amp;number=3.8&amp;sourceID=14","3.8")</f>
        <v>3.8</v>
      </c>
      <c r="G10052" s="4" t="str">
        <f>HYPERLINK("http://141.218.60.56/~jnz1568/getInfo.php?workbook=12_05.xlsx&amp;sheet=U0&amp;row=10052&amp;col=7&amp;number=0.00932&amp;sourceID=14","0.00932")</f>
        <v>0.00932</v>
      </c>
    </row>
    <row r="10053" spans="1:7">
      <c r="A10053" s="3"/>
      <c r="B10053" s="3"/>
      <c r="C10053" s="3"/>
      <c r="D10053" s="3"/>
      <c r="E10053" s="3">
        <v>10</v>
      </c>
      <c r="F10053" s="4" t="str">
        <f>HYPERLINK("http://141.218.60.56/~jnz1568/getInfo.php?workbook=12_05.xlsx&amp;sheet=U0&amp;row=10053&amp;col=6&amp;number=3.9&amp;sourceID=14","3.9")</f>
        <v>3.9</v>
      </c>
      <c r="G10053" s="4" t="str">
        <f>HYPERLINK("http://141.218.60.56/~jnz1568/getInfo.php?workbook=12_05.xlsx&amp;sheet=U0&amp;row=10053&amp;col=7&amp;number=0.00931&amp;sourceID=14","0.00931")</f>
        <v>0.00931</v>
      </c>
    </row>
    <row r="10054" spans="1:7">
      <c r="A10054" s="3"/>
      <c r="B10054" s="3"/>
      <c r="C10054" s="3"/>
      <c r="D10054" s="3"/>
      <c r="E10054" s="3">
        <v>11</v>
      </c>
      <c r="F10054" s="4" t="str">
        <f>HYPERLINK("http://141.218.60.56/~jnz1568/getInfo.php?workbook=12_05.xlsx&amp;sheet=U0&amp;row=10054&amp;col=6&amp;number=4&amp;sourceID=14","4")</f>
        <v>4</v>
      </c>
      <c r="G10054" s="4" t="str">
        <f>HYPERLINK("http://141.218.60.56/~jnz1568/getInfo.php?workbook=12_05.xlsx&amp;sheet=U0&amp;row=10054&amp;col=7&amp;number=0.0093&amp;sourceID=14","0.0093")</f>
        <v>0.0093</v>
      </c>
    </row>
    <row r="10055" spans="1:7">
      <c r="A10055" s="3"/>
      <c r="B10055" s="3"/>
      <c r="C10055" s="3"/>
      <c r="D10055" s="3"/>
      <c r="E10055" s="3">
        <v>12</v>
      </c>
      <c r="F10055" s="4" t="str">
        <f>HYPERLINK("http://141.218.60.56/~jnz1568/getInfo.php?workbook=12_05.xlsx&amp;sheet=U0&amp;row=10055&amp;col=6&amp;number=4.1&amp;sourceID=14","4.1")</f>
        <v>4.1</v>
      </c>
      <c r="G10055" s="4" t="str">
        <f>HYPERLINK("http://141.218.60.56/~jnz1568/getInfo.php?workbook=12_05.xlsx&amp;sheet=U0&amp;row=10055&amp;col=7&amp;number=0.00928&amp;sourceID=14","0.00928")</f>
        <v>0.00928</v>
      </c>
    </row>
    <row r="10056" spans="1:7">
      <c r="A10056" s="3"/>
      <c r="B10056" s="3"/>
      <c r="C10056" s="3"/>
      <c r="D10056" s="3"/>
      <c r="E10056" s="3">
        <v>13</v>
      </c>
      <c r="F10056" s="4" t="str">
        <f>HYPERLINK("http://141.218.60.56/~jnz1568/getInfo.php?workbook=12_05.xlsx&amp;sheet=U0&amp;row=10056&amp;col=6&amp;number=4.2&amp;sourceID=14","4.2")</f>
        <v>4.2</v>
      </c>
      <c r="G10056" s="4" t="str">
        <f>HYPERLINK("http://141.218.60.56/~jnz1568/getInfo.php?workbook=12_05.xlsx&amp;sheet=U0&amp;row=10056&amp;col=7&amp;number=0.00926&amp;sourceID=14","0.00926")</f>
        <v>0.00926</v>
      </c>
    </row>
    <row r="10057" spans="1:7">
      <c r="A10057" s="3"/>
      <c r="B10057" s="3"/>
      <c r="C10057" s="3"/>
      <c r="D10057" s="3"/>
      <c r="E10057" s="3">
        <v>14</v>
      </c>
      <c r="F10057" s="4" t="str">
        <f>HYPERLINK("http://141.218.60.56/~jnz1568/getInfo.php?workbook=12_05.xlsx&amp;sheet=U0&amp;row=10057&amp;col=6&amp;number=4.3&amp;sourceID=14","4.3")</f>
        <v>4.3</v>
      </c>
      <c r="G10057" s="4" t="str">
        <f>HYPERLINK("http://141.218.60.56/~jnz1568/getInfo.php?workbook=12_05.xlsx&amp;sheet=U0&amp;row=10057&amp;col=7&amp;number=0.00924&amp;sourceID=14","0.00924")</f>
        <v>0.00924</v>
      </c>
    </row>
    <row r="10058" spans="1:7">
      <c r="A10058" s="3"/>
      <c r="B10058" s="3"/>
      <c r="C10058" s="3"/>
      <c r="D10058" s="3"/>
      <c r="E10058" s="3">
        <v>15</v>
      </c>
      <c r="F10058" s="4" t="str">
        <f>HYPERLINK("http://141.218.60.56/~jnz1568/getInfo.php?workbook=12_05.xlsx&amp;sheet=U0&amp;row=10058&amp;col=6&amp;number=4.4&amp;sourceID=14","4.4")</f>
        <v>4.4</v>
      </c>
      <c r="G10058" s="4" t="str">
        <f>HYPERLINK("http://141.218.60.56/~jnz1568/getInfo.php?workbook=12_05.xlsx&amp;sheet=U0&amp;row=10058&amp;col=7&amp;number=0.00921&amp;sourceID=14","0.00921")</f>
        <v>0.00921</v>
      </c>
    </row>
    <row r="10059" spans="1:7">
      <c r="A10059" s="3"/>
      <c r="B10059" s="3"/>
      <c r="C10059" s="3"/>
      <c r="D10059" s="3"/>
      <c r="E10059" s="3">
        <v>16</v>
      </c>
      <c r="F10059" s="4" t="str">
        <f>HYPERLINK("http://141.218.60.56/~jnz1568/getInfo.php?workbook=12_05.xlsx&amp;sheet=U0&amp;row=10059&amp;col=6&amp;number=4.5&amp;sourceID=14","4.5")</f>
        <v>4.5</v>
      </c>
      <c r="G10059" s="4" t="str">
        <f>HYPERLINK("http://141.218.60.56/~jnz1568/getInfo.php?workbook=12_05.xlsx&amp;sheet=U0&amp;row=10059&amp;col=7&amp;number=0.00917&amp;sourceID=14","0.00917")</f>
        <v>0.00917</v>
      </c>
    </row>
    <row r="10060" spans="1:7">
      <c r="A10060" s="3"/>
      <c r="B10060" s="3"/>
      <c r="C10060" s="3"/>
      <c r="D10060" s="3"/>
      <c r="E10060" s="3">
        <v>17</v>
      </c>
      <c r="F10060" s="4" t="str">
        <f>HYPERLINK("http://141.218.60.56/~jnz1568/getInfo.php?workbook=12_05.xlsx&amp;sheet=U0&amp;row=10060&amp;col=6&amp;number=4.6&amp;sourceID=14","4.6")</f>
        <v>4.6</v>
      </c>
      <c r="G10060" s="4" t="str">
        <f>HYPERLINK("http://141.218.60.56/~jnz1568/getInfo.php?workbook=12_05.xlsx&amp;sheet=U0&amp;row=10060&amp;col=7&amp;number=0.00912&amp;sourceID=14","0.00912")</f>
        <v>0.00912</v>
      </c>
    </row>
    <row r="10061" spans="1:7">
      <c r="A10061" s="3"/>
      <c r="B10061" s="3"/>
      <c r="C10061" s="3"/>
      <c r="D10061" s="3"/>
      <c r="E10061" s="3">
        <v>18</v>
      </c>
      <c r="F10061" s="4" t="str">
        <f>HYPERLINK("http://141.218.60.56/~jnz1568/getInfo.php?workbook=12_05.xlsx&amp;sheet=U0&amp;row=10061&amp;col=6&amp;number=4.7&amp;sourceID=14","4.7")</f>
        <v>4.7</v>
      </c>
      <c r="G10061" s="4" t="str">
        <f>HYPERLINK("http://141.218.60.56/~jnz1568/getInfo.php?workbook=12_05.xlsx&amp;sheet=U0&amp;row=10061&amp;col=7&amp;number=0.00906&amp;sourceID=14","0.00906")</f>
        <v>0.00906</v>
      </c>
    </row>
    <row r="10062" spans="1:7">
      <c r="A10062" s="3"/>
      <c r="B10062" s="3"/>
      <c r="C10062" s="3"/>
      <c r="D10062" s="3"/>
      <c r="E10062" s="3">
        <v>19</v>
      </c>
      <c r="F10062" s="4" t="str">
        <f>HYPERLINK("http://141.218.60.56/~jnz1568/getInfo.php?workbook=12_05.xlsx&amp;sheet=U0&amp;row=10062&amp;col=6&amp;number=4.8&amp;sourceID=14","4.8")</f>
        <v>4.8</v>
      </c>
      <c r="G10062" s="4" t="str">
        <f>HYPERLINK("http://141.218.60.56/~jnz1568/getInfo.php?workbook=12_05.xlsx&amp;sheet=U0&amp;row=10062&amp;col=7&amp;number=0.00898&amp;sourceID=14","0.00898")</f>
        <v>0.00898</v>
      </c>
    </row>
    <row r="10063" spans="1:7">
      <c r="A10063" s="3"/>
      <c r="B10063" s="3"/>
      <c r="C10063" s="3"/>
      <c r="D10063" s="3"/>
      <c r="E10063" s="3">
        <v>20</v>
      </c>
      <c r="F10063" s="4" t="str">
        <f>HYPERLINK("http://141.218.60.56/~jnz1568/getInfo.php?workbook=12_05.xlsx&amp;sheet=U0&amp;row=10063&amp;col=6&amp;number=4.9&amp;sourceID=14","4.9")</f>
        <v>4.9</v>
      </c>
      <c r="G10063" s="4" t="str">
        <f>HYPERLINK("http://141.218.60.56/~jnz1568/getInfo.php?workbook=12_05.xlsx&amp;sheet=U0&amp;row=10063&amp;col=7&amp;number=0.00889&amp;sourceID=14","0.00889")</f>
        <v>0.00889</v>
      </c>
    </row>
    <row r="10064" spans="1:7">
      <c r="A10064" s="3">
        <v>12</v>
      </c>
      <c r="B10064" s="3">
        <v>5</v>
      </c>
      <c r="C10064" s="3">
        <v>5</v>
      </c>
      <c r="D10064" s="3">
        <v>77</v>
      </c>
      <c r="E10064" s="3">
        <v>1</v>
      </c>
      <c r="F10064" s="4" t="str">
        <f>HYPERLINK("http://141.218.60.56/~jnz1568/getInfo.php?workbook=12_05.xlsx&amp;sheet=U0&amp;row=10064&amp;col=6&amp;number=3&amp;sourceID=14","3")</f>
        <v>3</v>
      </c>
      <c r="G10064" s="4" t="str">
        <f>HYPERLINK("http://141.218.60.56/~jnz1568/getInfo.php?workbook=12_05.xlsx&amp;sheet=U0&amp;row=10064&amp;col=7&amp;number=0.0118&amp;sourceID=14","0.0118")</f>
        <v>0.0118</v>
      </c>
    </row>
    <row r="10065" spans="1:7">
      <c r="A10065" s="3"/>
      <c r="B10065" s="3"/>
      <c r="C10065" s="3"/>
      <c r="D10065" s="3"/>
      <c r="E10065" s="3">
        <v>2</v>
      </c>
      <c r="F10065" s="4" t="str">
        <f>HYPERLINK("http://141.218.60.56/~jnz1568/getInfo.php?workbook=12_05.xlsx&amp;sheet=U0&amp;row=10065&amp;col=6&amp;number=3.1&amp;sourceID=14","3.1")</f>
        <v>3.1</v>
      </c>
      <c r="G10065" s="4" t="str">
        <f>HYPERLINK("http://141.218.60.56/~jnz1568/getInfo.php?workbook=12_05.xlsx&amp;sheet=U0&amp;row=10065&amp;col=7&amp;number=0.0118&amp;sourceID=14","0.0118")</f>
        <v>0.0118</v>
      </c>
    </row>
    <row r="10066" spans="1:7">
      <c r="A10066" s="3"/>
      <c r="B10066" s="3"/>
      <c r="C10066" s="3"/>
      <c r="D10066" s="3"/>
      <c r="E10066" s="3">
        <v>3</v>
      </c>
      <c r="F10066" s="4" t="str">
        <f>HYPERLINK("http://141.218.60.56/~jnz1568/getInfo.php?workbook=12_05.xlsx&amp;sheet=U0&amp;row=10066&amp;col=6&amp;number=3.2&amp;sourceID=14","3.2")</f>
        <v>3.2</v>
      </c>
      <c r="G10066" s="4" t="str">
        <f>HYPERLINK("http://141.218.60.56/~jnz1568/getInfo.php?workbook=12_05.xlsx&amp;sheet=U0&amp;row=10066&amp;col=7&amp;number=0.0118&amp;sourceID=14","0.0118")</f>
        <v>0.0118</v>
      </c>
    </row>
    <row r="10067" spans="1:7">
      <c r="A10067" s="3"/>
      <c r="B10067" s="3"/>
      <c r="C10067" s="3"/>
      <c r="D10067" s="3"/>
      <c r="E10067" s="3">
        <v>4</v>
      </c>
      <c r="F10067" s="4" t="str">
        <f>HYPERLINK("http://141.218.60.56/~jnz1568/getInfo.php?workbook=12_05.xlsx&amp;sheet=U0&amp;row=10067&amp;col=6&amp;number=3.3&amp;sourceID=14","3.3")</f>
        <v>3.3</v>
      </c>
      <c r="G10067" s="4" t="str">
        <f>HYPERLINK("http://141.218.60.56/~jnz1568/getInfo.php?workbook=12_05.xlsx&amp;sheet=U0&amp;row=10067&amp;col=7&amp;number=0.0118&amp;sourceID=14","0.0118")</f>
        <v>0.0118</v>
      </c>
    </row>
    <row r="10068" spans="1:7">
      <c r="A10068" s="3"/>
      <c r="B10068" s="3"/>
      <c r="C10068" s="3"/>
      <c r="D10068" s="3"/>
      <c r="E10068" s="3">
        <v>5</v>
      </c>
      <c r="F10068" s="4" t="str">
        <f>HYPERLINK("http://141.218.60.56/~jnz1568/getInfo.php?workbook=12_05.xlsx&amp;sheet=U0&amp;row=10068&amp;col=6&amp;number=3.4&amp;sourceID=14","3.4")</f>
        <v>3.4</v>
      </c>
      <c r="G10068" s="4" t="str">
        <f>HYPERLINK("http://141.218.60.56/~jnz1568/getInfo.php?workbook=12_05.xlsx&amp;sheet=U0&amp;row=10068&amp;col=7&amp;number=0.0118&amp;sourceID=14","0.0118")</f>
        <v>0.0118</v>
      </c>
    </row>
    <row r="10069" spans="1:7">
      <c r="A10069" s="3"/>
      <c r="B10069" s="3"/>
      <c r="C10069" s="3"/>
      <c r="D10069" s="3"/>
      <c r="E10069" s="3">
        <v>6</v>
      </c>
      <c r="F10069" s="4" t="str">
        <f>HYPERLINK("http://141.218.60.56/~jnz1568/getInfo.php?workbook=12_05.xlsx&amp;sheet=U0&amp;row=10069&amp;col=6&amp;number=3.5&amp;sourceID=14","3.5")</f>
        <v>3.5</v>
      </c>
      <c r="G10069" s="4" t="str">
        <f>HYPERLINK("http://141.218.60.56/~jnz1568/getInfo.php?workbook=12_05.xlsx&amp;sheet=U0&amp;row=10069&amp;col=7&amp;number=0.0117&amp;sourceID=14","0.0117")</f>
        <v>0.0117</v>
      </c>
    </row>
    <row r="10070" spans="1:7">
      <c r="A10070" s="3"/>
      <c r="B10070" s="3"/>
      <c r="C10070" s="3"/>
      <c r="D10070" s="3"/>
      <c r="E10070" s="3">
        <v>7</v>
      </c>
      <c r="F10070" s="4" t="str">
        <f>HYPERLINK("http://141.218.60.56/~jnz1568/getInfo.php?workbook=12_05.xlsx&amp;sheet=U0&amp;row=10070&amp;col=6&amp;number=3.6&amp;sourceID=14","3.6")</f>
        <v>3.6</v>
      </c>
      <c r="G10070" s="4" t="str">
        <f>HYPERLINK("http://141.218.60.56/~jnz1568/getInfo.php?workbook=12_05.xlsx&amp;sheet=U0&amp;row=10070&amp;col=7&amp;number=0.0117&amp;sourceID=14","0.0117")</f>
        <v>0.0117</v>
      </c>
    </row>
    <row r="10071" spans="1:7">
      <c r="A10071" s="3"/>
      <c r="B10071" s="3"/>
      <c r="C10071" s="3"/>
      <c r="D10071" s="3"/>
      <c r="E10071" s="3">
        <v>8</v>
      </c>
      <c r="F10071" s="4" t="str">
        <f>HYPERLINK("http://141.218.60.56/~jnz1568/getInfo.php?workbook=12_05.xlsx&amp;sheet=U0&amp;row=10071&amp;col=6&amp;number=3.7&amp;sourceID=14","3.7")</f>
        <v>3.7</v>
      </c>
      <c r="G10071" s="4" t="str">
        <f>HYPERLINK("http://141.218.60.56/~jnz1568/getInfo.php?workbook=12_05.xlsx&amp;sheet=U0&amp;row=10071&amp;col=7&amp;number=0.0117&amp;sourceID=14","0.0117")</f>
        <v>0.0117</v>
      </c>
    </row>
    <row r="10072" spans="1:7">
      <c r="A10072" s="3"/>
      <c r="B10072" s="3"/>
      <c r="C10072" s="3"/>
      <c r="D10072" s="3"/>
      <c r="E10072" s="3">
        <v>9</v>
      </c>
      <c r="F10072" s="4" t="str">
        <f>HYPERLINK("http://141.218.60.56/~jnz1568/getInfo.php?workbook=12_05.xlsx&amp;sheet=U0&amp;row=10072&amp;col=6&amp;number=3.8&amp;sourceID=14","3.8")</f>
        <v>3.8</v>
      </c>
      <c r="G10072" s="4" t="str">
        <f>HYPERLINK("http://141.218.60.56/~jnz1568/getInfo.php?workbook=12_05.xlsx&amp;sheet=U0&amp;row=10072&amp;col=7&amp;number=0.0117&amp;sourceID=14","0.0117")</f>
        <v>0.0117</v>
      </c>
    </row>
    <row r="10073" spans="1:7">
      <c r="A10073" s="3"/>
      <c r="B10073" s="3"/>
      <c r="C10073" s="3"/>
      <c r="D10073" s="3"/>
      <c r="E10073" s="3">
        <v>10</v>
      </c>
      <c r="F10073" s="4" t="str">
        <f>HYPERLINK("http://141.218.60.56/~jnz1568/getInfo.php?workbook=12_05.xlsx&amp;sheet=U0&amp;row=10073&amp;col=6&amp;number=3.9&amp;sourceID=14","3.9")</f>
        <v>3.9</v>
      </c>
      <c r="G10073" s="4" t="str">
        <f>HYPERLINK("http://141.218.60.56/~jnz1568/getInfo.php?workbook=12_05.xlsx&amp;sheet=U0&amp;row=10073&amp;col=7&amp;number=0.0117&amp;sourceID=14","0.0117")</f>
        <v>0.0117</v>
      </c>
    </row>
    <row r="10074" spans="1:7">
      <c r="A10074" s="3"/>
      <c r="B10074" s="3"/>
      <c r="C10074" s="3"/>
      <c r="D10074" s="3"/>
      <c r="E10074" s="3">
        <v>11</v>
      </c>
      <c r="F10074" s="4" t="str">
        <f>HYPERLINK("http://141.218.60.56/~jnz1568/getInfo.php?workbook=12_05.xlsx&amp;sheet=U0&amp;row=10074&amp;col=6&amp;number=4&amp;sourceID=14","4")</f>
        <v>4</v>
      </c>
      <c r="G10074" s="4" t="str">
        <f>HYPERLINK("http://141.218.60.56/~jnz1568/getInfo.php?workbook=12_05.xlsx&amp;sheet=U0&amp;row=10074&amp;col=7&amp;number=0.0116&amp;sourceID=14","0.0116")</f>
        <v>0.0116</v>
      </c>
    </row>
    <row r="10075" spans="1:7">
      <c r="A10075" s="3"/>
      <c r="B10075" s="3"/>
      <c r="C10075" s="3"/>
      <c r="D10075" s="3"/>
      <c r="E10075" s="3">
        <v>12</v>
      </c>
      <c r="F10075" s="4" t="str">
        <f>HYPERLINK("http://141.218.60.56/~jnz1568/getInfo.php?workbook=12_05.xlsx&amp;sheet=U0&amp;row=10075&amp;col=6&amp;number=4.1&amp;sourceID=14","4.1")</f>
        <v>4.1</v>
      </c>
      <c r="G10075" s="4" t="str">
        <f>HYPERLINK("http://141.218.60.56/~jnz1568/getInfo.php?workbook=12_05.xlsx&amp;sheet=U0&amp;row=10075&amp;col=7&amp;number=0.0116&amp;sourceID=14","0.0116")</f>
        <v>0.0116</v>
      </c>
    </row>
    <row r="10076" spans="1:7">
      <c r="A10076" s="3"/>
      <c r="B10076" s="3"/>
      <c r="C10076" s="3"/>
      <c r="D10076" s="3"/>
      <c r="E10076" s="3">
        <v>13</v>
      </c>
      <c r="F10076" s="4" t="str">
        <f>HYPERLINK("http://141.218.60.56/~jnz1568/getInfo.php?workbook=12_05.xlsx&amp;sheet=U0&amp;row=10076&amp;col=6&amp;number=4.2&amp;sourceID=14","4.2")</f>
        <v>4.2</v>
      </c>
      <c r="G10076" s="4" t="str">
        <f>HYPERLINK("http://141.218.60.56/~jnz1568/getInfo.php?workbook=12_05.xlsx&amp;sheet=U0&amp;row=10076&amp;col=7&amp;number=0.0115&amp;sourceID=14","0.0115")</f>
        <v>0.0115</v>
      </c>
    </row>
    <row r="10077" spans="1:7">
      <c r="A10077" s="3"/>
      <c r="B10077" s="3"/>
      <c r="C10077" s="3"/>
      <c r="D10077" s="3"/>
      <c r="E10077" s="3">
        <v>14</v>
      </c>
      <c r="F10077" s="4" t="str">
        <f>HYPERLINK("http://141.218.60.56/~jnz1568/getInfo.php?workbook=12_05.xlsx&amp;sheet=U0&amp;row=10077&amp;col=6&amp;number=4.3&amp;sourceID=14","4.3")</f>
        <v>4.3</v>
      </c>
      <c r="G10077" s="4" t="str">
        <f>HYPERLINK("http://141.218.60.56/~jnz1568/getInfo.php?workbook=12_05.xlsx&amp;sheet=U0&amp;row=10077&amp;col=7&amp;number=0.0115&amp;sourceID=14","0.0115")</f>
        <v>0.0115</v>
      </c>
    </row>
    <row r="10078" spans="1:7">
      <c r="A10078" s="3"/>
      <c r="B10078" s="3"/>
      <c r="C10078" s="3"/>
      <c r="D10078" s="3"/>
      <c r="E10078" s="3">
        <v>15</v>
      </c>
      <c r="F10078" s="4" t="str">
        <f>HYPERLINK("http://141.218.60.56/~jnz1568/getInfo.php?workbook=12_05.xlsx&amp;sheet=U0&amp;row=10078&amp;col=6&amp;number=4.4&amp;sourceID=14","4.4")</f>
        <v>4.4</v>
      </c>
      <c r="G10078" s="4" t="str">
        <f>HYPERLINK("http://141.218.60.56/~jnz1568/getInfo.php?workbook=12_05.xlsx&amp;sheet=U0&amp;row=10078&amp;col=7&amp;number=0.0114&amp;sourceID=14","0.0114")</f>
        <v>0.0114</v>
      </c>
    </row>
    <row r="10079" spans="1:7">
      <c r="A10079" s="3"/>
      <c r="B10079" s="3"/>
      <c r="C10079" s="3"/>
      <c r="D10079" s="3"/>
      <c r="E10079" s="3">
        <v>16</v>
      </c>
      <c r="F10079" s="4" t="str">
        <f>HYPERLINK("http://141.218.60.56/~jnz1568/getInfo.php?workbook=12_05.xlsx&amp;sheet=U0&amp;row=10079&amp;col=6&amp;number=4.5&amp;sourceID=14","4.5")</f>
        <v>4.5</v>
      </c>
      <c r="G10079" s="4" t="str">
        <f>HYPERLINK("http://141.218.60.56/~jnz1568/getInfo.php?workbook=12_05.xlsx&amp;sheet=U0&amp;row=10079&amp;col=7&amp;number=0.0113&amp;sourceID=14","0.0113")</f>
        <v>0.0113</v>
      </c>
    </row>
    <row r="10080" spans="1:7">
      <c r="A10080" s="3"/>
      <c r="B10080" s="3"/>
      <c r="C10080" s="3"/>
      <c r="D10080" s="3"/>
      <c r="E10080" s="3">
        <v>17</v>
      </c>
      <c r="F10080" s="4" t="str">
        <f>HYPERLINK("http://141.218.60.56/~jnz1568/getInfo.php?workbook=12_05.xlsx&amp;sheet=U0&amp;row=10080&amp;col=6&amp;number=4.6&amp;sourceID=14","4.6")</f>
        <v>4.6</v>
      </c>
      <c r="G10080" s="4" t="str">
        <f>HYPERLINK("http://141.218.60.56/~jnz1568/getInfo.php?workbook=12_05.xlsx&amp;sheet=U0&amp;row=10080&amp;col=7&amp;number=0.0112&amp;sourceID=14","0.0112")</f>
        <v>0.0112</v>
      </c>
    </row>
    <row r="10081" spans="1:7">
      <c r="A10081" s="3"/>
      <c r="B10081" s="3"/>
      <c r="C10081" s="3"/>
      <c r="D10081" s="3"/>
      <c r="E10081" s="3">
        <v>18</v>
      </c>
      <c r="F10081" s="4" t="str">
        <f>HYPERLINK("http://141.218.60.56/~jnz1568/getInfo.php?workbook=12_05.xlsx&amp;sheet=U0&amp;row=10081&amp;col=6&amp;number=4.7&amp;sourceID=14","4.7")</f>
        <v>4.7</v>
      </c>
      <c r="G10081" s="4" t="str">
        <f>HYPERLINK("http://141.218.60.56/~jnz1568/getInfo.php?workbook=12_05.xlsx&amp;sheet=U0&amp;row=10081&amp;col=7&amp;number=0.011&amp;sourceID=14","0.011")</f>
        <v>0.011</v>
      </c>
    </row>
    <row r="10082" spans="1:7">
      <c r="A10082" s="3"/>
      <c r="B10082" s="3"/>
      <c r="C10082" s="3"/>
      <c r="D10082" s="3"/>
      <c r="E10082" s="3">
        <v>19</v>
      </c>
      <c r="F10082" s="4" t="str">
        <f>HYPERLINK("http://141.218.60.56/~jnz1568/getInfo.php?workbook=12_05.xlsx&amp;sheet=U0&amp;row=10082&amp;col=6&amp;number=4.8&amp;sourceID=14","4.8")</f>
        <v>4.8</v>
      </c>
      <c r="G10082" s="4" t="str">
        <f>HYPERLINK("http://141.218.60.56/~jnz1568/getInfo.php?workbook=12_05.xlsx&amp;sheet=U0&amp;row=10082&amp;col=7&amp;number=0.0108&amp;sourceID=14","0.0108")</f>
        <v>0.0108</v>
      </c>
    </row>
    <row r="10083" spans="1:7">
      <c r="A10083" s="3"/>
      <c r="B10083" s="3"/>
      <c r="C10083" s="3"/>
      <c r="D10083" s="3"/>
      <c r="E10083" s="3">
        <v>20</v>
      </c>
      <c r="F10083" s="4" t="str">
        <f>HYPERLINK("http://141.218.60.56/~jnz1568/getInfo.php?workbook=12_05.xlsx&amp;sheet=U0&amp;row=10083&amp;col=6&amp;number=4.9&amp;sourceID=14","4.9")</f>
        <v>4.9</v>
      </c>
      <c r="G10083" s="4" t="str">
        <f>HYPERLINK("http://141.218.60.56/~jnz1568/getInfo.php?workbook=12_05.xlsx&amp;sheet=U0&amp;row=10083&amp;col=7&amp;number=0.0106&amp;sourceID=14","0.0106")</f>
        <v>0.0106</v>
      </c>
    </row>
    <row r="10084" spans="1:7">
      <c r="A10084" s="3">
        <v>12</v>
      </c>
      <c r="B10084" s="3">
        <v>5</v>
      </c>
      <c r="C10084" s="3">
        <v>5</v>
      </c>
      <c r="D10084" s="3">
        <v>78</v>
      </c>
      <c r="E10084" s="3">
        <v>1</v>
      </c>
      <c r="F10084" s="4" t="str">
        <f>HYPERLINK("http://141.218.60.56/~jnz1568/getInfo.php?workbook=12_05.xlsx&amp;sheet=U0&amp;row=10084&amp;col=6&amp;number=3&amp;sourceID=14","3")</f>
        <v>3</v>
      </c>
      <c r="G10084" s="4" t="str">
        <f>HYPERLINK("http://141.218.60.56/~jnz1568/getInfo.php?workbook=12_05.xlsx&amp;sheet=U0&amp;row=10084&amp;col=7&amp;number=0.000878&amp;sourceID=14","0.000878")</f>
        <v>0.000878</v>
      </c>
    </row>
    <row r="10085" spans="1:7">
      <c r="A10085" s="3"/>
      <c r="B10085" s="3"/>
      <c r="C10085" s="3"/>
      <c r="D10085" s="3"/>
      <c r="E10085" s="3">
        <v>2</v>
      </c>
      <c r="F10085" s="4" t="str">
        <f>HYPERLINK("http://141.218.60.56/~jnz1568/getInfo.php?workbook=12_05.xlsx&amp;sheet=U0&amp;row=10085&amp;col=6&amp;number=3.1&amp;sourceID=14","3.1")</f>
        <v>3.1</v>
      </c>
      <c r="G10085" s="4" t="str">
        <f>HYPERLINK("http://141.218.60.56/~jnz1568/getInfo.php?workbook=12_05.xlsx&amp;sheet=U0&amp;row=10085&amp;col=7&amp;number=0.000878&amp;sourceID=14","0.000878")</f>
        <v>0.000878</v>
      </c>
    </row>
    <row r="10086" spans="1:7">
      <c r="A10086" s="3"/>
      <c r="B10086" s="3"/>
      <c r="C10086" s="3"/>
      <c r="D10086" s="3"/>
      <c r="E10086" s="3">
        <v>3</v>
      </c>
      <c r="F10086" s="4" t="str">
        <f>HYPERLINK("http://141.218.60.56/~jnz1568/getInfo.php?workbook=12_05.xlsx&amp;sheet=U0&amp;row=10086&amp;col=6&amp;number=3.2&amp;sourceID=14","3.2")</f>
        <v>3.2</v>
      </c>
      <c r="G10086" s="4" t="str">
        <f>HYPERLINK("http://141.218.60.56/~jnz1568/getInfo.php?workbook=12_05.xlsx&amp;sheet=U0&amp;row=10086&amp;col=7&amp;number=0.000878&amp;sourceID=14","0.000878")</f>
        <v>0.000878</v>
      </c>
    </row>
    <row r="10087" spans="1:7">
      <c r="A10087" s="3"/>
      <c r="B10087" s="3"/>
      <c r="C10087" s="3"/>
      <c r="D10087" s="3"/>
      <c r="E10087" s="3">
        <v>4</v>
      </c>
      <c r="F10087" s="4" t="str">
        <f>HYPERLINK("http://141.218.60.56/~jnz1568/getInfo.php?workbook=12_05.xlsx&amp;sheet=U0&amp;row=10087&amp;col=6&amp;number=3.3&amp;sourceID=14","3.3")</f>
        <v>3.3</v>
      </c>
      <c r="G10087" s="4" t="str">
        <f>HYPERLINK("http://141.218.60.56/~jnz1568/getInfo.php?workbook=12_05.xlsx&amp;sheet=U0&amp;row=10087&amp;col=7&amp;number=0.000877&amp;sourceID=14","0.000877")</f>
        <v>0.000877</v>
      </c>
    </row>
    <row r="10088" spans="1:7">
      <c r="A10088" s="3"/>
      <c r="B10088" s="3"/>
      <c r="C10088" s="3"/>
      <c r="D10088" s="3"/>
      <c r="E10088" s="3">
        <v>5</v>
      </c>
      <c r="F10088" s="4" t="str">
        <f>HYPERLINK("http://141.218.60.56/~jnz1568/getInfo.php?workbook=12_05.xlsx&amp;sheet=U0&amp;row=10088&amp;col=6&amp;number=3.4&amp;sourceID=14","3.4")</f>
        <v>3.4</v>
      </c>
      <c r="G10088" s="4" t="str">
        <f>HYPERLINK("http://141.218.60.56/~jnz1568/getInfo.php?workbook=12_05.xlsx&amp;sheet=U0&amp;row=10088&amp;col=7&amp;number=0.000877&amp;sourceID=14","0.000877")</f>
        <v>0.000877</v>
      </c>
    </row>
    <row r="10089" spans="1:7">
      <c r="A10089" s="3"/>
      <c r="B10089" s="3"/>
      <c r="C10089" s="3"/>
      <c r="D10089" s="3"/>
      <c r="E10089" s="3">
        <v>6</v>
      </c>
      <c r="F10089" s="4" t="str">
        <f>HYPERLINK("http://141.218.60.56/~jnz1568/getInfo.php?workbook=12_05.xlsx&amp;sheet=U0&amp;row=10089&amp;col=6&amp;number=3.5&amp;sourceID=14","3.5")</f>
        <v>3.5</v>
      </c>
      <c r="G10089" s="4" t="str">
        <f>HYPERLINK("http://141.218.60.56/~jnz1568/getInfo.php?workbook=12_05.xlsx&amp;sheet=U0&amp;row=10089&amp;col=7&amp;number=0.000876&amp;sourceID=14","0.000876")</f>
        <v>0.000876</v>
      </c>
    </row>
    <row r="10090" spans="1:7">
      <c r="A10090" s="3"/>
      <c r="B10090" s="3"/>
      <c r="C10090" s="3"/>
      <c r="D10090" s="3"/>
      <c r="E10090" s="3">
        <v>7</v>
      </c>
      <c r="F10090" s="4" t="str">
        <f>HYPERLINK("http://141.218.60.56/~jnz1568/getInfo.php?workbook=12_05.xlsx&amp;sheet=U0&amp;row=10090&amp;col=6&amp;number=3.6&amp;sourceID=14","3.6")</f>
        <v>3.6</v>
      </c>
      <c r="G10090" s="4" t="str">
        <f>HYPERLINK("http://141.218.60.56/~jnz1568/getInfo.php?workbook=12_05.xlsx&amp;sheet=U0&amp;row=10090&amp;col=7&amp;number=0.000875&amp;sourceID=14","0.000875")</f>
        <v>0.000875</v>
      </c>
    </row>
    <row r="10091" spans="1:7">
      <c r="A10091" s="3"/>
      <c r="B10091" s="3"/>
      <c r="C10091" s="3"/>
      <c r="D10091" s="3"/>
      <c r="E10091" s="3">
        <v>8</v>
      </c>
      <c r="F10091" s="4" t="str">
        <f>HYPERLINK("http://141.218.60.56/~jnz1568/getInfo.php?workbook=12_05.xlsx&amp;sheet=U0&amp;row=10091&amp;col=6&amp;number=3.7&amp;sourceID=14","3.7")</f>
        <v>3.7</v>
      </c>
      <c r="G10091" s="4" t="str">
        <f>HYPERLINK("http://141.218.60.56/~jnz1568/getInfo.php?workbook=12_05.xlsx&amp;sheet=U0&amp;row=10091&amp;col=7&amp;number=0.000874&amp;sourceID=14","0.000874")</f>
        <v>0.000874</v>
      </c>
    </row>
    <row r="10092" spans="1:7">
      <c r="A10092" s="3"/>
      <c r="B10092" s="3"/>
      <c r="C10092" s="3"/>
      <c r="D10092" s="3"/>
      <c r="E10092" s="3">
        <v>9</v>
      </c>
      <c r="F10092" s="4" t="str">
        <f>HYPERLINK("http://141.218.60.56/~jnz1568/getInfo.php?workbook=12_05.xlsx&amp;sheet=U0&amp;row=10092&amp;col=6&amp;number=3.8&amp;sourceID=14","3.8")</f>
        <v>3.8</v>
      </c>
      <c r="G10092" s="4" t="str">
        <f>HYPERLINK("http://141.218.60.56/~jnz1568/getInfo.php?workbook=12_05.xlsx&amp;sheet=U0&amp;row=10092&amp;col=7&amp;number=0.000872&amp;sourceID=14","0.000872")</f>
        <v>0.000872</v>
      </c>
    </row>
    <row r="10093" spans="1:7">
      <c r="A10093" s="3"/>
      <c r="B10093" s="3"/>
      <c r="C10093" s="3"/>
      <c r="D10093" s="3"/>
      <c r="E10093" s="3">
        <v>10</v>
      </c>
      <c r="F10093" s="4" t="str">
        <f>HYPERLINK("http://141.218.60.56/~jnz1568/getInfo.php?workbook=12_05.xlsx&amp;sheet=U0&amp;row=10093&amp;col=6&amp;number=3.9&amp;sourceID=14","3.9")</f>
        <v>3.9</v>
      </c>
      <c r="G10093" s="4" t="str">
        <f>HYPERLINK("http://141.218.60.56/~jnz1568/getInfo.php?workbook=12_05.xlsx&amp;sheet=U0&amp;row=10093&amp;col=7&amp;number=0.00087&amp;sourceID=14","0.00087")</f>
        <v>0.00087</v>
      </c>
    </row>
    <row r="10094" spans="1:7">
      <c r="A10094" s="3"/>
      <c r="B10094" s="3"/>
      <c r="C10094" s="3"/>
      <c r="D10094" s="3"/>
      <c r="E10094" s="3">
        <v>11</v>
      </c>
      <c r="F10094" s="4" t="str">
        <f>HYPERLINK("http://141.218.60.56/~jnz1568/getInfo.php?workbook=12_05.xlsx&amp;sheet=U0&amp;row=10094&amp;col=6&amp;number=4&amp;sourceID=14","4")</f>
        <v>4</v>
      </c>
      <c r="G10094" s="4" t="str">
        <f>HYPERLINK("http://141.218.60.56/~jnz1568/getInfo.php?workbook=12_05.xlsx&amp;sheet=U0&amp;row=10094&amp;col=7&amp;number=0.000867&amp;sourceID=14","0.000867")</f>
        <v>0.000867</v>
      </c>
    </row>
    <row r="10095" spans="1:7">
      <c r="A10095" s="3"/>
      <c r="B10095" s="3"/>
      <c r="C10095" s="3"/>
      <c r="D10095" s="3"/>
      <c r="E10095" s="3">
        <v>12</v>
      </c>
      <c r="F10095" s="4" t="str">
        <f>HYPERLINK("http://141.218.60.56/~jnz1568/getInfo.php?workbook=12_05.xlsx&amp;sheet=U0&amp;row=10095&amp;col=6&amp;number=4.1&amp;sourceID=14","4.1")</f>
        <v>4.1</v>
      </c>
      <c r="G10095" s="4" t="str">
        <f>HYPERLINK("http://141.218.60.56/~jnz1568/getInfo.php?workbook=12_05.xlsx&amp;sheet=U0&amp;row=10095&amp;col=7&amp;number=0.000864&amp;sourceID=14","0.000864")</f>
        <v>0.000864</v>
      </c>
    </row>
    <row r="10096" spans="1:7">
      <c r="A10096" s="3"/>
      <c r="B10096" s="3"/>
      <c r="C10096" s="3"/>
      <c r="D10096" s="3"/>
      <c r="E10096" s="3">
        <v>13</v>
      </c>
      <c r="F10096" s="4" t="str">
        <f>HYPERLINK("http://141.218.60.56/~jnz1568/getInfo.php?workbook=12_05.xlsx&amp;sheet=U0&amp;row=10096&amp;col=6&amp;number=4.2&amp;sourceID=14","4.2")</f>
        <v>4.2</v>
      </c>
      <c r="G10096" s="4" t="str">
        <f>HYPERLINK("http://141.218.60.56/~jnz1568/getInfo.php?workbook=12_05.xlsx&amp;sheet=U0&amp;row=10096&amp;col=7&amp;number=0.00086&amp;sourceID=14","0.00086")</f>
        <v>0.00086</v>
      </c>
    </row>
    <row r="10097" spans="1:7">
      <c r="A10097" s="3"/>
      <c r="B10097" s="3"/>
      <c r="C10097" s="3"/>
      <c r="D10097" s="3"/>
      <c r="E10097" s="3">
        <v>14</v>
      </c>
      <c r="F10097" s="4" t="str">
        <f>HYPERLINK("http://141.218.60.56/~jnz1568/getInfo.php?workbook=12_05.xlsx&amp;sheet=U0&amp;row=10097&amp;col=6&amp;number=4.3&amp;sourceID=14","4.3")</f>
        <v>4.3</v>
      </c>
      <c r="G10097" s="4" t="str">
        <f>HYPERLINK("http://141.218.60.56/~jnz1568/getInfo.php?workbook=12_05.xlsx&amp;sheet=U0&amp;row=10097&amp;col=7&amp;number=0.000856&amp;sourceID=14","0.000856")</f>
        <v>0.000856</v>
      </c>
    </row>
    <row r="10098" spans="1:7">
      <c r="A10098" s="3"/>
      <c r="B10098" s="3"/>
      <c r="C10098" s="3"/>
      <c r="D10098" s="3"/>
      <c r="E10098" s="3">
        <v>15</v>
      </c>
      <c r="F10098" s="4" t="str">
        <f>HYPERLINK("http://141.218.60.56/~jnz1568/getInfo.php?workbook=12_05.xlsx&amp;sheet=U0&amp;row=10098&amp;col=6&amp;number=4.4&amp;sourceID=14","4.4")</f>
        <v>4.4</v>
      </c>
      <c r="G10098" s="4" t="str">
        <f>HYPERLINK("http://141.218.60.56/~jnz1568/getInfo.php?workbook=12_05.xlsx&amp;sheet=U0&amp;row=10098&amp;col=7&amp;number=0.00085&amp;sourceID=14","0.00085")</f>
        <v>0.00085</v>
      </c>
    </row>
    <row r="10099" spans="1:7">
      <c r="A10099" s="3"/>
      <c r="B10099" s="3"/>
      <c r="C10099" s="3"/>
      <c r="D10099" s="3"/>
      <c r="E10099" s="3">
        <v>16</v>
      </c>
      <c r="F10099" s="4" t="str">
        <f>HYPERLINK("http://141.218.60.56/~jnz1568/getInfo.php?workbook=12_05.xlsx&amp;sheet=U0&amp;row=10099&amp;col=6&amp;number=4.5&amp;sourceID=14","4.5")</f>
        <v>4.5</v>
      </c>
      <c r="G10099" s="4" t="str">
        <f>HYPERLINK("http://141.218.60.56/~jnz1568/getInfo.php?workbook=12_05.xlsx&amp;sheet=U0&amp;row=10099&amp;col=7&amp;number=0.000842&amp;sourceID=14","0.000842")</f>
        <v>0.000842</v>
      </c>
    </row>
    <row r="10100" spans="1:7">
      <c r="A10100" s="3"/>
      <c r="B10100" s="3"/>
      <c r="C10100" s="3"/>
      <c r="D10100" s="3"/>
      <c r="E10100" s="3">
        <v>17</v>
      </c>
      <c r="F10100" s="4" t="str">
        <f>HYPERLINK("http://141.218.60.56/~jnz1568/getInfo.php?workbook=12_05.xlsx&amp;sheet=U0&amp;row=10100&amp;col=6&amp;number=4.6&amp;sourceID=14","4.6")</f>
        <v>4.6</v>
      </c>
      <c r="G10100" s="4" t="str">
        <f>HYPERLINK("http://141.218.60.56/~jnz1568/getInfo.php?workbook=12_05.xlsx&amp;sheet=U0&amp;row=10100&amp;col=7&amp;number=0.000833&amp;sourceID=14","0.000833")</f>
        <v>0.000833</v>
      </c>
    </row>
    <row r="10101" spans="1:7">
      <c r="A10101" s="3"/>
      <c r="B10101" s="3"/>
      <c r="C10101" s="3"/>
      <c r="D10101" s="3"/>
      <c r="E10101" s="3">
        <v>18</v>
      </c>
      <c r="F10101" s="4" t="str">
        <f>HYPERLINK("http://141.218.60.56/~jnz1568/getInfo.php?workbook=12_05.xlsx&amp;sheet=U0&amp;row=10101&amp;col=6&amp;number=4.7&amp;sourceID=14","4.7")</f>
        <v>4.7</v>
      </c>
      <c r="G10101" s="4" t="str">
        <f>HYPERLINK("http://141.218.60.56/~jnz1568/getInfo.php?workbook=12_05.xlsx&amp;sheet=U0&amp;row=10101&amp;col=7&amp;number=0.000821&amp;sourceID=14","0.000821")</f>
        <v>0.000821</v>
      </c>
    </row>
    <row r="10102" spans="1:7">
      <c r="A10102" s="3"/>
      <c r="B10102" s="3"/>
      <c r="C10102" s="3"/>
      <c r="D10102" s="3"/>
      <c r="E10102" s="3">
        <v>19</v>
      </c>
      <c r="F10102" s="4" t="str">
        <f>HYPERLINK("http://141.218.60.56/~jnz1568/getInfo.php?workbook=12_05.xlsx&amp;sheet=U0&amp;row=10102&amp;col=6&amp;number=4.8&amp;sourceID=14","4.8")</f>
        <v>4.8</v>
      </c>
      <c r="G10102" s="4" t="str">
        <f>HYPERLINK("http://141.218.60.56/~jnz1568/getInfo.php?workbook=12_05.xlsx&amp;sheet=U0&amp;row=10102&amp;col=7&amp;number=0.000807&amp;sourceID=14","0.000807")</f>
        <v>0.000807</v>
      </c>
    </row>
    <row r="10103" spans="1:7">
      <c r="A10103" s="3"/>
      <c r="B10103" s="3"/>
      <c r="C10103" s="3"/>
      <c r="D10103" s="3"/>
      <c r="E10103" s="3">
        <v>20</v>
      </c>
      <c r="F10103" s="4" t="str">
        <f>HYPERLINK("http://141.218.60.56/~jnz1568/getInfo.php?workbook=12_05.xlsx&amp;sheet=U0&amp;row=10103&amp;col=6&amp;number=4.9&amp;sourceID=14","4.9")</f>
        <v>4.9</v>
      </c>
      <c r="G10103" s="4" t="str">
        <f>HYPERLINK("http://141.218.60.56/~jnz1568/getInfo.php?workbook=12_05.xlsx&amp;sheet=U0&amp;row=10103&amp;col=7&amp;number=0.00079&amp;sourceID=14","0.00079")</f>
        <v>0.00079</v>
      </c>
    </row>
    <row r="10104" spans="1:7">
      <c r="A10104" s="3">
        <v>12</v>
      </c>
      <c r="B10104" s="3">
        <v>5</v>
      </c>
      <c r="C10104" s="3">
        <v>5</v>
      </c>
      <c r="D10104" s="3">
        <v>79</v>
      </c>
      <c r="E10104" s="3">
        <v>1</v>
      </c>
      <c r="F10104" s="4" t="str">
        <f>HYPERLINK("http://141.218.60.56/~jnz1568/getInfo.php?workbook=12_05.xlsx&amp;sheet=U0&amp;row=10104&amp;col=6&amp;number=3&amp;sourceID=14","3")</f>
        <v>3</v>
      </c>
      <c r="G10104" s="4" t="str">
        <f>HYPERLINK("http://141.218.60.56/~jnz1568/getInfo.php?workbook=12_05.xlsx&amp;sheet=U0&amp;row=10104&amp;col=7&amp;number=0.0117&amp;sourceID=14","0.0117")</f>
        <v>0.0117</v>
      </c>
    </row>
    <row r="10105" spans="1:7">
      <c r="A10105" s="3"/>
      <c r="B10105" s="3"/>
      <c r="C10105" s="3"/>
      <c r="D10105" s="3"/>
      <c r="E10105" s="3">
        <v>2</v>
      </c>
      <c r="F10105" s="4" t="str">
        <f>HYPERLINK("http://141.218.60.56/~jnz1568/getInfo.php?workbook=12_05.xlsx&amp;sheet=U0&amp;row=10105&amp;col=6&amp;number=3.1&amp;sourceID=14","3.1")</f>
        <v>3.1</v>
      </c>
      <c r="G10105" s="4" t="str">
        <f>HYPERLINK("http://141.218.60.56/~jnz1568/getInfo.php?workbook=12_05.xlsx&amp;sheet=U0&amp;row=10105&amp;col=7&amp;number=0.0116&amp;sourceID=14","0.0116")</f>
        <v>0.0116</v>
      </c>
    </row>
    <row r="10106" spans="1:7">
      <c r="A10106" s="3"/>
      <c r="B10106" s="3"/>
      <c r="C10106" s="3"/>
      <c r="D10106" s="3"/>
      <c r="E10106" s="3">
        <v>3</v>
      </c>
      <c r="F10106" s="4" t="str">
        <f>HYPERLINK("http://141.218.60.56/~jnz1568/getInfo.php?workbook=12_05.xlsx&amp;sheet=U0&amp;row=10106&amp;col=6&amp;number=3.2&amp;sourceID=14","3.2")</f>
        <v>3.2</v>
      </c>
      <c r="G10106" s="4" t="str">
        <f>HYPERLINK("http://141.218.60.56/~jnz1568/getInfo.php?workbook=12_05.xlsx&amp;sheet=U0&amp;row=10106&amp;col=7&amp;number=0.0116&amp;sourceID=14","0.0116")</f>
        <v>0.0116</v>
      </c>
    </row>
    <row r="10107" spans="1:7">
      <c r="A10107" s="3"/>
      <c r="B10107" s="3"/>
      <c r="C10107" s="3"/>
      <c r="D10107" s="3"/>
      <c r="E10107" s="3">
        <v>4</v>
      </c>
      <c r="F10107" s="4" t="str">
        <f>HYPERLINK("http://141.218.60.56/~jnz1568/getInfo.php?workbook=12_05.xlsx&amp;sheet=U0&amp;row=10107&amp;col=6&amp;number=3.3&amp;sourceID=14","3.3")</f>
        <v>3.3</v>
      </c>
      <c r="G10107" s="4" t="str">
        <f>HYPERLINK("http://141.218.60.56/~jnz1568/getInfo.php?workbook=12_05.xlsx&amp;sheet=U0&amp;row=10107&amp;col=7&amp;number=0.0116&amp;sourceID=14","0.0116")</f>
        <v>0.0116</v>
      </c>
    </row>
    <row r="10108" spans="1:7">
      <c r="A10108" s="3"/>
      <c r="B10108" s="3"/>
      <c r="C10108" s="3"/>
      <c r="D10108" s="3"/>
      <c r="E10108" s="3">
        <v>5</v>
      </c>
      <c r="F10108" s="4" t="str">
        <f>HYPERLINK("http://141.218.60.56/~jnz1568/getInfo.php?workbook=12_05.xlsx&amp;sheet=U0&amp;row=10108&amp;col=6&amp;number=3.4&amp;sourceID=14","3.4")</f>
        <v>3.4</v>
      </c>
      <c r="G10108" s="4" t="str">
        <f>HYPERLINK("http://141.218.60.56/~jnz1568/getInfo.php?workbook=12_05.xlsx&amp;sheet=U0&amp;row=10108&amp;col=7&amp;number=0.0116&amp;sourceID=14","0.0116")</f>
        <v>0.0116</v>
      </c>
    </row>
    <row r="10109" spans="1:7">
      <c r="A10109" s="3"/>
      <c r="B10109" s="3"/>
      <c r="C10109" s="3"/>
      <c r="D10109" s="3"/>
      <c r="E10109" s="3">
        <v>6</v>
      </c>
      <c r="F10109" s="4" t="str">
        <f>HYPERLINK("http://141.218.60.56/~jnz1568/getInfo.php?workbook=12_05.xlsx&amp;sheet=U0&amp;row=10109&amp;col=6&amp;number=3.5&amp;sourceID=14","3.5")</f>
        <v>3.5</v>
      </c>
      <c r="G10109" s="4" t="str">
        <f>HYPERLINK("http://141.218.60.56/~jnz1568/getInfo.php?workbook=12_05.xlsx&amp;sheet=U0&amp;row=10109&amp;col=7&amp;number=0.0116&amp;sourceID=14","0.0116")</f>
        <v>0.0116</v>
      </c>
    </row>
    <row r="10110" spans="1:7">
      <c r="A10110" s="3"/>
      <c r="B10110" s="3"/>
      <c r="C10110" s="3"/>
      <c r="D10110" s="3"/>
      <c r="E10110" s="3">
        <v>7</v>
      </c>
      <c r="F10110" s="4" t="str">
        <f>HYPERLINK("http://141.218.60.56/~jnz1568/getInfo.php?workbook=12_05.xlsx&amp;sheet=U0&amp;row=10110&amp;col=6&amp;number=3.6&amp;sourceID=14","3.6")</f>
        <v>3.6</v>
      </c>
      <c r="G10110" s="4" t="str">
        <f>HYPERLINK("http://141.218.60.56/~jnz1568/getInfo.php?workbook=12_05.xlsx&amp;sheet=U0&amp;row=10110&amp;col=7&amp;number=0.0116&amp;sourceID=14","0.0116")</f>
        <v>0.0116</v>
      </c>
    </row>
    <row r="10111" spans="1:7">
      <c r="A10111" s="3"/>
      <c r="B10111" s="3"/>
      <c r="C10111" s="3"/>
      <c r="D10111" s="3"/>
      <c r="E10111" s="3">
        <v>8</v>
      </c>
      <c r="F10111" s="4" t="str">
        <f>HYPERLINK("http://141.218.60.56/~jnz1568/getInfo.php?workbook=12_05.xlsx&amp;sheet=U0&amp;row=10111&amp;col=6&amp;number=3.7&amp;sourceID=14","3.7")</f>
        <v>3.7</v>
      </c>
      <c r="G10111" s="4" t="str">
        <f>HYPERLINK("http://141.218.60.56/~jnz1568/getInfo.php?workbook=12_05.xlsx&amp;sheet=U0&amp;row=10111&amp;col=7&amp;number=0.0116&amp;sourceID=14","0.0116")</f>
        <v>0.0116</v>
      </c>
    </row>
    <row r="10112" spans="1:7">
      <c r="A10112" s="3"/>
      <c r="B10112" s="3"/>
      <c r="C10112" s="3"/>
      <c r="D10112" s="3"/>
      <c r="E10112" s="3">
        <v>9</v>
      </c>
      <c r="F10112" s="4" t="str">
        <f>HYPERLINK("http://141.218.60.56/~jnz1568/getInfo.php?workbook=12_05.xlsx&amp;sheet=U0&amp;row=10112&amp;col=6&amp;number=3.8&amp;sourceID=14","3.8")</f>
        <v>3.8</v>
      </c>
      <c r="G10112" s="4" t="str">
        <f>HYPERLINK("http://141.218.60.56/~jnz1568/getInfo.php?workbook=12_05.xlsx&amp;sheet=U0&amp;row=10112&amp;col=7&amp;number=0.0116&amp;sourceID=14","0.0116")</f>
        <v>0.0116</v>
      </c>
    </row>
    <row r="10113" spans="1:7">
      <c r="A10113" s="3"/>
      <c r="B10113" s="3"/>
      <c r="C10113" s="3"/>
      <c r="D10113" s="3"/>
      <c r="E10113" s="3">
        <v>10</v>
      </c>
      <c r="F10113" s="4" t="str">
        <f>HYPERLINK("http://141.218.60.56/~jnz1568/getInfo.php?workbook=12_05.xlsx&amp;sheet=U0&amp;row=10113&amp;col=6&amp;number=3.9&amp;sourceID=14","3.9")</f>
        <v>3.9</v>
      </c>
      <c r="G10113" s="4" t="str">
        <f>HYPERLINK("http://141.218.60.56/~jnz1568/getInfo.php?workbook=12_05.xlsx&amp;sheet=U0&amp;row=10113&amp;col=7&amp;number=0.0115&amp;sourceID=14","0.0115")</f>
        <v>0.0115</v>
      </c>
    </row>
    <row r="10114" spans="1:7">
      <c r="A10114" s="3"/>
      <c r="B10114" s="3"/>
      <c r="C10114" s="3"/>
      <c r="D10114" s="3"/>
      <c r="E10114" s="3">
        <v>11</v>
      </c>
      <c r="F10114" s="4" t="str">
        <f>HYPERLINK("http://141.218.60.56/~jnz1568/getInfo.php?workbook=12_05.xlsx&amp;sheet=U0&amp;row=10114&amp;col=6&amp;number=4&amp;sourceID=14","4")</f>
        <v>4</v>
      </c>
      <c r="G10114" s="4" t="str">
        <f>HYPERLINK("http://141.218.60.56/~jnz1568/getInfo.php?workbook=12_05.xlsx&amp;sheet=U0&amp;row=10114&amp;col=7&amp;number=0.0115&amp;sourceID=14","0.0115")</f>
        <v>0.0115</v>
      </c>
    </row>
    <row r="10115" spans="1:7">
      <c r="A10115" s="3"/>
      <c r="B10115" s="3"/>
      <c r="C10115" s="3"/>
      <c r="D10115" s="3"/>
      <c r="E10115" s="3">
        <v>12</v>
      </c>
      <c r="F10115" s="4" t="str">
        <f>HYPERLINK("http://141.218.60.56/~jnz1568/getInfo.php?workbook=12_05.xlsx&amp;sheet=U0&amp;row=10115&amp;col=6&amp;number=4.1&amp;sourceID=14","4.1")</f>
        <v>4.1</v>
      </c>
      <c r="G10115" s="4" t="str">
        <f>HYPERLINK("http://141.218.60.56/~jnz1568/getInfo.php?workbook=12_05.xlsx&amp;sheet=U0&amp;row=10115&amp;col=7&amp;number=0.0115&amp;sourceID=14","0.0115")</f>
        <v>0.0115</v>
      </c>
    </row>
    <row r="10116" spans="1:7">
      <c r="A10116" s="3"/>
      <c r="B10116" s="3"/>
      <c r="C10116" s="3"/>
      <c r="D10116" s="3"/>
      <c r="E10116" s="3">
        <v>13</v>
      </c>
      <c r="F10116" s="4" t="str">
        <f>HYPERLINK("http://141.218.60.56/~jnz1568/getInfo.php?workbook=12_05.xlsx&amp;sheet=U0&amp;row=10116&amp;col=6&amp;number=4.2&amp;sourceID=14","4.2")</f>
        <v>4.2</v>
      </c>
      <c r="G10116" s="4" t="str">
        <f>HYPERLINK("http://141.218.60.56/~jnz1568/getInfo.php?workbook=12_05.xlsx&amp;sheet=U0&amp;row=10116&amp;col=7&amp;number=0.0114&amp;sourceID=14","0.0114")</f>
        <v>0.0114</v>
      </c>
    </row>
    <row r="10117" spans="1:7">
      <c r="A10117" s="3"/>
      <c r="B10117" s="3"/>
      <c r="C10117" s="3"/>
      <c r="D10117" s="3"/>
      <c r="E10117" s="3">
        <v>14</v>
      </c>
      <c r="F10117" s="4" t="str">
        <f>HYPERLINK("http://141.218.60.56/~jnz1568/getInfo.php?workbook=12_05.xlsx&amp;sheet=U0&amp;row=10117&amp;col=6&amp;number=4.3&amp;sourceID=14","4.3")</f>
        <v>4.3</v>
      </c>
      <c r="G10117" s="4" t="str">
        <f>HYPERLINK("http://141.218.60.56/~jnz1568/getInfo.php?workbook=12_05.xlsx&amp;sheet=U0&amp;row=10117&amp;col=7&amp;number=0.0113&amp;sourceID=14","0.0113")</f>
        <v>0.0113</v>
      </c>
    </row>
    <row r="10118" spans="1:7">
      <c r="A10118" s="3"/>
      <c r="B10118" s="3"/>
      <c r="C10118" s="3"/>
      <c r="D10118" s="3"/>
      <c r="E10118" s="3">
        <v>15</v>
      </c>
      <c r="F10118" s="4" t="str">
        <f>HYPERLINK("http://141.218.60.56/~jnz1568/getInfo.php?workbook=12_05.xlsx&amp;sheet=U0&amp;row=10118&amp;col=6&amp;number=4.4&amp;sourceID=14","4.4")</f>
        <v>4.4</v>
      </c>
      <c r="G10118" s="4" t="str">
        <f>HYPERLINK("http://141.218.60.56/~jnz1568/getInfo.php?workbook=12_05.xlsx&amp;sheet=U0&amp;row=10118&amp;col=7&amp;number=0.0113&amp;sourceID=14","0.0113")</f>
        <v>0.0113</v>
      </c>
    </row>
    <row r="10119" spans="1:7">
      <c r="A10119" s="3"/>
      <c r="B10119" s="3"/>
      <c r="C10119" s="3"/>
      <c r="D10119" s="3"/>
      <c r="E10119" s="3">
        <v>16</v>
      </c>
      <c r="F10119" s="4" t="str">
        <f>HYPERLINK("http://141.218.60.56/~jnz1568/getInfo.php?workbook=12_05.xlsx&amp;sheet=U0&amp;row=10119&amp;col=6&amp;number=4.5&amp;sourceID=14","4.5")</f>
        <v>4.5</v>
      </c>
      <c r="G10119" s="4" t="str">
        <f>HYPERLINK("http://141.218.60.56/~jnz1568/getInfo.php?workbook=12_05.xlsx&amp;sheet=U0&amp;row=10119&amp;col=7&amp;number=0.0112&amp;sourceID=14","0.0112")</f>
        <v>0.0112</v>
      </c>
    </row>
    <row r="10120" spans="1:7">
      <c r="A10120" s="3"/>
      <c r="B10120" s="3"/>
      <c r="C10120" s="3"/>
      <c r="D10120" s="3"/>
      <c r="E10120" s="3">
        <v>17</v>
      </c>
      <c r="F10120" s="4" t="str">
        <f>HYPERLINK("http://141.218.60.56/~jnz1568/getInfo.php?workbook=12_05.xlsx&amp;sheet=U0&amp;row=10120&amp;col=6&amp;number=4.6&amp;sourceID=14","4.6")</f>
        <v>4.6</v>
      </c>
      <c r="G10120" s="4" t="str">
        <f>HYPERLINK("http://141.218.60.56/~jnz1568/getInfo.php?workbook=12_05.xlsx&amp;sheet=U0&amp;row=10120&amp;col=7&amp;number=0.011&amp;sourceID=14","0.011")</f>
        <v>0.011</v>
      </c>
    </row>
    <row r="10121" spans="1:7">
      <c r="A10121" s="3"/>
      <c r="B10121" s="3"/>
      <c r="C10121" s="3"/>
      <c r="D10121" s="3"/>
      <c r="E10121" s="3">
        <v>18</v>
      </c>
      <c r="F10121" s="4" t="str">
        <f>HYPERLINK("http://141.218.60.56/~jnz1568/getInfo.php?workbook=12_05.xlsx&amp;sheet=U0&amp;row=10121&amp;col=6&amp;number=4.7&amp;sourceID=14","4.7")</f>
        <v>4.7</v>
      </c>
      <c r="G10121" s="4" t="str">
        <f>HYPERLINK("http://141.218.60.56/~jnz1568/getInfo.php?workbook=12_05.xlsx&amp;sheet=U0&amp;row=10121&amp;col=7&amp;number=0.0109&amp;sourceID=14","0.0109")</f>
        <v>0.0109</v>
      </c>
    </row>
    <row r="10122" spans="1:7">
      <c r="A10122" s="3"/>
      <c r="B10122" s="3"/>
      <c r="C10122" s="3"/>
      <c r="D10122" s="3"/>
      <c r="E10122" s="3">
        <v>19</v>
      </c>
      <c r="F10122" s="4" t="str">
        <f>HYPERLINK("http://141.218.60.56/~jnz1568/getInfo.php?workbook=12_05.xlsx&amp;sheet=U0&amp;row=10122&amp;col=6&amp;number=4.8&amp;sourceID=14","4.8")</f>
        <v>4.8</v>
      </c>
      <c r="G10122" s="4" t="str">
        <f>HYPERLINK("http://141.218.60.56/~jnz1568/getInfo.php?workbook=12_05.xlsx&amp;sheet=U0&amp;row=10122&amp;col=7&amp;number=0.0107&amp;sourceID=14","0.0107")</f>
        <v>0.0107</v>
      </c>
    </row>
    <row r="10123" spans="1:7">
      <c r="A10123" s="3"/>
      <c r="B10123" s="3"/>
      <c r="C10123" s="3"/>
      <c r="D10123" s="3"/>
      <c r="E10123" s="3">
        <v>20</v>
      </c>
      <c r="F10123" s="4" t="str">
        <f>HYPERLINK("http://141.218.60.56/~jnz1568/getInfo.php?workbook=12_05.xlsx&amp;sheet=U0&amp;row=10123&amp;col=6&amp;number=4.9&amp;sourceID=14","4.9")</f>
        <v>4.9</v>
      </c>
      <c r="G10123" s="4" t="str">
        <f>HYPERLINK("http://141.218.60.56/~jnz1568/getInfo.php?workbook=12_05.xlsx&amp;sheet=U0&amp;row=10123&amp;col=7&amp;number=0.0105&amp;sourceID=14","0.0105")</f>
        <v>0.0105</v>
      </c>
    </row>
    <row r="10124" spans="1:7">
      <c r="A10124" s="3">
        <v>12</v>
      </c>
      <c r="B10124" s="3">
        <v>5</v>
      </c>
      <c r="C10124" s="3">
        <v>5</v>
      </c>
      <c r="D10124" s="3">
        <v>81</v>
      </c>
      <c r="E10124" s="3">
        <v>1</v>
      </c>
      <c r="F10124" s="4" t="str">
        <f>HYPERLINK("http://141.218.60.56/~jnz1568/getInfo.php?workbook=12_05.xlsx&amp;sheet=U0&amp;row=10124&amp;col=6&amp;number=3&amp;sourceID=14","3")</f>
        <v>3</v>
      </c>
      <c r="G10124" s="4" t="str">
        <f>HYPERLINK("http://141.218.60.56/~jnz1568/getInfo.php?workbook=12_05.xlsx&amp;sheet=U0&amp;row=10124&amp;col=7&amp;number=0.00195&amp;sourceID=14","0.00195")</f>
        <v>0.00195</v>
      </c>
    </row>
    <row r="10125" spans="1:7">
      <c r="A10125" s="3"/>
      <c r="B10125" s="3"/>
      <c r="C10125" s="3"/>
      <c r="D10125" s="3"/>
      <c r="E10125" s="3">
        <v>2</v>
      </c>
      <c r="F10125" s="4" t="str">
        <f>HYPERLINK("http://141.218.60.56/~jnz1568/getInfo.php?workbook=12_05.xlsx&amp;sheet=U0&amp;row=10125&amp;col=6&amp;number=3.1&amp;sourceID=14","3.1")</f>
        <v>3.1</v>
      </c>
      <c r="G10125" s="4" t="str">
        <f>HYPERLINK("http://141.218.60.56/~jnz1568/getInfo.php?workbook=12_05.xlsx&amp;sheet=U0&amp;row=10125&amp;col=7&amp;number=0.00195&amp;sourceID=14","0.00195")</f>
        <v>0.00195</v>
      </c>
    </row>
    <row r="10126" spans="1:7">
      <c r="A10126" s="3"/>
      <c r="B10126" s="3"/>
      <c r="C10126" s="3"/>
      <c r="D10126" s="3"/>
      <c r="E10126" s="3">
        <v>3</v>
      </c>
      <c r="F10126" s="4" t="str">
        <f>HYPERLINK("http://141.218.60.56/~jnz1568/getInfo.php?workbook=12_05.xlsx&amp;sheet=U0&amp;row=10126&amp;col=6&amp;number=3.2&amp;sourceID=14","3.2")</f>
        <v>3.2</v>
      </c>
      <c r="G10126" s="4" t="str">
        <f>HYPERLINK("http://141.218.60.56/~jnz1568/getInfo.php?workbook=12_05.xlsx&amp;sheet=U0&amp;row=10126&amp;col=7&amp;number=0.00195&amp;sourceID=14","0.00195")</f>
        <v>0.00195</v>
      </c>
    </row>
    <row r="10127" spans="1:7">
      <c r="A10127" s="3"/>
      <c r="B10127" s="3"/>
      <c r="C10127" s="3"/>
      <c r="D10127" s="3"/>
      <c r="E10127" s="3">
        <v>4</v>
      </c>
      <c r="F10127" s="4" t="str">
        <f>HYPERLINK("http://141.218.60.56/~jnz1568/getInfo.php?workbook=12_05.xlsx&amp;sheet=U0&amp;row=10127&amp;col=6&amp;number=3.3&amp;sourceID=14","3.3")</f>
        <v>3.3</v>
      </c>
      <c r="G10127" s="4" t="str">
        <f>HYPERLINK("http://141.218.60.56/~jnz1568/getInfo.php?workbook=12_05.xlsx&amp;sheet=U0&amp;row=10127&amp;col=7&amp;number=0.00194&amp;sourceID=14","0.00194")</f>
        <v>0.00194</v>
      </c>
    </row>
    <row r="10128" spans="1:7">
      <c r="A10128" s="3"/>
      <c r="B10128" s="3"/>
      <c r="C10128" s="3"/>
      <c r="D10128" s="3"/>
      <c r="E10128" s="3">
        <v>5</v>
      </c>
      <c r="F10128" s="4" t="str">
        <f>HYPERLINK("http://141.218.60.56/~jnz1568/getInfo.php?workbook=12_05.xlsx&amp;sheet=U0&amp;row=10128&amp;col=6&amp;number=3.4&amp;sourceID=14","3.4")</f>
        <v>3.4</v>
      </c>
      <c r="G10128" s="4" t="str">
        <f>HYPERLINK("http://141.218.60.56/~jnz1568/getInfo.php?workbook=12_05.xlsx&amp;sheet=U0&amp;row=10128&amp;col=7&amp;number=0.00194&amp;sourceID=14","0.00194")</f>
        <v>0.00194</v>
      </c>
    </row>
    <row r="10129" spans="1:7">
      <c r="A10129" s="3"/>
      <c r="B10129" s="3"/>
      <c r="C10129" s="3"/>
      <c r="D10129" s="3"/>
      <c r="E10129" s="3">
        <v>6</v>
      </c>
      <c r="F10129" s="4" t="str">
        <f>HYPERLINK("http://141.218.60.56/~jnz1568/getInfo.php?workbook=12_05.xlsx&amp;sheet=U0&amp;row=10129&amp;col=6&amp;number=3.5&amp;sourceID=14","3.5")</f>
        <v>3.5</v>
      </c>
      <c r="G10129" s="4" t="str">
        <f>HYPERLINK("http://141.218.60.56/~jnz1568/getInfo.php?workbook=12_05.xlsx&amp;sheet=U0&amp;row=10129&amp;col=7&amp;number=0.00194&amp;sourceID=14","0.00194")</f>
        <v>0.00194</v>
      </c>
    </row>
    <row r="10130" spans="1:7">
      <c r="A10130" s="3"/>
      <c r="B10130" s="3"/>
      <c r="C10130" s="3"/>
      <c r="D10130" s="3"/>
      <c r="E10130" s="3">
        <v>7</v>
      </c>
      <c r="F10130" s="4" t="str">
        <f>HYPERLINK("http://141.218.60.56/~jnz1568/getInfo.php?workbook=12_05.xlsx&amp;sheet=U0&amp;row=10130&amp;col=6&amp;number=3.6&amp;sourceID=14","3.6")</f>
        <v>3.6</v>
      </c>
      <c r="G10130" s="4" t="str">
        <f>HYPERLINK("http://141.218.60.56/~jnz1568/getInfo.php?workbook=12_05.xlsx&amp;sheet=U0&amp;row=10130&amp;col=7&amp;number=0.00194&amp;sourceID=14","0.00194")</f>
        <v>0.00194</v>
      </c>
    </row>
    <row r="10131" spans="1:7">
      <c r="A10131" s="3"/>
      <c r="B10131" s="3"/>
      <c r="C10131" s="3"/>
      <c r="D10131" s="3"/>
      <c r="E10131" s="3">
        <v>8</v>
      </c>
      <c r="F10131" s="4" t="str">
        <f>HYPERLINK("http://141.218.60.56/~jnz1568/getInfo.php?workbook=12_05.xlsx&amp;sheet=U0&amp;row=10131&amp;col=6&amp;number=3.7&amp;sourceID=14","3.7")</f>
        <v>3.7</v>
      </c>
      <c r="G10131" s="4" t="str">
        <f>HYPERLINK("http://141.218.60.56/~jnz1568/getInfo.php?workbook=12_05.xlsx&amp;sheet=U0&amp;row=10131&amp;col=7&amp;number=0.00194&amp;sourceID=14","0.00194")</f>
        <v>0.00194</v>
      </c>
    </row>
    <row r="10132" spans="1:7">
      <c r="A10132" s="3"/>
      <c r="B10132" s="3"/>
      <c r="C10132" s="3"/>
      <c r="D10132" s="3"/>
      <c r="E10132" s="3">
        <v>9</v>
      </c>
      <c r="F10132" s="4" t="str">
        <f>HYPERLINK("http://141.218.60.56/~jnz1568/getInfo.php?workbook=12_05.xlsx&amp;sheet=U0&amp;row=10132&amp;col=6&amp;number=3.8&amp;sourceID=14","3.8")</f>
        <v>3.8</v>
      </c>
      <c r="G10132" s="4" t="str">
        <f>HYPERLINK("http://141.218.60.56/~jnz1568/getInfo.php?workbook=12_05.xlsx&amp;sheet=U0&amp;row=10132&amp;col=7&amp;number=0.00194&amp;sourceID=14","0.00194")</f>
        <v>0.00194</v>
      </c>
    </row>
    <row r="10133" spans="1:7">
      <c r="A10133" s="3"/>
      <c r="B10133" s="3"/>
      <c r="C10133" s="3"/>
      <c r="D10133" s="3"/>
      <c r="E10133" s="3">
        <v>10</v>
      </c>
      <c r="F10133" s="4" t="str">
        <f>HYPERLINK("http://141.218.60.56/~jnz1568/getInfo.php?workbook=12_05.xlsx&amp;sheet=U0&amp;row=10133&amp;col=6&amp;number=3.9&amp;sourceID=14","3.9")</f>
        <v>3.9</v>
      </c>
      <c r="G10133" s="4" t="str">
        <f>HYPERLINK("http://141.218.60.56/~jnz1568/getInfo.php?workbook=12_05.xlsx&amp;sheet=U0&amp;row=10133&amp;col=7&amp;number=0.00193&amp;sourceID=14","0.00193")</f>
        <v>0.00193</v>
      </c>
    </row>
    <row r="10134" spans="1:7">
      <c r="A10134" s="3"/>
      <c r="B10134" s="3"/>
      <c r="C10134" s="3"/>
      <c r="D10134" s="3"/>
      <c r="E10134" s="3">
        <v>11</v>
      </c>
      <c r="F10134" s="4" t="str">
        <f>HYPERLINK("http://141.218.60.56/~jnz1568/getInfo.php?workbook=12_05.xlsx&amp;sheet=U0&amp;row=10134&amp;col=6&amp;number=4&amp;sourceID=14","4")</f>
        <v>4</v>
      </c>
      <c r="G10134" s="4" t="str">
        <f>HYPERLINK("http://141.218.60.56/~jnz1568/getInfo.php?workbook=12_05.xlsx&amp;sheet=U0&amp;row=10134&amp;col=7&amp;number=0.00193&amp;sourceID=14","0.00193")</f>
        <v>0.00193</v>
      </c>
    </row>
    <row r="10135" spans="1:7">
      <c r="A10135" s="3"/>
      <c r="B10135" s="3"/>
      <c r="C10135" s="3"/>
      <c r="D10135" s="3"/>
      <c r="E10135" s="3">
        <v>12</v>
      </c>
      <c r="F10135" s="4" t="str">
        <f>HYPERLINK("http://141.218.60.56/~jnz1568/getInfo.php?workbook=12_05.xlsx&amp;sheet=U0&amp;row=10135&amp;col=6&amp;number=4.1&amp;sourceID=14","4.1")</f>
        <v>4.1</v>
      </c>
      <c r="G10135" s="4" t="str">
        <f>HYPERLINK("http://141.218.60.56/~jnz1568/getInfo.php?workbook=12_05.xlsx&amp;sheet=U0&amp;row=10135&amp;col=7&amp;number=0.00193&amp;sourceID=14","0.00193")</f>
        <v>0.00193</v>
      </c>
    </row>
    <row r="10136" spans="1:7">
      <c r="A10136" s="3"/>
      <c r="B10136" s="3"/>
      <c r="C10136" s="3"/>
      <c r="D10136" s="3"/>
      <c r="E10136" s="3">
        <v>13</v>
      </c>
      <c r="F10136" s="4" t="str">
        <f>HYPERLINK("http://141.218.60.56/~jnz1568/getInfo.php?workbook=12_05.xlsx&amp;sheet=U0&amp;row=10136&amp;col=6&amp;number=4.2&amp;sourceID=14","4.2")</f>
        <v>4.2</v>
      </c>
      <c r="G10136" s="4" t="str">
        <f>HYPERLINK("http://141.218.60.56/~jnz1568/getInfo.php?workbook=12_05.xlsx&amp;sheet=U0&amp;row=10136&amp;col=7&amp;number=0.00192&amp;sourceID=14","0.00192")</f>
        <v>0.00192</v>
      </c>
    </row>
    <row r="10137" spans="1:7">
      <c r="A10137" s="3"/>
      <c r="B10137" s="3"/>
      <c r="C10137" s="3"/>
      <c r="D10137" s="3"/>
      <c r="E10137" s="3">
        <v>14</v>
      </c>
      <c r="F10137" s="4" t="str">
        <f>HYPERLINK("http://141.218.60.56/~jnz1568/getInfo.php?workbook=12_05.xlsx&amp;sheet=U0&amp;row=10137&amp;col=6&amp;number=4.3&amp;sourceID=14","4.3")</f>
        <v>4.3</v>
      </c>
      <c r="G10137" s="4" t="str">
        <f>HYPERLINK("http://141.218.60.56/~jnz1568/getInfo.php?workbook=12_05.xlsx&amp;sheet=U0&amp;row=10137&amp;col=7&amp;number=0.00192&amp;sourceID=14","0.00192")</f>
        <v>0.00192</v>
      </c>
    </row>
    <row r="10138" spans="1:7">
      <c r="A10138" s="3"/>
      <c r="B10138" s="3"/>
      <c r="C10138" s="3"/>
      <c r="D10138" s="3"/>
      <c r="E10138" s="3">
        <v>15</v>
      </c>
      <c r="F10138" s="4" t="str">
        <f>HYPERLINK("http://141.218.60.56/~jnz1568/getInfo.php?workbook=12_05.xlsx&amp;sheet=U0&amp;row=10138&amp;col=6&amp;number=4.4&amp;sourceID=14","4.4")</f>
        <v>4.4</v>
      </c>
      <c r="G10138" s="4" t="str">
        <f>HYPERLINK("http://141.218.60.56/~jnz1568/getInfo.php?workbook=12_05.xlsx&amp;sheet=U0&amp;row=10138&amp;col=7&amp;number=0.00191&amp;sourceID=14","0.00191")</f>
        <v>0.00191</v>
      </c>
    </row>
    <row r="10139" spans="1:7">
      <c r="A10139" s="3"/>
      <c r="B10139" s="3"/>
      <c r="C10139" s="3"/>
      <c r="D10139" s="3"/>
      <c r="E10139" s="3">
        <v>16</v>
      </c>
      <c r="F10139" s="4" t="str">
        <f>HYPERLINK("http://141.218.60.56/~jnz1568/getInfo.php?workbook=12_05.xlsx&amp;sheet=U0&amp;row=10139&amp;col=6&amp;number=4.5&amp;sourceID=14","4.5")</f>
        <v>4.5</v>
      </c>
      <c r="G10139" s="4" t="str">
        <f>HYPERLINK("http://141.218.60.56/~jnz1568/getInfo.php?workbook=12_05.xlsx&amp;sheet=U0&amp;row=10139&amp;col=7&amp;number=0.0019&amp;sourceID=14","0.0019")</f>
        <v>0.0019</v>
      </c>
    </row>
    <row r="10140" spans="1:7">
      <c r="A10140" s="3"/>
      <c r="B10140" s="3"/>
      <c r="C10140" s="3"/>
      <c r="D10140" s="3"/>
      <c r="E10140" s="3">
        <v>17</v>
      </c>
      <c r="F10140" s="4" t="str">
        <f>HYPERLINK("http://141.218.60.56/~jnz1568/getInfo.php?workbook=12_05.xlsx&amp;sheet=U0&amp;row=10140&amp;col=6&amp;number=4.6&amp;sourceID=14","4.6")</f>
        <v>4.6</v>
      </c>
      <c r="G10140" s="4" t="str">
        <f>HYPERLINK("http://141.218.60.56/~jnz1568/getInfo.php?workbook=12_05.xlsx&amp;sheet=U0&amp;row=10140&amp;col=7&amp;number=0.00188&amp;sourceID=14","0.00188")</f>
        <v>0.00188</v>
      </c>
    </row>
    <row r="10141" spans="1:7">
      <c r="A10141" s="3"/>
      <c r="B10141" s="3"/>
      <c r="C10141" s="3"/>
      <c r="D10141" s="3"/>
      <c r="E10141" s="3">
        <v>18</v>
      </c>
      <c r="F10141" s="4" t="str">
        <f>HYPERLINK("http://141.218.60.56/~jnz1568/getInfo.php?workbook=12_05.xlsx&amp;sheet=U0&amp;row=10141&amp;col=6&amp;number=4.7&amp;sourceID=14","4.7")</f>
        <v>4.7</v>
      </c>
      <c r="G10141" s="4" t="str">
        <f>HYPERLINK("http://141.218.60.56/~jnz1568/getInfo.php?workbook=12_05.xlsx&amp;sheet=U0&amp;row=10141&amp;col=7&amp;number=0.00187&amp;sourceID=14","0.00187")</f>
        <v>0.00187</v>
      </c>
    </row>
    <row r="10142" spans="1:7">
      <c r="A10142" s="3"/>
      <c r="B10142" s="3"/>
      <c r="C10142" s="3"/>
      <c r="D10142" s="3"/>
      <c r="E10142" s="3">
        <v>19</v>
      </c>
      <c r="F10142" s="4" t="str">
        <f>HYPERLINK("http://141.218.60.56/~jnz1568/getInfo.php?workbook=12_05.xlsx&amp;sheet=U0&amp;row=10142&amp;col=6&amp;number=4.8&amp;sourceID=14","4.8")</f>
        <v>4.8</v>
      </c>
      <c r="G10142" s="4" t="str">
        <f>HYPERLINK("http://141.218.60.56/~jnz1568/getInfo.php?workbook=12_05.xlsx&amp;sheet=U0&amp;row=10142&amp;col=7&amp;number=0.00185&amp;sourceID=14","0.00185")</f>
        <v>0.00185</v>
      </c>
    </row>
    <row r="10143" spans="1:7">
      <c r="A10143" s="3"/>
      <c r="B10143" s="3"/>
      <c r="C10143" s="3"/>
      <c r="D10143" s="3"/>
      <c r="E10143" s="3">
        <v>20</v>
      </c>
      <c r="F10143" s="4" t="str">
        <f>HYPERLINK("http://141.218.60.56/~jnz1568/getInfo.php?workbook=12_05.xlsx&amp;sheet=U0&amp;row=10143&amp;col=6&amp;number=4.9&amp;sourceID=14","4.9")</f>
        <v>4.9</v>
      </c>
      <c r="G10143" s="4" t="str">
        <f>HYPERLINK("http://141.218.60.56/~jnz1568/getInfo.php?workbook=12_05.xlsx&amp;sheet=U0&amp;row=10143&amp;col=7&amp;number=0.00182&amp;sourceID=14","0.00182")</f>
        <v>0.00182</v>
      </c>
    </row>
    <row r="10144" spans="1:7">
      <c r="A10144" s="3">
        <v>12</v>
      </c>
      <c r="B10144" s="3">
        <v>5</v>
      </c>
      <c r="C10144" s="3">
        <v>5</v>
      </c>
      <c r="D10144" s="3">
        <v>82</v>
      </c>
      <c r="E10144" s="3">
        <v>1</v>
      </c>
      <c r="F10144" s="4" t="str">
        <f>HYPERLINK("http://141.218.60.56/~jnz1568/getInfo.php?workbook=12_05.xlsx&amp;sheet=U0&amp;row=10144&amp;col=6&amp;number=3&amp;sourceID=14","3")</f>
        <v>3</v>
      </c>
      <c r="G10144" s="4" t="str">
        <f>HYPERLINK("http://141.218.60.56/~jnz1568/getInfo.php?workbook=12_05.xlsx&amp;sheet=U0&amp;row=10144&amp;col=7&amp;number=0.000182&amp;sourceID=14","0.000182")</f>
        <v>0.000182</v>
      </c>
    </row>
    <row r="10145" spans="1:7">
      <c r="A10145" s="3"/>
      <c r="B10145" s="3"/>
      <c r="C10145" s="3"/>
      <c r="D10145" s="3"/>
      <c r="E10145" s="3">
        <v>2</v>
      </c>
      <c r="F10145" s="4" t="str">
        <f>HYPERLINK("http://141.218.60.56/~jnz1568/getInfo.php?workbook=12_05.xlsx&amp;sheet=U0&amp;row=10145&amp;col=6&amp;number=3.1&amp;sourceID=14","3.1")</f>
        <v>3.1</v>
      </c>
      <c r="G10145" s="4" t="str">
        <f>HYPERLINK("http://141.218.60.56/~jnz1568/getInfo.php?workbook=12_05.xlsx&amp;sheet=U0&amp;row=10145&amp;col=7&amp;number=0.000182&amp;sourceID=14","0.000182")</f>
        <v>0.000182</v>
      </c>
    </row>
    <row r="10146" spans="1:7">
      <c r="A10146" s="3"/>
      <c r="B10146" s="3"/>
      <c r="C10146" s="3"/>
      <c r="D10146" s="3"/>
      <c r="E10146" s="3">
        <v>3</v>
      </c>
      <c r="F10146" s="4" t="str">
        <f>HYPERLINK("http://141.218.60.56/~jnz1568/getInfo.php?workbook=12_05.xlsx&amp;sheet=U0&amp;row=10146&amp;col=6&amp;number=3.2&amp;sourceID=14","3.2")</f>
        <v>3.2</v>
      </c>
      <c r="G10146" s="4" t="str">
        <f>HYPERLINK("http://141.218.60.56/~jnz1568/getInfo.php?workbook=12_05.xlsx&amp;sheet=U0&amp;row=10146&amp;col=7&amp;number=0.000182&amp;sourceID=14","0.000182")</f>
        <v>0.000182</v>
      </c>
    </row>
    <row r="10147" spans="1:7">
      <c r="A10147" s="3"/>
      <c r="B10147" s="3"/>
      <c r="C10147" s="3"/>
      <c r="D10147" s="3"/>
      <c r="E10147" s="3">
        <v>4</v>
      </c>
      <c r="F10147" s="4" t="str">
        <f>HYPERLINK("http://141.218.60.56/~jnz1568/getInfo.php?workbook=12_05.xlsx&amp;sheet=U0&amp;row=10147&amp;col=6&amp;number=3.3&amp;sourceID=14","3.3")</f>
        <v>3.3</v>
      </c>
      <c r="G10147" s="4" t="str">
        <f>HYPERLINK("http://141.218.60.56/~jnz1568/getInfo.php?workbook=12_05.xlsx&amp;sheet=U0&amp;row=10147&amp;col=7&amp;number=0.000182&amp;sourceID=14","0.000182")</f>
        <v>0.000182</v>
      </c>
    </row>
    <row r="10148" spans="1:7">
      <c r="A10148" s="3"/>
      <c r="B10148" s="3"/>
      <c r="C10148" s="3"/>
      <c r="D10148" s="3"/>
      <c r="E10148" s="3">
        <v>5</v>
      </c>
      <c r="F10148" s="4" t="str">
        <f>HYPERLINK("http://141.218.60.56/~jnz1568/getInfo.php?workbook=12_05.xlsx&amp;sheet=U0&amp;row=10148&amp;col=6&amp;number=3.4&amp;sourceID=14","3.4")</f>
        <v>3.4</v>
      </c>
      <c r="G10148" s="4" t="str">
        <f>HYPERLINK("http://141.218.60.56/~jnz1568/getInfo.php?workbook=12_05.xlsx&amp;sheet=U0&amp;row=10148&amp;col=7&amp;number=0.000182&amp;sourceID=14","0.000182")</f>
        <v>0.000182</v>
      </c>
    </row>
    <row r="10149" spans="1:7">
      <c r="A10149" s="3"/>
      <c r="B10149" s="3"/>
      <c r="C10149" s="3"/>
      <c r="D10149" s="3"/>
      <c r="E10149" s="3">
        <v>6</v>
      </c>
      <c r="F10149" s="4" t="str">
        <f>HYPERLINK("http://141.218.60.56/~jnz1568/getInfo.php?workbook=12_05.xlsx&amp;sheet=U0&amp;row=10149&amp;col=6&amp;number=3.5&amp;sourceID=14","3.5")</f>
        <v>3.5</v>
      </c>
      <c r="G10149" s="4" t="str">
        <f>HYPERLINK("http://141.218.60.56/~jnz1568/getInfo.php?workbook=12_05.xlsx&amp;sheet=U0&amp;row=10149&amp;col=7&amp;number=0.000182&amp;sourceID=14","0.000182")</f>
        <v>0.000182</v>
      </c>
    </row>
    <row r="10150" spans="1:7">
      <c r="A10150" s="3"/>
      <c r="B10150" s="3"/>
      <c r="C10150" s="3"/>
      <c r="D10150" s="3"/>
      <c r="E10150" s="3">
        <v>7</v>
      </c>
      <c r="F10150" s="4" t="str">
        <f>HYPERLINK("http://141.218.60.56/~jnz1568/getInfo.php?workbook=12_05.xlsx&amp;sheet=U0&amp;row=10150&amp;col=6&amp;number=3.6&amp;sourceID=14","3.6")</f>
        <v>3.6</v>
      </c>
      <c r="G10150" s="4" t="str">
        <f>HYPERLINK("http://141.218.60.56/~jnz1568/getInfo.php?workbook=12_05.xlsx&amp;sheet=U0&amp;row=10150&amp;col=7&amp;number=0.000182&amp;sourceID=14","0.000182")</f>
        <v>0.000182</v>
      </c>
    </row>
    <row r="10151" spans="1:7">
      <c r="A10151" s="3"/>
      <c r="B10151" s="3"/>
      <c r="C10151" s="3"/>
      <c r="D10151" s="3"/>
      <c r="E10151" s="3">
        <v>8</v>
      </c>
      <c r="F10151" s="4" t="str">
        <f>HYPERLINK("http://141.218.60.56/~jnz1568/getInfo.php?workbook=12_05.xlsx&amp;sheet=U0&amp;row=10151&amp;col=6&amp;number=3.7&amp;sourceID=14","3.7")</f>
        <v>3.7</v>
      </c>
      <c r="G10151" s="4" t="str">
        <f>HYPERLINK("http://141.218.60.56/~jnz1568/getInfo.php?workbook=12_05.xlsx&amp;sheet=U0&amp;row=10151&amp;col=7&amp;number=0.000181&amp;sourceID=14","0.000181")</f>
        <v>0.000181</v>
      </c>
    </row>
    <row r="10152" spans="1:7">
      <c r="A10152" s="3"/>
      <c r="B10152" s="3"/>
      <c r="C10152" s="3"/>
      <c r="D10152" s="3"/>
      <c r="E10152" s="3">
        <v>9</v>
      </c>
      <c r="F10152" s="4" t="str">
        <f>HYPERLINK("http://141.218.60.56/~jnz1568/getInfo.php?workbook=12_05.xlsx&amp;sheet=U0&amp;row=10152&amp;col=6&amp;number=3.8&amp;sourceID=14","3.8")</f>
        <v>3.8</v>
      </c>
      <c r="G10152" s="4" t="str">
        <f>HYPERLINK("http://141.218.60.56/~jnz1568/getInfo.php?workbook=12_05.xlsx&amp;sheet=U0&amp;row=10152&amp;col=7&amp;number=0.000181&amp;sourceID=14","0.000181")</f>
        <v>0.000181</v>
      </c>
    </row>
    <row r="10153" spans="1:7">
      <c r="A10153" s="3"/>
      <c r="B10153" s="3"/>
      <c r="C10153" s="3"/>
      <c r="D10153" s="3"/>
      <c r="E10153" s="3">
        <v>10</v>
      </c>
      <c r="F10153" s="4" t="str">
        <f>HYPERLINK("http://141.218.60.56/~jnz1568/getInfo.php?workbook=12_05.xlsx&amp;sheet=U0&amp;row=10153&amp;col=6&amp;number=3.9&amp;sourceID=14","3.9")</f>
        <v>3.9</v>
      </c>
      <c r="G10153" s="4" t="str">
        <f>HYPERLINK("http://141.218.60.56/~jnz1568/getInfo.php?workbook=12_05.xlsx&amp;sheet=U0&amp;row=10153&amp;col=7&amp;number=0.000181&amp;sourceID=14","0.000181")</f>
        <v>0.000181</v>
      </c>
    </row>
    <row r="10154" spans="1:7">
      <c r="A10154" s="3"/>
      <c r="B10154" s="3"/>
      <c r="C10154" s="3"/>
      <c r="D10154" s="3"/>
      <c r="E10154" s="3">
        <v>11</v>
      </c>
      <c r="F10154" s="4" t="str">
        <f>HYPERLINK("http://141.218.60.56/~jnz1568/getInfo.php?workbook=12_05.xlsx&amp;sheet=U0&amp;row=10154&amp;col=6&amp;number=4&amp;sourceID=14","4")</f>
        <v>4</v>
      </c>
      <c r="G10154" s="4" t="str">
        <f>HYPERLINK("http://141.218.60.56/~jnz1568/getInfo.php?workbook=12_05.xlsx&amp;sheet=U0&amp;row=10154&amp;col=7&amp;number=0.000181&amp;sourceID=14","0.000181")</f>
        <v>0.000181</v>
      </c>
    </row>
    <row r="10155" spans="1:7">
      <c r="A10155" s="3"/>
      <c r="B10155" s="3"/>
      <c r="C10155" s="3"/>
      <c r="D10155" s="3"/>
      <c r="E10155" s="3">
        <v>12</v>
      </c>
      <c r="F10155" s="4" t="str">
        <f>HYPERLINK("http://141.218.60.56/~jnz1568/getInfo.php?workbook=12_05.xlsx&amp;sheet=U0&amp;row=10155&amp;col=6&amp;number=4.1&amp;sourceID=14","4.1")</f>
        <v>4.1</v>
      </c>
      <c r="G10155" s="4" t="str">
        <f>HYPERLINK("http://141.218.60.56/~jnz1568/getInfo.php?workbook=12_05.xlsx&amp;sheet=U0&amp;row=10155&amp;col=7&amp;number=0.000181&amp;sourceID=14","0.000181")</f>
        <v>0.000181</v>
      </c>
    </row>
    <row r="10156" spans="1:7">
      <c r="A10156" s="3"/>
      <c r="B10156" s="3"/>
      <c r="C10156" s="3"/>
      <c r="D10156" s="3"/>
      <c r="E10156" s="3">
        <v>13</v>
      </c>
      <c r="F10156" s="4" t="str">
        <f>HYPERLINK("http://141.218.60.56/~jnz1568/getInfo.php?workbook=12_05.xlsx&amp;sheet=U0&amp;row=10156&amp;col=6&amp;number=4.2&amp;sourceID=14","4.2")</f>
        <v>4.2</v>
      </c>
      <c r="G10156" s="4" t="str">
        <f>HYPERLINK("http://141.218.60.56/~jnz1568/getInfo.php?workbook=12_05.xlsx&amp;sheet=U0&amp;row=10156&amp;col=7&amp;number=0.00018&amp;sourceID=14","0.00018")</f>
        <v>0.00018</v>
      </c>
    </row>
    <row r="10157" spans="1:7">
      <c r="A10157" s="3"/>
      <c r="B10157" s="3"/>
      <c r="C10157" s="3"/>
      <c r="D10157" s="3"/>
      <c r="E10157" s="3">
        <v>14</v>
      </c>
      <c r="F10157" s="4" t="str">
        <f>HYPERLINK("http://141.218.60.56/~jnz1568/getInfo.php?workbook=12_05.xlsx&amp;sheet=U0&amp;row=10157&amp;col=6&amp;number=4.3&amp;sourceID=14","4.3")</f>
        <v>4.3</v>
      </c>
      <c r="G10157" s="4" t="str">
        <f>HYPERLINK("http://141.218.60.56/~jnz1568/getInfo.php?workbook=12_05.xlsx&amp;sheet=U0&amp;row=10157&amp;col=7&amp;number=0.00018&amp;sourceID=14","0.00018")</f>
        <v>0.00018</v>
      </c>
    </row>
    <row r="10158" spans="1:7">
      <c r="A10158" s="3"/>
      <c r="B10158" s="3"/>
      <c r="C10158" s="3"/>
      <c r="D10158" s="3"/>
      <c r="E10158" s="3">
        <v>15</v>
      </c>
      <c r="F10158" s="4" t="str">
        <f>HYPERLINK("http://141.218.60.56/~jnz1568/getInfo.php?workbook=12_05.xlsx&amp;sheet=U0&amp;row=10158&amp;col=6&amp;number=4.4&amp;sourceID=14","4.4")</f>
        <v>4.4</v>
      </c>
      <c r="G10158" s="4" t="str">
        <f>HYPERLINK("http://141.218.60.56/~jnz1568/getInfo.php?workbook=12_05.xlsx&amp;sheet=U0&amp;row=10158&amp;col=7&amp;number=0.000179&amp;sourceID=14","0.000179")</f>
        <v>0.000179</v>
      </c>
    </row>
    <row r="10159" spans="1:7">
      <c r="A10159" s="3"/>
      <c r="B10159" s="3"/>
      <c r="C10159" s="3"/>
      <c r="D10159" s="3"/>
      <c r="E10159" s="3">
        <v>16</v>
      </c>
      <c r="F10159" s="4" t="str">
        <f>HYPERLINK("http://141.218.60.56/~jnz1568/getInfo.php?workbook=12_05.xlsx&amp;sheet=U0&amp;row=10159&amp;col=6&amp;number=4.5&amp;sourceID=14","4.5")</f>
        <v>4.5</v>
      </c>
      <c r="G10159" s="4" t="str">
        <f>HYPERLINK("http://141.218.60.56/~jnz1568/getInfo.php?workbook=12_05.xlsx&amp;sheet=U0&amp;row=10159&amp;col=7&amp;number=0.000179&amp;sourceID=14","0.000179")</f>
        <v>0.000179</v>
      </c>
    </row>
    <row r="10160" spans="1:7">
      <c r="A10160" s="3"/>
      <c r="B10160" s="3"/>
      <c r="C10160" s="3"/>
      <c r="D10160" s="3"/>
      <c r="E10160" s="3">
        <v>17</v>
      </c>
      <c r="F10160" s="4" t="str">
        <f>HYPERLINK("http://141.218.60.56/~jnz1568/getInfo.php?workbook=12_05.xlsx&amp;sheet=U0&amp;row=10160&amp;col=6&amp;number=4.6&amp;sourceID=14","4.6")</f>
        <v>4.6</v>
      </c>
      <c r="G10160" s="4" t="str">
        <f>HYPERLINK("http://141.218.60.56/~jnz1568/getInfo.php?workbook=12_05.xlsx&amp;sheet=U0&amp;row=10160&amp;col=7&amp;number=0.000178&amp;sourceID=14","0.000178")</f>
        <v>0.000178</v>
      </c>
    </row>
    <row r="10161" spans="1:7">
      <c r="A10161" s="3"/>
      <c r="B10161" s="3"/>
      <c r="C10161" s="3"/>
      <c r="D10161" s="3"/>
      <c r="E10161" s="3">
        <v>18</v>
      </c>
      <c r="F10161" s="4" t="str">
        <f>HYPERLINK("http://141.218.60.56/~jnz1568/getInfo.php?workbook=12_05.xlsx&amp;sheet=U0&amp;row=10161&amp;col=6&amp;number=4.7&amp;sourceID=14","4.7")</f>
        <v>4.7</v>
      </c>
      <c r="G10161" s="4" t="str">
        <f>HYPERLINK("http://141.218.60.56/~jnz1568/getInfo.php?workbook=12_05.xlsx&amp;sheet=U0&amp;row=10161&amp;col=7&amp;number=0.000177&amp;sourceID=14","0.000177")</f>
        <v>0.000177</v>
      </c>
    </row>
    <row r="10162" spans="1:7">
      <c r="A10162" s="3"/>
      <c r="B10162" s="3"/>
      <c r="C10162" s="3"/>
      <c r="D10162" s="3"/>
      <c r="E10162" s="3">
        <v>19</v>
      </c>
      <c r="F10162" s="4" t="str">
        <f>HYPERLINK("http://141.218.60.56/~jnz1568/getInfo.php?workbook=12_05.xlsx&amp;sheet=U0&amp;row=10162&amp;col=6&amp;number=4.8&amp;sourceID=14","4.8")</f>
        <v>4.8</v>
      </c>
      <c r="G10162" s="4" t="str">
        <f>HYPERLINK("http://141.218.60.56/~jnz1568/getInfo.php?workbook=12_05.xlsx&amp;sheet=U0&amp;row=10162&amp;col=7&amp;number=0.000176&amp;sourceID=14","0.000176")</f>
        <v>0.000176</v>
      </c>
    </row>
    <row r="10163" spans="1:7">
      <c r="A10163" s="3"/>
      <c r="B10163" s="3"/>
      <c r="C10163" s="3"/>
      <c r="D10163" s="3"/>
      <c r="E10163" s="3">
        <v>20</v>
      </c>
      <c r="F10163" s="4" t="str">
        <f>HYPERLINK("http://141.218.60.56/~jnz1568/getInfo.php?workbook=12_05.xlsx&amp;sheet=U0&amp;row=10163&amp;col=6&amp;number=4.9&amp;sourceID=14","4.9")</f>
        <v>4.9</v>
      </c>
      <c r="G10163" s="4" t="str">
        <f>HYPERLINK("http://141.218.60.56/~jnz1568/getInfo.php?workbook=12_05.xlsx&amp;sheet=U0&amp;row=10163&amp;col=7&amp;number=0.000174&amp;sourceID=14","0.000174")</f>
        <v>0.000174</v>
      </c>
    </row>
    <row r="10164" spans="1:7">
      <c r="A10164" s="3">
        <v>12</v>
      </c>
      <c r="B10164" s="3">
        <v>5</v>
      </c>
      <c r="C10164" s="3">
        <v>5</v>
      </c>
      <c r="D10164" s="3">
        <v>83</v>
      </c>
      <c r="E10164" s="3">
        <v>1</v>
      </c>
      <c r="F10164" s="4" t="str">
        <f>HYPERLINK("http://141.218.60.56/~jnz1568/getInfo.php?workbook=12_05.xlsx&amp;sheet=U0&amp;row=10164&amp;col=6&amp;number=3&amp;sourceID=14","3")</f>
        <v>3</v>
      </c>
      <c r="G10164" s="4" t="str">
        <f>HYPERLINK("http://141.218.60.56/~jnz1568/getInfo.php?workbook=12_05.xlsx&amp;sheet=U0&amp;row=10164&amp;col=7&amp;number=0.000578&amp;sourceID=14","0.000578")</f>
        <v>0.000578</v>
      </c>
    </row>
    <row r="10165" spans="1:7">
      <c r="A10165" s="3"/>
      <c r="B10165" s="3"/>
      <c r="C10165" s="3"/>
      <c r="D10165" s="3"/>
      <c r="E10165" s="3">
        <v>2</v>
      </c>
      <c r="F10165" s="4" t="str">
        <f>HYPERLINK("http://141.218.60.56/~jnz1568/getInfo.php?workbook=12_05.xlsx&amp;sheet=U0&amp;row=10165&amp;col=6&amp;number=3.1&amp;sourceID=14","3.1")</f>
        <v>3.1</v>
      </c>
      <c r="G10165" s="4" t="str">
        <f>HYPERLINK("http://141.218.60.56/~jnz1568/getInfo.php?workbook=12_05.xlsx&amp;sheet=U0&amp;row=10165&amp;col=7&amp;number=0.000578&amp;sourceID=14","0.000578")</f>
        <v>0.000578</v>
      </c>
    </row>
    <row r="10166" spans="1:7">
      <c r="A10166" s="3"/>
      <c r="B10166" s="3"/>
      <c r="C10166" s="3"/>
      <c r="D10166" s="3"/>
      <c r="E10166" s="3">
        <v>3</v>
      </c>
      <c r="F10166" s="4" t="str">
        <f>HYPERLINK("http://141.218.60.56/~jnz1568/getInfo.php?workbook=12_05.xlsx&amp;sheet=U0&amp;row=10166&amp;col=6&amp;number=3.2&amp;sourceID=14","3.2")</f>
        <v>3.2</v>
      </c>
      <c r="G10166" s="4" t="str">
        <f>HYPERLINK("http://141.218.60.56/~jnz1568/getInfo.php?workbook=12_05.xlsx&amp;sheet=U0&amp;row=10166&amp;col=7&amp;number=0.000577&amp;sourceID=14","0.000577")</f>
        <v>0.000577</v>
      </c>
    </row>
    <row r="10167" spans="1:7">
      <c r="A10167" s="3"/>
      <c r="B10167" s="3"/>
      <c r="C10167" s="3"/>
      <c r="D10167" s="3"/>
      <c r="E10167" s="3">
        <v>4</v>
      </c>
      <c r="F10167" s="4" t="str">
        <f>HYPERLINK("http://141.218.60.56/~jnz1568/getInfo.php?workbook=12_05.xlsx&amp;sheet=U0&amp;row=10167&amp;col=6&amp;number=3.3&amp;sourceID=14","3.3")</f>
        <v>3.3</v>
      </c>
      <c r="G10167" s="4" t="str">
        <f>HYPERLINK("http://141.218.60.56/~jnz1568/getInfo.php?workbook=12_05.xlsx&amp;sheet=U0&amp;row=10167&amp;col=7&amp;number=0.000577&amp;sourceID=14","0.000577")</f>
        <v>0.000577</v>
      </c>
    </row>
    <row r="10168" spans="1:7">
      <c r="A10168" s="3"/>
      <c r="B10168" s="3"/>
      <c r="C10168" s="3"/>
      <c r="D10168" s="3"/>
      <c r="E10168" s="3">
        <v>5</v>
      </c>
      <c r="F10168" s="4" t="str">
        <f>HYPERLINK("http://141.218.60.56/~jnz1568/getInfo.php?workbook=12_05.xlsx&amp;sheet=U0&amp;row=10168&amp;col=6&amp;number=3.4&amp;sourceID=14","3.4")</f>
        <v>3.4</v>
      </c>
      <c r="G10168" s="4" t="str">
        <f>HYPERLINK("http://141.218.60.56/~jnz1568/getInfo.php?workbook=12_05.xlsx&amp;sheet=U0&amp;row=10168&amp;col=7&amp;number=0.000577&amp;sourceID=14","0.000577")</f>
        <v>0.000577</v>
      </c>
    </row>
    <row r="10169" spans="1:7">
      <c r="A10169" s="3"/>
      <c r="B10169" s="3"/>
      <c r="C10169" s="3"/>
      <c r="D10169" s="3"/>
      <c r="E10169" s="3">
        <v>6</v>
      </c>
      <c r="F10169" s="4" t="str">
        <f>HYPERLINK("http://141.218.60.56/~jnz1568/getInfo.php?workbook=12_05.xlsx&amp;sheet=U0&amp;row=10169&amp;col=6&amp;number=3.5&amp;sourceID=14","3.5")</f>
        <v>3.5</v>
      </c>
      <c r="G10169" s="4" t="str">
        <f>HYPERLINK("http://141.218.60.56/~jnz1568/getInfo.php?workbook=12_05.xlsx&amp;sheet=U0&amp;row=10169&amp;col=7&amp;number=0.000577&amp;sourceID=14","0.000577")</f>
        <v>0.000577</v>
      </c>
    </row>
    <row r="10170" spans="1:7">
      <c r="A10170" s="3"/>
      <c r="B10170" s="3"/>
      <c r="C10170" s="3"/>
      <c r="D10170" s="3"/>
      <c r="E10170" s="3">
        <v>7</v>
      </c>
      <c r="F10170" s="4" t="str">
        <f>HYPERLINK("http://141.218.60.56/~jnz1568/getInfo.php?workbook=12_05.xlsx&amp;sheet=U0&amp;row=10170&amp;col=6&amp;number=3.6&amp;sourceID=14","3.6")</f>
        <v>3.6</v>
      </c>
      <c r="G10170" s="4" t="str">
        <f>HYPERLINK("http://141.218.60.56/~jnz1568/getInfo.php?workbook=12_05.xlsx&amp;sheet=U0&amp;row=10170&amp;col=7&amp;number=0.000576&amp;sourceID=14","0.000576")</f>
        <v>0.000576</v>
      </c>
    </row>
    <row r="10171" spans="1:7">
      <c r="A10171" s="3"/>
      <c r="B10171" s="3"/>
      <c r="C10171" s="3"/>
      <c r="D10171" s="3"/>
      <c r="E10171" s="3">
        <v>8</v>
      </c>
      <c r="F10171" s="4" t="str">
        <f>HYPERLINK("http://141.218.60.56/~jnz1568/getInfo.php?workbook=12_05.xlsx&amp;sheet=U0&amp;row=10171&amp;col=6&amp;number=3.7&amp;sourceID=14","3.7")</f>
        <v>3.7</v>
      </c>
      <c r="G10171" s="4" t="str">
        <f>HYPERLINK("http://141.218.60.56/~jnz1568/getInfo.php?workbook=12_05.xlsx&amp;sheet=U0&amp;row=10171&amp;col=7&amp;number=0.000576&amp;sourceID=14","0.000576")</f>
        <v>0.000576</v>
      </c>
    </row>
    <row r="10172" spans="1:7">
      <c r="A10172" s="3"/>
      <c r="B10172" s="3"/>
      <c r="C10172" s="3"/>
      <c r="D10172" s="3"/>
      <c r="E10172" s="3">
        <v>9</v>
      </c>
      <c r="F10172" s="4" t="str">
        <f>HYPERLINK("http://141.218.60.56/~jnz1568/getInfo.php?workbook=12_05.xlsx&amp;sheet=U0&amp;row=10172&amp;col=6&amp;number=3.8&amp;sourceID=14","3.8")</f>
        <v>3.8</v>
      </c>
      <c r="G10172" s="4" t="str">
        <f>HYPERLINK("http://141.218.60.56/~jnz1568/getInfo.php?workbook=12_05.xlsx&amp;sheet=U0&amp;row=10172&amp;col=7&amp;number=0.000575&amp;sourceID=14","0.000575")</f>
        <v>0.000575</v>
      </c>
    </row>
    <row r="10173" spans="1:7">
      <c r="A10173" s="3"/>
      <c r="B10173" s="3"/>
      <c r="C10173" s="3"/>
      <c r="D10173" s="3"/>
      <c r="E10173" s="3">
        <v>10</v>
      </c>
      <c r="F10173" s="4" t="str">
        <f>HYPERLINK("http://141.218.60.56/~jnz1568/getInfo.php?workbook=12_05.xlsx&amp;sheet=U0&amp;row=10173&amp;col=6&amp;number=3.9&amp;sourceID=14","3.9")</f>
        <v>3.9</v>
      </c>
      <c r="G10173" s="4" t="str">
        <f>HYPERLINK("http://141.218.60.56/~jnz1568/getInfo.php?workbook=12_05.xlsx&amp;sheet=U0&amp;row=10173&amp;col=7&amp;number=0.000574&amp;sourceID=14","0.000574")</f>
        <v>0.000574</v>
      </c>
    </row>
    <row r="10174" spans="1:7">
      <c r="A10174" s="3"/>
      <c r="B10174" s="3"/>
      <c r="C10174" s="3"/>
      <c r="D10174" s="3"/>
      <c r="E10174" s="3">
        <v>11</v>
      </c>
      <c r="F10174" s="4" t="str">
        <f>HYPERLINK("http://141.218.60.56/~jnz1568/getInfo.php?workbook=12_05.xlsx&amp;sheet=U0&amp;row=10174&amp;col=6&amp;number=4&amp;sourceID=14","4")</f>
        <v>4</v>
      </c>
      <c r="G10174" s="4" t="str">
        <f>HYPERLINK("http://141.218.60.56/~jnz1568/getInfo.php?workbook=12_05.xlsx&amp;sheet=U0&amp;row=10174&amp;col=7&amp;number=0.000573&amp;sourceID=14","0.000573")</f>
        <v>0.000573</v>
      </c>
    </row>
    <row r="10175" spans="1:7">
      <c r="A10175" s="3"/>
      <c r="B10175" s="3"/>
      <c r="C10175" s="3"/>
      <c r="D10175" s="3"/>
      <c r="E10175" s="3">
        <v>12</v>
      </c>
      <c r="F10175" s="4" t="str">
        <f>HYPERLINK("http://141.218.60.56/~jnz1568/getInfo.php?workbook=12_05.xlsx&amp;sheet=U0&amp;row=10175&amp;col=6&amp;number=4.1&amp;sourceID=14","4.1")</f>
        <v>4.1</v>
      </c>
      <c r="G10175" s="4" t="str">
        <f>HYPERLINK("http://141.218.60.56/~jnz1568/getInfo.php?workbook=12_05.xlsx&amp;sheet=U0&amp;row=10175&amp;col=7&amp;number=0.000571&amp;sourceID=14","0.000571")</f>
        <v>0.000571</v>
      </c>
    </row>
    <row r="10176" spans="1:7">
      <c r="A10176" s="3"/>
      <c r="B10176" s="3"/>
      <c r="C10176" s="3"/>
      <c r="D10176" s="3"/>
      <c r="E10176" s="3">
        <v>13</v>
      </c>
      <c r="F10176" s="4" t="str">
        <f>HYPERLINK("http://141.218.60.56/~jnz1568/getInfo.php?workbook=12_05.xlsx&amp;sheet=U0&amp;row=10176&amp;col=6&amp;number=4.2&amp;sourceID=14","4.2")</f>
        <v>4.2</v>
      </c>
      <c r="G10176" s="4" t="str">
        <f>HYPERLINK("http://141.218.60.56/~jnz1568/getInfo.php?workbook=12_05.xlsx&amp;sheet=U0&amp;row=10176&amp;col=7&amp;number=0.00057&amp;sourceID=14","0.00057")</f>
        <v>0.00057</v>
      </c>
    </row>
    <row r="10177" spans="1:7">
      <c r="A10177" s="3"/>
      <c r="B10177" s="3"/>
      <c r="C10177" s="3"/>
      <c r="D10177" s="3"/>
      <c r="E10177" s="3">
        <v>14</v>
      </c>
      <c r="F10177" s="4" t="str">
        <f>HYPERLINK("http://141.218.60.56/~jnz1568/getInfo.php?workbook=12_05.xlsx&amp;sheet=U0&amp;row=10177&amp;col=6&amp;number=4.3&amp;sourceID=14","4.3")</f>
        <v>4.3</v>
      </c>
      <c r="G10177" s="4" t="str">
        <f>HYPERLINK("http://141.218.60.56/~jnz1568/getInfo.php?workbook=12_05.xlsx&amp;sheet=U0&amp;row=10177&amp;col=7&amp;number=0.000567&amp;sourceID=14","0.000567")</f>
        <v>0.000567</v>
      </c>
    </row>
    <row r="10178" spans="1:7">
      <c r="A10178" s="3"/>
      <c r="B10178" s="3"/>
      <c r="C10178" s="3"/>
      <c r="D10178" s="3"/>
      <c r="E10178" s="3">
        <v>15</v>
      </c>
      <c r="F10178" s="4" t="str">
        <f>HYPERLINK("http://141.218.60.56/~jnz1568/getInfo.php?workbook=12_05.xlsx&amp;sheet=U0&amp;row=10178&amp;col=6&amp;number=4.4&amp;sourceID=14","4.4")</f>
        <v>4.4</v>
      </c>
      <c r="G10178" s="4" t="str">
        <f>HYPERLINK("http://141.218.60.56/~jnz1568/getInfo.php?workbook=12_05.xlsx&amp;sheet=U0&amp;row=10178&amp;col=7&amp;number=0.000565&amp;sourceID=14","0.000565")</f>
        <v>0.000565</v>
      </c>
    </row>
    <row r="10179" spans="1:7">
      <c r="A10179" s="3"/>
      <c r="B10179" s="3"/>
      <c r="C10179" s="3"/>
      <c r="D10179" s="3"/>
      <c r="E10179" s="3">
        <v>16</v>
      </c>
      <c r="F10179" s="4" t="str">
        <f>HYPERLINK("http://141.218.60.56/~jnz1568/getInfo.php?workbook=12_05.xlsx&amp;sheet=U0&amp;row=10179&amp;col=6&amp;number=4.5&amp;sourceID=14","4.5")</f>
        <v>4.5</v>
      </c>
      <c r="G10179" s="4" t="str">
        <f>HYPERLINK("http://141.218.60.56/~jnz1568/getInfo.php?workbook=12_05.xlsx&amp;sheet=U0&amp;row=10179&amp;col=7&amp;number=0.000561&amp;sourceID=14","0.000561")</f>
        <v>0.000561</v>
      </c>
    </row>
    <row r="10180" spans="1:7">
      <c r="A10180" s="3"/>
      <c r="B10180" s="3"/>
      <c r="C10180" s="3"/>
      <c r="D10180" s="3"/>
      <c r="E10180" s="3">
        <v>17</v>
      </c>
      <c r="F10180" s="4" t="str">
        <f>HYPERLINK("http://141.218.60.56/~jnz1568/getInfo.php?workbook=12_05.xlsx&amp;sheet=U0&amp;row=10180&amp;col=6&amp;number=4.6&amp;sourceID=14","4.6")</f>
        <v>4.6</v>
      </c>
      <c r="G10180" s="4" t="str">
        <f>HYPERLINK("http://141.218.60.56/~jnz1568/getInfo.php?workbook=12_05.xlsx&amp;sheet=U0&amp;row=10180&amp;col=7&amp;number=0.000557&amp;sourceID=14","0.000557")</f>
        <v>0.000557</v>
      </c>
    </row>
    <row r="10181" spans="1:7">
      <c r="A10181" s="3"/>
      <c r="B10181" s="3"/>
      <c r="C10181" s="3"/>
      <c r="D10181" s="3"/>
      <c r="E10181" s="3">
        <v>18</v>
      </c>
      <c r="F10181" s="4" t="str">
        <f>HYPERLINK("http://141.218.60.56/~jnz1568/getInfo.php?workbook=12_05.xlsx&amp;sheet=U0&amp;row=10181&amp;col=6&amp;number=4.7&amp;sourceID=14","4.7")</f>
        <v>4.7</v>
      </c>
      <c r="G10181" s="4" t="str">
        <f>HYPERLINK("http://141.218.60.56/~jnz1568/getInfo.php?workbook=12_05.xlsx&amp;sheet=U0&amp;row=10181&amp;col=7&amp;number=0.000551&amp;sourceID=14","0.000551")</f>
        <v>0.000551</v>
      </c>
    </row>
    <row r="10182" spans="1:7">
      <c r="A10182" s="3"/>
      <c r="B10182" s="3"/>
      <c r="C10182" s="3"/>
      <c r="D10182" s="3"/>
      <c r="E10182" s="3">
        <v>19</v>
      </c>
      <c r="F10182" s="4" t="str">
        <f>HYPERLINK("http://141.218.60.56/~jnz1568/getInfo.php?workbook=12_05.xlsx&amp;sheet=U0&amp;row=10182&amp;col=6&amp;number=4.8&amp;sourceID=14","4.8")</f>
        <v>4.8</v>
      </c>
      <c r="G10182" s="4" t="str">
        <f>HYPERLINK("http://141.218.60.56/~jnz1568/getInfo.php?workbook=12_05.xlsx&amp;sheet=U0&amp;row=10182&amp;col=7&amp;number=0.000545&amp;sourceID=14","0.000545")</f>
        <v>0.000545</v>
      </c>
    </row>
    <row r="10183" spans="1:7">
      <c r="A10183" s="3"/>
      <c r="B10183" s="3"/>
      <c r="C10183" s="3"/>
      <c r="D10183" s="3"/>
      <c r="E10183" s="3">
        <v>20</v>
      </c>
      <c r="F10183" s="4" t="str">
        <f>HYPERLINK("http://141.218.60.56/~jnz1568/getInfo.php?workbook=12_05.xlsx&amp;sheet=U0&amp;row=10183&amp;col=6&amp;number=4.9&amp;sourceID=14","4.9")</f>
        <v>4.9</v>
      </c>
      <c r="G10183" s="4" t="str">
        <f>HYPERLINK("http://141.218.60.56/~jnz1568/getInfo.php?workbook=12_05.xlsx&amp;sheet=U0&amp;row=10183&amp;col=7&amp;number=0.000537&amp;sourceID=14","0.000537")</f>
        <v>0.000537</v>
      </c>
    </row>
    <row r="10184" spans="1:7">
      <c r="A10184" s="3">
        <v>12</v>
      </c>
      <c r="B10184" s="3">
        <v>5</v>
      </c>
      <c r="C10184" s="3">
        <v>5</v>
      </c>
      <c r="D10184" s="3">
        <v>84</v>
      </c>
      <c r="E10184" s="3">
        <v>1</v>
      </c>
      <c r="F10184" s="4" t="str">
        <f>HYPERLINK("http://141.218.60.56/~jnz1568/getInfo.php?workbook=12_05.xlsx&amp;sheet=U0&amp;row=10184&amp;col=6&amp;number=3&amp;sourceID=14","3")</f>
        <v>3</v>
      </c>
      <c r="G10184" s="4" t="str">
        <f>HYPERLINK("http://141.218.60.56/~jnz1568/getInfo.php?workbook=12_05.xlsx&amp;sheet=U0&amp;row=10184&amp;col=7&amp;number=0.00072&amp;sourceID=14","0.00072")</f>
        <v>0.00072</v>
      </c>
    </row>
    <row r="10185" spans="1:7">
      <c r="A10185" s="3"/>
      <c r="B10185" s="3"/>
      <c r="C10185" s="3"/>
      <c r="D10185" s="3"/>
      <c r="E10185" s="3">
        <v>2</v>
      </c>
      <c r="F10185" s="4" t="str">
        <f>HYPERLINK("http://141.218.60.56/~jnz1568/getInfo.php?workbook=12_05.xlsx&amp;sheet=U0&amp;row=10185&amp;col=6&amp;number=3.1&amp;sourceID=14","3.1")</f>
        <v>3.1</v>
      </c>
      <c r="G10185" s="4" t="str">
        <f>HYPERLINK("http://141.218.60.56/~jnz1568/getInfo.php?workbook=12_05.xlsx&amp;sheet=U0&amp;row=10185&amp;col=7&amp;number=0.000719&amp;sourceID=14","0.000719")</f>
        <v>0.000719</v>
      </c>
    </row>
    <row r="10186" spans="1:7">
      <c r="A10186" s="3"/>
      <c r="B10186" s="3"/>
      <c r="C10186" s="3"/>
      <c r="D10186" s="3"/>
      <c r="E10186" s="3">
        <v>3</v>
      </c>
      <c r="F10186" s="4" t="str">
        <f>HYPERLINK("http://141.218.60.56/~jnz1568/getInfo.php?workbook=12_05.xlsx&amp;sheet=U0&amp;row=10186&amp;col=6&amp;number=3.2&amp;sourceID=14","3.2")</f>
        <v>3.2</v>
      </c>
      <c r="G10186" s="4" t="str">
        <f>HYPERLINK("http://141.218.60.56/~jnz1568/getInfo.php?workbook=12_05.xlsx&amp;sheet=U0&amp;row=10186&amp;col=7&amp;number=0.000719&amp;sourceID=14","0.000719")</f>
        <v>0.000719</v>
      </c>
    </row>
    <row r="10187" spans="1:7">
      <c r="A10187" s="3"/>
      <c r="B10187" s="3"/>
      <c r="C10187" s="3"/>
      <c r="D10187" s="3"/>
      <c r="E10187" s="3">
        <v>4</v>
      </c>
      <c r="F10187" s="4" t="str">
        <f>HYPERLINK("http://141.218.60.56/~jnz1568/getInfo.php?workbook=12_05.xlsx&amp;sheet=U0&amp;row=10187&amp;col=6&amp;number=3.3&amp;sourceID=14","3.3")</f>
        <v>3.3</v>
      </c>
      <c r="G10187" s="4" t="str">
        <f>HYPERLINK("http://141.218.60.56/~jnz1568/getInfo.php?workbook=12_05.xlsx&amp;sheet=U0&amp;row=10187&amp;col=7&amp;number=0.000719&amp;sourceID=14","0.000719")</f>
        <v>0.000719</v>
      </c>
    </row>
    <row r="10188" spans="1:7">
      <c r="A10188" s="3"/>
      <c r="B10188" s="3"/>
      <c r="C10188" s="3"/>
      <c r="D10188" s="3"/>
      <c r="E10188" s="3">
        <v>5</v>
      </c>
      <c r="F10188" s="4" t="str">
        <f>HYPERLINK("http://141.218.60.56/~jnz1568/getInfo.php?workbook=12_05.xlsx&amp;sheet=U0&amp;row=10188&amp;col=6&amp;number=3.4&amp;sourceID=14","3.4")</f>
        <v>3.4</v>
      </c>
      <c r="G10188" s="4" t="str">
        <f>HYPERLINK("http://141.218.60.56/~jnz1568/getInfo.php?workbook=12_05.xlsx&amp;sheet=U0&amp;row=10188&amp;col=7&amp;number=0.000719&amp;sourceID=14","0.000719")</f>
        <v>0.000719</v>
      </c>
    </row>
    <row r="10189" spans="1:7">
      <c r="A10189" s="3"/>
      <c r="B10189" s="3"/>
      <c r="C10189" s="3"/>
      <c r="D10189" s="3"/>
      <c r="E10189" s="3">
        <v>6</v>
      </c>
      <c r="F10189" s="4" t="str">
        <f>HYPERLINK("http://141.218.60.56/~jnz1568/getInfo.php?workbook=12_05.xlsx&amp;sheet=U0&amp;row=10189&amp;col=6&amp;number=3.5&amp;sourceID=14","3.5")</f>
        <v>3.5</v>
      </c>
      <c r="G10189" s="4" t="str">
        <f>HYPERLINK("http://141.218.60.56/~jnz1568/getInfo.php?workbook=12_05.xlsx&amp;sheet=U0&amp;row=10189&amp;col=7&amp;number=0.000718&amp;sourceID=14","0.000718")</f>
        <v>0.000718</v>
      </c>
    </row>
    <row r="10190" spans="1:7">
      <c r="A10190" s="3"/>
      <c r="B10190" s="3"/>
      <c r="C10190" s="3"/>
      <c r="D10190" s="3"/>
      <c r="E10190" s="3">
        <v>7</v>
      </c>
      <c r="F10190" s="4" t="str">
        <f>HYPERLINK("http://141.218.60.56/~jnz1568/getInfo.php?workbook=12_05.xlsx&amp;sheet=U0&amp;row=10190&amp;col=6&amp;number=3.6&amp;sourceID=14","3.6")</f>
        <v>3.6</v>
      </c>
      <c r="G10190" s="4" t="str">
        <f>HYPERLINK("http://141.218.60.56/~jnz1568/getInfo.php?workbook=12_05.xlsx&amp;sheet=U0&amp;row=10190&amp;col=7&amp;number=0.000718&amp;sourceID=14","0.000718")</f>
        <v>0.000718</v>
      </c>
    </row>
    <row r="10191" spans="1:7">
      <c r="A10191" s="3"/>
      <c r="B10191" s="3"/>
      <c r="C10191" s="3"/>
      <c r="D10191" s="3"/>
      <c r="E10191" s="3">
        <v>8</v>
      </c>
      <c r="F10191" s="4" t="str">
        <f>HYPERLINK("http://141.218.60.56/~jnz1568/getInfo.php?workbook=12_05.xlsx&amp;sheet=U0&amp;row=10191&amp;col=6&amp;number=3.7&amp;sourceID=14","3.7")</f>
        <v>3.7</v>
      </c>
      <c r="G10191" s="4" t="str">
        <f>HYPERLINK("http://141.218.60.56/~jnz1568/getInfo.php?workbook=12_05.xlsx&amp;sheet=U0&amp;row=10191&amp;col=7&amp;number=0.000717&amp;sourceID=14","0.000717")</f>
        <v>0.000717</v>
      </c>
    </row>
    <row r="10192" spans="1:7">
      <c r="A10192" s="3"/>
      <c r="B10192" s="3"/>
      <c r="C10192" s="3"/>
      <c r="D10192" s="3"/>
      <c r="E10192" s="3">
        <v>9</v>
      </c>
      <c r="F10192" s="4" t="str">
        <f>HYPERLINK("http://141.218.60.56/~jnz1568/getInfo.php?workbook=12_05.xlsx&amp;sheet=U0&amp;row=10192&amp;col=6&amp;number=3.8&amp;sourceID=14","3.8")</f>
        <v>3.8</v>
      </c>
      <c r="G10192" s="4" t="str">
        <f>HYPERLINK("http://141.218.60.56/~jnz1568/getInfo.php?workbook=12_05.xlsx&amp;sheet=U0&amp;row=10192&amp;col=7&amp;number=0.000716&amp;sourceID=14","0.000716")</f>
        <v>0.000716</v>
      </c>
    </row>
    <row r="10193" spans="1:7">
      <c r="A10193" s="3"/>
      <c r="B10193" s="3"/>
      <c r="C10193" s="3"/>
      <c r="D10193" s="3"/>
      <c r="E10193" s="3">
        <v>10</v>
      </c>
      <c r="F10193" s="4" t="str">
        <f>HYPERLINK("http://141.218.60.56/~jnz1568/getInfo.php?workbook=12_05.xlsx&amp;sheet=U0&amp;row=10193&amp;col=6&amp;number=3.9&amp;sourceID=14","3.9")</f>
        <v>3.9</v>
      </c>
      <c r="G10193" s="4" t="str">
        <f>HYPERLINK("http://141.218.60.56/~jnz1568/getInfo.php?workbook=12_05.xlsx&amp;sheet=U0&amp;row=10193&amp;col=7&amp;number=0.000715&amp;sourceID=14","0.000715")</f>
        <v>0.000715</v>
      </c>
    </row>
    <row r="10194" spans="1:7">
      <c r="A10194" s="3"/>
      <c r="B10194" s="3"/>
      <c r="C10194" s="3"/>
      <c r="D10194" s="3"/>
      <c r="E10194" s="3">
        <v>11</v>
      </c>
      <c r="F10194" s="4" t="str">
        <f>HYPERLINK("http://141.218.60.56/~jnz1568/getInfo.php?workbook=12_05.xlsx&amp;sheet=U0&amp;row=10194&amp;col=6&amp;number=4&amp;sourceID=14","4")</f>
        <v>4</v>
      </c>
      <c r="G10194" s="4" t="str">
        <f>HYPERLINK("http://141.218.60.56/~jnz1568/getInfo.php?workbook=12_05.xlsx&amp;sheet=U0&amp;row=10194&amp;col=7&amp;number=0.000714&amp;sourceID=14","0.000714")</f>
        <v>0.000714</v>
      </c>
    </row>
    <row r="10195" spans="1:7">
      <c r="A10195" s="3"/>
      <c r="B10195" s="3"/>
      <c r="C10195" s="3"/>
      <c r="D10195" s="3"/>
      <c r="E10195" s="3">
        <v>12</v>
      </c>
      <c r="F10195" s="4" t="str">
        <f>HYPERLINK("http://141.218.60.56/~jnz1568/getInfo.php?workbook=12_05.xlsx&amp;sheet=U0&amp;row=10195&amp;col=6&amp;number=4.1&amp;sourceID=14","4.1")</f>
        <v>4.1</v>
      </c>
      <c r="G10195" s="4" t="str">
        <f>HYPERLINK("http://141.218.60.56/~jnz1568/getInfo.php?workbook=12_05.xlsx&amp;sheet=U0&amp;row=10195&amp;col=7&amp;number=0.000713&amp;sourceID=14","0.000713")</f>
        <v>0.000713</v>
      </c>
    </row>
    <row r="10196" spans="1:7">
      <c r="A10196" s="3"/>
      <c r="B10196" s="3"/>
      <c r="C10196" s="3"/>
      <c r="D10196" s="3"/>
      <c r="E10196" s="3">
        <v>13</v>
      </c>
      <c r="F10196" s="4" t="str">
        <f>HYPERLINK("http://141.218.60.56/~jnz1568/getInfo.php?workbook=12_05.xlsx&amp;sheet=U0&amp;row=10196&amp;col=6&amp;number=4.2&amp;sourceID=14","4.2")</f>
        <v>4.2</v>
      </c>
      <c r="G10196" s="4" t="str">
        <f>HYPERLINK("http://141.218.60.56/~jnz1568/getInfo.php?workbook=12_05.xlsx&amp;sheet=U0&amp;row=10196&amp;col=7&amp;number=0.000711&amp;sourceID=14","0.000711")</f>
        <v>0.000711</v>
      </c>
    </row>
    <row r="10197" spans="1:7">
      <c r="A10197" s="3"/>
      <c r="B10197" s="3"/>
      <c r="C10197" s="3"/>
      <c r="D10197" s="3"/>
      <c r="E10197" s="3">
        <v>14</v>
      </c>
      <c r="F10197" s="4" t="str">
        <f>HYPERLINK("http://141.218.60.56/~jnz1568/getInfo.php?workbook=12_05.xlsx&amp;sheet=U0&amp;row=10197&amp;col=6&amp;number=4.3&amp;sourceID=14","4.3")</f>
        <v>4.3</v>
      </c>
      <c r="G10197" s="4" t="str">
        <f>HYPERLINK("http://141.218.60.56/~jnz1568/getInfo.php?workbook=12_05.xlsx&amp;sheet=U0&amp;row=10197&amp;col=7&amp;number=0.000708&amp;sourceID=14","0.000708")</f>
        <v>0.000708</v>
      </c>
    </row>
    <row r="10198" spans="1:7">
      <c r="A10198" s="3"/>
      <c r="B10198" s="3"/>
      <c r="C10198" s="3"/>
      <c r="D10198" s="3"/>
      <c r="E10198" s="3">
        <v>15</v>
      </c>
      <c r="F10198" s="4" t="str">
        <f>HYPERLINK("http://141.218.60.56/~jnz1568/getInfo.php?workbook=12_05.xlsx&amp;sheet=U0&amp;row=10198&amp;col=6&amp;number=4.4&amp;sourceID=14","4.4")</f>
        <v>4.4</v>
      </c>
      <c r="G10198" s="4" t="str">
        <f>HYPERLINK("http://141.218.60.56/~jnz1568/getInfo.php?workbook=12_05.xlsx&amp;sheet=U0&amp;row=10198&amp;col=7&amp;number=0.000705&amp;sourceID=14","0.000705")</f>
        <v>0.000705</v>
      </c>
    </row>
    <row r="10199" spans="1:7">
      <c r="A10199" s="3"/>
      <c r="B10199" s="3"/>
      <c r="C10199" s="3"/>
      <c r="D10199" s="3"/>
      <c r="E10199" s="3">
        <v>16</v>
      </c>
      <c r="F10199" s="4" t="str">
        <f>HYPERLINK("http://141.218.60.56/~jnz1568/getInfo.php?workbook=12_05.xlsx&amp;sheet=U0&amp;row=10199&amp;col=6&amp;number=4.5&amp;sourceID=14","4.5")</f>
        <v>4.5</v>
      </c>
      <c r="G10199" s="4" t="str">
        <f>HYPERLINK("http://141.218.60.56/~jnz1568/getInfo.php?workbook=12_05.xlsx&amp;sheet=U0&amp;row=10199&amp;col=7&amp;number=0.000701&amp;sourceID=14","0.000701")</f>
        <v>0.000701</v>
      </c>
    </row>
    <row r="10200" spans="1:7">
      <c r="A10200" s="3"/>
      <c r="B10200" s="3"/>
      <c r="C10200" s="3"/>
      <c r="D10200" s="3"/>
      <c r="E10200" s="3">
        <v>17</v>
      </c>
      <c r="F10200" s="4" t="str">
        <f>HYPERLINK("http://141.218.60.56/~jnz1568/getInfo.php?workbook=12_05.xlsx&amp;sheet=U0&amp;row=10200&amp;col=6&amp;number=4.6&amp;sourceID=14","4.6")</f>
        <v>4.6</v>
      </c>
      <c r="G10200" s="4" t="str">
        <f>HYPERLINK("http://141.218.60.56/~jnz1568/getInfo.php?workbook=12_05.xlsx&amp;sheet=U0&amp;row=10200&amp;col=7&amp;number=0.000696&amp;sourceID=14","0.000696")</f>
        <v>0.000696</v>
      </c>
    </row>
    <row r="10201" spans="1:7">
      <c r="A10201" s="3"/>
      <c r="B10201" s="3"/>
      <c r="C10201" s="3"/>
      <c r="D10201" s="3"/>
      <c r="E10201" s="3">
        <v>18</v>
      </c>
      <c r="F10201" s="4" t="str">
        <f>HYPERLINK("http://141.218.60.56/~jnz1568/getInfo.php?workbook=12_05.xlsx&amp;sheet=U0&amp;row=10201&amp;col=6&amp;number=4.7&amp;sourceID=14","4.7")</f>
        <v>4.7</v>
      </c>
      <c r="G10201" s="4" t="str">
        <f>HYPERLINK("http://141.218.60.56/~jnz1568/getInfo.php?workbook=12_05.xlsx&amp;sheet=U0&amp;row=10201&amp;col=7&amp;number=0.000691&amp;sourceID=14","0.000691")</f>
        <v>0.000691</v>
      </c>
    </row>
    <row r="10202" spans="1:7">
      <c r="A10202" s="3"/>
      <c r="B10202" s="3"/>
      <c r="C10202" s="3"/>
      <c r="D10202" s="3"/>
      <c r="E10202" s="3">
        <v>19</v>
      </c>
      <c r="F10202" s="4" t="str">
        <f>HYPERLINK("http://141.218.60.56/~jnz1568/getInfo.php?workbook=12_05.xlsx&amp;sheet=U0&amp;row=10202&amp;col=6&amp;number=4.8&amp;sourceID=14","4.8")</f>
        <v>4.8</v>
      </c>
      <c r="G10202" s="4" t="str">
        <f>HYPERLINK("http://141.218.60.56/~jnz1568/getInfo.php?workbook=12_05.xlsx&amp;sheet=U0&amp;row=10202&amp;col=7&amp;number=0.000683&amp;sourceID=14","0.000683")</f>
        <v>0.000683</v>
      </c>
    </row>
    <row r="10203" spans="1:7">
      <c r="A10203" s="3"/>
      <c r="B10203" s="3"/>
      <c r="C10203" s="3"/>
      <c r="D10203" s="3"/>
      <c r="E10203" s="3">
        <v>20</v>
      </c>
      <c r="F10203" s="4" t="str">
        <f>HYPERLINK("http://141.218.60.56/~jnz1568/getInfo.php?workbook=12_05.xlsx&amp;sheet=U0&amp;row=10203&amp;col=6&amp;number=4.9&amp;sourceID=14","4.9")</f>
        <v>4.9</v>
      </c>
      <c r="G10203" s="4" t="str">
        <f>HYPERLINK("http://141.218.60.56/~jnz1568/getInfo.php?workbook=12_05.xlsx&amp;sheet=U0&amp;row=10203&amp;col=7&amp;number=0.000674&amp;sourceID=14","0.000674")</f>
        <v>0.000674</v>
      </c>
    </row>
    <row r="10204" spans="1:7">
      <c r="A10204" s="3">
        <v>12</v>
      </c>
      <c r="B10204" s="3">
        <v>5</v>
      </c>
      <c r="C10204" s="3">
        <v>5</v>
      </c>
      <c r="D10204" s="3">
        <v>85</v>
      </c>
      <c r="E10204" s="3">
        <v>1</v>
      </c>
      <c r="F10204" s="4" t="str">
        <f>HYPERLINK("http://141.218.60.56/~jnz1568/getInfo.php?workbook=12_05.xlsx&amp;sheet=U0&amp;row=10204&amp;col=6&amp;number=3&amp;sourceID=14","3")</f>
        <v>3</v>
      </c>
      <c r="G10204" s="4" t="str">
        <f>HYPERLINK("http://141.218.60.56/~jnz1568/getInfo.php?workbook=12_05.xlsx&amp;sheet=U0&amp;row=10204&amp;col=7&amp;number=0.000169&amp;sourceID=14","0.000169")</f>
        <v>0.000169</v>
      </c>
    </row>
    <row r="10205" spans="1:7">
      <c r="A10205" s="3"/>
      <c r="B10205" s="3"/>
      <c r="C10205" s="3"/>
      <c r="D10205" s="3"/>
      <c r="E10205" s="3">
        <v>2</v>
      </c>
      <c r="F10205" s="4" t="str">
        <f>HYPERLINK("http://141.218.60.56/~jnz1568/getInfo.php?workbook=12_05.xlsx&amp;sheet=U0&amp;row=10205&amp;col=6&amp;number=3.1&amp;sourceID=14","3.1")</f>
        <v>3.1</v>
      </c>
      <c r="G10205" s="4" t="str">
        <f>HYPERLINK("http://141.218.60.56/~jnz1568/getInfo.php?workbook=12_05.xlsx&amp;sheet=U0&amp;row=10205&amp;col=7&amp;number=0.000169&amp;sourceID=14","0.000169")</f>
        <v>0.000169</v>
      </c>
    </row>
    <row r="10206" spans="1:7">
      <c r="A10206" s="3"/>
      <c r="B10206" s="3"/>
      <c r="C10206" s="3"/>
      <c r="D10206" s="3"/>
      <c r="E10206" s="3">
        <v>3</v>
      </c>
      <c r="F10206" s="4" t="str">
        <f>HYPERLINK("http://141.218.60.56/~jnz1568/getInfo.php?workbook=12_05.xlsx&amp;sheet=U0&amp;row=10206&amp;col=6&amp;number=3.2&amp;sourceID=14","3.2")</f>
        <v>3.2</v>
      </c>
      <c r="G10206" s="4" t="str">
        <f>HYPERLINK("http://141.218.60.56/~jnz1568/getInfo.php?workbook=12_05.xlsx&amp;sheet=U0&amp;row=10206&amp;col=7&amp;number=0.000169&amp;sourceID=14","0.000169")</f>
        <v>0.000169</v>
      </c>
    </row>
    <row r="10207" spans="1:7">
      <c r="A10207" s="3"/>
      <c r="B10207" s="3"/>
      <c r="C10207" s="3"/>
      <c r="D10207" s="3"/>
      <c r="E10207" s="3">
        <v>4</v>
      </c>
      <c r="F10207" s="4" t="str">
        <f>HYPERLINK("http://141.218.60.56/~jnz1568/getInfo.php?workbook=12_05.xlsx&amp;sheet=U0&amp;row=10207&amp;col=6&amp;number=3.3&amp;sourceID=14","3.3")</f>
        <v>3.3</v>
      </c>
      <c r="G10207" s="4" t="str">
        <f>HYPERLINK("http://141.218.60.56/~jnz1568/getInfo.php?workbook=12_05.xlsx&amp;sheet=U0&amp;row=10207&amp;col=7&amp;number=0.000169&amp;sourceID=14","0.000169")</f>
        <v>0.000169</v>
      </c>
    </row>
    <row r="10208" spans="1:7">
      <c r="A10208" s="3"/>
      <c r="B10208" s="3"/>
      <c r="C10208" s="3"/>
      <c r="D10208" s="3"/>
      <c r="E10208" s="3">
        <v>5</v>
      </c>
      <c r="F10208" s="4" t="str">
        <f>HYPERLINK("http://141.218.60.56/~jnz1568/getInfo.php?workbook=12_05.xlsx&amp;sheet=U0&amp;row=10208&amp;col=6&amp;number=3.4&amp;sourceID=14","3.4")</f>
        <v>3.4</v>
      </c>
      <c r="G10208" s="4" t="str">
        <f>HYPERLINK("http://141.218.60.56/~jnz1568/getInfo.php?workbook=12_05.xlsx&amp;sheet=U0&amp;row=10208&amp;col=7&amp;number=0.000169&amp;sourceID=14","0.000169")</f>
        <v>0.000169</v>
      </c>
    </row>
    <row r="10209" spans="1:7">
      <c r="A10209" s="3"/>
      <c r="B10209" s="3"/>
      <c r="C10209" s="3"/>
      <c r="D10209" s="3"/>
      <c r="E10209" s="3">
        <v>6</v>
      </c>
      <c r="F10209" s="4" t="str">
        <f>HYPERLINK("http://141.218.60.56/~jnz1568/getInfo.php?workbook=12_05.xlsx&amp;sheet=U0&amp;row=10209&amp;col=6&amp;number=3.5&amp;sourceID=14","3.5")</f>
        <v>3.5</v>
      </c>
      <c r="G10209" s="4" t="str">
        <f>HYPERLINK("http://141.218.60.56/~jnz1568/getInfo.php?workbook=12_05.xlsx&amp;sheet=U0&amp;row=10209&amp;col=7&amp;number=0.000168&amp;sourceID=14","0.000168")</f>
        <v>0.000168</v>
      </c>
    </row>
    <row r="10210" spans="1:7">
      <c r="A10210" s="3"/>
      <c r="B10210" s="3"/>
      <c r="C10210" s="3"/>
      <c r="D10210" s="3"/>
      <c r="E10210" s="3">
        <v>7</v>
      </c>
      <c r="F10210" s="4" t="str">
        <f>HYPERLINK("http://141.218.60.56/~jnz1568/getInfo.php?workbook=12_05.xlsx&amp;sheet=U0&amp;row=10210&amp;col=6&amp;number=3.6&amp;sourceID=14","3.6")</f>
        <v>3.6</v>
      </c>
      <c r="G10210" s="4" t="str">
        <f>HYPERLINK("http://141.218.60.56/~jnz1568/getInfo.php?workbook=12_05.xlsx&amp;sheet=U0&amp;row=10210&amp;col=7&amp;number=0.000168&amp;sourceID=14","0.000168")</f>
        <v>0.000168</v>
      </c>
    </row>
    <row r="10211" spans="1:7">
      <c r="A10211" s="3"/>
      <c r="B10211" s="3"/>
      <c r="C10211" s="3"/>
      <c r="D10211" s="3"/>
      <c r="E10211" s="3">
        <v>8</v>
      </c>
      <c r="F10211" s="4" t="str">
        <f>HYPERLINK("http://141.218.60.56/~jnz1568/getInfo.php?workbook=12_05.xlsx&amp;sheet=U0&amp;row=10211&amp;col=6&amp;number=3.7&amp;sourceID=14","3.7")</f>
        <v>3.7</v>
      </c>
      <c r="G10211" s="4" t="str">
        <f>HYPERLINK("http://141.218.60.56/~jnz1568/getInfo.php?workbook=12_05.xlsx&amp;sheet=U0&amp;row=10211&amp;col=7&amp;number=0.000168&amp;sourceID=14","0.000168")</f>
        <v>0.000168</v>
      </c>
    </row>
    <row r="10212" spans="1:7">
      <c r="A10212" s="3"/>
      <c r="B10212" s="3"/>
      <c r="C10212" s="3"/>
      <c r="D10212" s="3"/>
      <c r="E10212" s="3">
        <v>9</v>
      </c>
      <c r="F10212" s="4" t="str">
        <f>HYPERLINK("http://141.218.60.56/~jnz1568/getInfo.php?workbook=12_05.xlsx&amp;sheet=U0&amp;row=10212&amp;col=6&amp;number=3.8&amp;sourceID=14","3.8")</f>
        <v>3.8</v>
      </c>
      <c r="G10212" s="4" t="str">
        <f>HYPERLINK("http://141.218.60.56/~jnz1568/getInfo.php?workbook=12_05.xlsx&amp;sheet=U0&amp;row=10212&amp;col=7&amp;number=0.000168&amp;sourceID=14","0.000168")</f>
        <v>0.000168</v>
      </c>
    </row>
    <row r="10213" spans="1:7">
      <c r="A10213" s="3"/>
      <c r="B10213" s="3"/>
      <c r="C10213" s="3"/>
      <c r="D10213" s="3"/>
      <c r="E10213" s="3">
        <v>10</v>
      </c>
      <c r="F10213" s="4" t="str">
        <f>HYPERLINK("http://141.218.60.56/~jnz1568/getInfo.php?workbook=12_05.xlsx&amp;sheet=U0&amp;row=10213&amp;col=6&amp;number=3.9&amp;sourceID=14","3.9")</f>
        <v>3.9</v>
      </c>
      <c r="G10213" s="4" t="str">
        <f>HYPERLINK("http://141.218.60.56/~jnz1568/getInfo.php?workbook=12_05.xlsx&amp;sheet=U0&amp;row=10213&amp;col=7&amp;number=0.000168&amp;sourceID=14","0.000168")</f>
        <v>0.000168</v>
      </c>
    </row>
    <row r="10214" spans="1:7">
      <c r="A10214" s="3"/>
      <c r="B10214" s="3"/>
      <c r="C10214" s="3"/>
      <c r="D10214" s="3"/>
      <c r="E10214" s="3">
        <v>11</v>
      </c>
      <c r="F10214" s="4" t="str">
        <f>HYPERLINK("http://141.218.60.56/~jnz1568/getInfo.php?workbook=12_05.xlsx&amp;sheet=U0&amp;row=10214&amp;col=6&amp;number=4&amp;sourceID=14","4")</f>
        <v>4</v>
      </c>
      <c r="G10214" s="4" t="str">
        <f>HYPERLINK("http://141.218.60.56/~jnz1568/getInfo.php?workbook=12_05.xlsx&amp;sheet=U0&amp;row=10214&amp;col=7&amp;number=0.000168&amp;sourceID=14","0.000168")</f>
        <v>0.000168</v>
      </c>
    </row>
    <row r="10215" spans="1:7">
      <c r="A10215" s="3"/>
      <c r="B10215" s="3"/>
      <c r="C10215" s="3"/>
      <c r="D10215" s="3"/>
      <c r="E10215" s="3">
        <v>12</v>
      </c>
      <c r="F10215" s="4" t="str">
        <f>HYPERLINK("http://141.218.60.56/~jnz1568/getInfo.php?workbook=12_05.xlsx&amp;sheet=U0&amp;row=10215&amp;col=6&amp;number=4.1&amp;sourceID=14","4.1")</f>
        <v>4.1</v>
      </c>
      <c r="G10215" s="4" t="str">
        <f>HYPERLINK("http://141.218.60.56/~jnz1568/getInfo.php?workbook=12_05.xlsx&amp;sheet=U0&amp;row=10215&amp;col=7&amp;number=0.000167&amp;sourceID=14","0.000167")</f>
        <v>0.000167</v>
      </c>
    </row>
    <row r="10216" spans="1:7">
      <c r="A10216" s="3"/>
      <c r="B10216" s="3"/>
      <c r="C10216" s="3"/>
      <c r="D10216" s="3"/>
      <c r="E10216" s="3">
        <v>13</v>
      </c>
      <c r="F10216" s="4" t="str">
        <f>HYPERLINK("http://141.218.60.56/~jnz1568/getInfo.php?workbook=12_05.xlsx&amp;sheet=U0&amp;row=10216&amp;col=6&amp;number=4.2&amp;sourceID=14","4.2")</f>
        <v>4.2</v>
      </c>
      <c r="G10216" s="4" t="str">
        <f>HYPERLINK("http://141.218.60.56/~jnz1568/getInfo.php?workbook=12_05.xlsx&amp;sheet=U0&amp;row=10216&amp;col=7&amp;number=0.000167&amp;sourceID=14","0.000167")</f>
        <v>0.000167</v>
      </c>
    </row>
    <row r="10217" spans="1:7">
      <c r="A10217" s="3"/>
      <c r="B10217" s="3"/>
      <c r="C10217" s="3"/>
      <c r="D10217" s="3"/>
      <c r="E10217" s="3">
        <v>14</v>
      </c>
      <c r="F10217" s="4" t="str">
        <f>HYPERLINK("http://141.218.60.56/~jnz1568/getInfo.php?workbook=12_05.xlsx&amp;sheet=U0&amp;row=10217&amp;col=6&amp;number=4.3&amp;sourceID=14","4.3")</f>
        <v>4.3</v>
      </c>
      <c r="G10217" s="4" t="str">
        <f>HYPERLINK("http://141.218.60.56/~jnz1568/getInfo.php?workbook=12_05.xlsx&amp;sheet=U0&amp;row=10217&amp;col=7&amp;number=0.000166&amp;sourceID=14","0.000166")</f>
        <v>0.000166</v>
      </c>
    </row>
    <row r="10218" spans="1:7">
      <c r="A10218" s="3"/>
      <c r="B10218" s="3"/>
      <c r="C10218" s="3"/>
      <c r="D10218" s="3"/>
      <c r="E10218" s="3">
        <v>15</v>
      </c>
      <c r="F10218" s="4" t="str">
        <f>HYPERLINK("http://141.218.60.56/~jnz1568/getInfo.php?workbook=12_05.xlsx&amp;sheet=U0&amp;row=10218&amp;col=6&amp;number=4.4&amp;sourceID=14","4.4")</f>
        <v>4.4</v>
      </c>
      <c r="G10218" s="4" t="str">
        <f>HYPERLINK("http://141.218.60.56/~jnz1568/getInfo.php?workbook=12_05.xlsx&amp;sheet=U0&amp;row=10218&amp;col=7&amp;number=0.000165&amp;sourceID=14","0.000165")</f>
        <v>0.000165</v>
      </c>
    </row>
    <row r="10219" spans="1:7">
      <c r="A10219" s="3"/>
      <c r="B10219" s="3"/>
      <c r="C10219" s="3"/>
      <c r="D10219" s="3"/>
      <c r="E10219" s="3">
        <v>16</v>
      </c>
      <c r="F10219" s="4" t="str">
        <f>HYPERLINK("http://141.218.60.56/~jnz1568/getInfo.php?workbook=12_05.xlsx&amp;sheet=U0&amp;row=10219&amp;col=6&amp;number=4.5&amp;sourceID=14","4.5")</f>
        <v>4.5</v>
      </c>
      <c r="G10219" s="4" t="str">
        <f>HYPERLINK("http://141.218.60.56/~jnz1568/getInfo.php?workbook=12_05.xlsx&amp;sheet=U0&amp;row=10219&amp;col=7&amp;number=0.000165&amp;sourceID=14","0.000165")</f>
        <v>0.000165</v>
      </c>
    </row>
    <row r="10220" spans="1:7">
      <c r="A10220" s="3"/>
      <c r="B10220" s="3"/>
      <c r="C10220" s="3"/>
      <c r="D10220" s="3"/>
      <c r="E10220" s="3">
        <v>17</v>
      </c>
      <c r="F10220" s="4" t="str">
        <f>HYPERLINK("http://141.218.60.56/~jnz1568/getInfo.php?workbook=12_05.xlsx&amp;sheet=U0&amp;row=10220&amp;col=6&amp;number=4.6&amp;sourceID=14","4.6")</f>
        <v>4.6</v>
      </c>
      <c r="G10220" s="4" t="str">
        <f>HYPERLINK("http://141.218.60.56/~jnz1568/getInfo.php?workbook=12_05.xlsx&amp;sheet=U0&amp;row=10220&amp;col=7&amp;number=0.000163&amp;sourceID=14","0.000163")</f>
        <v>0.000163</v>
      </c>
    </row>
    <row r="10221" spans="1:7">
      <c r="A10221" s="3"/>
      <c r="B10221" s="3"/>
      <c r="C10221" s="3"/>
      <c r="D10221" s="3"/>
      <c r="E10221" s="3">
        <v>18</v>
      </c>
      <c r="F10221" s="4" t="str">
        <f>HYPERLINK("http://141.218.60.56/~jnz1568/getInfo.php?workbook=12_05.xlsx&amp;sheet=U0&amp;row=10221&amp;col=6&amp;number=4.7&amp;sourceID=14","4.7")</f>
        <v>4.7</v>
      </c>
      <c r="G10221" s="4" t="str">
        <f>HYPERLINK("http://141.218.60.56/~jnz1568/getInfo.php?workbook=12_05.xlsx&amp;sheet=U0&amp;row=10221&amp;col=7&amp;number=0.000162&amp;sourceID=14","0.000162")</f>
        <v>0.000162</v>
      </c>
    </row>
    <row r="10222" spans="1:7">
      <c r="A10222" s="3"/>
      <c r="B10222" s="3"/>
      <c r="C10222" s="3"/>
      <c r="D10222" s="3"/>
      <c r="E10222" s="3">
        <v>19</v>
      </c>
      <c r="F10222" s="4" t="str">
        <f>HYPERLINK("http://141.218.60.56/~jnz1568/getInfo.php?workbook=12_05.xlsx&amp;sheet=U0&amp;row=10222&amp;col=6&amp;number=4.8&amp;sourceID=14","4.8")</f>
        <v>4.8</v>
      </c>
      <c r="G10222" s="4" t="str">
        <f>HYPERLINK("http://141.218.60.56/~jnz1568/getInfo.php?workbook=12_05.xlsx&amp;sheet=U0&amp;row=10222&amp;col=7&amp;number=0.00016&amp;sourceID=14","0.00016")</f>
        <v>0.00016</v>
      </c>
    </row>
    <row r="10223" spans="1:7">
      <c r="A10223" s="3"/>
      <c r="B10223" s="3"/>
      <c r="C10223" s="3"/>
      <c r="D10223" s="3"/>
      <c r="E10223" s="3">
        <v>20</v>
      </c>
      <c r="F10223" s="4" t="str">
        <f>HYPERLINK("http://141.218.60.56/~jnz1568/getInfo.php?workbook=12_05.xlsx&amp;sheet=U0&amp;row=10223&amp;col=6&amp;number=4.9&amp;sourceID=14","4.9")</f>
        <v>4.9</v>
      </c>
      <c r="G10223" s="4" t="str">
        <f>HYPERLINK("http://141.218.60.56/~jnz1568/getInfo.php?workbook=12_05.xlsx&amp;sheet=U0&amp;row=10223&amp;col=7&amp;number=0.000158&amp;sourceID=14","0.000158")</f>
        <v>0.000158</v>
      </c>
    </row>
    <row r="10224" spans="1:7">
      <c r="A10224" s="3">
        <v>12</v>
      </c>
      <c r="B10224" s="3">
        <v>5</v>
      </c>
      <c r="C10224" s="3">
        <v>5</v>
      </c>
      <c r="D10224" s="3">
        <v>87</v>
      </c>
      <c r="E10224" s="3">
        <v>1</v>
      </c>
      <c r="F10224" s="4" t="str">
        <f>HYPERLINK("http://141.218.60.56/~jnz1568/getInfo.php?workbook=12_05.xlsx&amp;sheet=U0&amp;row=10224&amp;col=6&amp;number=3&amp;sourceID=14","3")</f>
        <v>3</v>
      </c>
      <c r="G10224" s="4" t="str">
        <f>HYPERLINK("http://141.218.60.56/~jnz1568/getInfo.php?workbook=12_05.xlsx&amp;sheet=U0&amp;row=10224&amp;col=7&amp;number=0.000397&amp;sourceID=14","0.000397")</f>
        <v>0.000397</v>
      </c>
    </row>
    <row r="10225" spans="1:7">
      <c r="A10225" s="3"/>
      <c r="B10225" s="3"/>
      <c r="C10225" s="3"/>
      <c r="D10225" s="3"/>
      <c r="E10225" s="3">
        <v>2</v>
      </c>
      <c r="F10225" s="4" t="str">
        <f>HYPERLINK("http://141.218.60.56/~jnz1568/getInfo.php?workbook=12_05.xlsx&amp;sheet=U0&amp;row=10225&amp;col=6&amp;number=3.1&amp;sourceID=14","3.1")</f>
        <v>3.1</v>
      </c>
      <c r="G10225" s="4" t="str">
        <f>HYPERLINK("http://141.218.60.56/~jnz1568/getInfo.php?workbook=12_05.xlsx&amp;sheet=U0&amp;row=10225&amp;col=7&amp;number=0.000397&amp;sourceID=14","0.000397")</f>
        <v>0.000397</v>
      </c>
    </row>
    <row r="10226" spans="1:7">
      <c r="A10226" s="3"/>
      <c r="B10226" s="3"/>
      <c r="C10226" s="3"/>
      <c r="D10226" s="3"/>
      <c r="E10226" s="3">
        <v>3</v>
      </c>
      <c r="F10226" s="4" t="str">
        <f>HYPERLINK("http://141.218.60.56/~jnz1568/getInfo.php?workbook=12_05.xlsx&amp;sheet=U0&amp;row=10226&amp;col=6&amp;number=3.2&amp;sourceID=14","3.2")</f>
        <v>3.2</v>
      </c>
      <c r="G10226" s="4" t="str">
        <f>HYPERLINK("http://141.218.60.56/~jnz1568/getInfo.php?workbook=12_05.xlsx&amp;sheet=U0&amp;row=10226&amp;col=7&amp;number=0.000397&amp;sourceID=14","0.000397")</f>
        <v>0.000397</v>
      </c>
    </row>
    <row r="10227" spans="1:7">
      <c r="A10227" s="3"/>
      <c r="B10227" s="3"/>
      <c r="C10227" s="3"/>
      <c r="D10227" s="3"/>
      <c r="E10227" s="3">
        <v>4</v>
      </c>
      <c r="F10227" s="4" t="str">
        <f>HYPERLINK("http://141.218.60.56/~jnz1568/getInfo.php?workbook=12_05.xlsx&amp;sheet=U0&amp;row=10227&amp;col=6&amp;number=3.3&amp;sourceID=14","3.3")</f>
        <v>3.3</v>
      </c>
      <c r="G10227" s="4" t="str">
        <f>HYPERLINK("http://141.218.60.56/~jnz1568/getInfo.php?workbook=12_05.xlsx&amp;sheet=U0&amp;row=10227&amp;col=7&amp;number=0.000396&amp;sourceID=14","0.000396")</f>
        <v>0.000396</v>
      </c>
    </row>
    <row r="10228" spans="1:7">
      <c r="A10228" s="3"/>
      <c r="B10228" s="3"/>
      <c r="C10228" s="3"/>
      <c r="D10228" s="3"/>
      <c r="E10228" s="3">
        <v>5</v>
      </c>
      <c r="F10228" s="4" t="str">
        <f>HYPERLINK("http://141.218.60.56/~jnz1568/getInfo.php?workbook=12_05.xlsx&amp;sheet=U0&amp;row=10228&amp;col=6&amp;number=3.4&amp;sourceID=14","3.4")</f>
        <v>3.4</v>
      </c>
      <c r="G10228" s="4" t="str">
        <f>HYPERLINK("http://141.218.60.56/~jnz1568/getInfo.php?workbook=12_05.xlsx&amp;sheet=U0&amp;row=10228&amp;col=7&amp;number=0.000396&amp;sourceID=14","0.000396")</f>
        <v>0.000396</v>
      </c>
    </row>
    <row r="10229" spans="1:7">
      <c r="A10229" s="3"/>
      <c r="B10229" s="3"/>
      <c r="C10229" s="3"/>
      <c r="D10229" s="3"/>
      <c r="E10229" s="3">
        <v>6</v>
      </c>
      <c r="F10229" s="4" t="str">
        <f>HYPERLINK("http://141.218.60.56/~jnz1568/getInfo.php?workbook=12_05.xlsx&amp;sheet=U0&amp;row=10229&amp;col=6&amp;number=3.5&amp;sourceID=14","3.5")</f>
        <v>3.5</v>
      </c>
      <c r="G10229" s="4" t="str">
        <f>HYPERLINK("http://141.218.60.56/~jnz1568/getInfo.php?workbook=12_05.xlsx&amp;sheet=U0&amp;row=10229&amp;col=7&amp;number=0.000396&amp;sourceID=14","0.000396")</f>
        <v>0.000396</v>
      </c>
    </row>
    <row r="10230" spans="1:7">
      <c r="A10230" s="3"/>
      <c r="B10230" s="3"/>
      <c r="C10230" s="3"/>
      <c r="D10230" s="3"/>
      <c r="E10230" s="3">
        <v>7</v>
      </c>
      <c r="F10230" s="4" t="str">
        <f>HYPERLINK("http://141.218.60.56/~jnz1568/getInfo.php?workbook=12_05.xlsx&amp;sheet=U0&amp;row=10230&amp;col=6&amp;number=3.6&amp;sourceID=14","3.6")</f>
        <v>3.6</v>
      </c>
      <c r="G10230" s="4" t="str">
        <f>HYPERLINK("http://141.218.60.56/~jnz1568/getInfo.php?workbook=12_05.xlsx&amp;sheet=U0&amp;row=10230&amp;col=7&amp;number=0.000396&amp;sourceID=14","0.000396")</f>
        <v>0.000396</v>
      </c>
    </row>
    <row r="10231" spans="1:7">
      <c r="A10231" s="3"/>
      <c r="B10231" s="3"/>
      <c r="C10231" s="3"/>
      <c r="D10231" s="3"/>
      <c r="E10231" s="3">
        <v>8</v>
      </c>
      <c r="F10231" s="4" t="str">
        <f>HYPERLINK("http://141.218.60.56/~jnz1568/getInfo.php?workbook=12_05.xlsx&amp;sheet=U0&amp;row=10231&amp;col=6&amp;number=3.7&amp;sourceID=14","3.7")</f>
        <v>3.7</v>
      </c>
      <c r="G10231" s="4" t="str">
        <f>HYPERLINK("http://141.218.60.56/~jnz1568/getInfo.php?workbook=12_05.xlsx&amp;sheet=U0&amp;row=10231&amp;col=7&amp;number=0.000395&amp;sourceID=14","0.000395")</f>
        <v>0.000395</v>
      </c>
    </row>
    <row r="10232" spans="1:7">
      <c r="A10232" s="3"/>
      <c r="B10232" s="3"/>
      <c r="C10232" s="3"/>
      <c r="D10232" s="3"/>
      <c r="E10232" s="3">
        <v>9</v>
      </c>
      <c r="F10232" s="4" t="str">
        <f>HYPERLINK("http://141.218.60.56/~jnz1568/getInfo.php?workbook=12_05.xlsx&amp;sheet=U0&amp;row=10232&amp;col=6&amp;number=3.8&amp;sourceID=14","3.8")</f>
        <v>3.8</v>
      </c>
      <c r="G10232" s="4" t="str">
        <f>HYPERLINK("http://141.218.60.56/~jnz1568/getInfo.php?workbook=12_05.xlsx&amp;sheet=U0&amp;row=10232&amp;col=7&amp;number=0.000395&amp;sourceID=14","0.000395")</f>
        <v>0.000395</v>
      </c>
    </row>
    <row r="10233" spans="1:7">
      <c r="A10233" s="3"/>
      <c r="B10233" s="3"/>
      <c r="C10233" s="3"/>
      <c r="D10233" s="3"/>
      <c r="E10233" s="3">
        <v>10</v>
      </c>
      <c r="F10233" s="4" t="str">
        <f>HYPERLINK("http://141.218.60.56/~jnz1568/getInfo.php?workbook=12_05.xlsx&amp;sheet=U0&amp;row=10233&amp;col=6&amp;number=3.9&amp;sourceID=14","3.9")</f>
        <v>3.9</v>
      </c>
      <c r="G10233" s="4" t="str">
        <f>HYPERLINK("http://141.218.60.56/~jnz1568/getInfo.php?workbook=12_05.xlsx&amp;sheet=U0&amp;row=10233&amp;col=7&amp;number=0.000394&amp;sourceID=14","0.000394")</f>
        <v>0.000394</v>
      </c>
    </row>
    <row r="10234" spans="1:7">
      <c r="A10234" s="3"/>
      <c r="B10234" s="3"/>
      <c r="C10234" s="3"/>
      <c r="D10234" s="3"/>
      <c r="E10234" s="3">
        <v>11</v>
      </c>
      <c r="F10234" s="4" t="str">
        <f>HYPERLINK("http://141.218.60.56/~jnz1568/getInfo.php?workbook=12_05.xlsx&amp;sheet=U0&amp;row=10234&amp;col=6&amp;number=4&amp;sourceID=14","4")</f>
        <v>4</v>
      </c>
      <c r="G10234" s="4" t="str">
        <f>HYPERLINK("http://141.218.60.56/~jnz1568/getInfo.php?workbook=12_05.xlsx&amp;sheet=U0&amp;row=10234&amp;col=7&amp;number=0.000394&amp;sourceID=14","0.000394")</f>
        <v>0.000394</v>
      </c>
    </row>
    <row r="10235" spans="1:7">
      <c r="A10235" s="3"/>
      <c r="B10235" s="3"/>
      <c r="C10235" s="3"/>
      <c r="D10235" s="3"/>
      <c r="E10235" s="3">
        <v>12</v>
      </c>
      <c r="F10235" s="4" t="str">
        <f>HYPERLINK("http://141.218.60.56/~jnz1568/getInfo.php?workbook=12_05.xlsx&amp;sheet=U0&amp;row=10235&amp;col=6&amp;number=4.1&amp;sourceID=14","4.1")</f>
        <v>4.1</v>
      </c>
      <c r="G10235" s="4" t="str">
        <f>HYPERLINK("http://141.218.60.56/~jnz1568/getInfo.php?workbook=12_05.xlsx&amp;sheet=U0&amp;row=10235&amp;col=7&amp;number=0.000393&amp;sourceID=14","0.000393")</f>
        <v>0.000393</v>
      </c>
    </row>
    <row r="10236" spans="1:7">
      <c r="A10236" s="3"/>
      <c r="B10236" s="3"/>
      <c r="C10236" s="3"/>
      <c r="D10236" s="3"/>
      <c r="E10236" s="3">
        <v>13</v>
      </c>
      <c r="F10236" s="4" t="str">
        <f>HYPERLINK("http://141.218.60.56/~jnz1568/getInfo.php?workbook=12_05.xlsx&amp;sheet=U0&amp;row=10236&amp;col=6&amp;number=4.2&amp;sourceID=14","4.2")</f>
        <v>4.2</v>
      </c>
      <c r="G10236" s="4" t="str">
        <f>HYPERLINK("http://141.218.60.56/~jnz1568/getInfo.php?workbook=12_05.xlsx&amp;sheet=U0&amp;row=10236&amp;col=7&amp;number=0.000392&amp;sourceID=14","0.000392")</f>
        <v>0.000392</v>
      </c>
    </row>
    <row r="10237" spans="1:7">
      <c r="A10237" s="3"/>
      <c r="B10237" s="3"/>
      <c r="C10237" s="3"/>
      <c r="D10237" s="3"/>
      <c r="E10237" s="3">
        <v>14</v>
      </c>
      <c r="F10237" s="4" t="str">
        <f>HYPERLINK("http://141.218.60.56/~jnz1568/getInfo.php?workbook=12_05.xlsx&amp;sheet=U0&amp;row=10237&amp;col=6&amp;number=4.3&amp;sourceID=14","4.3")</f>
        <v>4.3</v>
      </c>
      <c r="G10237" s="4" t="str">
        <f>HYPERLINK("http://141.218.60.56/~jnz1568/getInfo.php?workbook=12_05.xlsx&amp;sheet=U0&amp;row=10237&amp;col=7&amp;number=0.00039&amp;sourceID=14","0.00039")</f>
        <v>0.00039</v>
      </c>
    </row>
    <row r="10238" spans="1:7">
      <c r="A10238" s="3"/>
      <c r="B10238" s="3"/>
      <c r="C10238" s="3"/>
      <c r="D10238" s="3"/>
      <c r="E10238" s="3">
        <v>15</v>
      </c>
      <c r="F10238" s="4" t="str">
        <f>HYPERLINK("http://141.218.60.56/~jnz1568/getInfo.php?workbook=12_05.xlsx&amp;sheet=U0&amp;row=10238&amp;col=6&amp;number=4.4&amp;sourceID=14","4.4")</f>
        <v>4.4</v>
      </c>
      <c r="G10238" s="4" t="str">
        <f>HYPERLINK("http://141.218.60.56/~jnz1568/getInfo.php?workbook=12_05.xlsx&amp;sheet=U0&amp;row=10238&amp;col=7&amp;number=0.000389&amp;sourceID=14","0.000389")</f>
        <v>0.000389</v>
      </c>
    </row>
    <row r="10239" spans="1:7">
      <c r="A10239" s="3"/>
      <c r="B10239" s="3"/>
      <c r="C10239" s="3"/>
      <c r="D10239" s="3"/>
      <c r="E10239" s="3">
        <v>16</v>
      </c>
      <c r="F10239" s="4" t="str">
        <f>HYPERLINK("http://141.218.60.56/~jnz1568/getInfo.php?workbook=12_05.xlsx&amp;sheet=U0&amp;row=10239&amp;col=6&amp;number=4.5&amp;sourceID=14","4.5")</f>
        <v>4.5</v>
      </c>
      <c r="G10239" s="4" t="str">
        <f>HYPERLINK("http://141.218.60.56/~jnz1568/getInfo.php?workbook=12_05.xlsx&amp;sheet=U0&amp;row=10239&amp;col=7&amp;number=0.000387&amp;sourceID=14","0.000387")</f>
        <v>0.000387</v>
      </c>
    </row>
    <row r="10240" spans="1:7">
      <c r="A10240" s="3"/>
      <c r="B10240" s="3"/>
      <c r="C10240" s="3"/>
      <c r="D10240" s="3"/>
      <c r="E10240" s="3">
        <v>17</v>
      </c>
      <c r="F10240" s="4" t="str">
        <f>HYPERLINK("http://141.218.60.56/~jnz1568/getInfo.php?workbook=12_05.xlsx&amp;sheet=U0&amp;row=10240&amp;col=6&amp;number=4.6&amp;sourceID=14","4.6")</f>
        <v>4.6</v>
      </c>
      <c r="G10240" s="4" t="str">
        <f>HYPERLINK("http://141.218.60.56/~jnz1568/getInfo.php?workbook=12_05.xlsx&amp;sheet=U0&amp;row=10240&amp;col=7&amp;number=0.000384&amp;sourceID=14","0.000384")</f>
        <v>0.000384</v>
      </c>
    </row>
    <row r="10241" spans="1:7">
      <c r="A10241" s="3"/>
      <c r="B10241" s="3"/>
      <c r="C10241" s="3"/>
      <c r="D10241" s="3"/>
      <c r="E10241" s="3">
        <v>18</v>
      </c>
      <c r="F10241" s="4" t="str">
        <f>HYPERLINK("http://141.218.60.56/~jnz1568/getInfo.php?workbook=12_05.xlsx&amp;sheet=U0&amp;row=10241&amp;col=6&amp;number=4.7&amp;sourceID=14","4.7")</f>
        <v>4.7</v>
      </c>
      <c r="G10241" s="4" t="str">
        <f>HYPERLINK("http://141.218.60.56/~jnz1568/getInfo.php?workbook=12_05.xlsx&amp;sheet=U0&amp;row=10241&amp;col=7&amp;number=0.000381&amp;sourceID=14","0.000381")</f>
        <v>0.000381</v>
      </c>
    </row>
    <row r="10242" spans="1:7">
      <c r="A10242" s="3"/>
      <c r="B10242" s="3"/>
      <c r="C10242" s="3"/>
      <c r="D10242" s="3"/>
      <c r="E10242" s="3">
        <v>19</v>
      </c>
      <c r="F10242" s="4" t="str">
        <f>HYPERLINK("http://141.218.60.56/~jnz1568/getInfo.php?workbook=12_05.xlsx&amp;sheet=U0&amp;row=10242&amp;col=6&amp;number=4.8&amp;sourceID=14","4.8")</f>
        <v>4.8</v>
      </c>
      <c r="G10242" s="4" t="str">
        <f>HYPERLINK("http://141.218.60.56/~jnz1568/getInfo.php?workbook=12_05.xlsx&amp;sheet=U0&amp;row=10242&amp;col=7&amp;number=0.000377&amp;sourceID=14","0.000377")</f>
        <v>0.000377</v>
      </c>
    </row>
    <row r="10243" spans="1:7">
      <c r="A10243" s="3"/>
      <c r="B10243" s="3"/>
      <c r="C10243" s="3"/>
      <c r="D10243" s="3"/>
      <c r="E10243" s="3">
        <v>20</v>
      </c>
      <c r="F10243" s="4" t="str">
        <f>HYPERLINK("http://141.218.60.56/~jnz1568/getInfo.php?workbook=12_05.xlsx&amp;sheet=U0&amp;row=10243&amp;col=6&amp;number=4.9&amp;sourceID=14","4.9")</f>
        <v>4.9</v>
      </c>
      <c r="G10243" s="4" t="str">
        <f>HYPERLINK("http://141.218.60.56/~jnz1568/getInfo.php?workbook=12_05.xlsx&amp;sheet=U0&amp;row=10243&amp;col=7&amp;number=0.000371&amp;sourceID=14","0.000371")</f>
        <v>0.000371</v>
      </c>
    </row>
    <row r="10244" spans="1:7">
      <c r="A10244" s="3">
        <v>12</v>
      </c>
      <c r="B10244" s="3">
        <v>5</v>
      </c>
      <c r="C10244" s="3">
        <v>5</v>
      </c>
      <c r="D10244" s="3">
        <v>88</v>
      </c>
      <c r="E10244" s="3">
        <v>1</v>
      </c>
      <c r="F10244" s="4" t="str">
        <f>HYPERLINK("http://141.218.60.56/~jnz1568/getInfo.php?workbook=12_05.xlsx&amp;sheet=U0&amp;row=10244&amp;col=6&amp;number=3&amp;sourceID=14","3")</f>
        <v>3</v>
      </c>
      <c r="G10244" s="4" t="str">
        <f>HYPERLINK("http://141.218.60.56/~jnz1568/getInfo.php?workbook=12_05.xlsx&amp;sheet=U0&amp;row=10244&amp;col=7&amp;number=0.0116&amp;sourceID=14","0.0116")</f>
        <v>0.0116</v>
      </c>
    </row>
    <row r="10245" spans="1:7">
      <c r="A10245" s="3"/>
      <c r="B10245" s="3"/>
      <c r="C10245" s="3"/>
      <c r="D10245" s="3"/>
      <c r="E10245" s="3">
        <v>2</v>
      </c>
      <c r="F10245" s="4" t="str">
        <f>HYPERLINK("http://141.218.60.56/~jnz1568/getInfo.php?workbook=12_05.xlsx&amp;sheet=U0&amp;row=10245&amp;col=6&amp;number=3.1&amp;sourceID=14","3.1")</f>
        <v>3.1</v>
      </c>
      <c r="G10245" s="4" t="str">
        <f>HYPERLINK("http://141.218.60.56/~jnz1568/getInfo.php?workbook=12_05.xlsx&amp;sheet=U0&amp;row=10245&amp;col=7&amp;number=0.0116&amp;sourceID=14","0.0116")</f>
        <v>0.0116</v>
      </c>
    </row>
    <row r="10246" spans="1:7">
      <c r="A10246" s="3"/>
      <c r="B10246" s="3"/>
      <c r="C10246" s="3"/>
      <c r="D10246" s="3"/>
      <c r="E10246" s="3">
        <v>3</v>
      </c>
      <c r="F10246" s="4" t="str">
        <f>HYPERLINK("http://141.218.60.56/~jnz1568/getInfo.php?workbook=12_05.xlsx&amp;sheet=U0&amp;row=10246&amp;col=6&amp;number=3.2&amp;sourceID=14","3.2")</f>
        <v>3.2</v>
      </c>
      <c r="G10246" s="4" t="str">
        <f>HYPERLINK("http://141.218.60.56/~jnz1568/getInfo.php?workbook=12_05.xlsx&amp;sheet=U0&amp;row=10246&amp;col=7&amp;number=0.0116&amp;sourceID=14","0.0116")</f>
        <v>0.0116</v>
      </c>
    </row>
    <row r="10247" spans="1:7">
      <c r="A10247" s="3"/>
      <c r="B10247" s="3"/>
      <c r="C10247" s="3"/>
      <c r="D10247" s="3"/>
      <c r="E10247" s="3">
        <v>4</v>
      </c>
      <c r="F10247" s="4" t="str">
        <f>HYPERLINK("http://141.218.60.56/~jnz1568/getInfo.php?workbook=12_05.xlsx&amp;sheet=U0&amp;row=10247&amp;col=6&amp;number=3.3&amp;sourceID=14","3.3")</f>
        <v>3.3</v>
      </c>
      <c r="G10247" s="4" t="str">
        <f>HYPERLINK("http://141.218.60.56/~jnz1568/getInfo.php?workbook=12_05.xlsx&amp;sheet=U0&amp;row=10247&amp;col=7&amp;number=0.0117&amp;sourceID=14","0.0117")</f>
        <v>0.0117</v>
      </c>
    </row>
    <row r="10248" spans="1:7">
      <c r="A10248" s="3"/>
      <c r="B10248" s="3"/>
      <c r="C10248" s="3"/>
      <c r="D10248" s="3"/>
      <c r="E10248" s="3">
        <v>5</v>
      </c>
      <c r="F10248" s="4" t="str">
        <f>HYPERLINK("http://141.218.60.56/~jnz1568/getInfo.php?workbook=12_05.xlsx&amp;sheet=U0&amp;row=10248&amp;col=6&amp;number=3.4&amp;sourceID=14","3.4")</f>
        <v>3.4</v>
      </c>
      <c r="G10248" s="4" t="str">
        <f>HYPERLINK("http://141.218.60.56/~jnz1568/getInfo.php?workbook=12_05.xlsx&amp;sheet=U0&amp;row=10248&amp;col=7&amp;number=0.0117&amp;sourceID=14","0.0117")</f>
        <v>0.0117</v>
      </c>
    </row>
    <row r="10249" spans="1:7">
      <c r="A10249" s="3"/>
      <c r="B10249" s="3"/>
      <c r="C10249" s="3"/>
      <c r="D10249" s="3"/>
      <c r="E10249" s="3">
        <v>6</v>
      </c>
      <c r="F10249" s="4" t="str">
        <f>HYPERLINK("http://141.218.60.56/~jnz1568/getInfo.php?workbook=12_05.xlsx&amp;sheet=U0&amp;row=10249&amp;col=6&amp;number=3.5&amp;sourceID=14","3.5")</f>
        <v>3.5</v>
      </c>
      <c r="G10249" s="4" t="str">
        <f>HYPERLINK("http://141.218.60.56/~jnz1568/getInfo.php?workbook=12_05.xlsx&amp;sheet=U0&amp;row=10249&amp;col=7&amp;number=0.0117&amp;sourceID=14","0.0117")</f>
        <v>0.0117</v>
      </c>
    </row>
    <row r="10250" spans="1:7">
      <c r="A10250" s="3"/>
      <c r="B10250" s="3"/>
      <c r="C10250" s="3"/>
      <c r="D10250" s="3"/>
      <c r="E10250" s="3">
        <v>7</v>
      </c>
      <c r="F10250" s="4" t="str">
        <f>HYPERLINK("http://141.218.60.56/~jnz1568/getInfo.php?workbook=12_05.xlsx&amp;sheet=U0&amp;row=10250&amp;col=6&amp;number=3.6&amp;sourceID=14","3.6")</f>
        <v>3.6</v>
      </c>
      <c r="G10250" s="4" t="str">
        <f>HYPERLINK("http://141.218.60.56/~jnz1568/getInfo.php?workbook=12_05.xlsx&amp;sheet=U0&amp;row=10250&amp;col=7&amp;number=0.0117&amp;sourceID=14","0.0117")</f>
        <v>0.0117</v>
      </c>
    </row>
    <row r="10251" spans="1:7">
      <c r="A10251" s="3"/>
      <c r="B10251" s="3"/>
      <c r="C10251" s="3"/>
      <c r="D10251" s="3"/>
      <c r="E10251" s="3">
        <v>8</v>
      </c>
      <c r="F10251" s="4" t="str">
        <f>HYPERLINK("http://141.218.60.56/~jnz1568/getInfo.php?workbook=12_05.xlsx&amp;sheet=U0&amp;row=10251&amp;col=6&amp;number=3.7&amp;sourceID=14","3.7")</f>
        <v>3.7</v>
      </c>
      <c r="G10251" s="4" t="str">
        <f>HYPERLINK("http://141.218.60.56/~jnz1568/getInfo.php?workbook=12_05.xlsx&amp;sheet=U0&amp;row=10251&amp;col=7&amp;number=0.0117&amp;sourceID=14","0.0117")</f>
        <v>0.0117</v>
      </c>
    </row>
    <row r="10252" spans="1:7">
      <c r="A10252" s="3"/>
      <c r="B10252" s="3"/>
      <c r="C10252" s="3"/>
      <c r="D10252" s="3"/>
      <c r="E10252" s="3">
        <v>9</v>
      </c>
      <c r="F10252" s="4" t="str">
        <f>HYPERLINK("http://141.218.60.56/~jnz1568/getInfo.php?workbook=12_05.xlsx&amp;sheet=U0&amp;row=10252&amp;col=6&amp;number=3.8&amp;sourceID=14","3.8")</f>
        <v>3.8</v>
      </c>
      <c r="G10252" s="4" t="str">
        <f>HYPERLINK("http://141.218.60.56/~jnz1568/getInfo.php?workbook=12_05.xlsx&amp;sheet=U0&amp;row=10252&amp;col=7&amp;number=0.0117&amp;sourceID=14","0.0117")</f>
        <v>0.0117</v>
      </c>
    </row>
    <row r="10253" spans="1:7">
      <c r="A10253" s="3"/>
      <c r="B10253" s="3"/>
      <c r="C10253" s="3"/>
      <c r="D10253" s="3"/>
      <c r="E10253" s="3">
        <v>10</v>
      </c>
      <c r="F10253" s="4" t="str">
        <f>HYPERLINK("http://141.218.60.56/~jnz1568/getInfo.php?workbook=12_05.xlsx&amp;sheet=U0&amp;row=10253&amp;col=6&amp;number=3.9&amp;sourceID=14","3.9")</f>
        <v>3.9</v>
      </c>
      <c r="G10253" s="4" t="str">
        <f>HYPERLINK("http://141.218.60.56/~jnz1568/getInfo.php?workbook=12_05.xlsx&amp;sheet=U0&amp;row=10253&amp;col=7&amp;number=0.0117&amp;sourceID=14","0.0117")</f>
        <v>0.0117</v>
      </c>
    </row>
    <row r="10254" spans="1:7">
      <c r="A10254" s="3"/>
      <c r="B10254" s="3"/>
      <c r="C10254" s="3"/>
      <c r="D10254" s="3"/>
      <c r="E10254" s="3">
        <v>11</v>
      </c>
      <c r="F10254" s="4" t="str">
        <f>HYPERLINK("http://141.218.60.56/~jnz1568/getInfo.php?workbook=12_05.xlsx&amp;sheet=U0&amp;row=10254&amp;col=6&amp;number=4&amp;sourceID=14","4")</f>
        <v>4</v>
      </c>
      <c r="G10254" s="4" t="str">
        <f>HYPERLINK("http://141.218.60.56/~jnz1568/getInfo.php?workbook=12_05.xlsx&amp;sheet=U0&amp;row=10254&amp;col=7&amp;number=0.0117&amp;sourceID=14","0.0117")</f>
        <v>0.0117</v>
      </c>
    </row>
    <row r="10255" spans="1:7">
      <c r="A10255" s="3"/>
      <c r="B10255" s="3"/>
      <c r="C10255" s="3"/>
      <c r="D10255" s="3"/>
      <c r="E10255" s="3">
        <v>12</v>
      </c>
      <c r="F10255" s="4" t="str">
        <f>HYPERLINK("http://141.218.60.56/~jnz1568/getInfo.php?workbook=12_05.xlsx&amp;sheet=U0&amp;row=10255&amp;col=6&amp;number=4.1&amp;sourceID=14","4.1")</f>
        <v>4.1</v>
      </c>
      <c r="G10255" s="4" t="str">
        <f>HYPERLINK("http://141.218.60.56/~jnz1568/getInfo.php?workbook=12_05.xlsx&amp;sheet=U0&amp;row=10255&amp;col=7&amp;number=0.0118&amp;sourceID=14","0.0118")</f>
        <v>0.0118</v>
      </c>
    </row>
    <row r="10256" spans="1:7">
      <c r="A10256" s="3"/>
      <c r="B10256" s="3"/>
      <c r="C10256" s="3"/>
      <c r="D10256" s="3"/>
      <c r="E10256" s="3">
        <v>13</v>
      </c>
      <c r="F10256" s="4" t="str">
        <f>HYPERLINK("http://141.218.60.56/~jnz1568/getInfo.php?workbook=12_05.xlsx&amp;sheet=U0&amp;row=10256&amp;col=6&amp;number=4.2&amp;sourceID=14","4.2")</f>
        <v>4.2</v>
      </c>
      <c r="G10256" s="4" t="str">
        <f>HYPERLINK("http://141.218.60.56/~jnz1568/getInfo.php?workbook=12_05.xlsx&amp;sheet=U0&amp;row=10256&amp;col=7&amp;number=0.0118&amp;sourceID=14","0.0118")</f>
        <v>0.0118</v>
      </c>
    </row>
    <row r="10257" spans="1:7">
      <c r="A10257" s="3"/>
      <c r="B10257" s="3"/>
      <c r="C10257" s="3"/>
      <c r="D10257" s="3"/>
      <c r="E10257" s="3">
        <v>14</v>
      </c>
      <c r="F10257" s="4" t="str">
        <f>HYPERLINK("http://141.218.60.56/~jnz1568/getInfo.php?workbook=12_05.xlsx&amp;sheet=U0&amp;row=10257&amp;col=6&amp;number=4.3&amp;sourceID=14","4.3")</f>
        <v>4.3</v>
      </c>
      <c r="G10257" s="4" t="str">
        <f>HYPERLINK("http://141.218.60.56/~jnz1568/getInfo.php?workbook=12_05.xlsx&amp;sheet=U0&amp;row=10257&amp;col=7&amp;number=0.0119&amp;sourceID=14","0.0119")</f>
        <v>0.0119</v>
      </c>
    </row>
    <row r="10258" spans="1:7">
      <c r="A10258" s="3"/>
      <c r="B10258" s="3"/>
      <c r="C10258" s="3"/>
      <c r="D10258" s="3"/>
      <c r="E10258" s="3">
        <v>15</v>
      </c>
      <c r="F10258" s="4" t="str">
        <f>HYPERLINK("http://141.218.60.56/~jnz1568/getInfo.php?workbook=12_05.xlsx&amp;sheet=U0&amp;row=10258&amp;col=6&amp;number=4.4&amp;sourceID=14","4.4")</f>
        <v>4.4</v>
      </c>
      <c r="G10258" s="4" t="str">
        <f>HYPERLINK("http://141.218.60.56/~jnz1568/getInfo.php?workbook=12_05.xlsx&amp;sheet=U0&amp;row=10258&amp;col=7&amp;number=0.0119&amp;sourceID=14","0.0119")</f>
        <v>0.0119</v>
      </c>
    </row>
    <row r="10259" spans="1:7">
      <c r="A10259" s="3"/>
      <c r="B10259" s="3"/>
      <c r="C10259" s="3"/>
      <c r="D10259" s="3"/>
      <c r="E10259" s="3">
        <v>16</v>
      </c>
      <c r="F10259" s="4" t="str">
        <f>HYPERLINK("http://141.218.60.56/~jnz1568/getInfo.php?workbook=12_05.xlsx&amp;sheet=U0&amp;row=10259&amp;col=6&amp;number=4.5&amp;sourceID=14","4.5")</f>
        <v>4.5</v>
      </c>
      <c r="G10259" s="4" t="str">
        <f>HYPERLINK("http://141.218.60.56/~jnz1568/getInfo.php?workbook=12_05.xlsx&amp;sheet=U0&amp;row=10259&amp;col=7&amp;number=0.012&amp;sourceID=14","0.012")</f>
        <v>0.012</v>
      </c>
    </row>
    <row r="10260" spans="1:7">
      <c r="A10260" s="3"/>
      <c r="B10260" s="3"/>
      <c r="C10260" s="3"/>
      <c r="D10260" s="3"/>
      <c r="E10260" s="3">
        <v>17</v>
      </c>
      <c r="F10260" s="4" t="str">
        <f>HYPERLINK("http://141.218.60.56/~jnz1568/getInfo.php?workbook=12_05.xlsx&amp;sheet=U0&amp;row=10260&amp;col=6&amp;number=4.6&amp;sourceID=14","4.6")</f>
        <v>4.6</v>
      </c>
      <c r="G10260" s="4" t="str">
        <f>HYPERLINK("http://141.218.60.56/~jnz1568/getInfo.php?workbook=12_05.xlsx&amp;sheet=U0&amp;row=10260&amp;col=7&amp;number=0.0121&amp;sourceID=14","0.0121")</f>
        <v>0.0121</v>
      </c>
    </row>
    <row r="10261" spans="1:7">
      <c r="A10261" s="3"/>
      <c r="B10261" s="3"/>
      <c r="C10261" s="3"/>
      <c r="D10261" s="3"/>
      <c r="E10261" s="3">
        <v>18</v>
      </c>
      <c r="F10261" s="4" t="str">
        <f>HYPERLINK("http://141.218.60.56/~jnz1568/getInfo.php?workbook=12_05.xlsx&amp;sheet=U0&amp;row=10261&amp;col=6&amp;number=4.7&amp;sourceID=14","4.7")</f>
        <v>4.7</v>
      </c>
      <c r="G10261" s="4" t="str">
        <f>HYPERLINK("http://141.218.60.56/~jnz1568/getInfo.php?workbook=12_05.xlsx&amp;sheet=U0&amp;row=10261&amp;col=7&amp;number=0.0122&amp;sourceID=14","0.0122")</f>
        <v>0.0122</v>
      </c>
    </row>
    <row r="10262" spans="1:7">
      <c r="A10262" s="3"/>
      <c r="B10262" s="3"/>
      <c r="C10262" s="3"/>
      <c r="D10262" s="3"/>
      <c r="E10262" s="3">
        <v>19</v>
      </c>
      <c r="F10262" s="4" t="str">
        <f>HYPERLINK("http://141.218.60.56/~jnz1568/getInfo.php?workbook=12_05.xlsx&amp;sheet=U0&amp;row=10262&amp;col=6&amp;number=4.8&amp;sourceID=14","4.8")</f>
        <v>4.8</v>
      </c>
      <c r="G10262" s="4" t="str">
        <f>HYPERLINK("http://141.218.60.56/~jnz1568/getInfo.php?workbook=12_05.xlsx&amp;sheet=U0&amp;row=10262&amp;col=7&amp;number=0.0123&amp;sourceID=14","0.0123")</f>
        <v>0.0123</v>
      </c>
    </row>
    <row r="10263" spans="1:7">
      <c r="A10263" s="3"/>
      <c r="B10263" s="3"/>
      <c r="C10263" s="3"/>
      <c r="D10263" s="3"/>
      <c r="E10263" s="3">
        <v>20</v>
      </c>
      <c r="F10263" s="4" t="str">
        <f>HYPERLINK("http://141.218.60.56/~jnz1568/getInfo.php?workbook=12_05.xlsx&amp;sheet=U0&amp;row=10263&amp;col=6&amp;number=4.9&amp;sourceID=14","4.9")</f>
        <v>4.9</v>
      </c>
      <c r="G10263" s="4" t="str">
        <f>HYPERLINK("http://141.218.60.56/~jnz1568/getInfo.php?workbook=12_05.xlsx&amp;sheet=U0&amp;row=10263&amp;col=7&amp;number=0.0125&amp;sourceID=14","0.0125")</f>
        <v>0.0125</v>
      </c>
    </row>
    <row r="10264" spans="1:7">
      <c r="A10264" s="3">
        <v>12</v>
      </c>
      <c r="B10264" s="3">
        <v>5</v>
      </c>
      <c r="C10264" s="3">
        <v>5</v>
      </c>
      <c r="D10264" s="3">
        <v>89</v>
      </c>
      <c r="E10264" s="3">
        <v>1</v>
      </c>
      <c r="F10264" s="4" t="str">
        <f>HYPERLINK("http://141.218.60.56/~jnz1568/getInfo.php?workbook=12_05.xlsx&amp;sheet=U0&amp;row=10264&amp;col=6&amp;number=3&amp;sourceID=14","3")</f>
        <v>3</v>
      </c>
      <c r="G10264" s="4" t="str">
        <f>HYPERLINK("http://141.218.60.56/~jnz1568/getInfo.php?workbook=12_05.xlsx&amp;sheet=U0&amp;row=10264&amp;col=7&amp;number=0.0121&amp;sourceID=14","0.0121")</f>
        <v>0.0121</v>
      </c>
    </row>
    <row r="10265" spans="1:7">
      <c r="A10265" s="3"/>
      <c r="B10265" s="3"/>
      <c r="C10265" s="3"/>
      <c r="D10265" s="3"/>
      <c r="E10265" s="3">
        <v>2</v>
      </c>
      <c r="F10265" s="4" t="str">
        <f>HYPERLINK("http://141.218.60.56/~jnz1568/getInfo.php?workbook=12_05.xlsx&amp;sheet=U0&amp;row=10265&amp;col=6&amp;number=3.1&amp;sourceID=14","3.1")</f>
        <v>3.1</v>
      </c>
      <c r="G10265" s="4" t="str">
        <f>HYPERLINK("http://141.218.60.56/~jnz1568/getInfo.php?workbook=12_05.xlsx&amp;sheet=U0&amp;row=10265&amp;col=7&amp;number=0.0121&amp;sourceID=14","0.0121")</f>
        <v>0.0121</v>
      </c>
    </row>
    <row r="10266" spans="1:7">
      <c r="A10266" s="3"/>
      <c r="B10266" s="3"/>
      <c r="C10266" s="3"/>
      <c r="D10266" s="3"/>
      <c r="E10266" s="3">
        <v>3</v>
      </c>
      <c r="F10266" s="4" t="str">
        <f>HYPERLINK("http://141.218.60.56/~jnz1568/getInfo.php?workbook=12_05.xlsx&amp;sheet=U0&amp;row=10266&amp;col=6&amp;number=3.2&amp;sourceID=14","3.2")</f>
        <v>3.2</v>
      </c>
      <c r="G10266" s="4" t="str">
        <f>HYPERLINK("http://141.218.60.56/~jnz1568/getInfo.php?workbook=12_05.xlsx&amp;sheet=U0&amp;row=10266&amp;col=7&amp;number=0.0121&amp;sourceID=14","0.0121")</f>
        <v>0.0121</v>
      </c>
    </row>
    <row r="10267" spans="1:7">
      <c r="A10267" s="3"/>
      <c r="B10267" s="3"/>
      <c r="C10267" s="3"/>
      <c r="D10267" s="3"/>
      <c r="E10267" s="3">
        <v>4</v>
      </c>
      <c r="F10267" s="4" t="str">
        <f>HYPERLINK("http://141.218.60.56/~jnz1568/getInfo.php?workbook=12_05.xlsx&amp;sheet=U0&amp;row=10267&amp;col=6&amp;number=3.3&amp;sourceID=14","3.3")</f>
        <v>3.3</v>
      </c>
      <c r="G10267" s="4" t="str">
        <f>HYPERLINK("http://141.218.60.56/~jnz1568/getInfo.php?workbook=12_05.xlsx&amp;sheet=U0&amp;row=10267&amp;col=7&amp;number=0.0121&amp;sourceID=14","0.0121")</f>
        <v>0.0121</v>
      </c>
    </row>
    <row r="10268" spans="1:7">
      <c r="A10268" s="3"/>
      <c r="B10268" s="3"/>
      <c r="C10268" s="3"/>
      <c r="D10268" s="3"/>
      <c r="E10268" s="3">
        <v>5</v>
      </c>
      <c r="F10268" s="4" t="str">
        <f>HYPERLINK("http://141.218.60.56/~jnz1568/getInfo.php?workbook=12_05.xlsx&amp;sheet=U0&amp;row=10268&amp;col=6&amp;number=3.4&amp;sourceID=14","3.4")</f>
        <v>3.4</v>
      </c>
      <c r="G10268" s="4" t="str">
        <f>HYPERLINK("http://141.218.60.56/~jnz1568/getInfo.php?workbook=12_05.xlsx&amp;sheet=U0&amp;row=10268&amp;col=7&amp;number=0.0121&amp;sourceID=14","0.0121")</f>
        <v>0.0121</v>
      </c>
    </row>
    <row r="10269" spans="1:7">
      <c r="A10269" s="3"/>
      <c r="B10269" s="3"/>
      <c r="C10269" s="3"/>
      <c r="D10269" s="3"/>
      <c r="E10269" s="3">
        <v>6</v>
      </c>
      <c r="F10269" s="4" t="str">
        <f>HYPERLINK("http://141.218.60.56/~jnz1568/getInfo.php?workbook=12_05.xlsx&amp;sheet=U0&amp;row=10269&amp;col=6&amp;number=3.5&amp;sourceID=14","3.5")</f>
        <v>3.5</v>
      </c>
      <c r="G10269" s="4" t="str">
        <f>HYPERLINK("http://141.218.60.56/~jnz1568/getInfo.php?workbook=12_05.xlsx&amp;sheet=U0&amp;row=10269&amp;col=7&amp;number=0.0121&amp;sourceID=14","0.0121")</f>
        <v>0.0121</v>
      </c>
    </row>
    <row r="10270" spans="1:7">
      <c r="A10270" s="3"/>
      <c r="B10270" s="3"/>
      <c r="C10270" s="3"/>
      <c r="D10270" s="3"/>
      <c r="E10270" s="3">
        <v>7</v>
      </c>
      <c r="F10270" s="4" t="str">
        <f>HYPERLINK("http://141.218.60.56/~jnz1568/getInfo.php?workbook=12_05.xlsx&amp;sheet=U0&amp;row=10270&amp;col=6&amp;number=3.6&amp;sourceID=14","3.6")</f>
        <v>3.6</v>
      </c>
      <c r="G10270" s="4" t="str">
        <f>HYPERLINK("http://141.218.60.56/~jnz1568/getInfo.php?workbook=12_05.xlsx&amp;sheet=U0&amp;row=10270&amp;col=7&amp;number=0.0121&amp;sourceID=14","0.0121")</f>
        <v>0.0121</v>
      </c>
    </row>
    <row r="10271" spans="1:7">
      <c r="A10271" s="3"/>
      <c r="B10271" s="3"/>
      <c r="C10271" s="3"/>
      <c r="D10271" s="3"/>
      <c r="E10271" s="3">
        <v>8</v>
      </c>
      <c r="F10271" s="4" t="str">
        <f>HYPERLINK("http://141.218.60.56/~jnz1568/getInfo.php?workbook=12_05.xlsx&amp;sheet=U0&amp;row=10271&amp;col=6&amp;number=3.7&amp;sourceID=14","3.7")</f>
        <v>3.7</v>
      </c>
      <c r="G10271" s="4" t="str">
        <f>HYPERLINK("http://141.218.60.56/~jnz1568/getInfo.php?workbook=12_05.xlsx&amp;sheet=U0&amp;row=10271&amp;col=7&amp;number=0.0121&amp;sourceID=14","0.0121")</f>
        <v>0.0121</v>
      </c>
    </row>
    <row r="10272" spans="1:7">
      <c r="A10272" s="3"/>
      <c r="B10272" s="3"/>
      <c r="C10272" s="3"/>
      <c r="D10272" s="3"/>
      <c r="E10272" s="3">
        <v>9</v>
      </c>
      <c r="F10272" s="4" t="str">
        <f>HYPERLINK("http://141.218.60.56/~jnz1568/getInfo.php?workbook=12_05.xlsx&amp;sheet=U0&amp;row=10272&amp;col=6&amp;number=3.8&amp;sourceID=14","3.8")</f>
        <v>3.8</v>
      </c>
      <c r="G10272" s="4" t="str">
        <f>HYPERLINK("http://141.218.60.56/~jnz1568/getInfo.php?workbook=12_05.xlsx&amp;sheet=U0&amp;row=10272&amp;col=7&amp;number=0.012&amp;sourceID=14","0.012")</f>
        <v>0.012</v>
      </c>
    </row>
    <row r="10273" spans="1:7">
      <c r="A10273" s="3"/>
      <c r="B10273" s="3"/>
      <c r="C10273" s="3"/>
      <c r="D10273" s="3"/>
      <c r="E10273" s="3">
        <v>10</v>
      </c>
      <c r="F10273" s="4" t="str">
        <f>HYPERLINK("http://141.218.60.56/~jnz1568/getInfo.php?workbook=12_05.xlsx&amp;sheet=U0&amp;row=10273&amp;col=6&amp;number=3.9&amp;sourceID=14","3.9")</f>
        <v>3.9</v>
      </c>
      <c r="G10273" s="4" t="str">
        <f>HYPERLINK("http://141.218.60.56/~jnz1568/getInfo.php?workbook=12_05.xlsx&amp;sheet=U0&amp;row=10273&amp;col=7&amp;number=0.012&amp;sourceID=14","0.012")</f>
        <v>0.012</v>
      </c>
    </row>
    <row r="10274" spans="1:7">
      <c r="A10274" s="3"/>
      <c r="B10274" s="3"/>
      <c r="C10274" s="3"/>
      <c r="D10274" s="3"/>
      <c r="E10274" s="3">
        <v>11</v>
      </c>
      <c r="F10274" s="4" t="str">
        <f>HYPERLINK("http://141.218.60.56/~jnz1568/getInfo.php?workbook=12_05.xlsx&amp;sheet=U0&amp;row=10274&amp;col=6&amp;number=4&amp;sourceID=14","4")</f>
        <v>4</v>
      </c>
      <c r="G10274" s="4" t="str">
        <f>HYPERLINK("http://141.218.60.56/~jnz1568/getInfo.php?workbook=12_05.xlsx&amp;sheet=U0&amp;row=10274&amp;col=7&amp;number=0.012&amp;sourceID=14","0.012")</f>
        <v>0.012</v>
      </c>
    </row>
    <row r="10275" spans="1:7">
      <c r="A10275" s="3"/>
      <c r="B10275" s="3"/>
      <c r="C10275" s="3"/>
      <c r="D10275" s="3"/>
      <c r="E10275" s="3">
        <v>12</v>
      </c>
      <c r="F10275" s="4" t="str">
        <f>HYPERLINK("http://141.218.60.56/~jnz1568/getInfo.php?workbook=12_05.xlsx&amp;sheet=U0&amp;row=10275&amp;col=6&amp;number=4.1&amp;sourceID=14","4.1")</f>
        <v>4.1</v>
      </c>
      <c r="G10275" s="4" t="str">
        <f>HYPERLINK("http://141.218.60.56/~jnz1568/getInfo.php?workbook=12_05.xlsx&amp;sheet=U0&amp;row=10275&amp;col=7&amp;number=0.012&amp;sourceID=14","0.012")</f>
        <v>0.012</v>
      </c>
    </row>
    <row r="10276" spans="1:7">
      <c r="A10276" s="3"/>
      <c r="B10276" s="3"/>
      <c r="C10276" s="3"/>
      <c r="D10276" s="3"/>
      <c r="E10276" s="3">
        <v>13</v>
      </c>
      <c r="F10276" s="4" t="str">
        <f>HYPERLINK("http://141.218.60.56/~jnz1568/getInfo.php?workbook=12_05.xlsx&amp;sheet=U0&amp;row=10276&amp;col=6&amp;number=4.2&amp;sourceID=14","4.2")</f>
        <v>4.2</v>
      </c>
      <c r="G10276" s="4" t="str">
        <f>HYPERLINK("http://141.218.60.56/~jnz1568/getInfo.php?workbook=12_05.xlsx&amp;sheet=U0&amp;row=10276&amp;col=7&amp;number=0.012&amp;sourceID=14","0.012")</f>
        <v>0.012</v>
      </c>
    </row>
    <row r="10277" spans="1:7">
      <c r="A10277" s="3"/>
      <c r="B10277" s="3"/>
      <c r="C10277" s="3"/>
      <c r="D10277" s="3"/>
      <c r="E10277" s="3">
        <v>14</v>
      </c>
      <c r="F10277" s="4" t="str">
        <f>HYPERLINK("http://141.218.60.56/~jnz1568/getInfo.php?workbook=12_05.xlsx&amp;sheet=U0&amp;row=10277&amp;col=6&amp;number=4.3&amp;sourceID=14","4.3")</f>
        <v>4.3</v>
      </c>
      <c r="G10277" s="4" t="str">
        <f>HYPERLINK("http://141.218.60.56/~jnz1568/getInfo.php?workbook=12_05.xlsx&amp;sheet=U0&amp;row=10277&amp;col=7&amp;number=0.0119&amp;sourceID=14","0.0119")</f>
        <v>0.0119</v>
      </c>
    </row>
    <row r="10278" spans="1:7">
      <c r="A10278" s="3"/>
      <c r="B10278" s="3"/>
      <c r="C10278" s="3"/>
      <c r="D10278" s="3"/>
      <c r="E10278" s="3">
        <v>15</v>
      </c>
      <c r="F10278" s="4" t="str">
        <f>HYPERLINK("http://141.218.60.56/~jnz1568/getInfo.php?workbook=12_05.xlsx&amp;sheet=U0&amp;row=10278&amp;col=6&amp;number=4.4&amp;sourceID=14","4.4")</f>
        <v>4.4</v>
      </c>
      <c r="G10278" s="4" t="str">
        <f>HYPERLINK("http://141.218.60.56/~jnz1568/getInfo.php?workbook=12_05.xlsx&amp;sheet=U0&amp;row=10278&amp;col=7&amp;number=0.0119&amp;sourceID=14","0.0119")</f>
        <v>0.0119</v>
      </c>
    </row>
    <row r="10279" spans="1:7">
      <c r="A10279" s="3"/>
      <c r="B10279" s="3"/>
      <c r="C10279" s="3"/>
      <c r="D10279" s="3"/>
      <c r="E10279" s="3">
        <v>16</v>
      </c>
      <c r="F10279" s="4" t="str">
        <f>HYPERLINK("http://141.218.60.56/~jnz1568/getInfo.php?workbook=12_05.xlsx&amp;sheet=U0&amp;row=10279&amp;col=6&amp;number=4.5&amp;sourceID=14","4.5")</f>
        <v>4.5</v>
      </c>
      <c r="G10279" s="4" t="str">
        <f>HYPERLINK("http://141.218.60.56/~jnz1568/getInfo.php?workbook=12_05.xlsx&amp;sheet=U0&amp;row=10279&amp;col=7&amp;number=0.0118&amp;sourceID=14","0.0118")</f>
        <v>0.0118</v>
      </c>
    </row>
    <row r="10280" spans="1:7">
      <c r="A10280" s="3"/>
      <c r="B10280" s="3"/>
      <c r="C10280" s="3"/>
      <c r="D10280" s="3"/>
      <c r="E10280" s="3">
        <v>17</v>
      </c>
      <c r="F10280" s="4" t="str">
        <f>HYPERLINK("http://141.218.60.56/~jnz1568/getInfo.php?workbook=12_05.xlsx&amp;sheet=U0&amp;row=10280&amp;col=6&amp;number=4.6&amp;sourceID=14","4.6")</f>
        <v>4.6</v>
      </c>
      <c r="G10280" s="4" t="str">
        <f>HYPERLINK("http://141.218.60.56/~jnz1568/getInfo.php?workbook=12_05.xlsx&amp;sheet=U0&amp;row=10280&amp;col=7&amp;number=0.0117&amp;sourceID=14","0.0117")</f>
        <v>0.0117</v>
      </c>
    </row>
    <row r="10281" spans="1:7">
      <c r="A10281" s="3"/>
      <c r="B10281" s="3"/>
      <c r="C10281" s="3"/>
      <c r="D10281" s="3"/>
      <c r="E10281" s="3">
        <v>18</v>
      </c>
      <c r="F10281" s="4" t="str">
        <f>HYPERLINK("http://141.218.60.56/~jnz1568/getInfo.php?workbook=12_05.xlsx&amp;sheet=U0&amp;row=10281&amp;col=6&amp;number=4.7&amp;sourceID=14","4.7")</f>
        <v>4.7</v>
      </c>
      <c r="G10281" s="4" t="str">
        <f>HYPERLINK("http://141.218.60.56/~jnz1568/getInfo.php?workbook=12_05.xlsx&amp;sheet=U0&amp;row=10281&amp;col=7&amp;number=0.0116&amp;sourceID=14","0.0116")</f>
        <v>0.0116</v>
      </c>
    </row>
    <row r="10282" spans="1:7">
      <c r="A10282" s="3"/>
      <c r="B10282" s="3"/>
      <c r="C10282" s="3"/>
      <c r="D10282" s="3"/>
      <c r="E10282" s="3">
        <v>19</v>
      </c>
      <c r="F10282" s="4" t="str">
        <f>HYPERLINK("http://141.218.60.56/~jnz1568/getInfo.php?workbook=12_05.xlsx&amp;sheet=U0&amp;row=10282&amp;col=6&amp;number=4.8&amp;sourceID=14","4.8")</f>
        <v>4.8</v>
      </c>
      <c r="G10282" s="4" t="str">
        <f>HYPERLINK("http://141.218.60.56/~jnz1568/getInfo.php?workbook=12_05.xlsx&amp;sheet=U0&amp;row=10282&amp;col=7&amp;number=0.0115&amp;sourceID=14","0.0115")</f>
        <v>0.0115</v>
      </c>
    </row>
    <row r="10283" spans="1:7">
      <c r="A10283" s="3"/>
      <c r="B10283" s="3"/>
      <c r="C10283" s="3"/>
      <c r="D10283" s="3"/>
      <c r="E10283" s="3">
        <v>20</v>
      </c>
      <c r="F10283" s="4" t="str">
        <f>HYPERLINK("http://141.218.60.56/~jnz1568/getInfo.php?workbook=12_05.xlsx&amp;sheet=U0&amp;row=10283&amp;col=6&amp;number=4.9&amp;sourceID=14","4.9")</f>
        <v>4.9</v>
      </c>
      <c r="G10283" s="4" t="str">
        <f>HYPERLINK("http://141.218.60.56/~jnz1568/getInfo.php?workbook=12_05.xlsx&amp;sheet=U0&amp;row=10283&amp;col=7&amp;number=0.0114&amp;sourceID=14","0.0114")</f>
        <v>0.0114</v>
      </c>
    </row>
    <row r="10284" spans="1:7">
      <c r="A10284" s="3">
        <v>12</v>
      </c>
      <c r="B10284" s="3">
        <v>5</v>
      </c>
      <c r="C10284" s="3">
        <v>5</v>
      </c>
      <c r="D10284" s="3">
        <v>90</v>
      </c>
      <c r="E10284" s="3">
        <v>1</v>
      </c>
      <c r="F10284" s="4" t="str">
        <f>HYPERLINK("http://141.218.60.56/~jnz1568/getInfo.php?workbook=12_05.xlsx&amp;sheet=U0&amp;row=10284&amp;col=6&amp;number=3&amp;sourceID=14","3")</f>
        <v>3</v>
      </c>
      <c r="G10284" s="4" t="str">
        <f>HYPERLINK("http://141.218.60.56/~jnz1568/getInfo.php?workbook=12_05.xlsx&amp;sheet=U0&amp;row=10284&amp;col=7&amp;number=0.00865&amp;sourceID=14","0.00865")</f>
        <v>0.00865</v>
      </c>
    </row>
    <row r="10285" spans="1:7">
      <c r="A10285" s="3"/>
      <c r="B10285" s="3"/>
      <c r="C10285" s="3"/>
      <c r="D10285" s="3"/>
      <c r="E10285" s="3">
        <v>2</v>
      </c>
      <c r="F10285" s="4" t="str">
        <f>HYPERLINK("http://141.218.60.56/~jnz1568/getInfo.php?workbook=12_05.xlsx&amp;sheet=U0&amp;row=10285&amp;col=6&amp;number=3.1&amp;sourceID=14","3.1")</f>
        <v>3.1</v>
      </c>
      <c r="G10285" s="4" t="str">
        <f>HYPERLINK("http://141.218.60.56/~jnz1568/getInfo.php?workbook=12_05.xlsx&amp;sheet=U0&amp;row=10285&amp;col=7&amp;number=0.00865&amp;sourceID=14","0.00865")</f>
        <v>0.00865</v>
      </c>
    </row>
    <row r="10286" spans="1:7">
      <c r="A10286" s="3"/>
      <c r="B10286" s="3"/>
      <c r="C10286" s="3"/>
      <c r="D10286" s="3"/>
      <c r="E10286" s="3">
        <v>3</v>
      </c>
      <c r="F10286" s="4" t="str">
        <f>HYPERLINK("http://141.218.60.56/~jnz1568/getInfo.php?workbook=12_05.xlsx&amp;sheet=U0&amp;row=10286&amp;col=6&amp;number=3.2&amp;sourceID=14","3.2")</f>
        <v>3.2</v>
      </c>
      <c r="G10286" s="4" t="str">
        <f>HYPERLINK("http://141.218.60.56/~jnz1568/getInfo.php?workbook=12_05.xlsx&amp;sheet=U0&amp;row=10286&amp;col=7&amp;number=0.00865&amp;sourceID=14","0.00865")</f>
        <v>0.00865</v>
      </c>
    </row>
    <row r="10287" spans="1:7">
      <c r="A10287" s="3"/>
      <c r="B10287" s="3"/>
      <c r="C10287" s="3"/>
      <c r="D10287" s="3"/>
      <c r="E10287" s="3">
        <v>4</v>
      </c>
      <c r="F10287" s="4" t="str">
        <f>HYPERLINK("http://141.218.60.56/~jnz1568/getInfo.php?workbook=12_05.xlsx&amp;sheet=U0&amp;row=10287&amp;col=6&amp;number=3.3&amp;sourceID=14","3.3")</f>
        <v>3.3</v>
      </c>
      <c r="G10287" s="4" t="str">
        <f>HYPERLINK("http://141.218.60.56/~jnz1568/getInfo.php?workbook=12_05.xlsx&amp;sheet=U0&amp;row=10287&amp;col=7&amp;number=0.00865&amp;sourceID=14","0.00865")</f>
        <v>0.00865</v>
      </c>
    </row>
    <row r="10288" spans="1:7">
      <c r="A10288" s="3"/>
      <c r="B10288" s="3"/>
      <c r="C10288" s="3"/>
      <c r="D10288" s="3"/>
      <c r="E10288" s="3">
        <v>5</v>
      </c>
      <c r="F10288" s="4" t="str">
        <f>HYPERLINK("http://141.218.60.56/~jnz1568/getInfo.php?workbook=12_05.xlsx&amp;sheet=U0&amp;row=10288&amp;col=6&amp;number=3.4&amp;sourceID=14","3.4")</f>
        <v>3.4</v>
      </c>
      <c r="G10288" s="4" t="str">
        <f>HYPERLINK("http://141.218.60.56/~jnz1568/getInfo.php?workbook=12_05.xlsx&amp;sheet=U0&amp;row=10288&amp;col=7&amp;number=0.00864&amp;sourceID=14","0.00864")</f>
        <v>0.00864</v>
      </c>
    </row>
    <row r="10289" spans="1:7">
      <c r="A10289" s="3"/>
      <c r="B10289" s="3"/>
      <c r="C10289" s="3"/>
      <c r="D10289" s="3"/>
      <c r="E10289" s="3">
        <v>6</v>
      </c>
      <c r="F10289" s="4" t="str">
        <f>HYPERLINK("http://141.218.60.56/~jnz1568/getInfo.php?workbook=12_05.xlsx&amp;sheet=U0&amp;row=10289&amp;col=6&amp;number=3.5&amp;sourceID=14","3.5")</f>
        <v>3.5</v>
      </c>
      <c r="G10289" s="4" t="str">
        <f>HYPERLINK("http://141.218.60.56/~jnz1568/getInfo.php?workbook=12_05.xlsx&amp;sheet=U0&amp;row=10289&amp;col=7&amp;number=0.00864&amp;sourceID=14","0.00864")</f>
        <v>0.00864</v>
      </c>
    </row>
    <row r="10290" spans="1:7">
      <c r="A10290" s="3"/>
      <c r="B10290" s="3"/>
      <c r="C10290" s="3"/>
      <c r="D10290" s="3"/>
      <c r="E10290" s="3">
        <v>7</v>
      </c>
      <c r="F10290" s="4" t="str">
        <f>HYPERLINK("http://141.218.60.56/~jnz1568/getInfo.php?workbook=12_05.xlsx&amp;sheet=U0&amp;row=10290&amp;col=6&amp;number=3.6&amp;sourceID=14","3.6")</f>
        <v>3.6</v>
      </c>
      <c r="G10290" s="4" t="str">
        <f>HYPERLINK("http://141.218.60.56/~jnz1568/getInfo.php?workbook=12_05.xlsx&amp;sheet=U0&amp;row=10290&amp;col=7&amp;number=0.00863&amp;sourceID=14","0.00863")</f>
        <v>0.00863</v>
      </c>
    </row>
    <row r="10291" spans="1:7">
      <c r="A10291" s="3"/>
      <c r="B10291" s="3"/>
      <c r="C10291" s="3"/>
      <c r="D10291" s="3"/>
      <c r="E10291" s="3">
        <v>8</v>
      </c>
      <c r="F10291" s="4" t="str">
        <f>HYPERLINK("http://141.218.60.56/~jnz1568/getInfo.php?workbook=12_05.xlsx&amp;sheet=U0&amp;row=10291&amp;col=6&amp;number=3.7&amp;sourceID=14","3.7")</f>
        <v>3.7</v>
      </c>
      <c r="G10291" s="4" t="str">
        <f>HYPERLINK("http://141.218.60.56/~jnz1568/getInfo.php?workbook=12_05.xlsx&amp;sheet=U0&amp;row=10291&amp;col=7&amp;number=0.00862&amp;sourceID=14","0.00862")</f>
        <v>0.00862</v>
      </c>
    </row>
    <row r="10292" spans="1:7">
      <c r="A10292" s="3"/>
      <c r="B10292" s="3"/>
      <c r="C10292" s="3"/>
      <c r="D10292" s="3"/>
      <c r="E10292" s="3">
        <v>9</v>
      </c>
      <c r="F10292" s="4" t="str">
        <f>HYPERLINK("http://141.218.60.56/~jnz1568/getInfo.php?workbook=12_05.xlsx&amp;sheet=U0&amp;row=10292&amp;col=6&amp;number=3.8&amp;sourceID=14","3.8")</f>
        <v>3.8</v>
      </c>
      <c r="G10292" s="4" t="str">
        <f>HYPERLINK("http://141.218.60.56/~jnz1568/getInfo.php?workbook=12_05.xlsx&amp;sheet=U0&amp;row=10292&amp;col=7&amp;number=0.00861&amp;sourceID=14","0.00861")</f>
        <v>0.00861</v>
      </c>
    </row>
    <row r="10293" spans="1:7">
      <c r="A10293" s="3"/>
      <c r="B10293" s="3"/>
      <c r="C10293" s="3"/>
      <c r="D10293" s="3"/>
      <c r="E10293" s="3">
        <v>10</v>
      </c>
      <c r="F10293" s="4" t="str">
        <f>HYPERLINK("http://141.218.60.56/~jnz1568/getInfo.php?workbook=12_05.xlsx&amp;sheet=U0&amp;row=10293&amp;col=6&amp;number=3.9&amp;sourceID=14","3.9")</f>
        <v>3.9</v>
      </c>
      <c r="G10293" s="4" t="str">
        <f>HYPERLINK("http://141.218.60.56/~jnz1568/getInfo.php?workbook=12_05.xlsx&amp;sheet=U0&amp;row=10293&amp;col=7&amp;number=0.0086&amp;sourceID=14","0.0086")</f>
        <v>0.0086</v>
      </c>
    </row>
    <row r="10294" spans="1:7">
      <c r="A10294" s="3"/>
      <c r="B10294" s="3"/>
      <c r="C10294" s="3"/>
      <c r="D10294" s="3"/>
      <c r="E10294" s="3">
        <v>11</v>
      </c>
      <c r="F10294" s="4" t="str">
        <f>HYPERLINK("http://141.218.60.56/~jnz1568/getInfo.php?workbook=12_05.xlsx&amp;sheet=U0&amp;row=10294&amp;col=6&amp;number=4&amp;sourceID=14","4")</f>
        <v>4</v>
      </c>
      <c r="G10294" s="4" t="str">
        <f>HYPERLINK("http://141.218.60.56/~jnz1568/getInfo.php?workbook=12_05.xlsx&amp;sheet=U0&amp;row=10294&amp;col=7&amp;number=0.00858&amp;sourceID=14","0.00858")</f>
        <v>0.00858</v>
      </c>
    </row>
    <row r="10295" spans="1:7">
      <c r="A10295" s="3"/>
      <c r="B10295" s="3"/>
      <c r="C10295" s="3"/>
      <c r="D10295" s="3"/>
      <c r="E10295" s="3">
        <v>12</v>
      </c>
      <c r="F10295" s="4" t="str">
        <f>HYPERLINK("http://141.218.60.56/~jnz1568/getInfo.php?workbook=12_05.xlsx&amp;sheet=U0&amp;row=10295&amp;col=6&amp;number=4.1&amp;sourceID=14","4.1")</f>
        <v>4.1</v>
      </c>
      <c r="G10295" s="4" t="str">
        <f>HYPERLINK("http://141.218.60.56/~jnz1568/getInfo.php?workbook=12_05.xlsx&amp;sheet=U0&amp;row=10295&amp;col=7&amp;number=0.00856&amp;sourceID=14","0.00856")</f>
        <v>0.00856</v>
      </c>
    </row>
    <row r="10296" spans="1:7">
      <c r="A10296" s="3"/>
      <c r="B10296" s="3"/>
      <c r="C10296" s="3"/>
      <c r="D10296" s="3"/>
      <c r="E10296" s="3">
        <v>13</v>
      </c>
      <c r="F10296" s="4" t="str">
        <f>HYPERLINK("http://141.218.60.56/~jnz1568/getInfo.php?workbook=12_05.xlsx&amp;sheet=U0&amp;row=10296&amp;col=6&amp;number=4.2&amp;sourceID=14","4.2")</f>
        <v>4.2</v>
      </c>
      <c r="G10296" s="4" t="str">
        <f>HYPERLINK("http://141.218.60.56/~jnz1568/getInfo.php?workbook=12_05.xlsx&amp;sheet=U0&amp;row=10296&amp;col=7&amp;number=0.00853&amp;sourceID=14","0.00853")</f>
        <v>0.00853</v>
      </c>
    </row>
    <row r="10297" spans="1:7">
      <c r="A10297" s="3"/>
      <c r="B10297" s="3"/>
      <c r="C10297" s="3"/>
      <c r="D10297" s="3"/>
      <c r="E10297" s="3">
        <v>14</v>
      </c>
      <c r="F10297" s="4" t="str">
        <f>HYPERLINK("http://141.218.60.56/~jnz1568/getInfo.php?workbook=12_05.xlsx&amp;sheet=U0&amp;row=10297&amp;col=6&amp;number=4.3&amp;sourceID=14","4.3")</f>
        <v>4.3</v>
      </c>
      <c r="G10297" s="4" t="str">
        <f>HYPERLINK("http://141.218.60.56/~jnz1568/getInfo.php?workbook=12_05.xlsx&amp;sheet=U0&amp;row=10297&amp;col=7&amp;number=0.0085&amp;sourceID=14","0.0085")</f>
        <v>0.0085</v>
      </c>
    </row>
    <row r="10298" spans="1:7">
      <c r="A10298" s="3"/>
      <c r="B10298" s="3"/>
      <c r="C10298" s="3"/>
      <c r="D10298" s="3"/>
      <c r="E10298" s="3">
        <v>15</v>
      </c>
      <c r="F10298" s="4" t="str">
        <f>HYPERLINK("http://141.218.60.56/~jnz1568/getInfo.php?workbook=12_05.xlsx&amp;sheet=U0&amp;row=10298&amp;col=6&amp;number=4.4&amp;sourceID=14","4.4")</f>
        <v>4.4</v>
      </c>
      <c r="G10298" s="4" t="str">
        <f>HYPERLINK("http://141.218.60.56/~jnz1568/getInfo.php?workbook=12_05.xlsx&amp;sheet=U0&amp;row=10298&amp;col=7&amp;number=0.00846&amp;sourceID=14","0.00846")</f>
        <v>0.00846</v>
      </c>
    </row>
    <row r="10299" spans="1:7">
      <c r="A10299" s="3"/>
      <c r="B10299" s="3"/>
      <c r="C10299" s="3"/>
      <c r="D10299" s="3"/>
      <c r="E10299" s="3">
        <v>16</v>
      </c>
      <c r="F10299" s="4" t="str">
        <f>HYPERLINK("http://141.218.60.56/~jnz1568/getInfo.php?workbook=12_05.xlsx&amp;sheet=U0&amp;row=10299&amp;col=6&amp;number=4.5&amp;sourceID=14","4.5")</f>
        <v>4.5</v>
      </c>
      <c r="G10299" s="4" t="str">
        <f>HYPERLINK("http://141.218.60.56/~jnz1568/getInfo.php?workbook=12_05.xlsx&amp;sheet=U0&amp;row=10299&amp;col=7&amp;number=0.0084&amp;sourceID=14","0.0084")</f>
        <v>0.0084</v>
      </c>
    </row>
    <row r="10300" spans="1:7">
      <c r="A10300" s="3"/>
      <c r="B10300" s="3"/>
      <c r="C10300" s="3"/>
      <c r="D10300" s="3"/>
      <c r="E10300" s="3">
        <v>17</v>
      </c>
      <c r="F10300" s="4" t="str">
        <f>HYPERLINK("http://141.218.60.56/~jnz1568/getInfo.php?workbook=12_05.xlsx&amp;sheet=U0&amp;row=10300&amp;col=6&amp;number=4.6&amp;sourceID=14","4.6")</f>
        <v>4.6</v>
      </c>
      <c r="G10300" s="4" t="str">
        <f>HYPERLINK("http://141.218.60.56/~jnz1568/getInfo.php?workbook=12_05.xlsx&amp;sheet=U0&amp;row=10300&amp;col=7&amp;number=0.00834&amp;sourceID=14","0.00834")</f>
        <v>0.00834</v>
      </c>
    </row>
    <row r="10301" spans="1:7">
      <c r="A10301" s="3"/>
      <c r="B10301" s="3"/>
      <c r="C10301" s="3"/>
      <c r="D10301" s="3"/>
      <c r="E10301" s="3">
        <v>18</v>
      </c>
      <c r="F10301" s="4" t="str">
        <f>HYPERLINK("http://141.218.60.56/~jnz1568/getInfo.php?workbook=12_05.xlsx&amp;sheet=U0&amp;row=10301&amp;col=6&amp;number=4.7&amp;sourceID=14","4.7")</f>
        <v>4.7</v>
      </c>
      <c r="G10301" s="4" t="str">
        <f>HYPERLINK("http://141.218.60.56/~jnz1568/getInfo.php?workbook=12_05.xlsx&amp;sheet=U0&amp;row=10301&amp;col=7&amp;number=0.00826&amp;sourceID=14","0.00826")</f>
        <v>0.00826</v>
      </c>
    </row>
    <row r="10302" spans="1:7">
      <c r="A10302" s="3"/>
      <c r="B10302" s="3"/>
      <c r="C10302" s="3"/>
      <c r="D10302" s="3"/>
      <c r="E10302" s="3">
        <v>19</v>
      </c>
      <c r="F10302" s="4" t="str">
        <f>HYPERLINK("http://141.218.60.56/~jnz1568/getInfo.php?workbook=12_05.xlsx&amp;sheet=U0&amp;row=10302&amp;col=6&amp;number=4.8&amp;sourceID=14","4.8")</f>
        <v>4.8</v>
      </c>
      <c r="G10302" s="4" t="str">
        <f>HYPERLINK("http://141.218.60.56/~jnz1568/getInfo.php?workbook=12_05.xlsx&amp;sheet=U0&amp;row=10302&amp;col=7&amp;number=0.00815&amp;sourceID=14","0.00815")</f>
        <v>0.00815</v>
      </c>
    </row>
    <row r="10303" spans="1:7">
      <c r="A10303" s="3"/>
      <c r="B10303" s="3"/>
      <c r="C10303" s="3"/>
      <c r="D10303" s="3"/>
      <c r="E10303" s="3">
        <v>20</v>
      </c>
      <c r="F10303" s="4" t="str">
        <f>HYPERLINK("http://141.218.60.56/~jnz1568/getInfo.php?workbook=12_05.xlsx&amp;sheet=U0&amp;row=10303&amp;col=6&amp;number=4.9&amp;sourceID=14","4.9")</f>
        <v>4.9</v>
      </c>
      <c r="G10303" s="4" t="str">
        <f>HYPERLINK("http://141.218.60.56/~jnz1568/getInfo.php?workbook=12_05.xlsx&amp;sheet=U0&amp;row=10303&amp;col=7&amp;number=0.00803&amp;sourceID=14","0.00803")</f>
        <v>0.00803</v>
      </c>
    </row>
    <row r="10304" spans="1:7">
      <c r="A10304" s="3">
        <v>12</v>
      </c>
      <c r="B10304" s="3">
        <v>5</v>
      </c>
      <c r="C10304" s="3">
        <v>5</v>
      </c>
      <c r="D10304" s="3">
        <v>91</v>
      </c>
      <c r="E10304" s="3">
        <v>1</v>
      </c>
      <c r="F10304" s="4" t="str">
        <f>HYPERLINK("http://141.218.60.56/~jnz1568/getInfo.php?workbook=12_05.xlsx&amp;sheet=U0&amp;row=10304&amp;col=6&amp;number=3&amp;sourceID=14","3")</f>
        <v>3</v>
      </c>
      <c r="G10304" s="4" t="str">
        <f>HYPERLINK("http://141.218.60.56/~jnz1568/getInfo.php?workbook=12_05.xlsx&amp;sheet=U0&amp;row=10304&amp;col=7&amp;number=0.026&amp;sourceID=14","0.026")</f>
        <v>0.026</v>
      </c>
    </row>
    <row r="10305" spans="1:7">
      <c r="A10305" s="3"/>
      <c r="B10305" s="3"/>
      <c r="C10305" s="3"/>
      <c r="D10305" s="3"/>
      <c r="E10305" s="3">
        <v>2</v>
      </c>
      <c r="F10305" s="4" t="str">
        <f>HYPERLINK("http://141.218.60.56/~jnz1568/getInfo.php?workbook=12_05.xlsx&amp;sheet=U0&amp;row=10305&amp;col=6&amp;number=3.1&amp;sourceID=14","3.1")</f>
        <v>3.1</v>
      </c>
      <c r="G10305" s="4" t="str">
        <f>HYPERLINK("http://141.218.60.56/~jnz1568/getInfo.php?workbook=12_05.xlsx&amp;sheet=U0&amp;row=10305&amp;col=7&amp;number=0.026&amp;sourceID=14","0.026")</f>
        <v>0.026</v>
      </c>
    </row>
    <row r="10306" spans="1:7">
      <c r="A10306" s="3"/>
      <c r="B10306" s="3"/>
      <c r="C10306" s="3"/>
      <c r="D10306" s="3"/>
      <c r="E10306" s="3">
        <v>3</v>
      </c>
      <c r="F10306" s="4" t="str">
        <f>HYPERLINK("http://141.218.60.56/~jnz1568/getInfo.php?workbook=12_05.xlsx&amp;sheet=U0&amp;row=10306&amp;col=6&amp;number=3.2&amp;sourceID=14","3.2")</f>
        <v>3.2</v>
      </c>
      <c r="G10306" s="4" t="str">
        <f>HYPERLINK("http://141.218.60.56/~jnz1568/getInfo.php?workbook=12_05.xlsx&amp;sheet=U0&amp;row=10306&amp;col=7&amp;number=0.026&amp;sourceID=14","0.026")</f>
        <v>0.026</v>
      </c>
    </row>
    <row r="10307" spans="1:7">
      <c r="A10307" s="3"/>
      <c r="B10307" s="3"/>
      <c r="C10307" s="3"/>
      <c r="D10307" s="3"/>
      <c r="E10307" s="3">
        <v>4</v>
      </c>
      <c r="F10307" s="4" t="str">
        <f>HYPERLINK("http://141.218.60.56/~jnz1568/getInfo.php?workbook=12_05.xlsx&amp;sheet=U0&amp;row=10307&amp;col=6&amp;number=3.3&amp;sourceID=14","3.3")</f>
        <v>3.3</v>
      </c>
      <c r="G10307" s="4" t="str">
        <f>HYPERLINK("http://141.218.60.56/~jnz1568/getInfo.php?workbook=12_05.xlsx&amp;sheet=U0&amp;row=10307&amp;col=7&amp;number=0.026&amp;sourceID=14","0.026")</f>
        <v>0.026</v>
      </c>
    </row>
    <row r="10308" spans="1:7">
      <c r="A10308" s="3"/>
      <c r="B10308" s="3"/>
      <c r="C10308" s="3"/>
      <c r="D10308" s="3"/>
      <c r="E10308" s="3">
        <v>5</v>
      </c>
      <c r="F10308" s="4" t="str">
        <f>HYPERLINK("http://141.218.60.56/~jnz1568/getInfo.php?workbook=12_05.xlsx&amp;sheet=U0&amp;row=10308&amp;col=6&amp;number=3.4&amp;sourceID=14","3.4")</f>
        <v>3.4</v>
      </c>
      <c r="G10308" s="4" t="str">
        <f>HYPERLINK("http://141.218.60.56/~jnz1568/getInfo.php?workbook=12_05.xlsx&amp;sheet=U0&amp;row=10308&amp;col=7&amp;number=0.026&amp;sourceID=14","0.026")</f>
        <v>0.026</v>
      </c>
    </row>
    <row r="10309" spans="1:7">
      <c r="A10309" s="3"/>
      <c r="B10309" s="3"/>
      <c r="C10309" s="3"/>
      <c r="D10309" s="3"/>
      <c r="E10309" s="3">
        <v>6</v>
      </c>
      <c r="F10309" s="4" t="str">
        <f>HYPERLINK("http://141.218.60.56/~jnz1568/getInfo.php?workbook=12_05.xlsx&amp;sheet=U0&amp;row=10309&amp;col=6&amp;number=3.5&amp;sourceID=14","3.5")</f>
        <v>3.5</v>
      </c>
      <c r="G10309" s="4" t="str">
        <f>HYPERLINK("http://141.218.60.56/~jnz1568/getInfo.php?workbook=12_05.xlsx&amp;sheet=U0&amp;row=10309&amp;col=7&amp;number=0.026&amp;sourceID=14","0.026")</f>
        <v>0.026</v>
      </c>
    </row>
    <row r="10310" spans="1:7">
      <c r="A10310" s="3"/>
      <c r="B10310" s="3"/>
      <c r="C10310" s="3"/>
      <c r="D10310" s="3"/>
      <c r="E10310" s="3">
        <v>7</v>
      </c>
      <c r="F10310" s="4" t="str">
        <f>HYPERLINK("http://141.218.60.56/~jnz1568/getInfo.php?workbook=12_05.xlsx&amp;sheet=U0&amp;row=10310&amp;col=6&amp;number=3.6&amp;sourceID=14","3.6")</f>
        <v>3.6</v>
      </c>
      <c r="G10310" s="4" t="str">
        <f>HYPERLINK("http://141.218.60.56/~jnz1568/getInfo.php?workbook=12_05.xlsx&amp;sheet=U0&amp;row=10310&amp;col=7&amp;number=0.026&amp;sourceID=14","0.026")</f>
        <v>0.026</v>
      </c>
    </row>
    <row r="10311" spans="1:7">
      <c r="A10311" s="3"/>
      <c r="B10311" s="3"/>
      <c r="C10311" s="3"/>
      <c r="D10311" s="3"/>
      <c r="E10311" s="3">
        <v>8</v>
      </c>
      <c r="F10311" s="4" t="str">
        <f>HYPERLINK("http://141.218.60.56/~jnz1568/getInfo.php?workbook=12_05.xlsx&amp;sheet=U0&amp;row=10311&amp;col=6&amp;number=3.7&amp;sourceID=14","3.7")</f>
        <v>3.7</v>
      </c>
      <c r="G10311" s="4" t="str">
        <f>HYPERLINK("http://141.218.60.56/~jnz1568/getInfo.php?workbook=12_05.xlsx&amp;sheet=U0&amp;row=10311&amp;col=7&amp;number=0.026&amp;sourceID=14","0.026")</f>
        <v>0.026</v>
      </c>
    </row>
    <row r="10312" spans="1:7">
      <c r="A10312" s="3"/>
      <c r="B10312" s="3"/>
      <c r="C10312" s="3"/>
      <c r="D10312" s="3"/>
      <c r="E10312" s="3">
        <v>9</v>
      </c>
      <c r="F10312" s="4" t="str">
        <f>HYPERLINK("http://141.218.60.56/~jnz1568/getInfo.php?workbook=12_05.xlsx&amp;sheet=U0&amp;row=10312&amp;col=6&amp;number=3.8&amp;sourceID=14","3.8")</f>
        <v>3.8</v>
      </c>
      <c r="G10312" s="4" t="str">
        <f>HYPERLINK("http://141.218.60.56/~jnz1568/getInfo.php?workbook=12_05.xlsx&amp;sheet=U0&amp;row=10312&amp;col=7&amp;number=0.026&amp;sourceID=14","0.026")</f>
        <v>0.026</v>
      </c>
    </row>
    <row r="10313" spans="1:7">
      <c r="A10313" s="3"/>
      <c r="B10313" s="3"/>
      <c r="C10313" s="3"/>
      <c r="D10313" s="3"/>
      <c r="E10313" s="3">
        <v>10</v>
      </c>
      <c r="F10313" s="4" t="str">
        <f>HYPERLINK("http://141.218.60.56/~jnz1568/getInfo.php?workbook=12_05.xlsx&amp;sheet=U0&amp;row=10313&amp;col=6&amp;number=3.9&amp;sourceID=14","3.9")</f>
        <v>3.9</v>
      </c>
      <c r="G10313" s="4" t="str">
        <f>HYPERLINK("http://141.218.60.56/~jnz1568/getInfo.php?workbook=12_05.xlsx&amp;sheet=U0&amp;row=10313&amp;col=7&amp;number=0.026&amp;sourceID=14","0.026")</f>
        <v>0.026</v>
      </c>
    </row>
    <row r="10314" spans="1:7">
      <c r="A10314" s="3"/>
      <c r="B10314" s="3"/>
      <c r="C10314" s="3"/>
      <c r="D10314" s="3"/>
      <c r="E10314" s="3">
        <v>11</v>
      </c>
      <c r="F10314" s="4" t="str">
        <f>HYPERLINK("http://141.218.60.56/~jnz1568/getInfo.php?workbook=12_05.xlsx&amp;sheet=U0&amp;row=10314&amp;col=6&amp;number=4&amp;sourceID=14","4")</f>
        <v>4</v>
      </c>
      <c r="G10314" s="4" t="str">
        <f>HYPERLINK("http://141.218.60.56/~jnz1568/getInfo.php?workbook=12_05.xlsx&amp;sheet=U0&amp;row=10314&amp;col=7&amp;number=0.026&amp;sourceID=14","0.026")</f>
        <v>0.026</v>
      </c>
    </row>
    <row r="10315" spans="1:7">
      <c r="A10315" s="3"/>
      <c r="B10315" s="3"/>
      <c r="C10315" s="3"/>
      <c r="D10315" s="3"/>
      <c r="E10315" s="3">
        <v>12</v>
      </c>
      <c r="F10315" s="4" t="str">
        <f>HYPERLINK("http://141.218.60.56/~jnz1568/getInfo.php?workbook=12_05.xlsx&amp;sheet=U0&amp;row=10315&amp;col=6&amp;number=4.1&amp;sourceID=14","4.1")</f>
        <v>4.1</v>
      </c>
      <c r="G10315" s="4" t="str">
        <f>HYPERLINK("http://141.218.60.56/~jnz1568/getInfo.php?workbook=12_05.xlsx&amp;sheet=U0&amp;row=10315&amp;col=7&amp;number=0.0259&amp;sourceID=14","0.0259")</f>
        <v>0.0259</v>
      </c>
    </row>
    <row r="10316" spans="1:7">
      <c r="A10316" s="3"/>
      <c r="B10316" s="3"/>
      <c r="C10316" s="3"/>
      <c r="D10316" s="3"/>
      <c r="E10316" s="3">
        <v>13</v>
      </c>
      <c r="F10316" s="4" t="str">
        <f>HYPERLINK("http://141.218.60.56/~jnz1568/getInfo.php?workbook=12_05.xlsx&amp;sheet=U0&amp;row=10316&amp;col=6&amp;number=4.2&amp;sourceID=14","4.2")</f>
        <v>4.2</v>
      </c>
      <c r="G10316" s="4" t="str">
        <f>HYPERLINK("http://141.218.60.56/~jnz1568/getInfo.php?workbook=12_05.xlsx&amp;sheet=U0&amp;row=10316&amp;col=7&amp;number=0.0259&amp;sourceID=14","0.0259")</f>
        <v>0.0259</v>
      </c>
    </row>
    <row r="10317" spans="1:7">
      <c r="A10317" s="3"/>
      <c r="B10317" s="3"/>
      <c r="C10317" s="3"/>
      <c r="D10317" s="3"/>
      <c r="E10317" s="3">
        <v>14</v>
      </c>
      <c r="F10317" s="4" t="str">
        <f>HYPERLINK("http://141.218.60.56/~jnz1568/getInfo.php?workbook=12_05.xlsx&amp;sheet=U0&amp;row=10317&amp;col=6&amp;number=4.3&amp;sourceID=14","4.3")</f>
        <v>4.3</v>
      </c>
      <c r="G10317" s="4" t="str">
        <f>HYPERLINK("http://141.218.60.56/~jnz1568/getInfo.php?workbook=12_05.xlsx&amp;sheet=U0&amp;row=10317&amp;col=7&amp;number=0.0259&amp;sourceID=14","0.0259")</f>
        <v>0.0259</v>
      </c>
    </row>
    <row r="10318" spans="1:7">
      <c r="A10318" s="3"/>
      <c r="B10318" s="3"/>
      <c r="C10318" s="3"/>
      <c r="D10318" s="3"/>
      <c r="E10318" s="3">
        <v>15</v>
      </c>
      <c r="F10318" s="4" t="str">
        <f>HYPERLINK("http://141.218.60.56/~jnz1568/getInfo.php?workbook=12_05.xlsx&amp;sheet=U0&amp;row=10318&amp;col=6&amp;number=4.4&amp;sourceID=14","4.4")</f>
        <v>4.4</v>
      </c>
      <c r="G10318" s="4" t="str">
        <f>HYPERLINK("http://141.218.60.56/~jnz1568/getInfo.php?workbook=12_05.xlsx&amp;sheet=U0&amp;row=10318&amp;col=7&amp;number=0.0258&amp;sourceID=14","0.0258")</f>
        <v>0.0258</v>
      </c>
    </row>
    <row r="10319" spans="1:7">
      <c r="A10319" s="3"/>
      <c r="B10319" s="3"/>
      <c r="C10319" s="3"/>
      <c r="D10319" s="3"/>
      <c r="E10319" s="3">
        <v>16</v>
      </c>
      <c r="F10319" s="4" t="str">
        <f>HYPERLINK("http://141.218.60.56/~jnz1568/getInfo.php?workbook=12_05.xlsx&amp;sheet=U0&amp;row=10319&amp;col=6&amp;number=4.5&amp;sourceID=14","4.5")</f>
        <v>4.5</v>
      </c>
      <c r="G10319" s="4" t="str">
        <f>HYPERLINK("http://141.218.60.56/~jnz1568/getInfo.php?workbook=12_05.xlsx&amp;sheet=U0&amp;row=10319&amp;col=7&amp;number=0.0258&amp;sourceID=14","0.0258")</f>
        <v>0.0258</v>
      </c>
    </row>
    <row r="10320" spans="1:7">
      <c r="A10320" s="3"/>
      <c r="B10320" s="3"/>
      <c r="C10320" s="3"/>
      <c r="D10320" s="3"/>
      <c r="E10320" s="3">
        <v>17</v>
      </c>
      <c r="F10320" s="4" t="str">
        <f>HYPERLINK("http://141.218.60.56/~jnz1568/getInfo.php?workbook=12_05.xlsx&amp;sheet=U0&amp;row=10320&amp;col=6&amp;number=4.6&amp;sourceID=14","4.6")</f>
        <v>4.6</v>
      </c>
      <c r="G10320" s="4" t="str">
        <f>HYPERLINK("http://141.218.60.56/~jnz1568/getInfo.php?workbook=12_05.xlsx&amp;sheet=U0&amp;row=10320&amp;col=7&amp;number=0.0257&amp;sourceID=14","0.0257")</f>
        <v>0.0257</v>
      </c>
    </row>
    <row r="10321" spans="1:7">
      <c r="A10321" s="3"/>
      <c r="B10321" s="3"/>
      <c r="C10321" s="3"/>
      <c r="D10321" s="3"/>
      <c r="E10321" s="3">
        <v>18</v>
      </c>
      <c r="F10321" s="4" t="str">
        <f>HYPERLINK("http://141.218.60.56/~jnz1568/getInfo.php?workbook=12_05.xlsx&amp;sheet=U0&amp;row=10321&amp;col=6&amp;number=4.7&amp;sourceID=14","4.7")</f>
        <v>4.7</v>
      </c>
      <c r="G10321" s="4" t="str">
        <f>HYPERLINK("http://141.218.60.56/~jnz1568/getInfo.php?workbook=12_05.xlsx&amp;sheet=U0&amp;row=10321&amp;col=7&amp;number=0.0257&amp;sourceID=14","0.0257")</f>
        <v>0.0257</v>
      </c>
    </row>
    <row r="10322" spans="1:7">
      <c r="A10322" s="3"/>
      <c r="B10322" s="3"/>
      <c r="C10322" s="3"/>
      <c r="D10322" s="3"/>
      <c r="E10322" s="3">
        <v>19</v>
      </c>
      <c r="F10322" s="4" t="str">
        <f>HYPERLINK("http://141.218.60.56/~jnz1568/getInfo.php?workbook=12_05.xlsx&amp;sheet=U0&amp;row=10322&amp;col=6&amp;number=4.8&amp;sourceID=14","4.8")</f>
        <v>4.8</v>
      </c>
      <c r="G10322" s="4" t="str">
        <f>HYPERLINK("http://141.218.60.56/~jnz1568/getInfo.php?workbook=12_05.xlsx&amp;sheet=U0&amp;row=10322&amp;col=7&amp;number=0.0256&amp;sourceID=14","0.0256")</f>
        <v>0.0256</v>
      </c>
    </row>
    <row r="10323" spans="1:7">
      <c r="A10323" s="3"/>
      <c r="B10323" s="3"/>
      <c r="C10323" s="3"/>
      <c r="D10323" s="3"/>
      <c r="E10323" s="3">
        <v>20</v>
      </c>
      <c r="F10323" s="4" t="str">
        <f>HYPERLINK("http://141.218.60.56/~jnz1568/getInfo.php?workbook=12_05.xlsx&amp;sheet=U0&amp;row=10323&amp;col=6&amp;number=4.9&amp;sourceID=14","4.9")</f>
        <v>4.9</v>
      </c>
      <c r="G10323" s="4" t="str">
        <f>HYPERLINK("http://141.218.60.56/~jnz1568/getInfo.php?workbook=12_05.xlsx&amp;sheet=U0&amp;row=10323&amp;col=7&amp;number=0.0255&amp;sourceID=14","0.0255")</f>
        <v>0.0255</v>
      </c>
    </row>
    <row r="10324" spans="1:7">
      <c r="A10324" s="3">
        <v>12</v>
      </c>
      <c r="B10324" s="3">
        <v>5</v>
      </c>
      <c r="C10324" s="3">
        <v>5</v>
      </c>
      <c r="D10324" s="3">
        <v>92</v>
      </c>
      <c r="E10324" s="3">
        <v>1</v>
      </c>
      <c r="F10324" s="4" t="str">
        <f>HYPERLINK("http://141.218.60.56/~jnz1568/getInfo.php?workbook=12_05.xlsx&amp;sheet=U0&amp;row=10324&amp;col=6&amp;number=3&amp;sourceID=14","3")</f>
        <v>3</v>
      </c>
      <c r="G10324" s="4" t="str">
        <f>HYPERLINK("http://141.218.60.56/~jnz1568/getInfo.php?workbook=12_05.xlsx&amp;sheet=U0&amp;row=10324&amp;col=7&amp;number=0.0276&amp;sourceID=14","0.0276")</f>
        <v>0.0276</v>
      </c>
    </row>
    <row r="10325" spans="1:7">
      <c r="A10325" s="3"/>
      <c r="B10325" s="3"/>
      <c r="C10325" s="3"/>
      <c r="D10325" s="3"/>
      <c r="E10325" s="3">
        <v>2</v>
      </c>
      <c r="F10325" s="4" t="str">
        <f>HYPERLINK("http://141.218.60.56/~jnz1568/getInfo.php?workbook=12_05.xlsx&amp;sheet=U0&amp;row=10325&amp;col=6&amp;number=3.1&amp;sourceID=14","3.1")</f>
        <v>3.1</v>
      </c>
      <c r="G10325" s="4" t="str">
        <f>HYPERLINK("http://141.218.60.56/~jnz1568/getInfo.php?workbook=12_05.xlsx&amp;sheet=U0&amp;row=10325&amp;col=7&amp;number=0.0276&amp;sourceID=14","0.0276")</f>
        <v>0.0276</v>
      </c>
    </row>
    <row r="10326" spans="1:7">
      <c r="A10326" s="3"/>
      <c r="B10326" s="3"/>
      <c r="C10326" s="3"/>
      <c r="D10326" s="3"/>
      <c r="E10326" s="3">
        <v>3</v>
      </c>
      <c r="F10326" s="4" t="str">
        <f>HYPERLINK("http://141.218.60.56/~jnz1568/getInfo.php?workbook=12_05.xlsx&amp;sheet=U0&amp;row=10326&amp;col=6&amp;number=3.2&amp;sourceID=14","3.2")</f>
        <v>3.2</v>
      </c>
      <c r="G10326" s="4" t="str">
        <f>HYPERLINK("http://141.218.60.56/~jnz1568/getInfo.php?workbook=12_05.xlsx&amp;sheet=U0&amp;row=10326&amp;col=7&amp;number=0.0276&amp;sourceID=14","0.0276")</f>
        <v>0.0276</v>
      </c>
    </row>
    <row r="10327" spans="1:7">
      <c r="A10327" s="3"/>
      <c r="B10327" s="3"/>
      <c r="C10327" s="3"/>
      <c r="D10327" s="3"/>
      <c r="E10327" s="3">
        <v>4</v>
      </c>
      <c r="F10327" s="4" t="str">
        <f>HYPERLINK("http://141.218.60.56/~jnz1568/getInfo.php?workbook=12_05.xlsx&amp;sheet=U0&amp;row=10327&amp;col=6&amp;number=3.3&amp;sourceID=14","3.3")</f>
        <v>3.3</v>
      </c>
      <c r="G10327" s="4" t="str">
        <f>HYPERLINK("http://141.218.60.56/~jnz1568/getInfo.php?workbook=12_05.xlsx&amp;sheet=U0&amp;row=10327&amp;col=7&amp;number=0.0276&amp;sourceID=14","0.0276")</f>
        <v>0.0276</v>
      </c>
    </row>
    <row r="10328" spans="1:7">
      <c r="A10328" s="3"/>
      <c r="B10328" s="3"/>
      <c r="C10328" s="3"/>
      <c r="D10328" s="3"/>
      <c r="E10328" s="3">
        <v>5</v>
      </c>
      <c r="F10328" s="4" t="str">
        <f>HYPERLINK("http://141.218.60.56/~jnz1568/getInfo.php?workbook=12_05.xlsx&amp;sheet=U0&amp;row=10328&amp;col=6&amp;number=3.4&amp;sourceID=14","3.4")</f>
        <v>3.4</v>
      </c>
      <c r="G10328" s="4" t="str">
        <f>HYPERLINK("http://141.218.60.56/~jnz1568/getInfo.php?workbook=12_05.xlsx&amp;sheet=U0&amp;row=10328&amp;col=7&amp;number=0.0275&amp;sourceID=14","0.0275")</f>
        <v>0.0275</v>
      </c>
    </row>
    <row r="10329" spans="1:7">
      <c r="A10329" s="3"/>
      <c r="B10329" s="3"/>
      <c r="C10329" s="3"/>
      <c r="D10329" s="3"/>
      <c r="E10329" s="3">
        <v>6</v>
      </c>
      <c r="F10329" s="4" t="str">
        <f>HYPERLINK("http://141.218.60.56/~jnz1568/getInfo.php?workbook=12_05.xlsx&amp;sheet=U0&amp;row=10329&amp;col=6&amp;number=3.5&amp;sourceID=14","3.5")</f>
        <v>3.5</v>
      </c>
      <c r="G10329" s="4" t="str">
        <f>HYPERLINK("http://141.218.60.56/~jnz1568/getInfo.php?workbook=12_05.xlsx&amp;sheet=U0&amp;row=10329&amp;col=7&amp;number=0.0275&amp;sourceID=14","0.0275")</f>
        <v>0.0275</v>
      </c>
    </row>
    <row r="10330" spans="1:7">
      <c r="A10330" s="3"/>
      <c r="B10330" s="3"/>
      <c r="C10330" s="3"/>
      <c r="D10330" s="3"/>
      <c r="E10330" s="3">
        <v>7</v>
      </c>
      <c r="F10330" s="4" t="str">
        <f>HYPERLINK("http://141.218.60.56/~jnz1568/getInfo.php?workbook=12_05.xlsx&amp;sheet=U0&amp;row=10330&amp;col=6&amp;number=3.6&amp;sourceID=14","3.6")</f>
        <v>3.6</v>
      </c>
      <c r="G10330" s="4" t="str">
        <f>HYPERLINK("http://141.218.60.56/~jnz1568/getInfo.php?workbook=12_05.xlsx&amp;sheet=U0&amp;row=10330&amp;col=7&amp;number=0.0275&amp;sourceID=14","0.0275")</f>
        <v>0.0275</v>
      </c>
    </row>
    <row r="10331" spans="1:7">
      <c r="A10331" s="3"/>
      <c r="B10331" s="3"/>
      <c r="C10331" s="3"/>
      <c r="D10331" s="3"/>
      <c r="E10331" s="3">
        <v>8</v>
      </c>
      <c r="F10331" s="4" t="str">
        <f>HYPERLINK("http://141.218.60.56/~jnz1568/getInfo.php?workbook=12_05.xlsx&amp;sheet=U0&amp;row=10331&amp;col=6&amp;number=3.7&amp;sourceID=14","3.7")</f>
        <v>3.7</v>
      </c>
      <c r="G10331" s="4" t="str">
        <f>HYPERLINK("http://141.218.60.56/~jnz1568/getInfo.php?workbook=12_05.xlsx&amp;sheet=U0&amp;row=10331&amp;col=7&amp;number=0.0275&amp;sourceID=14","0.0275")</f>
        <v>0.0275</v>
      </c>
    </row>
    <row r="10332" spans="1:7">
      <c r="A10332" s="3"/>
      <c r="B10332" s="3"/>
      <c r="C10332" s="3"/>
      <c r="D10332" s="3"/>
      <c r="E10332" s="3">
        <v>9</v>
      </c>
      <c r="F10332" s="4" t="str">
        <f>HYPERLINK("http://141.218.60.56/~jnz1568/getInfo.php?workbook=12_05.xlsx&amp;sheet=U0&amp;row=10332&amp;col=6&amp;number=3.8&amp;sourceID=14","3.8")</f>
        <v>3.8</v>
      </c>
      <c r="G10332" s="4" t="str">
        <f>HYPERLINK("http://141.218.60.56/~jnz1568/getInfo.php?workbook=12_05.xlsx&amp;sheet=U0&amp;row=10332&amp;col=7&amp;number=0.0274&amp;sourceID=14","0.0274")</f>
        <v>0.0274</v>
      </c>
    </row>
    <row r="10333" spans="1:7">
      <c r="A10333" s="3"/>
      <c r="B10333" s="3"/>
      <c r="C10333" s="3"/>
      <c r="D10333" s="3"/>
      <c r="E10333" s="3">
        <v>10</v>
      </c>
      <c r="F10333" s="4" t="str">
        <f>HYPERLINK("http://141.218.60.56/~jnz1568/getInfo.php?workbook=12_05.xlsx&amp;sheet=U0&amp;row=10333&amp;col=6&amp;number=3.9&amp;sourceID=14","3.9")</f>
        <v>3.9</v>
      </c>
      <c r="G10333" s="4" t="str">
        <f>HYPERLINK("http://141.218.60.56/~jnz1568/getInfo.php?workbook=12_05.xlsx&amp;sheet=U0&amp;row=10333&amp;col=7&amp;number=0.0274&amp;sourceID=14","0.0274")</f>
        <v>0.0274</v>
      </c>
    </row>
    <row r="10334" spans="1:7">
      <c r="A10334" s="3"/>
      <c r="B10334" s="3"/>
      <c r="C10334" s="3"/>
      <c r="D10334" s="3"/>
      <c r="E10334" s="3">
        <v>11</v>
      </c>
      <c r="F10334" s="4" t="str">
        <f>HYPERLINK("http://141.218.60.56/~jnz1568/getInfo.php?workbook=12_05.xlsx&amp;sheet=U0&amp;row=10334&amp;col=6&amp;number=4&amp;sourceID=14","4")</f>
        <v>4</v>
      </c>
      <c r="G10334" s="4" t="str">
        <f>HYPERLINK("http://141.218.60.56/~jnz1568/getInfo.php?workbook=12_05.xlsx&amp;sheet=U0&amp;row=10334&amp;col=7&amp;number=0.0273&amp;sourceID=14","0.0273")</f>
        <v>0.0273</v>
      </c>
    </row>
    <row r="10335" spans="1:7">
      <c r="A10335" s="3"/>
      <c r="B10335" s="3"/>
      <c r="C10335" s="3"/>
      <c r="D10335" s="3"/>
      <c r="E10335" s="3">
        <v>12</v>
      </c>
      <c r="F10335" s="4" t="str">
        <f>HYPERLINK("http://141.218.60.56/~jnz1568/getInfo.php?workbook=12_05.xlsx&amp;sheet=U0&amp;row=10335&amp;col=6&amp;number=4.1&amp;sourceID=14","4.1")</f>
        <v>4.1</v>
      </c>
      <c r="G10335" s="4" t="str">
        <f>HYPERLINK("http://141.218.60.56/~jnz1568/getInfo.php?workbook=12_05.xlsx&amp;sheet=U0&amp;row=10335&amp;col=7&amp;number=0.0273&amp;sourceID=14","0.0273")</f>
        <v>0.0273</v>
      </c>
    </row>
    <row r="10336" spans="1:7">
      <c r="A10336" s="3"/>
      <c r="B10336" s="3"/>
      <c r="C10336" s="3"/>
      <c r="D10336" s="3"/>
      <c r="E10336" s="3">
        <v>13</v>
      </c>
      <c r="F10336" s="4" t="str">
        <f>HYPERLINK("http://141.218.60.56/~jnz1568/getInfo.php?workbook=12_05.xlsx&amp;sheet=U0&amp;row=10336&amp;col=6&amp;number=4.2&amp;sourceID=14","4.2")</f>
        <v>4.2</v>
      </c>
      <c r="G10336" s="4" t="str">
        <f>HYPERLINK("http://141.218.60.56/~jnz1568/getInfo.php?workbook=12_05.xlsx&amp;sheet=U0&amp;row=10336&amp;col=7&amp;number=0.0272&amp;sourceID=14","0.0272")</f>
        <v>0.0272</v>
      </c>
    </row>
    <row r="10337" spans="1:7">
      <c r="A10337" s="3"/>
      <c r="B10337" s="3"/>
      <c r="C10337" s="3"/>
      <c r="D10337" s="3"/>
      <c r="E10337" s="3">
        <v>14</v>
      </c>
      <c r="F10337" s="4" t="str">
        <f>HYPERLINK("http://141.218.60.56/~jnz1568/getInfo.php?workbook=12_05.xlsx&amp;sheet=U0&amp;row=10337&amp;col=6&amp;number=4.3&amp;sourceID=14","4.3")</f>
        <v>4.3</v>
      </c>
      <c r="G10337" s="4" t="str">
        <f>HYPERLINK("http://141.218.60.56/~jnz1568/getInfo.php?workbook=12_05.xlsx&amp;sheet=U0&amp;row=10337&amp;col=7&amp;number=0.0271&amp;sourceID=14","0.0271")</f>
        <v>0.0271</v>
      </c>
    </row>
    <row r="10338" spans="1:7">
      <c r="A10338" s="3"/>
      <c r="B10338" s="3"/>
      <c r="C10338" s="3"/>
      <c r="D10338" s="3"/>
      <c r="E10338" s="3">
        <v>15</v>
      </c>
      <c r="F10338" s="4" t="str">
        <f>HYPERLINK("http://141.218.60.56/~jnz1568/getInfo.php?workbook=12_05.xlsx&amp;sheet=U0&amp;row=10338&amp;col=6&amp;number=4.4&amp;sourceID=14","4.4")</f>
        <v>4.4</v>
      </c>
      <c r="G10338" s="4" t="str">
        <f>HYPERLINK("http://141.218.60.56/~jnz1568/getInfo.php?workbook=12_05.xlsx&amp;sheet=U0&amp;row=10338&amp;col=7&amp;number=0.0269&amp;sourceID=14","0.0269")</f>
        <v>0.0269</v>
      </c>
    </row>
    <row r="10339" spans="1:7">
      <c r="A10339" s="3"/>
      <c r="B10339" s="3"/>
      <c r="C10339" s="3"/>
      <c r="D10339" s="3"/>
      <c r="E10339" s="3">
        <v>16</v>
      </c>
      <c r="F10339" s="4" t="str">
        <f>HYPERLINK("http://141.218.60.56/~jnz1568/getInfo.php?workbook=12_05.xlsx&amp;sheet=U0&amp;row=10339&amp;col=6&amp;number=4.5&amp;sourceID=14","4.5")</f>
        <v>4.5</v>
      </c>
      <c r="G10339" s="4" t="str">
        <f>HYPERLINK("http://141.218.60.56/~jnz1568/getInfo.php?workbook=12_05.xlsx&amp;sheet=U0&amp;row=10339&amp;col=7&amp;number=0.0267&amp;sourceID=14","0.0267")</f>
        <v>0.0267</v>
      </c>
    </row>
    <row r="10340" spans="1:7">
      <c r="A10340" s="3"/>
      <c r="B10340" s="3"/>
      <c r="C10340" s="3"/>
      <c r="D10340" s="3"/>
      <c r="E10340" s="3">
        <v>17</v>
      </c>
      <c r="F10340" s="4" t="str">
        <f>HYPERLINK("http://141.218.60.56/~jnz1568/getInfo.php?workbook=12_05.xlsx&amp;sheet=U0&amp;row=10340&amp;col=6&amp;number=4.6&amp;sourceID=14","4.6")</f>
        <v>4.6</v>
      </c>
      <c r="G10340" s="4" t="str">
        <f>HYPERLINK("http://141.218.60.56/~jnz1568/getInfo.php?workbook=12_05.xlsx&amp;sheet=U0&amp;row=10340&amp;col=7&amp;number=0.0265&amp;sourceID=14","0.0265")</f>
        <v>0.0265</v>
      </c>
    </row>
    <row r="10341" spans="1:7">
      <c r="A10341" s="3"/>
      <c r="B10341" s="3"/>
      <c r="C10341" s="3"/>
      <c r="D10341" s="3"/>
      <c r="E10341" s="3">
        <v>18</v>
      </c>
      <c r="F10341" s="4" t="str">
        <f>HYPERLINK("http://141.218.60.56/~jnz1568/getInfo.php?workbook=12_05.xlsx&amp;sheet=U0&amp;row=10341&amp;col=6&amp;number=4.7&amp;sourceID=14","4.7")</f>
        <v>4.7</v>
      </c>
      <c r="G10341" s="4" t="str">
        <f>HYPERLINK("http://141.218.60.56/~jnz1568/getInfo.php?workbook=12_05.xlsx&amp;sheet=U0&amp;row=10341&amp;col=7&amp;number=0.0262&amp;sourceID=14","0.0262")</f>
        <v>0.0262</v>
      </c>
    </row>
    <row r="10342" spans="1:7">
      <c r="A10342" s="3"/>
      <c r="B10342" s="3"/>
      <c r="C10342" s="3"/>
      <c r="D10342" s="3"/>
      <c r="E10342" s="3">
        <v>19</v>
      </c>
      <c r="F10342" s="4" t="str">
        <f>HYPERLINK("http://141.218.60.56/~jnz1568/getInfo.php?workbook=12_05.xlsx&amp;sheet=U0&amp;row=10342&amp;col=6&amp;number=4.8&amp;sourceID=14","4.8")</f>
        <v>4.8</v>
      </c>
      <c r="G10342" s="4" t="str">
        <f>HYPERLINK("http://141.218.60.56/~jnz1568/getInfo.php?workbook=12_05.xlsx&amp;sheet=U0&amp;row=10342&amp;col=7&amp;number=0.0259&amp;sourceID=14","0.0259")</f>
        <v>0.0259</v>
      </c>
    </row>
    <row r="10343" spans="1:7">
      <c r="A10343" s="3"/>
      <c r="B10343" s="3"/>
      <c r="C10343" s="3"/>
      <c r="D10343" s="3"/>
      <c r="E10343" s="3">
        <v>20</v>
      </c>
      <c r="F10343" s="4" t="str">
        <f>HYPERLINK("http://141.218.60.56/~jnz1568/getInfo.php?workbook=12_05.xlsx&amp;sheet=U0&amp;row=10343&amp;col=6&amp;number=4.9&amp;sourceID=14","4.9")</f>
        <v>4.9</v>
      </c>
      <c r="G10343" s="4" t="str">
        <f>HYPERLINK("http://141.218.60.56/~jnz1568/getInfo.php?workbook=12_05.xlsx&amp;sheet=U0&amp;row=10343&amp;col=7&amp;number=0.0254&amp;sourceID=14","0.0254")</f>
        <v>0.0254</v>
      </c>
    </row>
    <row r="10344" spans="1:7">
      <c r="A10344" s="3">
        <v>12</v>
      </c>
      <c r="B10344" s="3">
        <v>5</v>
      </c>
      <c r="C10344" s="3">
        <v>5</v>
      </c>
      <c r="D10344" s="3">
        <v>93</v>
      </c>
      <c r="E10344" s="3">
        <v>1</v>
      </c>
      <c r="F10344" s="4" t="str">
        <f>HYPERLINK("http://141.218.60.56/~jnz1568/getInfo.php?workbook=12_05.xlsx&amp;sheet=U0&amp;row=10344&amp;col=6&amp;number=3&amp;sourceID=14","3")</f>
        <v>3</v>
      </c>
      <c r="G10344" s="4" t="str">
        <f>HYPERLINK("http://141.218.60.56/~jnz1568/getInfo.php?workbook=12_05.xlsx&amp;sheet=U0&amp;row=10344&amp;col=7&amp;number=0.115&amp;sourceID=14","0.115")</f>
        <v>0.115</v>
      </c>
    </row>
    <row r="10345" spans="1:7">
      <c r="A10345" s="3"/>
      <c r="B10345" s="3"/>
      <c r="C10345" s="3"/>
      <c r="D10345" s="3"/>
      <c r="E10345" s="3">
        <v>2</v>
      </c>
      <c r="F10345" s="4" t="str">
        <f>HYPERLINK("http://141.218.60.56/~jnz1568/getInfo.php?workbook=12_05.xlsx&amp;sheet=U0&amp;row=10345&amp;col=6&amp;number=3.1&amp;sourceID=14","3.1")</f>
        <v>3.1</v>
      </c>
      <c r="G10345" s="4" t="str">
        <f>HYPERLINK("http://141.218.60.56/~jnz1568/getInfo.php?workbook=12_05.xlsx&amp;sheet=U0&amp;row=10345&amp;col=7&amp;number=0.115&amp;sourceID=14","0.115")</f>
        <v>0.115</v>
      </c>
    </row>
    <row r="10346" spans="1:7">
      <c r="A10346" s="3"/>
      <c r="B10346" s="3"/>
      <c r="C10346" s="3"/>
      <c r="D10346" s="3"/>
      <c r="E10346" s="3">
        <v>3</v>
      </c>
      <c r="F10346" s="4" t="str">
        <f>HYPERLINK("http://141.218.60.56/~jnz1568/getInfo.php?workbook=12_05.xlsx&amp;sheet=U0&amp;row=10346&amp;col=6&amp;number=3.2&amp;sourceID=14","3.2")</f>
        <v>3.2</v>
      </c>
      <c r="G10346" s="4" t="str">
        <f>HYPERLINK("http://141.218.60.56/~jnz1568/getInfo.php?workbook=12_05.xlsx&amp;sheet=U0&amp;row=10346&amp;col=7&amp;number=0.115&amp;sourceID=14","0.115")</f>
        <v>0.115</v>
      </c>
    </row>
    <row r="10347" spans="1:7">
      <c r="A10347" s="3"/>
      <c r="B10347" s="3"/>
      <c r="C10347" s="3"/>
      <c r="D10347" s="3"/>
      <c r="E10347" s="3">
        <v>4</v>
      </c>
      <c r="F10347" s="4" t="str">
        <f>HYPERLINK("http://141.218.60.56/~jnz1568/getInfo.php?workbook=12_05.xlsx&amp;sheet=U0&amp;row=10347&amp;col=6&amp;number=3.3&amp;sourceID=14","3.3")</f>
        <v>3.3</v>
      </c>
      <c r="G10347" s="4" t="str">
        <f>HYPERLINK("http://141.218.60.56/~jnz1568/getInfo.php?workbook=12_05.xlsx&amp;sheet=U0&amp;row=10347&amp;col=7&amp;number=0.115&amp;sourceID=14","0.115")</f>
        <v>0.115</v>
      </c>
    </row>
    <row r="10348" spans="1:7">
      <c r="A10348" s="3"/>
      <c r="B10348" s="3"/>
      <c r="C10348" s="3"/>
      <c r="D10348" s="3"/>
      <c r="E10348" s="3">
        <v>5</v>
      </c>
      <c r="F10348" s="4" t="str">
        <f>HYPERLINK("http://141.218.60.56/~jnz1568/getInfo.php?workbook=12_05.xlsx&amp;sheet=U0&amp;row=10348&amp;col=6&amp;number=3.4&amp;sourceID=14","3.4")</f>
        <v>3.4</v>
      </c>
      <c r="G10348" s="4" t="str">
        <f>HYPERLINK("http://141.218.60.56/~jnz1568/getInfo.php?workbook=12_05.xlsx&amp;sheet=U0&amp;row=10348&amp;col=7&amp;number=0.115&amp;sourceID=14","0.115")</f>
        <v>0.115</v>
      </c>
    </row>
    <row r="10349" spans="1:7">
      <c r="A10349" s="3"/>
      <c r="B10349" s="3"/>
      <c r="C10349" s="3"/>
      <c r="D10349" s="3"/>
      <c r="E10349" s="3">
        <v>6</v>
      </c>
      <c r="F10349" s="4" t="str">
        <f>HYPERLINK("http://141.218.60.56/~jnz1568/getInfo.php?workbook=12_05.xlsx&amp;sheet=U0&amp;row=10349&amp;col=6&amp;number=3.5&amp;sourceID=14","3.5")</f>
        <v>3.5</v>
      </c>
      <c r="G10349" s="4" t="str">
        <f>HYPERLINK("http://141.218.60.56/~jnz1568/getInfo.php?workbook=12_05.xlsx&amp;sheet=U0&amp;row=10349&amp;col=7&amp;number=0.115&amp;sourceID=14","0.115")</f>
        <v>0.115</v>
      </c>
    </row>
    <row r="10350" spans="1:7">
      <c r="A10350" s="3"/>
      <c r="B10350" s="3"/>
      <c r="C10350" s="3"/>
      <c r="D10350" s="3"/>
      <c r="E10350" s="3">
        <v>7</v>
      </c>
      <c r="F10350" s="4" t="str">
        <f>HYPERLINK("http://141.218.60.56/~jnz1568/getInfo.php?workbook=12_05.xlsx&amp;sheet=U0&amp;row=10350&amp;col=6&amp;number=3.6&amp;sourceID=14","3.6")</f>
        <v>3.6</v>
      </c>
      <c r="G10350" s="4" t="str">
        <f>HYPERLINK("http://141.218.60.56/~jnz1568/getInfo.php?workbook=12_05.xlsx&amp;sheet=U0&amp;row=10350&amp;col=7&amp;number=0.115&amp;sourceID=14","0.115")</f>
        <v>0.115</v>
      </c>
    </row>
    <row r="10351" spans="1:7">
      <c r="A10351" s="3"/>
      <c r="B10351" s="3"/>
      <c r="C10351" s="3"/>
      <c r="D10351" s="3"/>
      <c r="E10351" s="3">
        <v>8</v>
      </c>
      <c r="F10351" s="4" t="str">
        <f>HYPERLINK("http://141.218.60.56/~jnz1568/getInfo.php?workbook=12_05.xlsx&amp;sheet=U0&amp;row=10351&amp;col=6&amp;number=3.7&amp;sourceID=14","3.7")</f>
        <v>3.7</v>
      </c>
      <c r="G10351" s="4" t="str">
        <f>HYPERLINK("http://141.218.60.56/~jnz1568/getInfo.php?workbook=12_05.xlsx&amp;sheet=U0&amp;row=10351&amp;col=7&amp;number=0.115&amp;sourceID=14","0.115")</f>
        <v>0.115</v>
      </c>
    </row>
    <row r="10352" spans="1:7">
      <c r="A10352" s="3"/>
      <c r="B10352" s="3"/>
      <c r="C10352" s="3"/>
      <c r="D10352" s="3"/>
      <c r="E10352" s="3">
        <v>9</v>
      </c>
      <c r="F10352" s="4" t="str">
        <f>HYPERLINK("http://141.218.60.56/~jnz1568/getInfo.php?workbook=12_05.xlsx&amp;sheet=U0&amp;row=10352&amp;col=6&amp;number=3.8&amp;sourceID=14","3.8")</f>
        <v>3.8</v>
      </c>
      <c r="G10352" s="4" t="str">
        <f>HYPERLINK("http://141.218.60.56/~jnz1568/getInfo.php?workbook=12_05.xlsx&amp;sheet=U0&amp;row=10352&amp;col=7&amp;number=0.115&amp;sourceID=14","0.115")</f>
        <v>0.115</v>
      </c>
    </row>
    <row r="10353" spans="1:7">
      <c r="A10353" s="3"/>
      <c r="B10353" s="3"/>
      <c r="C10353" s="3"/>
      <c r="D10353" s="3"/>
      <c r="E10353" s="3">
        <v>10</v>
      </c>
      <c r="F10353" s="4" t="str">
        <f>HYPERLINK("http://141.218.60.56/~jnz1568/getInfo.php?workbook=12_05.xlsx&amp;sheet=U0&amp;row=10353&amp;col=6&amp;number=3.9&amp;sourceID=14","3.9")</f>
        <v>3.9</v>
      </c>
      <c r="G10353" s="4" t="str">
        <f>HYPERLINK("http://141.218.60.56/~jnz1568/getInfo.php?workbook=12_05.xlsx&amp;sheet=U0&amp;row=10353&amp;col=7&amp;number=0.115&amp;sourceID=14","0.115")</f>
        <v>0.115</v>
      </c>
    </row>
    <row r="10354" spans="1:7">
      <c r="A10354" s="3"/>
      <c r="B10354" s="3"/>
      <c r="C10354" s="3"/>
      <c r="D10354" s="3"/>
      <c r="E10354" s="3">
        <v>11</v>
      </c>
      <c r="F10354" s="4" t="str">
        <f>HYPERLINK("http://141.218.60.56/~jnz1568/getInfo.php?workbook=12_05.xlsx&amp;sheet=U0&amp;row=10354&amp;col=6&amp;number=4&amp;sourceID=14","4")</f>
        <v>4</v>
      </c>
      <c r="G10354" s="4" t="str">
        <f>HYPERLINK("http://141.218.60.56/~jnz1568/getInfo.php?workbook=12_05.xlsx&amp;sheet=U0&amp;row=10354&amp;col=7&amp;number=0.116&amp;sourceID=14","0.116")</f>
        <v>0.116</v>
      </c>
    </row>
    <row r="10355" spans="1:7">
      <c r="A10355" s="3"/>
      <c r="B10355" s="3"/>
      <c r="C10355" s="3"/>
      <c r="D10355" s="3"/>
      <c r="E10355" s="3">
        <v>12</v>
      </c>
      <c r="F10355" s="4" t="str">
        <f>HYPERLINK("http://141.218.60.56/~jnz1568/getInfo.php?workbook=12_05.xlsx&amp;sheet=U0&amp;row=10355&amp;col=6&amp;number=4.1&amp;sourceID=14","4.1")</f>
        <v>4.1</v>
      </c>
      <c r="G10355" s="4" t="str">
        <f>HYPERLINK("http://141.218.60.56/~jnz1568/getInfo.php?workbook=12_05.xlsx&amp;sheet=U0&amp;row=10355&amp;col=7&amp;number=0.116&amp;sourceID=14","0.116")</f>
        <v>0.116</v>
      </c>
    </row>
    <row r="10356" spans="1:7">
      <c r="A10356" s="3"/>
      <c r="B10356" s="3"/>
      <c r="C10356" s="3"/>
      <c r="D10356" s="3"/>
      <c r="E10356" s="3">
        <v>13</v>
      </c>
      <c r="F10356" s="4" t="str">
        <f>HYPERLINK("http://141.218.60.56/~jnz1568/getInfo.php?workbook=12_05.xlsx&amp;sheet=U0&amp;row=10356&amp;col=6&amp;number=4.2&amp;sourceID=14","4.2")</f>
        <v>4.2</v>
      </c>
      <c r="G10356" s="4" t="str">
        <f>HYPERLINK("http://141.218.60.56/~jnz1568/getInfo.php?workbook=12_05.xlsx&amp;sheet=U0&amp;row=10356&amp;col=7&amp;number=0.116&amp;sourceID=14","0.116")</f>
        <v>0.116</v>
      </c>
    </row>
    <row r="10357" spans="1:7">
      <c r="A10357" s="3"/>
      <c r="B10357" s="3"/>
      <c r="C10357" s="3"/>
      <c r="D10357" s="3"/>
      <c r="E10357" s="3">
        <v>14</v>
      </c>
      <c r="F10357" s="4" t="str">
        <f>HYPERLINK("http://141.218.60.56/~jnz1568/getInfo.php?workbook=12_05.xlsx&amp;sheet=U0&amp;row=10357&amp;col=6&amp;number=4.3&amp;sourceID=14","4.3")</f>
        <v>4.3</v>
      </c>
      <c r="G10357" s="4" t="str">
        <f>HYPERLINK("http://141.218.60.56/~jnz1568/getInfo.php?workbook=12_05.xlsx&amp;sheet=U0&amp;row=10357&amp;col=7&amp;number=0.116&amp;sourceID=14","0.116")</f>
        <v>0.116</v>
      </c>
    </row>
    <row r="10358" spans="1:7">
      <c r="A10358" s="3"/>
      <c r="B10358" s="3"/>
      <c r="C10358" s="3"/>
      <c r="D10358" s="3"/>
      <c r="E10358" s="3">
        <v>15</v>
      </c>
      <c r="F10358" s="4" t="str">
        <f>HYPERLINK("http://141.218.60.56/~jnz1568/getInfo.php?workbook=12_05.xlsx&amp;sheet=U0&amp;row=10358&amp;col=6&amp;number=4.4&amp;sourceID=14","4.4")</f>
        <v>4.4</v>
      </c>
      <c r="G10358" s="4" t="str">
        <f>HYPERLINK("http://141.218.60.56/~jnz1568/getInfo.php?workbook=12_05.xlsx&amp;sheet=U0&amp;row=10358&amp;col=7&amp;number=0.116&amp;sourceID=14","0.116")</f>
        <v>0.116</v>
      </c>
    </row>
    <row r="10359" spans="1:7">
      <c r="A10359" s="3"/>
      <c r="B10359" s="3"/>
      <c r="C10359" s="3"/>
      <c r="D10359" s="3"/>
      <c r="E10359" s="3">
        <v>16</v>
      </c>
      <c r="F10359" s="4" t="str">
        <f>HYPERLINK("http://141.218.60.56/~jnz1568/getInfo.php?workbook=12_05.xlsx&amp;sheet=U0&amp;row=10359&amp;col=6&amp;number=4.5&amp;sourceID=14","4.5")</f>
        <v>4.5</v>
      </c>
      <c r="G10359" s="4" t="str">
        <f>HYPERLINK("http://141.218.60.56/~jnz1568/getInfo.php?workbook=12_05.xlsx&amp;sheet=U0&amp;row=10359&amp;col=7&amp;number=0.117&amp;sourceID=14","0.117")</f>
        <v>0.117</v>
      </c>
    </row>
    <row r="10360" spans="1:7">
      <c r="A10360" s="3"/>
      <c r="B10360" s="3"/>
      <c r="C10360" s="3"/>
      <c r="D10360" s="3"/>
      <c r="E10360" s="3">
        <v>17</v>
      </c>
      <c r="F10360" s="4" t="str">
        <f>HYPERLINK("http://141.218.60.56/~jnz1568/getInfo.php?workbook=12_05.xlsx&amp;sheet=U0&amp;row=10360&amp;col=6&amp;number=4.6&amp;sourceID=14","4.6")</f>
        <v>4.6</v>
      </c>
      <c r="G10360" s="4" t="str">
        <f>HYPERLINK("http://141.218.60.56/~jnz1568/getInfo.php?workbook=12_05.xlsx&amp;sheet=U0&amp;row=10360&amp;col=7&amp;number=0.117&amp;sourceID=14","0.117")</f>
        <v>0.117</v>
      </c>
    </row>
    <row r="10361" spans="1:7">
      <c r="A10361" s="3"/>
      <c r="B10361" s="3"/>
      <c r="C10361" s="3"/>
      <c r="D10361" s="3"/>
      <c r="E10361" s="3">
        <v>18</v>
      </c>
      <c r="F10361" s="4" t="str">
        <f>HYPERLINK("http://141.218.60.56/~jnz1568/getInfo.php?workbook=12_05.xlsx&amp;sheet=U0&amp;row=10361&amp;col=6&amp;number=4.7&amp;sourceID=14","4.7")</f>
        <v>4.7</v>
      </c>
      <c r="G10361" s="4" t="str">
        <f>HYPERLINK("http://141.218.60.56/~jnz1568/getInfo.php?workbook=12_05.xlsx&amp;sheet=U0&amp;row=10361&amp;col=7&amp;number=0.118&amp;sourceID=14","0.118")</f>
        <v>0.118</v>
      </c>
    </row>
    <row r="10362" spans="1:7">
      <c r="A10362" s="3"/>
      <c r="B10362" s="3"/>
      <c r="C10362" s="3"/>
      <c r="D10362" s="3"/>
      <c r="E10362" s="3">
        <v>19</v>
      </c>
      <c r="F10362" s="4" t="str">
        <f>HYPERLINK("http://141.218.60.56/~jnz1568/getInfo.php?workbook=12_05.xlsx&amp;sheet=U0&amp;row=10362&amp;col=6&amp;number=4.8&amp;sourceID=14","4.8")</f>
        <v>4.8</v>
      </c>
      <c r="G10362" s="4" t="str">
        <f>HYPERLINK("http://141.218.60.56/~jnz1568/getInfo.php?workbook=12_05.xlsx&amp;sheet=U0&amp;row=10362&amp;col=7&amp;number=0.118&amp;sourceID=14","0.118")</f>
        <v>0.118</v>
      </c>
    </row>
    <row r="10363" spans="1:7">
      <c r="A10363" s="3"/>
      <c r="B10363" s="3"/>
      <c r="C10363" s="3"/>
      <c r="D10363" s="3"/>
      <c r="E10363" s="3">
        <v>20</v>
      </c>
      <c r="F10363" s="4" t="str">
        <f>HYPERLINK("http://141.218.60.56/~jnz1568/getInfo.php?workbook=12_05.xlsx&amp;sheet=U0&amp;row=10363&amp;col=6&amp;number=4.9&amp;sourceID=14","4.9")</f>
        <v>4.9</v>
      </c>
      <c r="G10363" s="4" t="str">
        <f>HYPERLINK("http://141.218.60.56/~jnz1568/getInfo.php?workbook=12_05.xlsx&amp;sheet=U0&amp;row=10363&amp;col=7&amp;number=0.119&amp;sourceID=14","0.119")</f>
        <v>0.119</v>
      </c>
    </row>
    <row r="10364" spans="1:7">
      <c r="A10364" s="3">
        <v>12</v>
      </c>
      <c r="B10364" s="3">
        <v>5</v>
      </c>
      <c r="C10364" s="3">
        <v>5</v>
      </c>
      <c r="D10364" s="3">
        <v>94</v>
      </c>
      <c r="E10364" s="3">
        <v>1</v>
      </c>
      <c r="F10364" s="4" t="str">
        <f>HYPERLINK("http://141.218.60.56/~jnz1568/getInfo.php?workbook=12_05.xlsx&amp;sheet=U0&amp;row=10364&amp;col=6&amp;number=3&amp;sourceID=14","3")</f>
        <v>3</v>
      </c>
      <c r="G10364" s="4" t="str">
        <f>HYPERLINK("http://141.218.60.56/~jnz1568/getInfo.php?workbook=12_05.xlsx&amp;sheet=U0&amp;row=10364&amp;col=7&amp;number=0.00264&amp;sourceID=14","0.00264")</f>
        <v>0.00264</v>
      </c>
    </row>
    <row r="10365" spans="1:7">
      <c r="A10365" s="3"/>
      <c r="B10365" s="3"/>
      <c r="C10365" s="3"/>
      <c r="D10365" s="3"/>
      <c r="E10365" s="3">
        <v>2</v>
      </c>
      <c r="F10365" s="4" t="str">
        <f>HYPERLINK("http://141.218.60.56/~jnz1568/getInfo.php?workbook=12_05.xlsx&amp;sheet=U0&amp;row=10365&amp;col=6&amp;number=3.1&amp;sourceID=14","3.1")</f>
        <v>3.1</v>
      </c>
      <c r="G10365" s="4" t="str">
        <f>HYPERLINK("http://141.218.60.56/~jnz1568/getInfo.php?workbook=12_05.xlsx&amp;sheet=U0&amp;row=10365&amp;col=7&amp;number=0.00264&amp;sourceID=14","0.00264")</f>
        <v>0.00264</v>
      </c>
    </row>
    <row r="10366" spans="1:7">
      <c r="A10366" s="3"/>
      <c r="B10366" s="3"/>
      <c r="C10366" s="3"/>
      <c r="D10366" s="3"/>
      <c r="E10366" s="3">
        <v>3</v>
      </c>
      <c r="F10366" s="4" t="str">
        <f>HYPERLINK("http://141.218.60.56/~jnz1568/getInfo.php?workbook=12_05.xlsx&amp;sheet=U0&amp;row=10366&amp;col=6&amp;number=3.2&amp;sourceID=14","3.2")</f>
        <v>3.2</v>
      </c>
      <c r="G10366" s="4" t="str">
        <f>HYPERLINK("http://141.218.60.56/~jnz1568/getInfo.php?workbook=12_05.xlsx&amp;sheet=U0&amp;row=10366&amp;col=7&amp;number=0.00264&amp;sourceID=14","0.00264")</f>
        <v>0.00264</v>
      </c>
    </row>
    <row r="10367" spans="1:7">
      <c r="A10367" s="3"/>
      <c r="B10367" s="3"/>
      <c r="C10367" s="3"/>
      <c r="D10367" s="3"/>
      <c r="E10367" s="3">
        <v>4</v>
      </c>
      <c r="F10367" s="4" t="str">
        <f>HYPERLINK("http://141.218.60.56/~jnz1568/getInfo.php?workbook=12_05.xlsx&amp;sheet=U0&amp;row=10367&amp;col=6&amp;number=3.3&amp;sourceID=14","3.3")</f>
        <v>3.3</v>
      </c>
      <c r="G10367" s="4" t="str">
        <f>HYPERLINK("http://141.218.60.56/~jnz1568/getInfo.php?workbook=12_05.xlsx&amp;sheet=U0&amp;row=10367&amp;col=7&amp;number=0.00264&amp;sourceID=14","0.00264")</f>
        <v>0.00264</v>
      </c>
    </row>
    <row r="10368" spans="1:7">
      <c r="A10368" s="3"/>
      <c r="B10368" s="3"/>
      <c r="C10368" s="3"/>
      <c r="D10368" s="3"/>
      <c r="E10368" s="3">
        <v>5</v>
      </c>
      <c r="F10368" s="4" t="str">
        <f>HYPERLINK("http://141.218.60.56/~jnz1568/getInfo.php?workbook=12_05.xlsx&amp;sheet=U0&amp;row=10368&amp;col=6&amp;number=3.4&amp;sourceID=14","3.4")</f>
        <v>3.4</v>
      </c>
      <c r="G10368" s="4" t="str">
        <f>HYPERLINK("http://141.218.60.56/~jnz1568/getInfo.php?workbook=12_05.xlsx&amp;sheet=U0&amp;row=10368&amp;col=7&amp;number=0.00264&amp;sourceID=14","0.00264")</f>
        <v>0.00264</v>
      </c>
    </row>
    <row r="10369" spans="1:7">
      <c r="A10369" s="3"/>
      <c r="B10369" s="3"/>
      <c r="C10369" s="3"/>
      <c r="D10369" s="3"/>
      <c r="E10369" s="3">
        <v>6</v>
      </c>
      <c r="F10369" s="4" t="str">
        <f>HYPERLINK("http://141.218.60.56/~jnz1568/getInfo.php?workbook=12_05.xlsx&amp;sheet=U0&amp;row=10369&amp;col=6&amp;number=3.5&amp;sourceID=14","3.5")</f>
        <v>3.5</v>
      </c>
      <c r="G10369" s="4" t="str">
        <f>HYPERLINK("http://141.218.60.56/~jnz1568/getInfo.php?workbook=12_05.xlsx&amp;sheet=U0&amp;row=10369&amp;col=7&amp;number=0.00264&amp;sourceID=14","0.00264")</f>
        <v>0.00264</v>
      </c>
    </row>
    <row r="10370" spans="1:7">
      <c r="A10370" s="3"/>
      <c r="B10370" s="3"/>
      <c r="C10370" s="3"/>
      <c r="D10370" s="3"/>
      <c r="E10370" s="3">
        <v>7</v>
      </c>
      <c r="F10370" s="4" t="str">
        <f>HYPERLINK("http://141.218.60.56/~jnz1568/getInfo.php?workbook=12_05.xlsx&amp;sheet=U0&amp;row=10370&amp;col=6&amp;number=3.6&amp;sourceID=14","3.6")</f>
        <v>3.6</v>
      </c>
      <c r="G10370" s="4" t="str">
        <f>HYPERLINK("http://141.218.60.56/~jnz1568/getInfo.php?workbook=12_05.xlsx&amp;sheet=U0&amp;row=10370&amp;col=7&amp;number=0.00263&amp;sourceID=14","0.00263")</f>
        <v>0.00263</v>
      </c>
    </row>
    <row r="10371" spans="1:7">
      <c r="A10371" s="3"/>
      <c r="B10371" s="3"/>
      <c r="C10371" s="3"/>
      <c r="D10371" s="3"/>
      <c r="E10371" s="3">
        <v>8</v>
      </c>
      <c r="F10371" s="4" t="str">
        <f>HYPERLINK("http://141.218.60.56/~jnz1568/getInfo.php?workbook=12_05.xlsx&amp;sheet=U0&amp;row=10371&amp;col=6&amp;number=3.7&amp;sourceID=14","3.7")</f>
        <v>3.7</v>
      </c>
      <c r="G10371" s="4" t="str">
        <f>HYPERLINK("http://141.218.60.56/~jnz1568/getInfo.php?workbook=12_05.xlsx&amp;sheet=U0&amp;row=10371&amp;col=7&amp;number=0.00263&amp;sourceID=14","0.00263")</f>
        <v>0.00263</v>
      </c>
    </row>
    <row r="10372" spans="1:7">
      <c r="A10372" s="3"/>
      <c r="B10372" s="3"/>
      <c r="C10372" s="3"/>
      <c r="D10372" s="3"/>
      <c r="E10372" s="3">
        <v>9</v>
      </c>
      <c r="F10372" s="4" t="str">
        <f>HYPERLINK("http://141.218.60.56/~jnz1568/getInfo.php?workbook=12_05.xlsx&amp;sheet=U0&amp;row=10372&amp;col=6&amp;number=3.8&amp;sourceID=14","3.8")</f>
        <v>3.8</v>
      </c>
      <c r="G10372" s="4" t="str">
        <f>HYPERLINK("http://141.218.60.56/~jnz1568/getInfo.php?workbook=12_05.xlsx&amp;sheet=U0&amp;row=10372&amp;col=7&amp;number=0.00263&amp;sourceID=14","0.00263")</f>
        <v>0.00263</v>
      </c>
    </row>
    <row r="10373" spans="1:7">
      <c r="A10373" s="3"/>
      <c r="B10373" s="3"/>
      <c r="C10373" s="3"/>
      <c r="D10373" s="3"/>
      <c r="E10373" s="3">
        <v>10</v>
      </c>
      <c r="F10373" s="4" t="str">
        <f>HYPERLINK("http://141.218.60.56/~jnz1568/getInfo.php?workbook=12_05.xlsx&amp;sheet=U0&amp;row=10373&amp;col=6&amp;number=3.9&amp;sourceID=14","3.9")</f>
        <v>3.9</v>
      </c>
      <c r="G10373" s="4" t="str">
        <f>HYPERLINK("http://141.218.60.56/~jnz1568/getInfo.php?workbook=12_05.xlsx&amp;sheet=U0&amp;row=10373&amp;col=7&amp;number=0.00262&amp;sourceID=14","0.00262")</f>
        <v>0.00262</v>
      </c>
    </row>
    <row r="10374" spans="1:7">
      <c r="A10374" s="3"/>
      <c r="B10374" s="3"/>
      <c r="C10374" s="3"/>
      <c r="D10374" s="3"/>
      <c r="E10374" s="3">
        <v>11</v>
      </c>
      <c r="F10374" s="4" t="str">
        <f>HYPERLINK("http://141.218.60.56/~jnz1568/getInfo.php?workbook=12_05.xlsx&amp;sheet=U0&amp;row=10374&amp;col=6&amp;number=4&amp;sourceID=14","4")</f>
        <v>4</v>
      </c>
      <c r="G10374" s="4" t="str">
        <f>HYPERLINK("http://141.218.60.56/~jnz1568/getInfo.php?workbook=12_05.xlsx&amp;sheet=U0&amp;row=10374&amp;col=7&amp;number=0.00261&amp;sourceID=14","0.00261")</f>
        <v>0.00261</v>
      </c>
    </row>
    <row r="10375" spans="1:7">
      <c r="A10375" s="3"/>
      <c r="B10375" s="3"/>
      <c r="C10375" s="3"/>
      <c r="D10375" s="3"/>
      <c r="E10375" s="3">
        <v>12</v>
      </c>
      <c r="F10375" s="4" t="str">
        <f>HYPERLINK("http://141.218.60.56/~jnz1568/getInfo.php?workbook=12_05.xlsx&amp;sheet=U0&amp;row=10375&amp;col=6&amp;number=4.1&amp;sourceID=14","4.1")</f>
        <v>4.1</v>
      </c>
      <c r="G10375" s="4" t="str">
        <f>HYPERLINK("http://141.218.60.56/~jnz1568/getInfo.php?workbook=12_05.xlsx&amp;sheet=U0&amp;row=10375&amp;col=7&amp;number=0.00261&amp;sourceID=14","0.00261")</f>
        <v>0.00261</v>
      </c>
    </row>
    <row r="10376" spans="1:7">
      <c r="A10376" s="3"/>
      <c r="B10376" s="3"/>
      <c r="C10376" s="3"/>
      <c r="D10376" s="3"/>
      <c r="E10376" s="3">
        <v>13</v>
      </c>
      <c r="F10376" s="4" t="str">
        <f>HYPERLINK("http://141.218.60.56/~jnz1568/getInfo.php?workbook=12_05.xlsx&amp;sheet=U0&amp;row=10376&amp;col=6&amp;number=4.2&amp;sourceID=14","4.2")</f>
        <v>4.2</v>
      </c>
      <c r="G10376" s="4" t="str">
        <f>HYPERLINK("http://141.218.60.56/~jnz1568/getInfo.php?workbook=12_05.xlsx&amp;sheet=U0&amp;row=10376&amp;col=7&amp;number=0.00259&amp;sourceID=14","0.00259")</f>
        <v>0.00259</v>
      </c>
    </row>
    <row r="10377" spans="1:7">
      <c r="A10377" s="3"/>
      <c r="B10377" s="3"/>
      <c r="C10377" s="3"/>
      <c r="D10377" s="3"/>
      <c r="E10377" s="3">
        <v>14</v>
      </c>
      <c r="F10377" s="4" t="str">
        <f>HYPERLINK("http://141.218.60.56/~jnz1568/getInfo.php?workbook=12_05.xlsx&amp;sheet=U0&amp;row=10377&amp;col=6&amp;number=4.3&amp;sourceID=14","4.3")</f>
        <v>4.3</v>
      </c>
      <c r="G10377" s="4" t="str">
        <f>HYPERLINK("http://141.218.60.56/~jnz1568/getInfo.php?workbook=12_05.xlsx&amp;sheet=U0&amp;row=10377&amp;col=7&amp;number=0.00258&amp;sourceID=14","0.00258")</f>
        <v>0.00258</v>
      </c>
    </row>
    <row r="10378" spans="1:7">
      <c r="A10378" s="3"/>
      <c r="B10378" s="3"/>
      <c r="C10378" s="3"/>
      <c r="D10378" s="3"/>
      <c r="E10378" s="3">
        <v>15</v>
      </c>
      <c r="F10378" s="4" t="str">
        <f>HYPERLINK("http://141.218.60.56/~jnz1568/getInfo.php?workbook=12_05.xlsx&amp;sheet=U0&amp;row=10378&amp;col=6&amp;number=4.4&amp;sourceID=14","4.4")</f>
        <v>4.4</v>
      </c>
      <c r="G10378" s="4" t="str">
        <f>HYPERLINK("http://141.218.60.56/~jnz1568/getInfo.php?workbook=12_05.xlsx&amp;sheet=U0&amp;row=10378&amp;col=7&amp;number=0.00257&amp;sourceID=14","0.00257")</f>
        <v>0.00257</v>
      </c>
    </row>
    <row r="10379" spans="1:7">
      <c r="A10379" s="3"/>
      <c r="B10379" s="3"/>
      <c r="C10379" s="3"/>
      <c r="D10379" s="3"/>
      <c r="E10379" s="3">
        <v>16</v>
      </c>
      <c r="F10379" s="4" t="str">
        <f>HYPERLINK("http://141.218.60.56/~jnz1568/getInfo.php?workbook=12_05.xlsx&amp;sheet=U0&amp;row=10379&amp;col=6&amp;number=4.5&amp;sourceID=14","4.5")</f>
        <v>4.5</v>
      </c>
      <c r="G10379" s="4" t="str">
        <f>HYPERLINK("http://141.218.60.56/~jnz1568/getInfo.php?workbook=12_05.xlsx&amp;sheet=U0&amp;row=10379&amp;col=7&amp;number=0.00254&amp;sourceID=14","0.00254")</f>
        <v>0.00254</v>
      </c>
    </row>
    <row r="10380" spans="1:7">
      <c r="A10380" s="3"/>
      <c r="B10380" s="3"/>
      <c r="C10380" s="3"/>
      <c r="D10380" s="3"/>
      <c r="E10380" s="3">
        <v>17</v>
      </c>
      <c r="F10380" s="4" t="str">
        <f>HYPERLINK("http://141.218.60.56/~jnz1568/getInfo.php?workbook=12_05.xlsx&amp;sheet=U0&amp;row=10380&amp;col=6&amp;number=4.6&amp;sourceID=14","4.6")</f>
        <v>4.6</v>
      </c>
      <c r="G10380" s="4" t="str">
        <f>HYPERLINK("http://141.218.60.56/~jnz1568/getInfo.php?workbook=12_05.xlsx&amp;sheet=U0&amp;row=10380&amp;col=7&amp;number=0.00252&amp;sourceID=14","0.00252")</f>
        <v>0.00252</v>
      </c>
    </row>
    <row r="10381" spans="1:7">
      <c r="A10381" s="3"/>
      <c r="B10381" s="3"/>
      <c r="C10381" s="3"/>
      <c r="D10381" s="3"/>
      <c r="E10381" s="3">
        <v>18</v>
      </c>
      <c r="F10381" s="4" t="str">
        <f>HYPERLINK("http://141.218.60.56/~jnz1568/getInfo.php?workbook=12_05.xlsx&amp;sheet=U0&amp;row=10381&amp;col=6&amp;number=4.7&amp;sourceID=14","4.7")</f>
        <v>4.7</v>
      </c>
      <c r="G10381" s="4" t="str">
        <f>HYPERLINK("http://141.218.60.56/~jnz1568/getInfo.php?workbook=12_05.xlsx&amp;sheet=U0&amp;row=10381&amp;col=7&amp;number=0.00249&amp;sourceID=14","0.00249")</f>
        <v>0.00249</v>
      </c>
    </row>
    <row r="10382" spans="1:7">
      <c r="A10382" s="3"/>
      <c r="B10382" s="3"/>
      <c r="C10382" s="3"/>
      <c r="D10382" s="3"/>
      <c r="E10382" s="3">
        <v>19</v>
      </c>
      <c r="F10382" s="4" t="str">
        <f>HYPERLINK("http://141.218.60.56/~jnz1568/getInfo.php?workbook=12_05.xlsx&amp;sheet=U0&amp;row=10382&amp;col=6&amp;number=4.8&amp;sourceID=14","4.8")</f>
        <v>4.8</v>
      </c>
      <c r="G10382" s="4" t="str">
        <f>HYPERLINK("http://141.218.60.56/~jnz1568/getInfo.php?workbook=12_05.xlsx&amp;sheet=U0&amp;row=10382&amp;col=7&amp;number=0.00245&amp;sourceID=14","0.00245")</f>
        <v>0.00245</v>
      </c>
    </row>
    <row r="10383" spans="1:7">
      <c r="A10383" s="3"/>
      <c r="B10383" s="3"/>
      <c r="C10383" s="3"/>
      <c r="D10383" s="3"/>
      <c r="E10383" s="3">
        <v>20</v>
      </c>
      <c r="F10383" s="4" t="str">
        <f>HYPERLINK("http://141.218.60.56/~jnz1568/getInfo.php?workbook=12_05.xlsx&amp;sheet=U0&amp;row=10383&amp;col=6&amp;number=4.9&amp;sourceID=14","4.9")</f>
        <v>4.9</v>
      </c>
      <c r="G10383" s="4" t="str">
        <f>HYPERLINK("http://141.218.60.56/~jnz1568/getInfo.php?workbook=12_05.xlsx&amp;sheet=U0&amp;row=10383&amp;col=7&amp;number=0.0024&amp;sourceID=14","0.0024")</f>
        <v>0.0024</v>
      </c>
    </row>
    <row r="10384" spans="1:7">
      <c r="A10384" s="3">
        <v>12</v>
      </c>
      <c r="B10384" s="3">
        <v>5</v>
      </c>
      <c r="C10384" s="3">
        <v>5</v>
      </c>
      <c r="D10384" s="3">
        <v>95</v>
      </c>
      <c r="E10384" s="3">
        <v>1</v>
      </c>
      <c r="F10384" s="4" t="str">
        <f>HYPERLINK("http://141.218.60.56/~jnz1568/getInfo.php?workbook=12_05.xlsx&amp;sheet=U0&amp;row=10384&amp;col=6&amp;number=3&amp;sourceID=14","3")</f>
        <v>3</v>
      </c>
      <c r="G10384" s="4" t="str">
        <f>HYPERLINK("http://141.218.60.56/~jnz1568/getInfo.php?workbook=12_05.xlsx&amp;sheet=U0&amp;row=10384&amp;col=7&amp;number=0.0275&amp;sourceID=14","0.0275")</f>
        <v>0.0275</v>
      </c>
    </row>
    <row r="10385" spans="1:7">
      <c r="A10385" s="3"/>
      <c r="B10385" s="3"/>
      <c r="C10385" s="3"/>
      <c r="D10385" s="3"/>
      <c r="E10385" s="3">
        <v>2</v>
      </c>
      <c r="F10385" s="4" t="str">
        <f>HYPERLINK("http://141.218.60.56/~jnz1568/getInfo.php?workbook=12_05.xlsx&amp;sheet=U0&amp;row=10385&amp;col=6&amp;number=3.1&amp;sourceID=14","3.1")</f>
        <v>3.1</v>
      </c>
      <c r="G10385" s="4" t="str">
        <f>HYPERLINK("http://141.218.60.56/~jnz1568/getInfo.php?workbook=12_05.xlsx&amp;sheet=U0&amp;row=10385&amp;col=7&amp;number=0.0275&amp;sourceID=14","0.0275")</f>
        <v>0.0275</v>
      </c>
    </row>
    <row r="10386" spans="1:7">
      <c r="A10386" s="3"/>
      <c r="B10386" s="3"/>
      <c r="C10386" s="3"/>
      <c r="D10386" s="3"/>
      <c r="E10386" s="3">
        <v>3</v>
      </c>
      <c r="F10386" s="4" t="str">
        <f>HYPERLINK("http://141.218.60.56/~jnz1568/getInfo.php?workbook=12_05.xlsx&amp;sheet=U0&amp;row=10386&amp;col=6&amp;number=3.2&amp;sourceID=14","3.2")</f>
        <v>3.2</v>
      </c>
      <c r="G10386" s="4" t="str">
        <f>HYPERLINK("http://141.218.60.56/~jnz1568/getInfo.php?workbook=12_05.xlsx&amp;sheet=U0&amp;row=10386&amp;col=7&amp;number=0.0275&amp;sourceID=14","0.0275")</f>
        <v>0.0275</v>
      </c>
    </row>
    <row r="10387" spans="1:7">
      <c r="A10387" s="3"/>
      <c r="B10387" s="3"/>
      <c r="C10387" s="3"/>
      <c r="D10387" s="3"/>
      <c r="E10387" s="3">
        <v>4</v>
      </c>
      <c r="F10387" s="4" t="str">
        <f>HYPERLINK("http://141.218.60.56/~jnz1568/getInfo.php?workbook=12_05.xlsx&amp;sheet=U0&amp;row=10387&amp;col=6&amp;number=3.3&amp;sourceID=14","3.3")</f>
        <v>3.3</v>
      </c>
      <c r="G10387" s="4" t="str">
        <f>HYPERLINK("http://141.218.60.56/~jnz1568/getInfo.php?workbook=12_05.xlsx&amp;sheet=U0&amp;row=10387&amp;col=7&amp;number=0.0275&amp;sourceID=14","0.0275")</f>
        <v>0.0275</v>
      </c>
    </row>
    <row r="10388" spans="1:7">
      <c r="A10388" s="3"/>
      <c r="B10388" s="3"/>
      <c r="C10388" s="3"/>
      <c r="D10388" s="3"/>
      <c r="E10388" s="3">
        <v>5</v>
      </c>
      <c r="F10388" s="4" t="str">
        <f>HYPERLINK("http://141.218.60.56/~jnz1568/getInfo.php?workbook=12_05.xlsx&amp;sheet=U0&amp;row=10388&amp;col=6&amp;number=3.4&amp;sourceID=14","3.4")</f>
        <v>3.4</v>
      </c>
      <c r="G10388" s="4" t="str">
        <f>HYPERLINK("http://141.218.60.56/~jnz1568/getInfo.php?workbook=12_05.xlsx&amp;sheet=U0&amp;row=10388&amp;col=7&amp;number=0.0274&amp;sourceID=14","0.0274")</f>
        <v>0.0274</v>
      </c>
    </row>
    <row r="10389" spans="1:7">
      <c r="A10389" s="3"/>
      <c r="B10389" s="3"/>
      <c r="C10389" s="3"/>
      <c r="D10389" s="3"/>
      <c r="E10389" s="3">
        <v>6</v>
      </c>
      <c r="F10389" s="4" t="str">
        <f>HYPERLINK("http://141.218.60.56/~jnz1568/getInfo.php?workbook=12_05.xlsx&amp;sheet=U0&amp;row=10389&amp;col=6&amp;number=3.5&amp;sourceID=14","3.5")</f>
        <v>3.5</v>
      </c>
      <c r="G10389" s="4" t="str">
        <f>HYPERLINK("http://141.218.60.56/~jnz1568/getInfo.php?workbook=12_05.xlsx&amp;sheet=U0&amp;row=10389&amp;col=7&amp;number=0.0274&amp;sourceID=14","0.0274")</f>
        <v>0.0274</v>
      </c>
    </row>
    <row r="10390" spans="1:7">
      <c r="A10390" s="3"/>
      <c r="B10390" s="3"/>
      <c r="C10390" s="3"/>
      <c r="D10390" s="3"/>
      <c r="E10390" s="3">
        <v>7</v>
      </c>
      <c r="F10390" s="4" t="str">
        <f>HYPERLINK("http://141.218.60.56/~jnz1568/getInfo.php?workbook=12_05.xlsx&amp;sheet=U0&amp;row=10390&amp;col=6&amp;number=3.6&amp;sourceID=14","3.6")</f>
        <v>3.6</v>
      </c>
      <c r="G10390" s="4" t="str">
        <f>HYPERLINK("http://141.218.60.56/~jnz1568/getInfo.php?workbook=12_05.xlsx&amp;sheet=U0&amp;row=10390&amp;col=7&amp;number=0.0274&amp;sourceID=14","0.0274")</f>
        <v>0.0274</v>
      </c>
    </row>
    <row r="10391" spans="1:7">
      <c r="A10391" s="3"/>
      <c r="B10391" s="3"/>
      <c r="C10391" s="3"/>
      <c r="D10391" s="3"/>
      <c r="E10391" s="3">
        <v>8</v>
      </c>
      <c r="F10391" s="4" t="str">
        <f>HYPERLINK("http://141.218.60.56/~jnz1568/getInfo.php?workbook=12_05.xlsx&amp;sheet=U0&amp;row=10391&amp;col=6&amp;number=3.7&amp;sourceID=14","3.7")</f>
        <v>3.7</v>
      </c>
      <c r="G10391" s="4" t="str">
        <f>HYPERLINK("http://141.218.60.56/~jnz1568/getInfo.php?workbook=12_05.xlsx&amp;sheet=U0&amp;row=10391&amp;col=7&amp;number=0.0274&amp;sourceID=14","0.0274")</f>
        <v>0.0274</v>
      </c>
    </row>
    <row r="10392" spans="1:7">
      <c r="A10392" s="3"/>
      <c r="B10392" s="3"/>
      <c r="C10392" s="3"/>
      <c r="D10392" s="3"/>
      <c r="E10392" s="3">
        <v>9</v>
      </c>
      <c r="F10392" s="4" t="str">
        <f>HYPERLINK("http://141.218.60.56/~jnz1568/getInfo.php?workbook=12_05.xlsx&amp;sheet=U0&amp;row=10392&amp;col=6&amp;number=3.8&amp;sourceID=14","3.8")</f>
        <v>3.8</v>
      </c>
      <c r="G10392" s="4" t="str">
        <f>HYPERLINK("http://141.218.60.56/~jnz1568/getInfo.php?workbook=12_05.xlsx&amp;sheet=U0&amp;row=10392&amp;col=7&amp;number=0.0273&amp;sourceID=14","0.0273")</f>
        <v>0.0273</v>
      </c>
    </row>
    <row r="10393" spans="1:7">
      <c r="A10393" s="3"/>
      <c r="B10393" s="3"/>
      <c r="C10393" s="3"/>
      <c r="D10393" s="3"/>
      <c r="E10393" s="3">
        <v>10</v>
      </c>
      <c r="F10393" s="4" t="str">
        <f>HYPERLINK("http://141.218.60.56/~jnz1568/getInfo.php?workbook=12_05.xlsx&amp;sheet=U0&amp;row=10393&amp;col=6&amp;number=3.9&amp;sourceID=14","3.9")</f>
        <v>3.9</v>
      </c>
      <c r="G10393" s="4" t="str">
        <f>HYPERLINK("http://141.218.60.56/~jnz1568/getInfo.php?workbook=12_05.xlsx&amp;sheet=U0&amp;row=10393&amp;col=7&amp;number=0.0273&amp;sourceID=14","0.0273")</f>
        <v>0.0273</v>
      </c>
    </row>
    <row r="10394" spans="1:7">
      <c r="A10394" s="3"/>
      <c r="B10394" s="3"/>
      <c r="C10394" s="3"/>
      <c r="D10394" s="3"/>
      <c r="E10394" s="3">
        <v>11</v>
      </c>
      <c r="F10394" s="4" t="str">
        <f>HYPERLINK("http://141.218.60.56/~jnz1568/getInfo.php?workbook=12_05.xlsx&amp;sheet=U0&amp;row=10394&amp;col=6&amp;number=4&amp;sourceID=14","4")</f>
        <v>4</v>
      </c>
      <c r="G10394" s="4" t="str">
        <f>HYPERLINK("http://141.218.60.56/~jnz1568/getInfo.php?workbook=12_05.xlsx&amp;sheet=U0&amp;row=10394&amp;col=7&amp;number=0.0272&amp;sourceID=14","0.0272")</f>
        <v>0.0272</v>
      </c>
    </row>
    <row r="10395" spans="1:7">
      <c r="A10395" s="3"/>
      <c r="B10395" s="3"/>
      <c r="C10395" s="3"/>
      <c r="D10395" s="3"/>
      <c r="E10395" s="3">
        <v>12</v>
      </c>
      <c r="F10395" s="4" t="str">
        <f>HYPERLINK("http://141.218.60.56/~jnz1568/getInfo.php?workbook=12_05.xlsx&amp;sheet=U0&amp;row=10395&amp;col=6&amp;number=4.1&amp;sourceID=14","4.1")</f>
        <v>4.1</v>
      </c>
      <c r="G10395" s="4" t="str">
        <f>HYPERLINK("http://141.218.60.56/~jnz1568/getInfo.php?workbook=12_05.xlsx&amp;sheet=U0&amp;row=10395&amp;col=7&amp;number=0.0271&amp;sourceID=14","0.0271")</f>
        <v>0.0271</v>
      </c>
    </row>
    <row r="10396" spans="1:7">
      <c r="A10396" s="3"/>
      <c r="B10396" s="3"/>
      <c r="C10396" s="3"/>
      <c r="D10396" s="3"/>
      <c r="E10396" s="3">
        <v>13</v>
      </c>
      <c r="F10396" s="4" t="str">
        <f>HYPERLINK("http://141.218.60.56/~jnz1568/getInfo.php?workbook=12_05.xlsx&amp;sheet=U0&amp;row=10396&amp;col=6&amp;number=4.2&amp;sourceID=14","4.2")</f>
        <v>4.2</v>
      </c>
      <c r="G10396" s="4" t="str">
        <f>HYPERLINK("http://141.218.60.56/~jnz1568/getInfo.php?workbook=12_05.xlsx&amp;sheet=U0&amp;row=10396&amp;col=7&amp;number=0.027&amp;sourceID=14","0.027")</f>
        <v>0.027</v>
      </c>
    </row>
    <row r="10397" spans="1:7">
      <c r="A10397" s="3"/>
      <c r="B10397" s="3"/>
      <c r="C10397" s="3"/>
      <c r="D10397" s="3"/>
      <c r="E10397" s="3">
        <v>14</v>
      </c>
      <c r="F10397" s="4" t="str">
        <f>HYPERLINK("http://141.218.60.56/~jnz1568/getInfo.php?workbook=12_05.xlsx&amp;sheet=U0&amp;row=10397&amp;col=6&amp;number=4.3&amp;sourceID=14","4.3")</f>
        <v>4.3</v>
      </c>
      <c r="G10397" s="4" t="str">
        <f>HYPERLINK("http://141.218.60.56/~jnz1568/getInfo.php?workbook=12_05.xlsx&amp;sheet=U0&amp;row=10397&amp;col=7&amp;number=0.0269&amp;sourceID=14","0.0269")</f>
        <v>0.0269</v>
      </c>
    </row>
    <row r="10398" spans="1:7">
      <c r="A10398" s="3"/>
      <c r="B10398" s="3"/>
      <c r="C10398" s="3"/>
      <c r="D10398" s="3"/>
      <c r="E10398" s="3">
        <v>15</v>
      </c>
      <c r="F10398" s="4" t="str">
        <f>HYPERLINK("http://141.218.60.56/~jnz1568/getInfo.php?workbook=12_05.xlsx&amp;sheet=U0&amp;row=10398&amp;col=6&amp;number=4.4&amp;sourceID=14","4.4")</f>
        <v>4.4</v>
      </c>
      <c r="G10398" s="4" t="str">
        <f>HYPERLINK("http://141.218.60.56/~jnz1568/getInfo.php?workbook=12_05.xlsx&amp;sheet=U0&amp;row=10398&amp;col=7&amp;number=0.0267&amp;sourceID=14","0.0267")</f>
        <v>0.0267</v>
      </c>
    </row>
    <row r="10399" spans="1:7">
      <c r="A10399" s="3"/>
      <c r="B10399" s="3"/>
      <c r="C10399" s="3"/>
      <c r="D10399" s="3"/>
      <c r="E10399" s="3">
        <v>16</v>
      </c>
      <c r="F10399" s="4" t="str">
        <f>HYPERLINK("http://141.218.60.56/~jnz1568/getInfo.php?workbook=12_05.xlsx&amp;sheet=U0&amp;row=10399&amp;col=6&amp;number=4.5&amp;sourceID=14","4.5")</f>
        <v>4.5</v>
      </c>
      <c r="G10399" s="4" t="str">
        <f>HYPERLINK("http://141.218.60.56/~jnz1568/getInfo.php?workbook=12_05.xlsx&amp;sheet=U0&amp;row=10399&amp;col=7&amp;number=0.0265&amp;sourceID=14","0.0265")</f>
        <v>0.0265</v>
      </c>
    </row>
    <row r="10400" spans="1:7">
      <c r="A10400" s="3"/>
      <c r="B10400" s="3"/>
      <c r="C10400" s="3"/>
      <c r="D10400" s="3"/>
      <c r="E10400" s="3">
        <v>17</v>
      </c>
      <c r="F10400" s="4" t="str">
        <f>HYPERLINK("http://141.218.60.56/~jnz1568/getInfo.php?workbook=12_05.xlsx&amp;sheet=U0&amp;row=10400&amp;col=6&amp;number=4.6&amp;sourceID=14","4.6")</f>
        <v>4.6</v>
      </c>
      <c r="G10400" s="4" t="str">
        <f>HYPERLINK("http://141.218.60.56/~jnz1568/getInfo.php?workbook=12_05.xlsx&amp;sheet=U0&amp;row=10400&amp;col=7&amp;number=0.0263&amp;sourceID=14","0.0263")</f>
        <v>0.0263</v>
      </c>
    </row>
    <row r="10401" spans="1:7">
      <c r="A10401" s="3"/>
      <c r="B10401" s="3"/>
      <c r="C10401" s="3"/>
      <c r="D10401" s="3"/>
      <c r="E10401" s="3">
        <v>18</v>
      </c>
      <c r="F10401" s="4" t="str">
        <f>HYPERLINK("http://141.218.60.56/~jnz1568/getInfo.php?workbook=12_05.xlsx&amp;sheet=U0&amp;row=10401&amp;col=6&amp;number=4.7&amp;sourceID=14","4.7")</f>
        <v>4.7</v>
      </c>
      <c r="G10401" s="4" t="str">
        <f>HYPERLINK("http://141.218.60.56/~jnz1568/getInfo.php?workbook=12_05.xlsx&amp;sheet=U0&amp;row=10401&amp;col=7&amp;number=0.026&amp;sourceID=14","0.026")</f>
        <v>0.026</v>
      </c>
    </row>
    <row r="10402" spans="1:7">
      <c r="A10402" s="3"/>
      <c r="B10402" s="3"/>
      <c r="C10402" s="3"/>
      <c r="D10402" s="3"/>
      <c r="E10402" s="3">
        <v>19</v>
      </c>
      <c r="F10402" s="4" t="str">
        <f>HYPERLINK("http://141.218.60.56/~jnz1568/getInfo.php?workbook=12_05.xlsx&amp;sheet=U0&amp;row=10402&amp;col=6&amp;number=4.8&amp;sourceID=14","4.8")</f>
        <v>4.8</v>
      </c>
      <c r="G10402" s="4" t="str">
        <f>HYPERLINK("http://141.218.60.56/~jnz1568/getInfo.php?workbook=12_05.xlsx&amp;sheet=U0&amp;row=10402&amp;col=7&amp;number=0.0256&amp;sourceID=14","0.0256")</f>
        <v>0.0256</v>
      </c>
    </row>
    <row r="10403" spans="1:7">
      <c r="A10403" s="3"/>
      <c r="B10403" s="3"/>
      <c r="C10403" s="3"/>
      <c r="D10403" s="3"/>
      <c r="E10403" s="3">
        <v>20</v>
      </c>
      <c r="F10403" s="4" t="str">
        <f>HYPERLINK("http://141.218.60.56/~jnz1568/getInfo.php?workbook=12_05.xlsx&amp;sheet=U0&amp;row=10403&amp;col=6&amp;number=4.9&amp;sourceID=14","4.9")</f>
        <v>4.9</v>
      </c>
      <c r="G10403" s="4" t="str">
        <f>HYPERLINK("http://141.218.60.56/~jnz1568/getInfo.php?workbook=12_05.xlsx&amp;sheet=U0&amp;row=10403&amp;col=7&amp;number=0.0252&amp;sourceID=14","0.0252")</f>
        <v>0.0252</v>
      </c>
    </row>
    <row r="10404" spans="1:7">
      <c r="A10404" s="3">
        <v>12</v>
      </c>
      <c r="B10404" s="3">
        <v>5</v>
      </c>
      <c r="C10404" s="3">
        <v>5</v>
      </c>
      <c r="D10404" s="3">
        <v>96</v>
      </c>
      <c r="E10404" s="3">
        <v>1</v>
      </c>
      <c r="F10404" s="4" t="str">
        <f>HYPERLINK("http://141.218.60.56/~jnz1568/getInfo.php?workbook=12_05.xlsx&amp;sheet=U0&amp;row=10404&amp;col=6&amp;number=3&amp;sourceID=14","3")</f>
        <v>3</v>
      </c>
      <c r="G10404" s="4" t="str">
        <f>HYPERLINK("http://141.218.60.56/~jnz1568/getInfo.php?workbook=12_05.xlsx&amp;sheet=U0&amp;row=10404&amp;col=7&amp;number=0.000301&amp;sourceID=14","0.000301")</f>
        <v>0.000301</v>
      </c>
    </row>
    <row r="10405" spans="1:7">
      <c r="A10405" s="3"/>
      <c r="B10405" s="3"/>
      <c r="C10405" s="3"/>
      <c r="D10405" s="3"/>
      <c r="E10405" s="3">
        <v>2</v>
      </c>
      <c r="F10405" s="4" t="str">
        <f>HYPERLINK("http://141.218.60.56/~jnz1568/getInfo.php?workbook=12_05.xlsx&amp;sheet=U0&amp;row=10405&amp;col=6&amp;number=3.1&amp;sourceID=14","3.1")</f>
        <v>3.1</v>
      </c>
      <c r="G10405" s="4" t="str">
        <f>HYPERLINK("http://141.218.60.56/~jnz1568/getInfo.php?workbook=12_05.xlsx&amp;sheet=U0&amp;row=10405&amp;col=7&amp;number=0.000301&amp;sourceID=14","0.000301")</f>
        <v>0.000301</v>
      </c>
    </row>
    <row r="10406" spans="1:7">
      <c r="A10406" s="3"/>
      <c r="B10406" s="3"/>
      <c r="C10406" s="3"/>
      <c r="D10406" s="3"/>
      <c r="E10406" s="3">
        <v>3</v>
      </c>
      <c r="F10406" s="4" t="str">
        <f>HYPERLINK("http://141.218.60.56/~jnz1568/getInfo.php?workbook=12_05.xlsx&amp;sheet=U0&amp;row=10406&amp;col=6&amp;number=3.2&amp;sourceID=14","3.2")</f>
        <v>3.2</v>
      </c>
      <c r="G10406" s="4" t="str">
        <f>HYPERLINK("http://141.218.60.56/~jnz1568/getInfo.php?workbook=12_05.xlsx&amp;sheet=U0&amp;row=10406&amp;col=7&amp;number=0.000301&amp;sourceID=14","0.000301")</f>
        <v>0.000301</v>
      </c>
    </row>
    <row r="10407" spans="1:7">
      <c r="A10407" s="3"/>
      <c r="B10407" s="3"/>
      <c r="C10407" s="3"/>
      <c r="D10407" s="3"/>
      <c r="E10407" s="3">
        <v>4</v>
      </c>
      <c r="F10407" s="4" t="str">
        <f>HYPERLINK("http://141.218.60.56/~jnz1568/getInfo.php?workbook=12_05.xlsx&amp;sheet=U0&amp;row=10407&amp;col=6&amp;number=3.3&amp;sourceID=14","3.3")</f>
        <v>3.3</v>
      </c>
      <c r="G10407" s="4" t="str">
        <f>HYPERLINK("http://141.218.60.56/~jnz1568/getInfo.php?workbook=12_05.xlsx&amp;sheet=U0&amp;row=10407&amp;col=7&amp;number=0.000301&amp;sourceID=14","0.000301")</f>
        <v>0.000301</v>
      </c>
    </row>
    <row r="10408" spans="1:7">
      <c r="A10408" s="3"/>
      <c r="B10408" s="3"/>
      <c r="C10408" s="3"/>
      <c r="D10408" s="3"/>
      <c r="E10408" s="3">
        <v>5</v>
      </c>
      <c r="F10408" s="4" t="str">
        <f>HYPERLINK("http://141.218.60.56/~jnz1568/getInfo.php?workbook=12_05.xlsx&amp;sheet=U0&amp;row=10408&amp;col=6&amp;number=3.4&amp;sourceID=14","3.4")</f>
        <v>3.4</v>
      </c>
      <c r="G10408" s="4" t="str">
        <f>HYPERLINK("http://141.218.60.56/~jnz1568/getInfo.php?workbook=12_05.xlsx&amp;sheet=U0&amp;row=10408&amp;col=7&amp;number=0.0003&amp;sourceID=14","0.0003")</f>
        <v>0.0003</v>
      </c>
    </row>
    <row r="10409" spans="1:7">
      <c r="A10409" s="3"/>
      <c r="B10409" s="3"/>
      <c r="C10409" s="3"/>
      <c r="D10409" s="3"/>
      <c r="E10409" s="3">
        <v>6</v>
      </c>
      <c r="F10409" s="4" t="str">
        <f>HYPERLINK("http://141.218.60.56/~jnz1568/getInfo.php?workbook=12_05.xlsx&amp;sheet=U0&amp;row=10409&amp;col=6&amp;number=3.5&amp;sourceID=14","3.5")</f>
        <v>3.5</v>
      </c>
      <c r="G10409" s="4" t="str">
        <f>HYPERLINK("http://141.218.60.56/~jnz1568/getInfo.php?workbook=12_05.xlsx&amp;sheet=U0&amp;row=10409&amp;col=7&amp;number=0.0003&amp;sourceID=14","0.0003")</f>
        <v>0.0003</v>
      </c>
    </row>
    <row r="10410" spans="1:7">
      <c r="A10410" s="3"/>
      <c r="B10410" s="3"/>
      <c r="C10410" s="3"/>
      <c r="D10410" s="3"/>
      <c r="E10410" s="3">
        <v>7</v>
      </c>
      <c r="F10410" s="4" t="str">
        <f>HYPERLINK("http://141.218.60.56/~jnz1568/getInfo.php?workbook=12_05.xlsx&amp;sheet=U0&amp;row=10410&amp;col=6&amp;number=3.6&amp;sourceID=14","3.6")</f>
        <v>3.6</v>
      </c>
      <c r="G10410" s="4" t="str">
        <f>HYPERLINK("http://141.218.60.56/~jnz1568/getInfo.php?workbook=12_05.xlsx&amp;sheet=U0&amp;row=10410&amp;col=7&amp;number=0.0003&amp;sourceID=14","0.0003")</f>
        <v>0.0003</v>
      </c>
    </row>
    <row r="10411" spans="1:7">
      <c r="A10411" s="3"/>
      <c r="B10411" s="3"/>
      <c r="C10411" s="3"/>
      <c r="D10411" s="3"/>
      <c r="E10411" s="3">
        <v>8</v>
      </c>
      <c r="F10411" s="4" t="str">
        <f>HYPERLINK("http://141.218.60.56/~jnz1568/getInfo.php?workbook=12_05.xlsx&amp;sheet=U0&amp;row=10411&amp;col=6&amp;number=3.7&amp;sourceID=14","3.7")</f>
        <v>3.7</v>
      </c>
      <c r="G10411" s="4" t="str">
        <f>HYPERLINK("http://141.218.60.56/~jnz1568/getInfo.php?workbook=12_05.xlsx&amp;sheet=U0&amp;row=10411&amp;col=7&amp;number=0.0003&amp;sourceID=14","0.0003")</f>
        <v>0.0003</v>
      </c>
    </row>
    <row r="10412" spans="1:7">
      <c r="A10412" s="3"/>
      <c r="B10412" s="3"/>
      <c r="C10412" s="3"/>
      <c r="D10412" s="3"/>
      <c r="E10412" s="3">
        <v>9</v>
      </c>
      <c r="F10412" s="4" t="str">
        <f>HYPERLINK("http://141.218.60.56/~jnz1568/getInfo.php?workbook=12_05.xlsx&amp;sheet=U0&amp;row=10412&amp;col=6&amp;number=3.8&amp;sourceID=14","3.8")</f>
        <v>3.8</v>
      </c>
      <c r="G10412" s="4" t="str">
        <f>HYPERLINK("http://141.218.60.56/~jnz1568/getInfo.php?workbook=12_05.xlsx&amp;sheet=U0&amp;row=10412&amp;col=7&amp;number=0.000299&amp;sourceID=14","0.000299")</f>
        <v>0.000299</v>
      </c>
    </row>
    <row r="10413" spans="1:7">
      <c r="A10413" s="3"/>
      <c r="B10413" s="3"/>
      <c r="C10413" s="3"/>
      <c r="D10413" s="3"/>
      <c r="E10413" s="3">
        <v>10</v>
      </c>
      <c r="F10413" s="4" t="str">
        <f>HYPERLINK("http://141.218.60.56/~jnz1568/getInfo.php?workbook=12_05.xlsx&amp;sheet=U0&amp;row=10413&amp;col=6&amp;number=3.9&amp;sourceID=14","3.9")</f>
        <v>3.9</v>
      </c>
      <c r="G10413" s="4" t="str">
        <f>HYPERLINK("http://141.218.60.56/~jnz1568/getInfo.php?workbook=12_05.xlsx&amp;sheet=U0&amp;row=10413&amp;col=7&amp;number=0.000299&amp;sourceID=14","0.000299")</f>
        <v>0.000299</v>
      </c>
    </row>
    <row r="10414" spans="1:7">
      <c r="A10414" s="3"/>
      <c r="B10414" s="3"/>
      <c r="C10414" s="3"/>
      <c r="D10414" s="3"/>
      <c r="E10414" s="3">
        <v>11</v>
      </c>
      <c r="F10414" s="4" t="str">
        <f>HYPERLINK("http://141.218.60.56/~jnz1568/getInfo.php?workbook=12_05.xlsx&amp;sheet=U0&amp;row=10414&amp;col=6&amp;number=4&amp;sourceID=14","4")</f>
        <v>4</v>
      </c>
      <c r="G10414" s="4" t="str">
        <f>HYPERLINK("http://141.218.60.56/~jnz1568/getInfo.php?workbook=12_05.xlsx&amp;sheet=U0&amp;row=10414&amp;col=7&amp;number=0.000298&amp;sourceID=14","0.000298")</f>
        <v>0.000298</v>
      </c>
    </row>
    <row r="10415" spans="1:7">
      <c r="A10415" s="3"/>
      <c r="B10415" s="3"/>
      <c r="C10415" s="3"/>
      <c r="D10415" s="3"/>
      <c r="E10415" s="3">
        <v>12</v>
      </c>
      <c r="F10415" s="4" t="str">
        <f>HYPERLINK("http://141.218.60.56/~jnz1568/getInfo.php?workbook=12_05.xlsx&amp;sheet=U0&amp;row=10415&amp;col=6&amp;number=4.1&amp;sourceID=14","4.1")</f>
        <v>4.1</v>
      </c>
      <c r="G10415" s="4" t="str">
        <f>HYPERLINK("http://141.218.60.56/~jnz1568/getInfo.php?workbook=12_05.xlsx&amp;sheet=U0&amp;row=10415&amp;col=7&amp;number=0.000297&amp;sourceID=14","0.000297")</f>
        <v>0.000297</v>
      </c>
    </row>
    <row r="10416" spans="1:7">
      <c r="A10416" s="3"/>
      <c r="B10416" s="3"/>
      <c r="C10416" s="3"/>
      <c r="D10416" s="3"/>
      <c r="E10416" s="3">
        <v>13</v>
      </c>
      <c r="F10416" s="4" t="str">
        <f>HYPERLINK("http://141.218.60.56/~jnz1568/getInfo.php?workbook=12_05.xlsx&amp;sheet=U0&amp;row=10416&amp;col=6&amp;number=4.2&amp;sourceID=14","4.2")</f>
        <v>4.2</v>
      </c>
      <c r="G10416" s="4" t="str">
        <f>HYPERLINK("http://141.218.60.56/~jnz1568/getInfo.php?workbook=12_05.xlsx&amp;sheet=U0&amp;row=10416&amp;col=7&amp;number=0.000296&amp;sourceID=14","0.000296")</f>
        <v>0.000296</v>
      </c>
    </row>
    <row r="10417" spans="1:7">
      <c r="A10417" s="3"/>
      <c r="B10417" s="3"/>
      <c r="C10417" s="3"/>
      <c r="D10417" s="3"/>
      <c r="E10417" s="3">
        <v>14</v>
      </c>
      <c r="F10417" s="4" t="str">
        <f>HYPERLINK("http://141.218.60.56/~jnz1568/getInfo.php?workbook=12_05.xlsx&amp;sheet=U0&amp;row=10417&amp;col=6&amp;number=4.3&amp;sourceID=14","4.3")</f>
        <v>4.3</v>
      </c>
      <c r="G10417" s="4" t="str">
        <f>HYPERLINK("http://141.218.60.56/~jnz1568/getInfo.php?workbook=12_05.xlsx&amp;sheet=U0&amp;row=10417&amp;col=7&amp;number=0.000295&amp;sourceID=14","0.000295")</f>
        <v>0.000295</v>
      </c>
    </row>
    <row r="10418" spans="1:7">
      <c r="A10418" s="3"/>
      <c r="B10418" s="3"/>
      <c r="C10418" s="3"/>
      <c r="D10418" s="3"/>
      <c r="E10418" s="3">
        <v>15</v>
      </c>
      <c r="F10418" s="4" t="str">
        <f>HYPERLINK("http://141.218.60.56/~jnz1568/getInfo.php?workbook=12_05.xlsx&amp;sheet=U0&amp;row=10418&amp;col=6&amp;number=4.4&amp;sourceID=14","4.4")</f>
        <v>4.4</v>
      </c>
      <c r="G10418" s="4" t="str">
        <f>HYPERLINK("http://141.218.60.56/~jnz1568/getInfo.php?workbook=12_05.xlsx&amp;sheet=U0&amp;row=10418&amp;col=7&amp;number=0.000293&amp;sourceID=14","0.000293")</f>
        <v>0.000293</v>
      </c>
    </row>
    <row r="10419" spans="1:7">
      <c r="A10419" s="3"/>
      <c r="B10419" s="3"/>
      <c r="C10419" s="3"/>
      <c r="D10419" s="3"/>
      <c r="E10419" s="3">
        <v>16</v>
      </c>
      <c r="F10419" s="4" t="str">
        <f>HYPERLINK("http://141.218.60.56/~jnz1568/getInfo.php?workbook=12_05.xlsx&amp;sheet=U0&amp;row=10419&amp;col=6&amp;number=4.5&amp;sourceID=14","4.5")</f>
        <v>4.5</v>
      </c>
      <c r="G10419" s="4" t="str">
        <f>HYPERLINK("http://141.218.60.56/~jnz1568/getInfo.php?workbook=12_05.xlsx&amp;sheet=U0&amp;row=10419&amp;col=7&amp;number=0.000291&amp;sourceID=14","0.000291")</f>
        <v>0.000291</v>
      </c>
    </row>
    <row r="10420" spans="1:7">
      <c r="A10420" s="3"/>
      <c r="B10420" s="3"/>
      <c r="C10420" s="3"/>
      <c r="D10420" s="3"/>
      <c r="E10420" s="3">
        <v>17</v>
      </c>
      <c r="F10420" s="4" t="str">
        <f>HYPERLINK("http://141.218.60.56/~jnz1568/getInfo.php?workbook=12_05.xlsx&amp;sheet=U0&amp;row=10420&amp;col=6&amp;number=4.6&amp;sourceID=14","4.6")</f>
        <v>4.6</v>
      </c>
      <c r="G10420" s="4" t="str">
        <f>HYPERLINK("http://141.218.60.56/~jnz1568/getInfo.php?workbook=12_05.xlsx&amp;sheet=U0&amp;row=10420&amp;col=7&amp;number=0.000288&amp;sourceID=14","0.000288")</f>
        <v>0.000288</v>
      </c>
    </row>
    <row r="10421" spans="1:7">
      <c r="A10421" s="3"/>
      <c r="B10421" s="3"/>
      <c r="C10421" s="3"/>
      <c r="D10421" s="3"/>
      <c r="E10421" s="3">
        <v>18</v>
      </c>
      <c r="F10421" s="4" t="str">
        <f>HYPERLINK("http://141.218.60.56/~jnz1568/getInfo.php?workbook=12_05.xlsx&amp;sheet=U0&amp;row=10421&amp;col=6&amp;number=4.7&amp;sourceID=14","4.7")</f>
        <v>4.7</v>
      </c>
      <c r="G10421" s="4" t="str">
        <f>HYPERLINK("http://141.218.60.56/~jnz1568/getInfo.php?workbook=12_05.xlsx&amp;sheet=U0&amp;row=10421&amp;col=7&amp;number=0.000285&amp;sourceID=14","0.000285")</f>
        <v>0.000285</v>
      </c>
    </row>
    <row r="10422" spans="1:7">
      <c r="A10422" s="3"/>
      <c r="B10422" s="3"/>
      <c r="C10422" s="3"/>
      <c r="D10422" s="3"/>
      <c r="E10422" s="3">
        <v>19</v>
      </c>
      <c r="F10422" s="4" t="str">
        <f>HYPERLINK("http://141.218.60.56/~jnz1568/getInfo.php?workbook=12_05.xlsx&amp;sheet=U0&amp;row=10422&amp;col=6&amp;number=4.8&amp;sourceID=14","4.8")</f>
        <v>4.8</v>
      </c>
      <c r="G10422" s="4" t="str">
        <f>HYPERLINK("http://141.218.60.56/~jnz1568/getInfo.php?workbook=12_05.xlsx&amp;sheet=U0&amp;row=10422&amp;col=7&amp;number=0.000281&amp;sourceID=14","0.000281")</f>
        <v>0.000281</v>
      </c>
    </row>
    <row r="10423" spans="1:7">
      <c r="A10423" s="3"/>
      <c r="B10423" s="3"/>
      <c r="C10423" s="3"/>
      <c r="D10423" s="3"/>
      <c r="E10423" s="3">
        <v>20</v>
      </c>
      <c r="F10423" s="4" t="str">
        <f>HYPERLINK("http://141.218.60.56/~jnz1568/getInfo.php?workbook=12_05.xlsx&amp;sheet=U0&amp;row=10423&amp;col=6&amp;number=4.9&amp;sourceID=14","4.9")</f>
        <v>4.9</v>
      </c>
      <c r="G10423" s="4" t="str">
        <f>HYPERLINK("http://141.218.60.56/~jnz1568/getInfo.php?workbook=12_05.xlsx&amp;sheet=U0&amp;row=10423&amp;col=7&amp;number=0.000276&amp;sourceID=14","0.000276")</f>
        <v>0.000276</v>
      </c>
    </row>
    <row r="10424" spans="1:7">
      <c r="A10424" s="3">
        <v>12</v>
      </c>
      <c r="B10424" s="3">
        <v>5</v>
      </c>
      <c r="C10424" s="3">
        <v>5</v>
      </c>
      <c r="D10424" s="3">
        <v>98</v>
      </c>
      <c r="E10424" s="3">
        <v>1</v>
      </c>
      <c r="F10424" s="4" t="str">
        <f>HYPERLINK("http://141.218.60.56/~jnz1568/getInfo.php?workbook=12_05.xlsx&amp;sheet=U0&amp;row=10424&amp;col=6&amp;number=3&amp;sourceID=14","3")</f>
        <v>3</v>
      </c>
      <c r="G10424" s="4" t="str">
        <f>HYPERLINK("http://141.218.60.56/~jnz1568/getInfo.php?workbook=12_05.xlsx&amp;sheet=U0&amp;row=10424&amp;col=7&amp;number=0.000897&amp;sourceID=14","0.000897")</f>
        <v>0.000897</v>
      </c>
    </row>
    <row r="10425" spans="1:7">
      <c r="A10425" s="3"/>
      <c r="B10425" s="3"/>
      <c r="C10425" s="3"/>
      <c r="D10425" s="3"/>
      <c r="E10425" s="3">
        <v>2</v>
      </c>
      <c r="F10425" s="4" t="str">
        <f>HYPERLINK("http://141.218.60.56/~jnz1568/getInfo.php?workbook=12_05.xlsx&amp;sheet=U0&amp;row=10425&amp;col=6&amp;number=3.1&amp;sourceID=14","3.1")</f>
        <v>3.1</v>
      </c>
      <c r="G10425" s="4" t="str">
        <f>HYPERLINK("http://141.218.60.56/~jnz1568/getInfo.php?workbook=12_05.xlsx&amp;sheet=U0&amp;row=10425&amp;col=7&amp;number=0.000897&amp;sourceID=14","0.000897")</f>
        <v>0.000897</v>
      </c>
    </row>
    <row r="10426" spans="1:7">
      <c r="A10426" s="3"/>
      <c r="B10426" s="3"/>
      <c r="C10426" s="3"/>
      <c r="D10426" s="3"/>
      <c r="E10426" s="3">
        <v>3</v>
      </c>
      <c r="F10426" s="4" t="str">
        <f>HYPERLINK("http://141.218.60.56/~jnz1568/getInfo.php?workbook=12_05.xlsx&amp;sheet=U0&amp;row=10426&amp;col=6&amp;number=3.2&amp;sourceID=14","3.2")</f>
        <v>3.2</v>
      </c>
      <c r="G10426" s="4" t="str">
        <f>HYPERLINK("http://141.218.60.56/~jnz1568/getInfo.php?workbook=12_05.xlsx&amp;sheet=U0&amp;row=10426&amp;col=7&amp;number=0.000897&amp;sourceID=14","0.000897")</f>
        <v>0.000897</v>
      </c>
    </row>
    <row r="10427" spans="1:7">
      <c r="A10427" s="3"/>
      <c r="B10427" s="3"/>
      <c r="C10427" s="3"/>
      <c r="D10427" s="3"/>
      <c r="E10427" s="3">
        <v>4</v>
      </c>
      <c r="F10427" s="4" t="str">
        <f>HYPERLINK("http://141.218.60.56/~jnz1568/getInfo.php?workbook=12_05.xlsx&amp;sheet=U0&amp;row=10427&amp;col=6&amp;number=3.3&amp;sourceID=14","3.3")</f>
        <v>3.3</v>
      </c>
      <c r="G10427" s="4" t="str">
        <f>HYPERLINK("http://141.218.60.56/~jnz1568/getInfo.php?workbook=12_05.xlsx&amp;sheet=U0&amp;row=10427&amp;col=7&amp;number=0.000897&amp;sourceID=14","0.000897")</f>
        <v>0.000897</v>
      </c>
    </row>
    <row r="10428" spans="1:7">
      <c r="A10428" s="3"/>
      <c r="B10428" s="3"/>
      <c r="C10428" s="3"/>
      <c r="D10428" s="3"/>
      <c r="E10428" s="3">
        <v>5</v>
      </c>
      <c r="F10428" s="4" t="str">
        <f>HYPERLINK("http://141.218.60.56/~jnz1568/getInfo.php?workbook=12_05.xlsx&amp;sheet=U0&amp;row=10428&amp;col=6&amp;number=3.4&amp;sourceID=14","3.4")</f>
        <v>3.4</v>
      </c>
      <c r="G10428" s="4" t="str">
        <f>HYPERLINK("http://141.218.60.56/~jnz1568/getInfo.php?workbook=12_05.xlsx&amp;sheet=U0&amp;row=10428&amp;col=7&amp;number=0.000897&amp;sourceID=14","0.000897")</f>
        <v>0.000897</v>
      </c>
    </row>
    <row r="10429" spans="1:7">
      <c r="A10429" s="3"/>
      <c r="B10429" s="3"/>
      <c r="C10429" s="3"/>
      <c r="D10429" s="3"/>
      <c r="E10429" s="3">
        <v>6</v>
      </c>
      <c r="F10429" s="4" t="str">
        <f>HYPERLINK("http://141.218.60.56/~jnz1568/getInfo.php?workbook=12_05.xlsx&amp;sheet=U0&amp;row=10429&amp;col=6&amp;number=3.5&amp;sourceID=14","3.5")</f>
        <v>3.5</v>
      </c>
      <c r="G10429" s="4" t="str">
        <f>HYPERLINK("http://141.218.60.56/~jnz1568/getInfo.php?workbook=12_05.xlsx&amp;sheet=U0&amp;row=10429&amp;col=7&amp;number=0.000897&amp;sourceID=14","0.000897")</f>
        <v>0.000897</v>
      </c>
    </row>
    <row r="10430" spans="1:7">
      <c r="A10430" s="3"/>
      <c r="B10430" s="3"/>
      <c r="C10430" s="3"/>
      <c r="D10430" s="3"/>
      <c r="E10430" s="3">
        <v>7</v>
      </c>
      <c r="F10430" s="4" t="str">
        <f>HYPERLINK("http://141.218.60.56/~jnz1568/getInfo.php?workbook=12_05.xlsx&amp;sheet=U0&amp;row=10430&amp;col=6&amp;number=3.6&amp;sourceID=14","3.6")</f>
        <v>3.6</v>
      </c>
      <c r="G10430" s="4" t="str">
        <f>HYPERLINK("http://141.218.60.56/~jnz1568/getInfo.php?workbook=12_05.xlsx&amp;sheet=U0&amp;row=10430&amp;col=7&amp;number=0.000896&amp;sourceID=14","0.000896")</f>
        <v>0.000896</v>
      </c>
    </row>
    <row r="10431" spans="1:7">
      <c r="A10431" s="3"/>
      <c r="B10431" s="3"/>
      <c r="C10431" s="3"/>
      <c r="D10431" s="3"/>
      <c r="E10431" s="3">
        <v>8</v>
      </c>
      <c r="F10431" s="4" t="str">
        <f>HYPERLINK("http://141.218.60.56/~jnz1568/getInfo.php?workbook=12_05.xlsx&amp;sheet=U0&amp;row=10431&amp;col=6&amp;number=3.7&amp;sourceID=14","3.7")</f>
        <v>3.7</v>
      </c>
      <c r="G10431" s="4" t="str">
        <f>HYPERLINK("http://141.218.60.56/~jnz1568/getInfo.php?workbook=12_05.xlsx&amp;sheet=U0&amp;row=10431&amp;col=7&amp;number=0.000896&amp;sourceID=14","0.000896")</f>
        <v>0.000896</v>
      </c>
    </row>
    <row r="10432" spans="1:7">
      <c r="A10432" s="3"/>
      <c r="B10432" s="3"/>
      <c r="C10432" s="3"/>
      <c r="D10432" s="3"/>
      <c r="E10432" s="3">
        <v>9</v>
      </c>
      <c r="F10432" s="4" t="str">
        <f>HYPERLINK("http://141.218.60.56/~jnz1568/getInfo.php?workbook=12_05.xlsx&amp;sheet=U0&amp;row=10432&amp;col=6&amp;number=3.8&amp;sourceID=14","3.8")</f>
        <v>3.8</v>
      </c>
      <c r="G10432" s="4" t="str">
        <f>HYPERLINK("http://141.218.60.56/~jnz1568/getInfo.php?workbook=12_05.xlsx&amp;sheet=U0&amp;row=10432&amp;col=7&amp;number=0.000896&amp;sourceID=14","0.000896")</f>
        <v>0.000896</v>
      </c>
    </row>
    <row r="10433" spans="1:7">
      <c r="A10433" s="3"/>
      <c r="B10433" s="3"/>
      <c r="C10433" s="3"/>
      <c r="D10433" s="3"/>
      <c r="E10433" s="3">
        <v>10</v>
      </c>
      <c r="F10433" s="4" t="str">
        <f>HYPERLINK("http://141.218.60.56/~jnz1568/getInfo.php?workbook=12_05.xlsx&amp;sheet=U0&amp;row=10433&amp;col=6&amp;number=3.9&amp;sourceID=14","3.9")</f>
        <v>3.9</v>
      </c>
      <c r="G10433" s="4" t="str">
        <f>HYPERLINK("http://141.218.60.56/~jnz1568/getInfo.php?workbook=12_05.xlsx&amp;sheet=U0&amp;row=10433&amp;col=7&amp;number=0.000895&amp;sourceID=14","0.000895")</f>
        <v>0.000895</v>
      </c>
    </row>
    <row r="10434" spans="1:7">
      <c r="A10434" s="3"/>
      <c r="B10434" s="3"/>
      <c r="C10434" s="3"/>
      <c r="D10434" s="3"/>
      <c r="E10434" s="3">
        <v>11</v>
      </c>
      <c r="F10434" s="4" t="str">
        <f>HYPERLINK("http://141.218.60.56/~jnz1568/getInfo.php?workbook=12_05.xlsx&amp;sheet=U0&amp;row=10434&amp;col=6&amp;number=4&amp;sourceID=14","4")</f>
        <v>4</v>
      </c>
      <c r="G10434" s="4" t="str">
        <f>HYPERLINK("http://141.218.60.56/~jnz1568/getInfo.php?workbook=12_05.xlsx&amp;sheet=U0&amp;row=10434&amp;col=7&amp;number=0.000895&amp;sourceID=14","0.000895")</f>
        <v>0.000895</v>
      </c>
    </row>
    <row r="10435" spans="1:7">
      <c r="A10435" s="3"/>
      <c r="B10435" s="3"/>
      <c r="C10435" s="3"/>
      <c r="D10435" s="3"/>
      <c r="E10435" s="3">
        <v>12</v>
      </c>
      <c r="F10435" s="4" t="str">
        <f>HYPERLINK("http://141.218.60.56/~jnz1568/getInfo.php?workbook=12_05.xlsx&amp;sheet=U0&amp;row=10435&amp;col=6&amp;number=4.1&amp;sourceID=14","4.1")</f>
        <v>4.1</v>
      </c>
      <c r="G10435" s="4" t="str">
        <f>HYPERLINK("http://141.218.60.56/~jnz1568/getInfo.php?workbook=12_05.xlsx&amp;sheet=U0&amp;row=10435&amp;col=7&amp;number=0.000894&amp;sourceID=14","0.000894")</f>
        <v>0.000894</v>
      </c>
    </row>
    <row r="10436" spans="1:7">
      <c r="A10436" s="3"/>
      <c r="B10436" s="3"/>
      <c r="C10436" s="3"/>
      <c r="D10436" s="3"/>
      <c r="E10436" s="3">
        <v>13</v>
      </c>
      <c r="F10436" s="4" t="str">
        <f>HYPERLINK("http://141.218.60.56/~jnz1568/getInfo.php?workbook=12_05.xlsx&amp;sheet=U0&amp;row=10436&amp;col=6&amp;number=4.2&amp;sourceID=14","4.2")</f>
        <v>4.2</v>
      </c>
      <c r="G10436" s="4" t="str">
        <f>HYPERLINK("http://141.218.60.56/~jnz1568/getInfo.php?workbook=12_05.xlsx&amp;sheet=U0&amp;row=10436&amp;col=7&amp;number=0.000893&amp;sourceID=14","0.000893")</f>
        <v>0.000893</v>
      </c>
    </row>
    <row r="10437" spans="1:7">
      <c r="A10437" s="3"/>
      <c r="B10437" s="3"/>
      <c r="C10437" s="3"/>
      <c r="D10437" s="3"/>
      <c r="E10437" s="3">
        <v>14</v>
      </c>
      <c r="F10437" s="4" t="str">
        <f>HYPERLINK("http://141.218.60.56/~jnz1568/getInfo.php?workbook=12_05.xlsx&amp;sheet=U0&amp;row=10437&amp;col=6&amp;number=4.3&amp;sourceID=14","4.3")</f>
        <v>4.3</v>
      </c>
      <c r="G10437" s="4" t="str">
        <f>HYPERLINK("http://141.218.60.56/~jnz1568/getInfo.php?workbook=12_05.xlsx&amp;sheet=U0&amp;row=10437&amp;col=7&amp;number=0.000892&amp;sourceID=14","0.000892")</f>
        <v>0.000892</v>
      </c>
    </row>
    <row r="10438" spans="1:7">
      <c r="A10438" s="3"/>
      <c r="B10438" s="3"/>
      <c r="C10438" s="3"/>
      <c r="D10438" s="3"/>
      <c r="E10438" s="3">
        <v>15</v>
      </c>
      <c r="F10438" s="4" t="str">
        <f>HYPERLINK("http://141.218.60.56/~jnz1568/getInfo.php?workbook=12_05.xlsx&amp;sheet=U0&amp;row=10438&amp;col=6&amp;number=4.4&amp;sourceID=14","4.4")</f>
        <v>4.4</v>
      </c>
      <c r="G10438" s="4" t="str">
        <f>HYPERLINK("http://141.218.60.56/~jnz1568/getInfo.php?workbook=12_05.xlsx&amp;sheet=U0&amp;row=10438&amp;col=7&amp;number=0.00089&amp;sourceID=14","0.00089")</f>
        <v>0.00089</v>
      </c>
    </row>
    <row r="10439" spans="1:7">
      <c r="A10439" s="3"/>
      <c r="B10439" s="3"/>
      <c r="C10439" s="3"/>
      <c r="D10439" s="3"/>
      <c r="E10439" s="3">
        <v>16</v>
      </c>
      <c r="F10439" s="4" t="str">
        <f>HYPERLINK("http://141.218.60.56/~jnz1568/getInfo.php?workbook=12_05.xlsx&amp;sheet=U0&amp;row=10439&amp;col=6&amp;number=4.5&amp;sourceID=14","4.5")</f>
        <v>4.5</v>
      </c>
      <c r="G10439" s="4" t="str">
        <f>HYPERLINK("http://141.218.60.56/~jnz1568/getInfo.php?workbook=12_05.xlsx&amp;sheet=U0&amp;row=10439&amp;col=7&amp;number=0.000888&amp;sourceID=14","0.000888")</f>
        <v>0.000888</v>
      </c>
    </row>
    <row r="10440" spans="1:7">
      <c r="A10440" s="3"/>
      <c r="B10440" s="3"/>
      <c r="C10440" s="3"/>
      <c r="D10440" s="3"/>
      <c r="E10440" s="3">
        <v>17</v>
      </c>
      <c r="F10440" s="4" t="str">
        <f>HYPERLINK("http://141.218.60.56/~jnz1568/getInfo.php?workbook=12_05.xlsx&amp;sheet=U0&amp;row=10440&amp;col=6&amp;number=4.6&amp;sourceID=14","4.6")</f>
        <v>4.6</v>
      </c>
      <c r="G10440" s="4" t="str">
        <f>HYPERLINK("http://141.218.60.56/~jnz1568/getInfo.php?workbook=12_05.xlsx&amp;sheet=U0&amp;row=10440&amp;col=7&amp;number=0.000886&amp;sourceID=14","0.000886")</f>
        <v>0.000886</v>
      </c>
    </row>
    <row r="10441" spans="1:7">
      <c r="A10441" s="3"/>
      <c r="B10441" s="3"/>
      <c r="C10441" s="3"/>
      <c r="D10441" s="3"/>
      <c r="E10441" s="3">
        <v>18</v>
      </c>
      <c r="F10441" s="4" t="str">
        <f>HYPERLINK("http://141.218.60.56/~jnz1568/getInfo.php?workbook=12_05.xlsx&amp;sheet=U0&amp;row=10441&amp;col=6&amp;number=4.7&amp;sourceID=14","4.7")</f>
        <v>4.7</v>
      </c>
      <c r="G10441" s="4" t="str">
        <f>HYPERLINK("http://141.218.60.56/~jnz1568/getInfo.php?workbook=12_05.xlsx&amp;sheet=U0&amp;row=10441&amp;col=7&amp;number=0.000883&amp;sourceID=14","0.000883")</f>
        <v>0.000883</v>
      </c>
    </row>
    <row r="10442" spans="1:7">
      <c r="A10442" s="3"/>
      <c r="B10442" s="3"/>
      <c r="C10442" s="3"/>
      <c r="D10442" s="3"/>
      <c r="E10442" s="3">
        <v>19</v>
      </c>
      <c r="F10442" s="4" t="str">
        <f>HYPERLINK("http://141.218.60.56/~jnz1568/getInfo.php?workbook=12_05.xlsx&amp;sheet=U0&amp;row=10442&amp;col=6&amp;number=4.8&amp;sourceID=14","4.8")</f>
        <v>4.8</v>
      </c>
      <c r="G10442" s="4" t="str">
        <f>HYPERLINK("http://141.218.60.56/~jnz1568/getInfo.php?workbook=12_05.xlsx&amp;sheet=U0&amp;row=10442&amp;col=7&amp;number=0.00088&amp;sourceID=14","0.00088")</f>
        <v>0.00088</v>
      </c>
    </row>
    <row r="10443" spans="1:7">
      <c r="A10443" s="3"/>
      <c r="B10443" s="3"/>
      <c r="C10443" s="3"/>
      <c r="D10443" s="3"/>
      <c r="E10443" s="3">
        <v>20</v>
      </c>
      <c r="F10443" s="4" t="str">
        <f>HYPERLINK("http://141.218.60.56/~jnz1568/getInfo.php?workbook=12_05.xlsx&amp;sheet=U0&amp;row=10443&amp;col=6&amp;number=4.9&amp;sourceID=14","4.9")</f>
        <v>4.9</v>
      </c>
      <c r="G10443" s="4" t="str">
        <f>HYPERLINK("http://141.218.60.56/~jnz1568/getInfo.php?workbook=12_05.xlsx&amp;sheet=U0&amp;row=10443&amp;col=7&amp;number=0.000876&amp;sourceID=14","0.000876")</f>
        <v>0.000876</v>
      </c>
    </row>
    <row r="10444" spans="1:7">
      <c r="A10444" s="3">
        <v>12</v>
      </c>
      <c r="B10444" s="3">
        <v>5</v>
      </c>
      <c r="C10444" s="3">
        <v>5</v>
      </c>
      <c r="D10444" s="3">
        <v>99</v>
      </c>
      <c r="E10444" s="3">
        <v>1</v>
      </c>
      <c r="F10444" s="4" t="str">
        <f>HYPERLINK("http://141.218.60.56/~jnz1568/getInfo.php?workbook=12_05.xlsx&amp;sheet=U0&amp;row=10444&amp;col=6&amp;number=3&amp;sourceID=14","3")</f>
        <v>3</v>
      </c>
      <c r="G10444" s="4" t="str">
        <f>HYPERLINK("http://141.218.60.56/~jnz1568/getInfo.php?workbook=12_05.xlsx&amp;sheet=U0&amp;row=10444&amp;col=7&amp;number=0.00388&amp;sourceID=14","0.00388")</f>
        <v>0.00388</v>
      </c>
    </row>
    <row r="10445" spans="1:7">
      <c r="A10445" s="3"/>
      <c r="B10445" s="3"/>
      <c r="C10445" s="3"/>
      <c r="D10445" s="3"/>
      <c r="E10445" s="3">
        <v>2</v>
      </c>
      <c r="F10445" s="4" t="str">
        <f>HYPERLINK("http://141.218.60.56/~jnz1568/getInfo.php?workbook=12_05.xlsx&amp;sheet=U0&amp;row=10445&amp;col=6&amp;number=3.1&amp;sourceID=14","3.1")</f>
        <v>3.1</v>
      </c>
      <c r="G10445" s="4" t="str">
        <f>HYPERLINK("http://141.218.60.56/~jnz1568/getInfo.php?workbook=12_05.xlsx&amp;sheet=U0&amp;row=10445&amp;col=7&amp;number=0.00388&amp;sourceID=14","0.00388")</f>
        <v>0.00388</v>
      </c>
    </row>
    <row r="10446" spans="1:7">
      <c r="A10446" s="3"/>
      <c r="B10446" s="3"/>
      <c r="C10446" s="3"/>
      <c r="D10446" s="3"/>
      <c r="E10446" s="3">
        <v>3</v>
      </c>
      <c r="F10446" s="4" t="str">
        <f>HYPERLINK("http://141.218.60.56/~jnz1568/getInfo.php?workbook=12_05.xlsx&amp;sheet=U0&amp;row=10446&amp;col=6&amp;number=3.2&amp;sourceID=14","3.2")</f>
        <v>3.2</v>
      </c>
      <c r="G10446" s="4" t="str">
        <f>HYPERLINK("http://141.218.60.56/~jnz1568/getInfo.php?workbook=12_05.xlsx&amp;sheet=U0&amp;row=10446&amp;col=7&amp;number=0.00388&amp;sourceID=14","0.00388")</f>
        <v>0.00388</v>
      </c>
    </row>
    <row r="10447" spans="1:7">
      <c r="A10447" s="3"/>
      <c r="B10447" s="3"/>
      <c r="C10447" s="3"/>
      <c r="D10447" s="3"/>
      <c r="E10447" s="3">
        <v>4</v>
      </c>
      <c r="F10447" s="4" t="str">
        <f>HYPERLINK("http://141.218.60.56/~jnz1568/getInfo.php?workbook=12_05.xlsx&amp;sheet=U0&amp;row=10447&amp;col=6&amp;number=3.3&amp;sourceID=14","3.3")</f>
        <v>3.3</v>
      </c>
      <c r="G10447" s="4" t="str">
        <f>HYPERLINK("http://141.218.60.56/~jnz1568/getInfo.php?workbook=12_05.xlsx&amp;sheet=U0&amp;row=10447&amp;col=7&amp;number=0.00388&amp;sourceID=14","0.00388")</f>
        <v>0.00388</v>
      </c>
    </row>
    <row r="10448" spans="1:7">
      <c r="A10448" s="3"/>
      <c r="B10448" s="3"/>
      <c r="C10448" s="3"/>
      <c r="D10448" s="3"/>
      <c r="E10448" s="3">
        <v>5</v>
      </c>
      <c r="F10448" s="4" t="str">
        <f>HYPERLINK("http://141.218.60.56/~jnz1568/getInfo.php?workbook=12_05.xlsx&amp;sheet=U0&amp;row=10448&amp;col=6&amp;number=3.4&amp;sourceID=14","3.4")</f>
        <v>3.4</v>
      </c>
      <c r="G10448" s="4" t="str">
        <f>HYPERLINK("http://141.218.60.56/~jnz1568/getInfo.php?workbook=12_05.xlsx&amp;sheet=U0&amp;row=10448&amp;col=7&amp;number=0.00389&amp;sourceID=14","0.00389")</f>
        <v>0.00389</v>
      </c>
    </row>
    <row r="10449" spans="1:7">
      <c r="A10449" s="3"/>
      <c r="B10449" s="3"/>
      <c r="C10449" s="3"/>
      <c r="D10449" s="3"/>
      <c r="E10449" s="3">
        <v>6</v>
      </c>
      <c r="F10449" s="4" t="str">
        <f>HYPERLINK("http://141.218.60.56/~jnz1568/getInfo.php?workbook=12_05.xlsx&amp;sheet=U0&amp;row=10449&amp;col=6&amp;number=3.5&amp;sourceID=14","3.5")</f>
        <v>3.5</v>
      </c>
      <c r="G10449" s="4" t="str">
        <f>HYPERLINK("http://141.218.60.56/~jnz1568/getInfo.php?workbook=12_05.xlsx&amp;sheet=U0&amp;row=10449&amp;col=7&amp;number=0.00389&amp;sourceID=14","0.00389")</f>
        <v>0.00389</v>
      </c>
    </row>
    <row r="10450" spans="1:7">
      <c r="A10450" s="3"/>
      <c r="B10450" s="3"/>
      <c r="C10450" s="3"/>
      <c r="D10450" s="3"/>
      <c r="E10450" s="3">
        <v>7</v>
      </c>
      <c r="F10450" s="4" t="str">
        <f>HYPERLINK("http://141.218.60.56/~jnz1568/getInfo.php?workbook=12_05.xlsx&amp;sheet=U0&amp;row=10450&amp;col=6&amp;number=3.6&amp;sourceID=14","3.6")</f>
        <v>3.6</v>
      </c>
      <c r="G10450" s="4" t="str">
        <f>HYPERLINK("http://141.218.60.56/~jnz1568/getInfo.php?workbook=12_05.xlsx&amp;sheet=U0&amp;row=10450&amp;col=7&amp;number=0.00389&amp;sourceID=14","0.00389")</f>
        <v>0.00389</v>
      </c>
    </row>
    <row r="10451" spans="1:7">
      <c r="A10451" s="3"/>
      <c r="B10451" s="3"/>
      <c r="C10451" s="3"/>
      <c r="D10451" s="3"/>
      <c r="E10451" s="3">
        <v>8</v>
      </c>
      <c r="F10451" s="4" t="str">
        <f>HYPERLINK("http://141.218.60.56/~jnz1568/getInfo.php?workbook=12_05.xlsx&amp;sheet=U0&amp;row=10451&amp;col=6&amp;number=3.7&amp;sourceID=14","3.7")</f>
        <v>3.7</v>
      </c>
      <c r="G10451" s="4" t="str">
        <f>HYPERLINK("http://141.218.60.56/~jnz1568/getInfo.php?workbook=12_05.xlsx&amp;sheet=U0&amp;row=10451&amp;col=7&amp;number=0.0039&amp;sourceID=14","0.0039")</f>
        <v>0.0039</v>
      </c>
    </row>
    <row r="10452" spans="1:7">
      <c r="A10452" s="3"/>
      <c r="B10452" s="3"/>
      <c r="C10452" s="3"/>
      <c r="D10452" s="3"/>
      <c r="E10452" s="3">
        <v>9</v>
      </c>
      <c r="F10452" s="4" t="str">
        <f>HYPERLINK("http://141.218.60.56/~jnz1568/getInfo.php?workbook=12_05.xlsx&amp;sheet=U0&amp;row=10452&amp;col=6&amp;number=3.8&amp;sourceID=14","3.8")</f>
        <v>3.8</v>
      </c>
      <c r="G10452" s="4" t="str">
        <f>HYPERLINK("http://141.218.60.56/~jnz1568/getInfo.php?workbook=12_05.xlsx&amp;sheet=U0&amp;row=10452&amp;col=7&amp;number=0.0039&amp;sourceID=14","0.0039")</f>
        <v>0.0039</v>
      </c>
    </row>
    <row r="10453" spans="1:7">
      <c r="A10453" s="3"/>
      <c r="B10453" s="3"/>
      <c r="C10453" s="3"/>
      <c r="D10453" s="3"/>
      <c r="E10453" s="3">
        <v>10</v>
      </c>
      <c r="F10453" s="4" t="str">
        <f>HYPERLINK("http://141.218.60.56/~jnz1568/getInfo.php?workbook=12_05.xlsx&amp;sheet=U0&amp;row=10453&amp;col=6&amp;number=3.9&amp;sourceID=14","3.9")</f>
        <v>3.9</v>
      </c>
      <c r="G10453" s="4" t="str">
        <f>HYPERLINK("http://141.218.60.56/~jnz1568/getInfo.php?workbook=12_05.xlsx&amp;sheet=U0&amp;row=10453&amp;col=7&amp;number=0.00391&amp;sourceID=14","0.00391")</f>
        <v>0.00391</v>
      </c>
    </row>
    <row r="10454" spans="1:7">
      <c r="A10454" s="3"/>
      <c r="B10454" s="3"/>
      <c r="C10454" s="3"/>
      <c r="D10454" s="3"/>
      <c r="E10454" s="3">
        <v>11</v>
      </c>
      <c r="F10454" s="4" t="str">
        <f>HYPERLINK("http://141.218.60.56/~jnz1568/getInfo.php?workbook=12_05.xlsx&amp;sheet=U0&amp;row=10454&amp;col=6&amp;number=4&amp;sourceID=14","4")</f>
        <v>4</v>
      </c>
      <c r="G10454" s="4" t="str">
        <f>HYPERLINK("http://141.218.60.56/~jnz1568/getInfo.php?workbook=12_05.xlsx&amp;sheet=U0&amp;row=10454&amp;col=7&amp;number=0.00392&amp;sourceID=14","0.00392")</f>
        <v>0.00392</v>
      </c>
    </row>
    <row r="10455" spans="1:7">
      <c r="A10455" s="3"/>
      <c r="B10455" s="3"/>
      <c r="C10455" s="3"/>
      <c r="D10455" s="3"/>
      <c r="E10455" s="3">
        <v>12</v>
      </c>
      <c r="F10455" s="4" t="str">
        <f>HYPERLINK("http://141.218.60.56/~jnz1568/getInfo.php?workbook=12_05.xlsx&amp;sheet=U0&amp;row=10455&amp;col=6&amp;number=4.1&amp;sourceID=14","4.1")</f>
        <v>4.1</v>
      </c>
      <c r="G10455" s="4" t="str">
        <f>HYPERLINK("http://141.218.60.56/~jnz1568/getInfo.php?workbook=12_05.xlsx&amp;sheet=U0&amp;row=10455&amp;col=7&amp;number=0.00393&amp;sourceID=14","0.00393")</f>
        <v>0.00393</v>
      </c>
    </row>
    <row r="10456" spans="1:7">
      <c r="A10456" s="3"/>
      <c r="B10456" s="3"/>
      <c r="C10456" s="3"/>
      <c r="D10456" s="3"/>
      <c r="E10456" s="3">
        <v>13</v>
      </c>
      <c r="F10456" s="4" t="str">
        <f>HYPERLINK("http://141.218.60.56/~jnz1568/getInfo.php?workbook=12_05.xlsx&amp;sheet=U0&amp;row=10456&amp;col=6&amp;number=4.2&amp;sourceID=14","4.2")</f>
        <v>4.2</v>
      </c>
      <c r="G10456" s="4" t="str">
        <f>HYPERLINK("http://141.218.60.56/~jnz1568/getInfo.php?workbook=12_05.xlsx&amp;sheet=U0&amp;row=10456&amp;col=7&amp;number=0.00394&amp;sourceID=14","0.00394")</f>
        <v>0.00394</v>
      </c>
    </row>
    <row r="10457" spans="1:7">
      <c r="A10457" s="3"/>
      <c r="B10457" s="3"/>
      <c r="C10457" s="3"/>
      <c r="D10457" s="3"/>
      <c r="E10457" s="3">
        <v>14</v>
      </c>
      <c r="F10457" s="4" t="str">
        <f>HYPERLINK("http://141.218.60.56/~jnz1568/getInfo.php?workbook=12_05.xlsx&amp;sheet=U0&amp;row=10457&amp;col=6&amp;number=4.3&amp;sourceID=14","4.3")</f>
        <v>4.3</v>
      </c>
      <c r="G10457" s="4" t="str">
        <f>HYPERLINK("http://141.218.60.56/~jnz1568/getInfo.php?workbook=12_05.xlsx&amp;sheet=U0&amp;row=10457&amp;col=7&amp;number=0.00395&amp;sourceID=14","0.00395")</f>
        <v>0.00395</v>
      </c>
    </row>
    <row r="10458" spans="1:7">
      <c r="A10458" s="3"/>
      <c r="B10458" s="3"/>
      <c r="C10458" s="3"/>
      <c r="D10458" s="3"/>
      <c r="E10458" s="3">
        <v>15</v>
      </c>
      <c r="F10458" s="4" t="str">
        <f>HYPERLINK("http://141.218.60.56/~jnz1568/getInfo.php?workbook=12_05.xlsx&amp;sheet=U0&amp;row=10458&amp;col=6&amp;number=4.4&amp;sourceID=14","4.4")</f>
        <v>4.4</v>
      </c>
      <c r="G10458" s="4" t="str">
        <f>HYPERLINK("http://141.218.60.56/~jnz1568/getInfo.php?workbook=12_05.xlsx&amp;sheet=U0&amp;row=10458&amp;col=7&amp;number=0.00398&amp;sourceID=14","0.00398")</f>
        <v>0.00398</v>
      </c>
    </row>
    <row r="10459" spans="1:7">
      <c r="A10459" s="3"/>
      <c r="B10459" s="3"/>
      <c r="C10459" s="3"/>
      <c r="D10459" s="3"/>
      <c r="E10459" s="3">
        <v>16</v>
      </c>
      <c r="F10459" s="4" t="str">
        <f>HYPERLINK("http://141.218.60.56/~jnz1568/getInfo.php?workbook=12_05.xlsx&amp;sheet=U0&amp;row=10459&amp;col=6&amp;number=4.5&amp;sourceID=14","4.5")</f>
        <v>4.5</v>
      </c>
      <c r="G10459" s="4" t="str">
        <f>HYPERLINK("http://141.218.60.56/~jnz1568/getInfo.php?workbook=12_05.xlsx&amp;sheet=U0&amp;row=10459&amp;col=7&amp;number=0.004&amp;sourceID=14","0.004")</f>
        <v>0.004</v>
      </c>
    </row>
    <row r="10460" spans="1:7">
      <c r="A10460" s="3"/>
      <c r="B10460" s="3"/>
      <c r="C10460" s="3"/>
      <c r="D10460" s="3"/>
      <c r="E10460" s="3">
        <v>17</v>
      </c>
      <c r="F10460" s="4" t="str">
        <f>HYPERLINK("http://141.218.60.56/~jnz1568/getInfo.php?workbook=12_05.xlsx&amp;sheet=U0&amp;row=10460&amp;col=6&amp;number=4.6&amp;sourceID=14","4.6")</f>
        <v>4.6</v>
      </c>
      <c r="G10460" s="4" t="str">
        <f>HYPERLINK("http://141.218.60.56/~jnz1568/getInfo.php?workbook=12_05.xlsx&amp;sheet=U0&amp;row=10460&amp;col=7&amp;number=0.00403&amp;sourceID=14","0.00403")</f>
        <v>0.00403</v>
      </c>
    </row>
    <row r="10461" spans="1:7">
      <c r="A10461" s="3"/>
      <c r="B10461" s="3"/>
      <c r="C10461" s="3"/>
      <c r="D10461" s="3"/>
      <c r="E10461" s="3">
        <v>18</v>
      </c>
      <c r="F10461" s="4" t="str">
        <f>HYPERLINK("http://141.218.60.56/~jnz1568/getInfo.php?workbook=12_05.xlsx&amp;sheet=U0&amp;row=10461&amp;col=6&amp;number=4.7&amp;sourceID=14","4.7")</f>
        <v>4.7</v>
      </c>
      <c r="G10461" s="4" t="str">
        <f>HYPERLINK("http://141.218.60.56/~jnz1568/getInfo.php?workbook=12_05.xlsx&amp;sheet=U0&amp;row=10461&amp;col=7&amp;number=0.00407&amp;sourceID=14","0.00407")</f>
        <v>0.00407</v>
      </c>
    </row>
    <row r="10462" spans="1:7">
      <c r="A10462" s="3"/>
      <c r="B10462" s="3"/>
      <c r="C10462" s="3"/>
      <c r="D10462" s="3"/>
      <c r="E10462" s="3">
        <v>19</v>
      </c>
      <c r="F10462" s="4" t="str">
        <f>HYPERLINK("http://141.218.60.56/~jnz1568/getInfo.php?workbook=12_05.xlsx&amp;sheet=U0&amp;row=10462&amp;col=6&amp;number=4.8&amp;sourceID=14","4.8")</f>
        <v>4.8</v>
      </c>
      <c r="G10462" s="4" t="str">
        <f>HYPERLINK("http://141.218.60.56/~jnz1568/getInfo.php?workbook=12_05.xlsx&amp;sheet=U0&amp;row=10462&amp;col=7&amp;number=0.00412&amp;sourceID=14","0.00412")</f>
        <v>0.00412</v>
      </c>
    </row>
    <row r="10463" spans="1:7">
      <c r="A10463" s="3"/>
      <c r="B10463" s="3"/>
      <c r="C10463" s="3"/>
      <c r="D10463" s="3"/>
      <c r="E10463" s="3">
        <v>20</v>
      </c>
      <c r="F10463" s="4" t="str">
        <f>HYPERLINK("http://141.218.60.56/~jnz1568/getInfo.php?workbook=12_05.xlsx&amp;sheet=U0&amp;row=10463&amp;col=6&amp;number=4.9&amp;sourceID=14","4.9")</f>
        <v>4.9</v>
      </c>
      <c r="G10463" s="4" t="str">
        <f>HYPERLINK("http://141.218.60.56/~jnz1568/getInfo.php?workbook=12_05.xlsx&amp;sheet=U0&amp;row=10463&amp;col=7&amp;number=0.00418&amp;sourceID=14","0.00418")</f>
        <v>0.00418</v>
      </c>
    </row>
    <row r="10464" spans="1:7">
      <c r="A10464" s="3">
        <v>12</v>
      </c>
      <c r="B10464" s="3">
        <v>5</v>
      </c>
      <c r="C10464" s="3">
        <v>5</v>
      </c>
      <c r="D10464" s="3">
        <v>100</v>
      </c>
      <c r="E10464" s="3">
        <v>1</v>
      </c>
      <c r="F10464" s="4" t="str">
        <f>HYPERLINK("http://141.218.60.56/~jnz1568/getInfo.php?workbook=12_05.xlsx&amp;sheet=U0&amp;row=10464&amp;col=6&amp;number=3&amp;sourceID=14","3")</f>
        <v>3</v>
      </c>
      <c r="G10464" s="4" t="str">
        <f>HYPERLINK("http://141.218.60.56/~jnz1568/getInfo.php?workbook=12_05.xlsx&amp;sheet=U0&amp;row=10464&amp;col=7&amp;number=0.000806&amp;sourceID=14","0.000806")</f>
        <v>0.000806</v>
      </c>
    </row>
    <row r="10465" spans="1:7">
      <c r="A10465" s="3"/>
      <c r="B10465" s="3"/>
      <c r="C10465" s="3"/>
      <c r="D10465" s="3"/>
      <c r="E10465" s="3">
        <v>2</v>
      </c>
      <c r="F10465" s="4" t="str">
        <f>HYPERLINK("http://141.218.60.56/~jnz1568/getInfo.php?workbook=12_05.xlsx&amp;sheet=U0&amp;row=10465&amp;col=6&amp;number=3.1&amp;sourceID=14","3.1")</f>
        <v>3.1</v>
      </c>
      <c r="G10465" s="4" t="str">
        <f>HYPERLINK("http://141.218.60.56/~jnz1568/getInfo.php?workbook=12_05.xlsx&amp;sheet=U0&amp;row=10465&amp;col=7&amp;number=0.000806&amp;sourceID=14","0.000806")</f>
        <v>0.000806</v>
      </c>
    </row>
    <row r="10466" spans="1:7">
      <c r="A10466" s="3"/>
      <c r="B10466" s="3"/>
      <c r="C10466" s="3"/>
      <c r="D10466" s="3"/>
      <c r="E10466" s="3">
        <v>3</v>
      </c>
      <c r="F10466" s="4" t="str">
        <f>HYPERLINK("http://141.218.60.56/~jnz1568/getInfo.php?workbook=12_05.xlsx&amp;sheet=U0&amp;row=10466&amp;col=6&amp;number=3.2&amp;sourceID=14","3.2")</f>
        <v>3.2</v>
      </c>
      <c r="G10466" s="4" t="str">
        <f>HYPERLINK("http://141.218.60.56/~jnz1568/getInfo.php?workbook=12_05.xlsx&amp;sheet=U0&amp;row=10466&amp;col=7&amp;number=0.000806&amp;sourceID=14","0.000806")</f>
        <v>0.000806</v>
      </c>
    </row>
    <row r="10467" spans="1:7">
      <c r="A10467" s="3"/>
      <c r="B10467" s="3"/>
      <c r="C10467" s="3"/>
      <c r="D10467" s="3"/>
      <c r="E10467" s="3">
        <v>4</v>
      </c>
      <c r="F10467" s="4" t="str">
        <f>HYPERLINK("http://141.218.60.56/~jnz1568/getInfo.php?workbook=12_05.xlsx&amp;sheet=U0&amp;row=10467&amp;col=6&amp;number=3.3&amp;sourceID=14","3.3")</f>
        <v>3.3</v>
      </c>
      <c r="G10467" s="4" t="str">
        <f>HYPERLINK("http://141.218.60.56/~jnz1568/getInfo.php?workbook=12_05.xlsx&amp;sheet=U0&amp;row=10467&amp;col=7&amp;number=0.000806&amp;sourceID=14","0.000806")</f>
        <v>0.000806</v>
      </c>
    </row>
    <row r="10468" spans="1:7">
      <c r="A10468" s="3"/>
      <c r="B10468" s="3"/>
      <c r="C10468" s="3"/>
      <c r="D10468" s="3"/>
      <c r="E10468" s="3">
        <v>5</v>
      </c>
      <c r="F10468" s="4" t="str">
        <f>HYPERLINK("http://141.218.60.56/~jnz1568/getInfo.php?workbook=12_05.xlsx&amp;sheet=U0&amp;row=10468&amp;col=6&amp;number=3.4&amp;sourceID=14","3.4")</f>
        <v>3.4</v>
      </c>
      <c r="G10468" s="4" t="str">
        <f>HYPERLINK("http://141.218.60.56/~jnz1568/getInfo.php?workbook=12_05.xlsx&amp;sheet=U0&amp;row=10468&amp;col=7&amp;number=0.000805&amp;sourceID=14","0.000805")</f>
        <v>0.000805</v>
      </c>
    </row>
    <row r="10469" spans="1:7">
      <c r="A10469" s="3"/>
      <c r="B10469" s="3"/>
      <c r="C10469" s="3"/>
      <c r="D10469" s="3"/>
      <c r="E10469" s="3">
        <v>6</v>
      </c>
      <c r="F10469" s="4" t="str">
        <f>HYPERLINK("http://141.218.60.56/~jnz1568/getInfo.php?workbook=12_05.xlsx&amp;sheet=U0&amp;row=10469&amp;col=6&amp;number=3.5&amp;sourceID=14","3.5")</f>
        <v>3.5</v>
      </c>
      <c r="G10469" s="4" t="str">
        <f>HYPERLINK("http://141.218.60.56/~jnz1568/getInfo.php?workbook=12_05.xlsx&amp;sheet=U0&amp;row=10469&amp;col=7&amp;number=0.000805&amp;sourceID=14","0.000805")</f>
        <v>0.000805</v>
      </c>
    </row>
    <row r="10470" spans="1:7">
      <c r="A10470" s="3"/>
      <c r="B10470" s="3"/>
      <c r="C10470" s="3"/>
      <c r="D10470" s="3"/>
      <c r="E10470" s="3">
        <v>7</v>
      </c>
      <c r="F10470" s="4" t="str">
        <f>HYPERLINK("http://141.218.60.56/~jnz1568/getInfo.php?workbook=12_05.xlsx&amp;sheet=U0&amp;row=10470&amp;col=6&amp;number=3.6&amp;sourceID=14","3.6")</f>
        <v>3.6</v>
      </c>
      <c r="G10470" s="4" t="str">
        <f>HYPERLINK("http://141.218.60.56/~jnz1568/getInfo.php?workbook=12_05.xlsx&amp;sheet=U0&amp;row=10470&amp;col=7&amp;number=0.000804&amp;sourceID=14","0.000804")</f>
        <v>0.000804</v>
      </c>
    </row>
    <row r="10471" spans="1:7">
      <c r="A10471" s="3"/>
      <c r="B10471" s="3"/>
      <c r="C10471" s="3"/>
      <c r="D10471" s="3"/>
      <c r="E10471" s="3">
        <v>8</v>
      </c>
      <c r="F10471" s="4" t="str">
        <f>HYPERLINK("http://141.218.60.56/~jnz1568/getInfo.php?workbook=12_05.xlsx&amp;sheet=U0&amp;row=10471&amp;col=6&amp;number=3.7&amp;sourceID=14","3.7")</f>
        <v>3.7</v>
      </c>
      <c r="G10471" s="4" t="str">
        <f>HYPERLINK("http://141.218.60.56/~jnz1568/getInfo.php?workbook=12_05.xlsx&amp;sheet=U0&amp;row=10471&amp;col=7&amp;number=0.000804&amp;sourceID=14","0.000804")</f>
        <v>0.000804</v>
      </c>
    </row>
    <row r="10472" spans="1:7">
      <c r="A10472" s="3"/>
      <c r="B10472" s="3"/>
      <c r="C10472" s="3"/>
      <c r="D10472" s="3"/>
      <c r="E10472" s="3">
        <v>9</v>
      </c>
      <c r="F10472" s="4" t="str">
        <f>HYPERLINK("http://141.218.60.56/~jnz1568/getInfo.php?workbook=12_05.xlsx&amp;sheet=U0&amp;row=10472&amp;col=6&amp;number=3.8&amp;sourceID=14","3.8")</f>
        <v>3.8</v>
      </c>
      <c r="G10472" s="4" t="str">
        <f>HYPERLINK("http://141.218.60.56/~jnz1568/getInfo.php?workbook=12_05.xlsx&amp;sheet=U0&amp;row=10472&amp;col=7&amp;number=0.000803&amp;sourceID=14","0.000803")</f>
        <v>0.000803</v>
      </c>
    </row>
    <row r="10473" spans="1:7">
      <c r="A10473" s="3"/>
      <c r="B10473" s="3"/>
      <c r="C10473" s="3"/>
      <c r="D10473" s="3"/>
      <c r="E10473" s="3">
        <v>10</v>
      </c>
      <c r="F10473" s="4" t="str">
        <f>HYPERLINK("http://141.218.60.56/~jnz1568/getInfo.php?workbook=12_05.xlsx&amp;sheet=U0&amp;row=10473&amp;col=6&amp;number=3.9&amp;sourceID=14","3.9")</f>
        <v>3.9</v>
      </c>
      <c r="G10473" s="4" t="str">
        <f>HYPERLINK("http://141.218.60.56/~jnz1568/getInfo.php?workbook=12_05.xlsx&amp;sheet=U0&amp;row=10473&amp;col=7&amp;number=0.000802&amp;sourceID=14","0.000802")</f>
        <v>0.000802</v>
      </c>
    </row>
    <row r="10474" spans="1:7">
      <c r="A10474" s="3"/>
      <c r="B10474" s="3"/>
      <c r="C10474" s="3"/>
      <c r="D10474" s="3"/>
      <c r="E10474" s="3">
        <v>11</v>
      </c>
      <c r="F10474" s="4" t="str">
        <f>HYPERLINK("http://141.218.60.56/~jnz1568/getInfo.php?workbook=12_05.xlsx&amp;sheet=U0&amp;row=10474&amp;col=6&amp;number=4&amp;sourceID=14","4")</f>
        <v>4</v>
      </c>
      <c r="G10474" s="4" t="str">
        <f>HYPERLINK("http://141.218.60.56/~jnz1568/getInfo.php?workbook=12_05.xlsx&amp;sheet=U0&amp;row=10474&amp;col=7&amp;number=0.000801&amp;sourceID=14","0.000801")</f>
        <v>0.000801</v>
      </c>
    </row>
    <row r="10475" spans="1:7">
      <c r="A10475" s="3"/>
      <c r="B10475" s="3"/>
      <c r="C10475" s="3"/>
      <c r="D10475" s="3"/>
      <c r="E10475" s="3">
        <v>12</v>
      </c>
      <c r="F10475" s="4" t="str">
        <f>HYPERLINK("http://141.218.60.56/~jnz1568/getInfo.php?workbook=12_05.xlsx&amp;sheet=U0&amp;row=10475&amp;col=6&amp;number=4.1&amp;sourceID=14","4.1")</f>
        <v>4.1</v>
      </c>
      <c r="G10475" s="4" t="str">
        <f>HYPERLINK("http://141.218.60.56/~jnz1568/getInfo.php?workbook=12_05.xlsx&amp;sheet=U0&amp;row=10475&amp;col=7&amp;number=0.000799&amp;sourceID=14","0.000799")</f>
        <v>0.000799</v>
      </c>
    </row>
    <row r="10476" spans="1:7">
      <c r="A10476" s="3"/>
      <c r="B10476" s="3"/>
      <c r="C10476" s="3"/>
      <c r="D10476" s="3"/>
      <c r="E10476" s="3">
        <v>13</v>
      </c>
      <c r="F10476" s="4" t="str">
        <f>HYPERLINK("http://141.218.60.56/~jnz1568/getInfo.php?workbook=12_05.xlsx&amp;sheet=U0&amp;row=10476&amp;col=6&amp;number=4.2&amp;sourceID=14","4.2")</f>
        <v>4.2</v>
      </c>
      <c r="G10476" s="4" t="str">
        <f>HYPERLINK("http://141.218.60.56/~jnz1568/getInfo.php?workbook=12_05.xlsx&amp;sheet=U0&amp;row=10476&amp;col=7&amp;number=0.000797&amp;sourceID=14","0.000797")</f>
        <v>0.000797</v>
      </c>
    </row>
    <row r="10477" spans="1:7">
      <c r="A10477" s="3"/>
      <c r="B10477" s="3"/>
      <c r="C10477" s="3"/>
      <c r="D10477" s="3"/>
      <c r="E10477" s="3">
        <v>14</v>
      </c>
      <c r="F10477" s="4" t="str">
        <f>HYPERLINK("http://141.218.60.56/~jnz1568/getInfo.php?workbook=12_05.xlsx&amp;sheet=U0&amp;row=10477&amp;col=6&amp;number=4.3&amp;sourceID=14","4.3")</f>
        <v>4.3</v>
      </c>
      <c r="G10477" s="4" t="str">
        <f>HYPERLINK("http://141.218.60.56/~jnz1568/getInfo.php?workbook=12_05.xlsx&amp;sheet=U0&amp;row=10477&amp;col=7&amp;number=0.000794&amp;sourceID=14","0.000794")</f>
        <v>0.000794</v>
      </c>
    </row>
    <row r="10478" spans="1:7">
      <c r="A10478" s="3"/>
      <c r="B10478" s="3"/>
      <c r="C10478" s="3"/>
      <c r="D10478" s="3"/>
      <c r="E10478" s="3">
        <v>15</v>
      </c>
      <c r="F10478" s="4" t="str">
        <f>HYPERLINK("http://141.218.60.56/~jnz1568/getInfo.php?workbook=12_05.xlsx&amp;sheet=U0&amp;row=10478&amp;col=6&amp;number=4.4&amp;sourceID=14","4.4")</f>
        <v>4.4</v>
      </c>
      <c r="G10478" s="4" t="str">
        <f>HYPERLINK("http://141.218.60.56/~jnz1568/getInfo.php?workbook=12_05.xlsx&amp;sheet=U0&amp;row=10478&amp;col=7&amp;number=0.000791&amp;sourceID=14","0.000791")</f>
        <v>0.000791</v>
      </c>
    </row>
    <row r="10479" spans="1:7">
      <c r="A10479" s="3"/>
      <c r="B10479" s="3"/>
      <c r="C10479" s="3"/>
      <c r="D10479" s="3"/>
      <c r="E10479" s="3">
        <v>16</v>
      </c>
      <c r="F10479" s="4" t="str">
        <f>HYPERLINK("http://141.218.60.56/~jnz1568/getInfo.php?workbook=12_05.xlsx&amp;sheet=U0&amp;row=10479&amp;col=6&amp;number=4.5&amp;sourceID=14","4.5")</f>
        <v>4.5</v>
      </c>
      <c r="G10479" s="4" t="str">
        <f>HYPERLINK("http://141.218.60.56/~jnz1568/getInfo.php?workbook=12_05.xlsx&amp;sheet=U0&amp;row=10479&amp;col=7&amp;number=0.000787&amp;sourceID=14","0.000787")</f>
        <v>0.000787</v>
      </c>
    </row>
    <row r="10480" spans="1:7">
      <c r="A10480" s="3"/>
      <c r="B10480" s="3"/>
      <c r="C10480" s="3"/>
      <c r="D10480" s="3"/>
      <c r="E10480" s="3">
        <v>17</v>
      </c>
      <c r="F10480" s="4" t="str">
        <f>HYPERLINK("http://141.218.60.56/~jnz1568/getInfo.php?workbook=12_05.xlsx&amp;sheet=U0&amp;row=10480&amp;col=6&amp;number=4.6&amp;sourceID=14","4.6")</f>
        <v>4.6</v>
      </c>
      <c r="G10480" s="4" t="str">
        <f>HYPERLINK("http://141.218.60.56/~jnz1568/getInfo.php?workbook=12_05.xlsx&amp;sheet=U0&amp;row=10480&amp;col=7&amp;number=0.000782&amp;sourceID=14","0.000782")</f>
        <v>0.000782</v>
      </c>
    </row>
    <row r="10481" spans="1:7">
      <c r="A10481" s="3"/>
      <c r="B10481" s="3"/>
      <c r="C10481" s="3"/>
      <c r="D10481" s="3"/>
      <c r="E10481" s="3">
        <v>18</v>
      </c>
      <c r="F10481" s="4" t="str">
        <f>HYPERLINK("http://141.218.60.56/~jnz1568/getInfo.php?workbook=12_05.xlsx&amp;sheet=U0&amp;row=10481&amp;col=6&amp;number=4.7&amp;sourceID=14","4.7")</f>
        <v>4.7</v>
      </c>
      <c r="G10481" s="4" t="str">
        <f>HYPERLINK("http://141.218.60.56/~jnz1568/getInfo.php?workbook=12_05.xlsx&amp;sheet=U0&amp;row=10481&amp;col=7&amp;number=0.000776&amp;sourceID=14","0.000776")</f>
        <v>0.000776</v>
      </c>
    </row>
    <row r="10482" spans="1:7">
      <c r="A10482" s="3"/>
      <c r="B10482" s="3"/>
      <c r="C10482" s="3"/>
      <c r="D10482" s="3"/>
      <c r="E10482" s="3">
        <v>19</v>
      </c>
      <c r="F10482" s="4" t="str">
        <f>HYPERLINK("http://141.218.60.56/~jnz1568/getInfo.php?workbook=12_05.xlsx&amp;sheet=U0&amp;row=10482&amp;col=6&amp;number=4.8&amp;sourceID=14","4.8")</f>
        <v>4.8</v>
      </c>
      <c r="G10482" s="4" t="str">
        <f>HYPERLINK("http://141.218.60.56/~jnz1568/getInfo.php?workbook=12_05.xlsx&amp;sheet=U0&amp;row=10482&amp;col=7&amp;number=0.000768&amp;sourceID=14","0.000768")</f>
        <v>0.000768</v>
      </c>
    </row>
    <row r="10483" spans="1:7">
      <c r="A10483" s="3"/>
      <c r="B10483" s="3"/>
      <c r="C10483" s="3"/>
      <c r="D10483" s="3"/>
      <c r="E10483" s="3">
        <v>20</v>
      </c>
      <c r="F10483" s="4" t="str">
        <f>HYPERLINK("http://141.218.60.56/~jnz1568/getInfo.php?workbook=12_05.xlsx&amp;sheet=U0&amp;row=10483&amp;col=6&amp;number=4.9&amp;sourceID=14","4.9")</f>
        <v>4.9</v>
      </c>
      <c r="G10483" s="4" t="str">
        <f>HYPERLINK("http://141.218.60.56/~jnz1568/getInfo.php?workbook=12_05.xlsx&amp;sheet=U0&amp;row=10483&amp;col=7&amp;number=0.000758&amp;sourceID=14","0.000758")</f>
        <v>0.000758</v>
      </c>
    </row>
    <row r="10484" spans="1:7">
      <c r="A10484" s="3">
        <v>12</v>
      </c>
      <c r="B10484" s="3">
        <v>5</v>
      </c>
      <c r="C10484" s="3">
        <v>5</v>
      </c>
      <c r="D10484" s="3">
        <v>101</v>
      </c>
      <c r="E10484" s="3">
        <v>1</v>
      </c>
      <c r="F10484" s="4" t="str">
        <f>HYPERLINK("http://141.218.60.56/~jnz1568/getInfo.php?workbook=12_05.xlsx&amp;sheet=U0&amp;row=10484&amp;col=6&amp;number=3&amp;sourceID=14","3")</f>
        <v>3</v>
      </c>
      <c r="G10484" s="4" t="str">
        <f>HYPERLINK("http://141.218.60.56/~jnz1568/getInfo.php?workbook=12_05.xlsx&amp;sheet=U0&amp;row=10484&amp;col=7&amp;number=0.00823&amp;sourceID=14","0.00823")</f>
        <v>0.00823</v>
      </c>
    </row>
    <row r="10485" spans="1:7">
      <c r="A10485" s="3"/>
      <c r="B10485" s="3"/>
      <c r="C10485" s="3"/>
      <c r="D10485" s="3"/>
      <c r="E10485" s="3">
        <v>2</v>
      </c>
      <c r="F10485" s="4" t="str">
        <f>HYPERLINK("http://141.218.60.56/~jnz1568/getInfo.php?workbook=12_05.xlsx&amp;sheet=U0&amp;row=10485&amp;col=6&amp;number=3.1&amp;sourceID=14","3.1")</f>
        <v>3.1</v>
      </c>
      <c r="G10485" s="4" t="str">
        <f>HYPERLINK("http://141.218.60.56/~jnz1568/getInfo.php?workbook=12_05.xlsx&amp;sheet=U0&amp;row=10485&amp;col=7&amp;number=0.00823&amp;sourceID=14","0.00823")</f>
        <v>0.00823</v>
      </c>
    </row>
    <row r="10486" spans="1:7">
      <c r="A10486" s="3"/>
      <c r="B10486" s="3"/>
      <c r="C10486" s="3"/>
      <c r="D10486" s="3"/>
      <c r="E10486" s="3">
        <v>3</v>
      </c>
      <c r="F10486" s="4" t="str">
        <f>HYPERLINK("http://141.218.60.56/~jnz1568/getInfo.php?workbook=12_05.xlsx&amp;sheet=U0&amp;row=10486&amp;col=6&amp;number=3.2&amp;sourceID=14","3.2")</f>
        <v>3.2</v>
      </c>
      <c r="G10486" s="4" t="str">
        <f>HYPERLINK("http://141.218.60.56/~jnz1568/getInfo.php?workbook=12_05.xlsx&amp;sheet=U0&amp;row=10486&amp;col=7&amp;number=0.00823&amp;sourceID=14","0.00823")</f>
        <v>0.00823</v>
      </c>
    </row>
    <row r="10487" spans="1:7">
      <c r="A10487" s="3"/>
      <c r="B10487" s="3"/>
      <c r="C10487" s="3"/>
      <c r="D10487" s="3"/>
      <c r="E10487" s="3">
        <v>4</v>
      </c>
      <c r="F10487" s="4" t="str">
        <f>HYPERLINK("http://141.218.60.56/~jnz1568/getInfo.php?workbook=12_05.xlsx&amp;sheet=U0&amp;row=10487&amp;col=6&amp;number=3.3&amp;sourceID=14","3.3")</f>
        <v>3.3</v>
      </c>
      <c r="G10487" s="4" t="str">
        <f>HYPERLINK("http://141.218.60.56/~jnz1568/getInfo.php?workbook=12_05.xlsx&amp;sheet=U0&amp;row=10487&amp;col=7&amp;number=0.00824&amp;sourceID=14","0.00824")</f>
        <v>0.00824</v>
      </c>
    </row>
    <row r="10488" spans="1:7">
      <c r="A10488" s="3"/>
      <c r="B10488" s="3"/>
      <c r="C10488" s="3"/>
      <c r="D10488" s="3"/>
      <c r="E10488" s="3">
        <v>5</v>
      </c>
      <c r="F10488" s="4" t="str">
        <f>HYPERLINK("http://141.218.60.56/~jnz1568/getInfo.php?workbook=12_05.xlsx&amp;sheet=U0&amp;row=10488&amp;col=6&amp;number=3.4&amp;sourceID=14","3.4")</f>
        <v>3.4</v>
      </c>
      <c r="G10488" s="4" t="str">
        <f>HYPERLINK("http://141.218.60.56/~jnz1568/getInfo.php?workbook=12_05.xlsx&amp;sheet=U0&amp;row=10488&amp;col=7&amp;number=0.00824&amp;sourceID=14","0.00824")</f>
        <v>0.00824</v>
      </c>
    </row>
    <row r="10489" spans="1:7">
      <c r="A10489" s="3"/>
      <c r="B10489" s="3"/>
      <c r="C10489" s="3"/>
      <c r="D10489" s="3"/>
      <c r="E10489" s="3">
        <v>6</v>
      </c>
      <c r="F10489" s="4" t="str">
        <f>HYPERLINK("http://141.218.60.56/~jnz1568/getInfo.php?workbook=12_05.xlsx&amp;sheet=U0&amp;row=10489&amp;col=6&amp;number=3.5&amp;sourceID=14","3.5")</f>
        <v>3.5</v>
      </c>
      <c r="G10489" s="4" t="str">
        <f>HYPERLINK("http://141.218.60.56/~jnz1568/getInfo.php?workbook=12_05.xlsx&amp;sheet=U0&amp;row=10489&amp;col=7&amp;number=0.00825&amp;sourceID=14","0.00825")</f>
        <v>0.00825</v>
      </c>
    </row>
    <row r="10490" spans="1:7">
      <c r="A10490" s="3"/>
      <c r="B10490" s="3"/>
      <c r="C10490" s="3"/>
      <c r="D10490" s="3"/>
      <c r="E10490" s="3">
        <v>7</v>
      </c>
      <c r="F10490" s="4" t="str">
        <f>HYPERLINK("http://141.218.60.56/~jnz1568/getInfo.php?workbook=12_05.xlsx&amp;sheet=U0&amp;row=10490&amp;col=6&amp;number=3.6&amp;sourceID=14","3.6")</f>
        <v>3.6</v>
      </c>
      <c r="G10490" s="4" t="str">
        <f>HYPERLINK("http://141.218.60.56/~jnz1568/getInfo.php?workbook=12_05.xlsx&amp;sheet=U0&amp;row=10490&amp;col=7&amp;number=0.00826&amp;sourceID=14","0.00826")</f>
        <v>0.00826</v>
      </c>
    </row>
    <row r="10491" spans="1:7">
      <c r="A10491" s="3"/>
      <c r="B10491" s="3"/>
      <c r="C10491" s="3"/>
      <c r="D10491" s="3"/>
      <c r="E10491" s="3">
        <v>8</v>
      </c>
      <c r="F10491" s="4" t="str">
        <f>HYPERLINK("http://141.218.60.56/~jnz1568/getInfo.php?workbook=12_05.xlsx&amp;sheet=U0&amp;row=10491&amp;col=6&amp;number=3.7&amp;sourceID=14","3.7")</f>
        <v>3.7</v>
      </c>
      <c r="G10491" s="4" t="str">
        <f>HYPERLINK("http://141.218.60.56/~jnz1568/getInfo.php?workbook=12_05.xlsx&amp;sheet=U0&amp;row=10491&amp;col=7&amp;number=0.00827&amp;sourceID=14","0.00827")</f>
        <v>0.00827</v>
      </c>
    </row>
    <row r="10492" spans="1:7">
      <c r="A10492" s="3"/>
      <c r="B10492" s="3"/>
      <c r="C10492" s="3"/>
      <c r="D10492" s="3"/>
      <c r="E10492" s="3">
        <v>9</v>
      </c>
      <c r="F10492" s="4" t="str">
        <f>HYPERLINK("http://141.218.60.56/~jnz1568/getInfo.php?workbook=12_05.xlsx&amp;sheet=U0&amp;row=10492&amp;col=6&amp;number=3.8&amp;sourceID=14","3.8")</f>
        <v>3.8</v>
      </c>
      <c r="G10492" s="4" t="str">
        <f>HYPERLINK("http://141.218.60.56/~jnz1568/getInfo.php?workbook=12_05.xlsx&amp;sheet=U0&amp;row=10492&amp;col=7&amp;number=0.00828&amp;sourceID=14","0.00828")</f>
        <v>0.00828</v>
      </c>
    </row>
    <row r="10493" spans="1:7">
      <c r="A10493" s="3"/>
      <c r="B10493" s="3"/>
      <c r="C10493" s="3"/>
      <c r="D10493" s="3"/>
      <c r="E10493" s="3">
        <v>10</v>
      </c>
      <c r="F10493" s="4" t="str">
        <f>HYPERLINK("http://141.218.60.56/~jnz1568/getInfo.php?workbook=12_05.xlsx&amp;sheet=U0&amp;row=10493&amp;col=6&amp;number=3.9&amp;sourceID=14","3.9")</f>
        <v>3.9</v>
      </c>
      <c r="G10493" s="4" t="str">
        <f>HYPERLINK("http://141.218.60.56/~jnz1568/getInfo.php?workbook=12_05.xlsx&amp;sheet=U0&amp;row=10493&amp;col=7&amp;number=0.0083&amp;sourceID=14","0.0083")</f>
        <v>0.0083</v>
      </c>
    </row>
    <row r="10494" spans="1:7">
      <c r="A10494" s="3"/>
      <c r="B10494" s="3"/>
      <c r="C10494" s="3"/>
      <c r="D10494" s="3"/>
      <c r="E10494" s="3">
        <v>11</v>
      </c>
      <c r="F10494" s="4" t="str">
        <f>HYPERLINK("http://141.218.60.56/~jnz1568/getInfo.php?workbook=12_05.xlsx&amp;sheet=U0&amp;row=10494&amp;col=6&amp;number=4&amp;sourceID=14","4")</f>
        <v>4</v>
      </c>
      <c r="G10494" s="4" t="str">
        <f>HYPERLINK("http://141.218.60.56/~jnz1568/getInfo.php?workbook=12_05.xlsx&amp;sheet=U0&amp;row=10494&amp;col=7&amp;number=0.00832&amp;sourceID=14","0.00832")</f>
        <v>0.00832</v>
      </c>
    </row>
    <row r="10495" spans="1:7">
      <c r="A10495" s="3"/>
      <c r="B10495" s="3"/>
      <c r="C10495" s="3"/>
      <c r="D10495" s="3"/>
      <c r="E10495" s="3">
        <v>12</v>
      </c>
      <c r="F10495" s="4" t="str">
        <f>HYPERLINK("http://141.218.60.56/~jnz1568/getInfo.php?workbook=12_05.xlsx&amp;sheet=U0&amp;row=10495&amp;col=6&amp;number=4.1&amp;sourceID=14","4.1")</f>
        <v>4.1</v>
      </c>
      <c r="G10495" s="4" t="str">
        <f>HYPERLINK("http://141.218.60.56/~jnz1568/getInfo.php?workbook=12_05.xlsx&amp;sheet=U0&amp;row=10495&amp;col=7&amp;number=0.00835&amp;sourceID=14","0.00835")</f>
        <v>0.00835</v>
      </c>
    </row>
    <row r="10496" spans="1:7">
      <c r="A10496" s="3"/>
      <c r="B10496" s="3"/>
      <c r="C10496" s="3"/>
      <c r="D10496" s="3"/>
      <c r="E10496" s="3">
        <v>13</v>
      </c>
      <c r="F10496" s="4" t="str">
        <f>HYPERLINK("http://141.218.60.56/~jnz1568/getInfo.php?workbook=12_05.xlsx&amp;sheet=U0&amp;row=10496&amp;col=6&amp;number=4.2&amp;sourceID=14","4.2")</f>
        <v>4.2</v>
      </c>
      <c r="G10496" s="4" t="str">
        <f>HYPERLINK("http://141.218.60.56/~jnz1568/getInfo.php?workbook=12_05.xlsx&amp;sheet=U0&amp;row=10496&amp;col=7&amp;number=0.00839&amp;sourceID=14","0.00839")</f>
        <v>0.00839</v>
      </c>
    </row>
    <row r="10497" spans="1:7">
      <c r="A10497" s="3"/>
      <c r="B10497" s="3"/>
      <c r="C10497" s="3"/>
      <c r="D10497" s="3"/>
      <c r="E10497" s="3">
        <v>14</v>
      </c>
      <c r="F10497" s="4" t="str">
        <f>HYPERLINK("http://141.218.60.56/~jnz1568/getInfo.php?workbook=12_05.xlsx&amp;sheet=U0&amp;row=10497&amp;col=6&amp;number=4.3&amp;sourceID=14","4.3")</f>
        <v>4.3</v>
      </c>
      <c r="G10497" s="4" t="str">
        <f>HYPERLINK("http://141.218.60.56/~jnz1568/getInfo.php?workbook=12_05.xlsx&amp;sheet=U0&amp;row=10497&amp;col=7&amp;number=0.00843&amp;sourceID=14","0.00843")</f>
        <v>0.00843</v>
      </c>
    </row>
    <row r="10498" spans="1:7">
      <c r="A10498" s="3"/>
      <c r="B10498" s="3"/>
      <c r="C10498" s="3"/>
      <c r="D10498" s="3"/>
      <c r="E10498" s="3">
        <v>15</v>
      </c>
      <c r="F10498" s="4" t="str">
        <f>HYPERLINK("http://141.218.60.56/~jnz1568/getInfo.php?workbook=12_05.xlsx&amp;sheet=U0&amp;row=10498&amp;col=6&amp;number=4.4&amp;sourceID=14","4.4")</f>
        <v>4.4</v>
      </c>
      <c r="G10498" s="4" t="str">
        <f>HYPERLINK("http://141.218.60.56/~jnz1568/getInfo.php?workbook=12_05.xlsx&amp;sheet=U0&amp;row=10498&amp;col=7&amp;number=0.00849&amp;sourceID=14","0.00849")</f>
        <v>0.00849</v>
      </c>
    </row>
    <row r="10499" spans="1:7">
      <c r="A10499" s="3"/>
      <c r="B10499" s="3"/>
      <c r="C10499" s="3"/>
      <c r="D10499" s="3"/>
      <c r="E10499" s="3">
        <v>16</v>
      </c>
      <c r="F10499" s="4" t="str">
        <f>HYPERLINK("http://141.218.60.56/~jnz1568/getInfo.php?workbook=12_05.xlsx&amp;sheet=U0&amp;row=10499&amp;col=6&amp;number=4.5&amp;sourceID=14","4.5")</f>
        <v>4.5</v>
      </c>
      <c r="G10499" s="4" t="str">
        <f>HYPERLINK("http://141.218.60.56/~jnz1568/getInfo.php?workbook=12_05.xlsx&amp;sheet=U0&amp;row=10499&amp;col=7&amp;number=0.00856&amp;sourceID=14","0.00856")</f>
        <v>0.00856</v>
      </c>
    </row>
    <row r="10500" spans="1:7">
      <c r="A10500" s="3"/>
      <c r="B10500" s="3"/>
      <c r="C10500" s="3"/>
      <c r="D10500" s="3"/>
      <c r="E10500" s="3">
        <v>17</v>
      </c>
      <c r="F10500" s="4" t="str">
        <f>HYPERLINK("http://141.218.60.56/~jnz1568/getInfo.php?workbook=12_05.xlsx&amp;sheet=U0&amp;row=10500&amp;col=6&amp;number=4.6&amp;sourceID=14","4.6")</f>
        <v>4.6</v>
      </c>
      <c r="G10500" s="4" t="str">
        <f>HYPERLINK("http://141.218.60.56/~jnz1568/getInfo.php?workbook=12_05.xlsx&amp;sheet=U0&amp;row=10500&amp;col=7&amp;number=0.00864&amp;sourceID=14","0.00864")</f>
        <v>0.00864</v>
      </c>
    </row>
    <row r="10501" spans="1:7">
      <c r="A10501" s="3"/>
      <c r="B10501" s="3"/>
      <c r="C10501" s="3"/>
      <c r="D10501" s="3"/>
      <c r="E10501" s="3">
        <v>18</v>
      </c>
      <c r="F10501" s="4" t="str">
        <f>HYPERLINK("http://141.218.60.56/~jnz1568/getInfo.php?workbook=12_05.xlsx&amp;sheet=U0&amp;row=10501&amp;col=6&amp;number=4.7&amp;sourceID=14","4.7")</f>
        <v>4.7</v>
      </c>
      <c r="G10501" s="4" t="str">
        <f>HYPERLINK("http://141.218.60.56/~jnz1568/getInfo.php?workbook=12_05.xlsx&amp;sheet=U0&amp;row=10501&amp;col=7&amp;number=0.00875&amp;sourceID=14","0.00875")</f>
        <v>0.00875</v>
      </c>
    </row>
    <row r="10502" spans="1:7">
      <c r="A10502" s="3"/>
      <c r="B10502" s="3"/>
      <c r="C10502" s="3"/>
      <c r="D10502" s="3"/>
      <c r="E10502" s="3">
        <v>19</v>
      </c>
      <c r="F10502" s="4" t="str">
        <f>HYPERLINK("http://141.218.60.56/~jnz1568/getInfo.php?workbook=12_05.xlsx&amp;sheet=U0&amp;row=10502&amp;col=6&amp;number=4.8&amp;sourceID=14","4.8")</f>
        <v>4.8</v>
      </c>
      <c r="G10502" s="4" t="str">
        <f>HYPERLINK("http://141.218.60.56/~jnz1568/getInfo.php?workbook=12_05.xlsx&amp;sheet=U0&amp;row=10502&amp;col=7&amp;number=0.00889&amp;sourceID=14","0.00889")</f>
        <v>0.00889</v>
      </c>
    </row>
    <row r="10503" spans="1:7">
      <c r="A10503" s="3"/>
      <c r="B10503" s="3"/>
      <c r="C10503" s="3"/>
      <c r="D10503" s="3"/>
      <c r="E10503" s="3">
        <v>20</v>
      </c>
      <c r="F10503" s="4" t="str">
        <f>HYPERLINK("http://141.218.60.56/~jnz1568/getInfo.php?workbook=12_05.xlsx&amp;sheet=U0&amp;row=10503&amp;col=6&amp;number=4.9&amp;sourceID=14","4.9")</f>
        <v>4.9</v>
      </c>
      <c r="G10503" s="4" t="str">
        <f>HYPERLINK("http://141.218.60.56/~jnz1568/getInfo.php?workbook=12_05.xlsx&amp;sheet=U0&amp;row=10503&amp;col=7&amp;number=0.00906&amp;sourceID=14","0.00906")</f>
        <v>0.00906</v>
      </c>
    </row>
    <row r="10504" spans="1:7">
      <c r="A10504" s="3">
        <v>12</v>
      </c>
      <c r="B10504" s="3">
        <v>5</v>
      </c>
      <c r="C10504" s="3">
        <v>5</v>
      </c>
      <c r="D10504" s="3">
        <v>102</v>
      </c>
      <c r="E10504" s="3">
        <v>1</v>
      </c>
      <c r="F10504" s="4" t="str">
        <f>HYPERLINK("http://141.218.60.56/~jnz1568/getInfo.php?workbook=12_05.xlsx&amp;sheet=U0&amp;row=10504&amp;col=6&amp;number=3&amp;sourceID=14","3")</f>
        <v>3</v>
      </c>
      <c r="G10504" s="4" t="str">
        <f>HYPERLINK("http://141.218.60.56/~jnz1568/getInfo.php?workbook=12_05.xlsx&amp;sheet=U0&amp;row=10504&amp;col=7&amp;number=0.00284&amp;sourceID=14","0.00284")</f>
        <v>0.00284</v>
      </c>
    </row>
    <row r="10505" spans="1:7">
      <c r="A10505" s="3"/>
      <c r="B10505" s="3"/>
      <c r="C10505" s="3"/>
      <c r="D10505" s="3"/>
      <c r="E10505" s="3">
        <v>2</v>
      </c>
      <c r="F10505" s="4" t="str">
        <f>HYPERLINK("http://141.218.60.56/~jnz1568/getInfo.php?workbook=12_05.xlsx&amp;sheet=U0&amp;row=10505&amp;col=6&amp;number=3.1&amp;sourceID=14","3.1")</f>
        <v>3.1</v>
      </c>
      <c r="G10505" s="4" t="str">
        <f>HYPERLINK("http://141.218.60.56/~jnz1568/getInfo.php?workbook=12_05.xlsx&amp;sheet=U0&amp;row=10505&amp;col=7&amp;number=0.00284&amp;sourceID=14","0.00284")</f>
        <v>0.00284</v>
      </c>
    </row>
    <row r="10506" spans="1:7">
      <c r="A10506" s="3"/>
      <c r="B10506" s="3"/>
      <c r="C10506" s="3"/>
      <c r="D10506" s="3"/>
      <c r="E10506" s="3">
        <v>3</v>
      </c>
      <c r="F10506" s="4" t="str">
        <f>HYPERLINK("http://141.218.60.56/~jnz1568/getInfo.php?workbook=12_05.xlsx&amp;sheet=U0&amp;row=10506&amp;col=6&amp;number=3.2&amp;sourceID=14","3.2")</f>
        <v>3.2</v>
      </c>
      <c r="G10506" s="4" t="str">
        <f>HYPERLINK("http://141.218.60.56/~jnz1568/getInfo.php?workbook=12_05.xlsx&amp;sheet=U0&amp;row=10506&amp;col=7&amp;number=0.00284&amp;sourceID=14","0.00284")</f>
        <v>0.00284</v>
      </c>
    </row>
    <row r="10507" spans="1:7">
      <c r="A10507" s="3"/>
      <c r="B10507" s="3"/>
      <c r="C10507" s="3"/>
      <c r="D10507" s="3"/>
      <c r="E10507" s="3">
        <v>4</v>
      </c>
      <c r="F10507" s="4" t="str">
        <f>HYPERLINK("http://141.218.60.56/~jnz1568/getInfo.php?workbook=12_05.xlsx&amp;sheet=U0&amp;row=10507&amp;col=6&amp;number=3.3&amp;sourceID=14","3.3")</f>
        <v>3.3</v>
      </c>
      <c r="G10507" s="4" t="str">
        <f>HYPERLINK("http://141.218.60.56/~jnz1568/getInfo.php?workbook=12_05.xlsx&amp;sheet=U0&amp;row=10507&amp;col=7&amp;number=0.00283&amp;sourceID=14","0.00283")</f>
        <v>0.00283</v>
      </c>
    </row>
    <row r="10508" spans="1:7">
      <c r="A10508" s="3"/>
      <c r="B10508" s="3"/>
      <c r="C10508" s="3"/>
      <c r="D10508" s="3"/>
      <c r="E10508" s="3">
        <v>5</v>
      </c>
      <c r="F10508" s="4" t="str">
        <f>HYPERLINK("http://141.218.60.56/~jnz1568/getInfo.php?workbook=12_05.xlsx&amp;sheet=U0&amp;row=10508&amp;col=6&amp;number=3.4&amp;sourceID=14","3.4")</f>
        <v>3.4</v>
      </c>
      <c r="G10508" s="4" t="str">
        <f>HYPERLINK("http://141.218.60.56/~jnz1568/getInfo.php?workbook=12_05.xlsx&amp;sheet=U0&amp;row=10508&amp;col=7&amp;number=0.00283&amp;sourceID=14","0.00283")</f>
        <v>0.00283</v>
      </c>
    </row>
    <row r="10509" spans="1:7">
      <c r="A10509" s="3"/>
      <c r="B10509" s="3"/>
      <c r="C10509" s="3"/>
      <c r="D10509" s="3"/>
      <c r="E10509" s="3">
        <v>6</v>
      </c>
      <c r="F10509" s="4" t="str">
        <f>HYPERLINK("http://141.218.60.56/~jnz1568/getInfo.php?workbook=12_05.xlsx&amp;sheet=U0&amp;row=10509&amp;col=6&amp;number=3.5&amp;sourceID=14","3.5")</f>
        <v>3.5</v>
      </c>
      <c r="G10509" s="4" t="str">
        <f>HYPERLINK("http://141.218.60.56/~jnz1568/getInfo.php?workbook=12_05.xlsx&amp;sheet=U0&amp;row=10509&amp;col=7&amp;number=0.00283&amp;sourceID=14","0.00283")</f>
        <v>0.00283</v>
      </c>
    </row>
    <row r="10510" spans="1:7">
      <c r="A10510" s="3"/>
      <c r="B10510" s="3"/>
      <c r="C10510" s="3"/>
      <c r="D10510" s="3"/>
      <c r="E10510" s="3">
        <v>7</v>
      </c>
      <c r="F10510" s="4" t="str">
        <f>HYPERLINK("http://141.218.60.56/~jnz1568/getInfo.php?workbook=12_05.xlsx&amp;sheet=U0&amp;row=10510&amp;col=6&amp;number=3.6&amp;sourceID=14","3.6")</f>
        <v>3.6</v>
      </c>
      <c r="G10510" s="4" t="str">
        <f>HYPERLINK("http://141.218.60.56/~jnz1568/getInfo.php?workbook=12_05.xlsx&amp;sheet=U0&amp;row=10510&amp;col=7&amp;number=0.00283&amp;sourceID=14","0.00283")</f>
        <v>0.00283</v>
      </c>
    </row>
    <row r="10511" spans="1:7">
      <c r="A10511" s="3"/>
      <c r="B10511" s="3"/>
      <c r="C10511" s="3"/>
      <c r="D10511" s="3"/>
      <c r="E10511" s="3">
        <v>8</v>
      </c>
      <c r="F10511" s="4" t="str">
        <f>HYPERLINK("http://141.218.60.56/~jnz1568/getInfo.php?workbook=12_05.xlsx&amp;sheet=U0&amp;row=10511&amp;col=6&amp;number=3.7&amp;sourceID=14","3.7")</f>
        <v>3.7</v>
      </c>
      <c r="G10511" s="4" t="str">
        <f>HYPERLINK("http://141.218.60.56/~jnz1568/getInfo.php?workbook=12_05.xlsx&amp;sheet=U0&amp;row=10511&amp;col=7&amp;number=0.00283&amp;sourceID=14","0.00283")</f>
        <v>0.00283</v>
      </c>
    </row>
    <row r="10512" spans="1:7">
      <c r="A10512" s="3"/>
      <c r="B10512" s="3"/>
      <c r="C10512" s="3"/>
      <c r="D10512" s="3"/>
      <c r="E10512" s="3">
        <v>9</v>
      </c>
      <c r="F10512" s="4" t="str">
        <f>HYPERLINK("http://141.218.60.56/~jnz1568/getInfo.php?workbook=12_05.xlsx&amp;sheet=U0&amp;row=10512&amp;col=6&amp;number=3.8&amp;sourceID=14","3.8")</f>
        <v>3.8</v>
      </c>
      <c r="G10512" s="4" t="str">
        <f>HYPERLINK("http://141.218.60.56/~jnz1568/getInfo.php?workbook=12_05.xlsx&amp;sheet=U0&amp;row=10512&amp;col=7&amp;number=0.00282&amp;sourceID=14","0.00282")</f>
        <v>0.00282</v>
      </c>
    </row>
    <row r="10513" spans="1:7">
      <c r="A10513" s="3"/>
      <c r="B10513" s="3"/>
      <c r="C10513" s="3"/>
      <c r="D10513" s="3"/>
      <c r="E10513" s="3">
        <v>10</v>
      </c>
      <c r="F10513" s="4" t="str">
        <f>HYPERLINK("http://141.218.60.56/~jnz1568/getInfo.php?workbook=12_05.xlsx&amp;sheet=U0&amp;row=10513&amp;col=6&amp;number=3.9&amp;sourceID=14","3.9")</f>
        <v>3.9</v>
      </c>
      <c r="G10513" s="4" t="str">
        <f>HYPERLINK("http://141.218.60.56/~jnz1568/getInfo.php?workbook=12_05.xlsx&amp;sheet=U0&amp;row=10513&amp;col=7&amp;number=0.00282&amp;sourceID=14","0.00282")</f>
        <v>0.00282</v>
      </c>
    </row>
    <row r="10514" spans="1:7">
      <c r="A10514" s="3"/>
      <c r="B10514" s="3"/>
      <c r="C10514" s="3"/>
      <c r="D10514" s="3"/>
      <c r="E10514" s="3">
        <v>11</v>
      </c>
      <c r="F10514" s="4" t="str">
        <f>HYPERLINK("http://141.218.60.56/~jnz1568/getInfo.php?workbook=12_05.xlsx&amp;sheet=U0&amp;row=10514&amp;col=6&amp;number=4&amp;sourceID=14","4")</f>
        <v>4</v>
      </c>
      <c r="G10514" s="4" t="str">
        <f>HYPERLINK("http://141.218.60.56/~jnz1568/getInfo.php?workbook=12_05.xlsx&amp;sheet=U0&amp;row=10514&amp;col=7&amp;number=0.00282&amp;sourceID=14","0.00282")</f>
        <v>0.00282</v>
      </c>
    </row>
    <row r="10515" spans="1:7">
      <c r="A10515" s="3"/>
      <c r="B10515" s="3"/>
      <c r="C10515" s="3"/>
      <c r="D10515" s="3"/>
      <c r="E10515" s="3">
        <v>12</v>
      </c>
      <c r="F10515" s="4" t="str">
        <f>HYPERLINK("http://141.218.60.56/~jnz1568/getInfo.php?workbook=12_05.xlsx&amp;sheet=U0&amp;row=10515&amp;col=6&amp;number=4.1&amp;sourceID=14","4.1")</f>
        <v>4.1</v>
      </c>
      <c r="G10515" s="4" t="str">
        <f>HYPERLINK("http://141.218.60.56/~jnz1568/getInfo.php?workbook=12_05.xlsx&amp;sheet=U0&amp;row=10515&amp;col=7&amp;number=0.00281&amp;sourceID=14","0.00281")</f>
        <v>0.00281</v>
      </c>
    </row>
    <row r="10516" spans="1:7">
      <c r="A10516" s="3"/>
      <c r="B10516" s="3"/>
      <c r="C10516" s="3"/>
      <c r="D10516" s="3"/>
      <c r="E10516" s="3">
        <v>13</v>
      </c>
      <c r="F10516" s="4" t="str">
        <f>HYPERLINK("http://141.218.60.56/~jnz1568/getInfo.php?workbook=12_05.xlsx&amp;sheet=U0&amp;row=10516&amp;col=6&amp;number=4.2&amp;sourceID=14","4.2")</f>
        <v>4.2</v>
      </c>
      <c r="G10516" s="4" t="str">
        <f>HYPERLINK("http://141.218.60.56/~jnz1568/getInfo.php?workbook=12_05.xlsx&amp;sheet=U0&amp;row=10516&amp;col=7&amp;number=0.0028&amp;sourceID=14","0.0028")</f>
        <v>0.0028</v>
      </c>
    </row>
    <row r="10517" spans="1:7">
      <c r="A10517" s="3"/>
      <c r="B10517" s="3"/>
      <c r="C10517" s="3"/>
      <c r="D10517" s="3"/>
      <c r="E10517" s="3">
        <v>14</v>
      </c>
      <c r="F10517" s="4" t="str">
        <f>HYPERLINK("http://141.218.60.56/~jnz1568/getInfo.php?workbook=12_05.xlsx&amp;sheet=U0&amp;row=10517&amp;col=6&amp;number=4.3&amp;sourceID=14","4.3")</f>
        <v>4.3</v>
      </c>
      <c r="G10517" s="4" t="str">
        <f>HYPERLINK("http://141.218.60.56/~jnz1568/getInfo.php?workbook=12_05.xlsx&amp;sheet=U0&amp;row=10517&amp;col=7&amp;number=0.00279&amp;sourceID=14","0.00279")</f>
        <v>0.00279</v>
      </c>
    </row>
    <row r="10518" spans="1:7">
      <c r="A10518" s="3"/>
      <c r="B10518" s="3"/>
      <c r="C10518" s="3"/>
      <c r="D10518" s="3"/>
      <c r="E10518" s="3">
        <v>15</v>
      </c>
      <c r="F10518" s="4" t="str">
        <f>HYPERLINK("http://141.218.60.56/~jnz1568/getInfo.php?workbook=12_05.xlsx&amp;sheet=U0&amp;row=10518&amp;col=6&amp;number=4.4&amp;sourceID=14","4.4")</f>
        <v>4.4</v>
      </c>
      <c r="G10518" s="4" t="str">
        <f>HYPERLINK("http://141.218.60.56/~jnz1568/getInfo.php?workbook=12_05.xlsx&amp;sheet=U0&amp;row=10518&amp;col=7&amp;number=0.00278&amp;sourceID=14","0.00278")</f>
        <v>0.00278</v>
      </c>
    </row>
    <row r="10519" spans="1:7">
      <c r="A10519" s="3"/>
      <c r="B10519" s="3"/>
      <c r="C10519" s="3"/>
      <c r="D10519" s="3"/>
      <c r="E10519" s="3">
        <v>16</v>
      </c>
      <c r="F10519" s="4" t="str">
        <f>HYPERLINK("http://141.218.60.56/~jnz1568/getInfo.php?workbook=12_05.xlsx&amp;sheet=U0&amp;row=10519&amp;col=6&amp;number=4.5&amp;sourceID=14","4.5")</f>
        <v>4.5</v>
      </c>
      <c r="G10519" s="4" t="str">
        <f>HYPERLINK("http://141.218.60.56/~jnz1568/getInfo.php?workbook=12_05.xlsx&amp;sheet=U0&amp;row=10519&amp;col=7&amp;number=0.00277&amp;sourceID=14","0.00277")</f>
        <v>0.00277</v>
      </c>
    </row>
    <row r="10520" spans="1:7">
      <c r="A10520" s="3"/>
      <c r="B10520" s="3"/>
      <c r="C10520" s="3"/>
      <c r="D10520" s="3"/>
      <c r="E10520" s="3">
        <v>17</v>
      </c>
      <c r="F10520" s="4" t="str">
        <f>HYPERLINK("http://141.218.60.56/~jnz1568/getInfo.php?workbook=12_05.xlsx&amp;sheet=U0&amp;row=10520&amp;col=6&amp;number=4.6&amp;sourceID=14","4.6")</f>
        <v>4.6</v>
      </c>
      <c r="G10520" s="4" t="str">
        <f>HYPERLINK("http://141.218.60.56/~jnz1568/getInfo.php?workbook=12_05.xlsx&amp;sheet=U0&amp;row=10520&amp;col=7&amp;number=0.00275&amp;sourceID=14","0.00275")</f>
        <v>0.00275</v>
      </c>
    </row>
    <row r="10521" spans="1:7">
      <c r="A10521" s="3"/>
      <c r="B10521" s="3"/>
      <c r="C10521" s="3"/>
      <c r="D10521" s="3"/>
      <c r="E10521" s="3">
        <v>18</v>
      </c>
      <c r="F10521" s="4" t="str">
        <f>HYPERLINK("http://141.218.60.56/~jnz1568/getInfo.php?workbook=12_05.xlsx&amp;sheet=U0&amp;row=10521&amp;col=6&amp;number=4.7&amp;sourceID=14","4.7")</f>
        <v>4.7</v>
      </c>
      <c r="G10521" s="4" t="str">
        <f>HYPERLINK("http://141.218.60.56/~jnz1568/getInfo.php?workbook=12_05.xlsx&amp;sheet=U0&amp;row=10521&amp;col=7&amp;number=0.00273&amp;sourceID=14","0.00273")</f>
        <v>0.00273</v>
      </c>
    </row>
    <row r="10522" spans="1:7">
      <c r="A10522" s="3"/>
      <c r="B10522" s="3"/>
      <c r="C10522" s="3"/>
      <c r="D10522" s="3"/>
      <c r="E10522" s="3">
        <v>19</v>
      </c>
      <c r="F10522" s="4" t="str">
        <f>HYPERLINK("http://141.218.60.56/~jnz1568/getInfo.php?workbook=12_05.xlsx&amp;sheet=U0&amp;row=10522&amp;col=6&amp;number=4.8&amp;sourceID=14","4.8")</f>
        <v>4.8</v>
      </c>
      <c r="G10522" s="4" t="str">
        <f>HYPERLINK("http://141.218.60.56/~jnz1568/getInfo.php?workbook=12_05.xlsx&amp;sheet=U0&amp;row=10522&amp;col=7&amp;number=0.0027&amp;sourceID=14","0.0027")</f>
        <v>0.0027</v>
      </c>
    </row>
    <row r="10523" spans="1:7">
      <c r="A10523" s="3"/>
      <c r="B10523" s="3"/>
      <c r="C10523" s="3"/>
      <c r="D10523" s="3"/>
      <c r="E10523" s="3">
        <v>20</v>
      </c>
      <c r="F10523" s="4" t="str">
        <f>HYPERLINK("http://141.218.60.56/~jnz1568/getInfo.php?workbook=12_05.xlsx&amp;sheet=U0&amp;row=10523&amp;col=6&amp;number=4.9&amp;sourceID=14","4.9")</f>
        <v>4.9</v>
      </c>
      <c r="G10523" s="4" t="str">
        <f>HYPERLINK("http://141.218.60.56/~jnz1568/getInfo.php?workbook=12_05.xlsx&amp;sheet=U0&amp;row=10523&amp;col=7&amp;number=0.00267&amp;sourceID=14","0.00267")</f>
        <v>0.00267</v>
      </c>
    </row>
    <row r="10524" spans="1:7">
      <c r="A10524" s="3">
        <v>12</v>
      </c>
      <c r="B10524" s="3">
        <v>5</v>
      </c>
      <c r="C10524" s="3">
        <v>5</v>
      </c>
      <c r="D10524" s="3">
        <v>103</v>
      </c>
      <c r="E10524" s="3">
        <v>1</v>
      </c>
      <c r="F10524" s="4" t="str">
        <f>HYPERLINK("http://141.218.60.56/~jnz1568/getInfo.php?workbook=12_05.xlsx&amp;sheet=U0&amp;row=10524&amp;col=6&amp;number=3&amp;sourceID=14","3")</f>
        <v>3</v>
      </c>
      <c r="G10524" s="4" t="str">
        <f>HYPERLINK("http://141.218.60.56/~jnz1568/getInfo.php?workbook=12_05.xlsx&amp;sheet=U0&amp;row=10524&amp;col=7&amp;number=0.000213&amp;sourceID=14","0.000213")</f>
        <v>0.000213</v>
      </c>
    </row>
    <row r="10525" spans="1:7">
      <c r="A10525" s="3"/>
      <c r="B10525" s="3"/>
      <c r="C10525" s="3"/>
      <c r="D10525" s="3"/>
      <c r="E10525" s="3">
        <v>2</v>
      </c>
      <c r="F10525" s="4" t="str">
        <f>HYPERLINK("http://141.218.60.56/~jnz1568/getInfo.php?workbook=12_05.xlsx&amp;sheet=U0&amp;row=10525&amp;col=6&amp;number=3.1&amp;sourceID=14","3.1")</f>
        <v>3.1</v>
      </c>
      <c r="G10525" s="4" t="str">
        <f>HYPERLINK("http://141.218.60.56/~jnz1568/getInfo.php?workbook=12_05.xlsx&amp;sheet=U0&amp;row=10525&amp;col=7&amp;number=0.000213&amp;sourceID=14","0.000213")</f>
        <v>0.000213</v>
      </c>
    </row>
    <row r="10526" spans="1:7">
      <c r="A10526" s="3"/>
      <c r="B10526" s="3"/>
      <c r="C10526" s="3"/>
      <c r="D10526" s="3"/>
      <c r="E10526" s="3">
        <v>3</v>
      </c>
      <c r="F10526" s="4" t="str">
        <f>HYPERLINK("http://141.218.60.56/~jnz1568/getInfo.php?workbook=12_05.xlsx&amp;sheet=U0&amp;row=10526&amp;col=6&amp;number=3.2&amp;sourceID=14","3.2")</f>
        <v>3.2</v>
      </c>
      <c r="G10526" s="4" t="str">
        <f>HYPERLINK("http://141.218.60.56/~jnz1568/getInfo.php?workbook=12_05.xlsx&amp;sheet=U0&amp;row=10526&amp;col=7&amp;number=0.000213&amp;sourceID=14","0.000213")</f>
        <v>0.000213</v>
      </c>
    </row>
    <row r="10527" spans="1:7">
      <c r="A10527" s="3"/>
      <c r="B10527" s="3"/>
      <c r="C10527" s="3"/>
      <c r="D10527" s="3"/>
      <c r="E10527" s="3">
        <v>4</v>
      </c>
      <c r="F10527" s="4" t="str">
        <f>HYPERLINK("http://141.218.60.56/~jnz1568/getInfo.php?workbook=12_05.xlsx&amp;sheet=U0&amp;row=10527&amp;col=6&amp;number=3.3&amp;sourceID=14","3.3")</f>
        <v>3.3</v>
      </c>
      <c r="G10527" s="4" t="str">
        <f>HYPERLINK("http://141.218.60.56/~jnz1568/getInfo.php?workbook=12_05.xlsx&amp;sheet=U0&amp;row=10527&amp;col=7&amp;number=0.000213&amp;sourceID=14","0.000213")</f>
        <v>0.000213</v>
      </c>
    </row>
    <row r="10528" spans="1:7">
      <c r="A10528" s="3"/>
      <c r="B10528" s="3"/>
      <c r="C10528" s="3"/>
      <c r="D10528" s="3"/>
      <c r="E10528" s="3">
        <v>5</v>
      </c>
      <c r="F10528" s="4" t="str">
        <f>HYPERLINK("http://141.218.60.56/~jnz1568/getInfo.php?workbook=12_05.xlsx&amp;sheet=U0&amp;row=10528&amp;col=6&amp;number=3.4&amp;sourceID=14","3.4")</f>
        <v>3.4</v>
      </c>
      <c r="G10528" s="4" t="str">
        <f>HYPERLINK("http://141.218.60.56/~jnz1568/getInfo.php?workbook=12_05.xlsx&amp;sheet=U0&amp;row=10528&amp;col=7&amp;number=0.000213&amp;sourceID=14","0.000213")</f>
        <v>0.000213</v>
      </c>
    </row>
    <row r="10529" spans="1:7">
      <c r="A10529" s="3"/>
      <c r="B10529" s="3"/>
      <c r="C10529" s="3"/>
      <c r="D10529" s="3"/>
      <c r="E10529" s="3">
        <v>6</v>
      </c>
      <c r="F10529" s="4" t="str">
        <f>HYPERLINK("http://141.218.60.56/~jnz1568/getInfo.php?workbook=12_05.xlsx&amp;sheet=U0&amp;row=10529&amp;col=6&amp;number=3.5&amp;sourceID=14","3.5")</f>
        <v>3.5</v>
      </c>
      <c r="G10529" s="4" t="str">
        <f>HYPERLINK("http://141.218.60.56/~jnz1568/getInfo.php?workbook=12_05.xlsx&amp;sheet=U0&amp;row=10529&amp;col=7&amp;number=0.000212&amp;sourceID=14","0.000212")</f>
        <v>0.000212</v>
      </c>
    </row>
    <row r="10530" spans="1:7">
      <c r="A10530" s="3"/>
      <c r="B10530" s="3"/>
      <c r="C10530" s="3"/>
      <c r="D10530" s="3"/>
      <c r="E10530" s="3">
        <v>7</v>
      </c>
      <c r="F10530" s="4" t="str">
        <f>HYPERLINK("http://141.218.60.56/~jnz1568/getInfo.php?workbook=12_05.xlsx&amp;sheet=U0&amp;row=10530&amp;col=6&amp;number=3.6&amp;sourceID=14","3.6")</f>
        <v>3.6</v>
      </c>
      <c r="G10530" s="4" t="str">
        <f>HYPERLINK("http://141.218.60.56/~jnz1568/getInfo.php?workbook=12_05.xlsx&amp;sheet=U0&amp;row=10530&amp;col=7&amp;number=0.000212&amp;sourceID=14","0.000212")</f>
        <v>0.000212</v>
      </c>
    </row>
    <row r="10531" spans="1:7">
      <c r="A10531" s="3"/>
      <c r="B10531" s="3"/>
      <c r="C10531" s="3"/>
      <c r="D10531" s="3"/>
      <c r="E10531" s="3">
        <v>8</v>
      </c>
      <c r="F10531" s="4" t="str">
        <f>HYPERLINK("http://141.218.60.56/~jnz1568/getInfo.php?workbook=12_05.xlsx&amp;sheet=U0&amp;row=10531&amp;col=6&amp;number=3.7&amp;sourceID=14","3.7")</f>
        <v>3.7</v>
      </c>
      <c r="G10531" s="4" t="str">
        <f>HYPERLINK("http://141.218.60.56/~jnz1568/getInfo.php?workbook=12_05.xlsx&amp;sheet=U0&amp;row=10531&amp;col=7&amp;number=0.000212&amp;sourceID=14","0.000212")</f>
        <v>0.000212</v>
      </c>
    </row>
    <row r="10532" spans="1:7">
      <c r="A10532" s="3"/>
      <c r="B10532" s="3"/>
      <c r="C10532" s="3"/>
      <c r="D10532" s="3"/>
      <c r="E10532" s="3">
        <v>9</v>
      </c>
      <c r="F10532" s="4" t="str">
        <f>HYPERLINK("http://141.218.60.56/~jnz1568/getInfo.php?workbook=12_05.xlsx&amp;sheet=U0&amp;row=10532&amp;col=6&amp;number=3.8&amp;sourceID=14","3.8")</f>
        <v>3.8</v>
      </c>
      <c r="G10532" s="4" t="str">
        <f>HYPERLINK("http://141.218.60.56/~jnz1568/getInfo.php?workbook=12_05.xlsx&amp;sheet=U0&amp;row=10532&amp;col=7&amp;number=0.000212&amp;sourceID=14","0.000212")</f>
        <v>0.000212</v>
      </c>
    </row>
    <row r="10533" spans="1:7">
      <c r="A10533" s="3"/>
      <c r="B10533" s="3"/>
      <c r="C10533" s="3"/>
      <c r="D10533" s="3"/>
      <c r="E10533" s="3">
        <v>10</v>
      </c>
      <c r="F10533" s="4" t="str">
        <f>HYPERLINK("http://141.218.60.56/~jnz1568/getInfo.php?workbook=12_05.xlsx&amp;sheet=U0&amp;row=10533&amp;col=6&amp;number=3.9&amp;sourceID=14","3.9")</f>
        <v>3.9</v>
      </c>
      <c r="G10533" s="4" t="str">
        <f>HYPERLINK("http://141.218.60.56/~jnz1568/getInfo.php?workbook=12_05.xlsx&amp;sheet=U0&amp;row=10533&amp;col=7&amp;number=0.000212&amp;sourceID=14","0.000212")</f>
        <v>0.000212</v>
      </c>
    </row>
    <row r="10534" spans="1:7">
      <c r="A10534" s="3"/>
      <c r="B10534" s="3"/>
      <c r="C10534" s="3"/>
      <c r="D10534" s="3"/>
      <c r="E10534" s="3">
        <v>11</v>
      </c>
      <c r="F10534" s="4" t="str">
        <f>HYPERLINK("http://141.218.60.56/~jnz1568/getInfo.php?workbook=12_05.xlsx&amp;sheet=U0&amp;row=10534&amp;col=6&amp;number=4&amp;sourceID=14","4")</f>
        <v>4</v>
      </c>
      <c r="G10534" s="4" t="str">
        <f>HYPERLINK("http://141.218.60.56/~jnz1568/getInfo.php?workbook=12_05.xlsx&amp;sheet=U0&amp;row=10534&amp;col=7&amp;number=0.000211&amp;sourceID=14","0.000211")</f>
        <v>0.000211</v>
      </c>
    </row>
    <row r="10535" spans="1:7">
      <c r="A10535" s="3"/>
      <c r="B10535" s="3"/>
      <c r="C10535" s="3"/>
      <c r="D10535" s="3"/>
      <c r="E10535" s="3">
        <v>12</v>
      </c>
      <c r="F10535" s="4" t="str">
        <f>HYPERLINK("http://141.218.60.56/~jnz1568/getInfo.php?workbook=12_05.xlsx&amp;sheet=U0&amp;row=10535&amp;col=6&amp;number=4.1&amp;sourceID=14","4.1")</f>
        <v>4.1</v>
      </c>
      <c r="G10535" s="4" t="str">
        <f>HYPERLINK("http://141.218.60.56/~jnz1568/getInfo.php?workbook=12_05.xlsx&amp;sheet=U0&amp;row=10535&amp;col=7&amp;number=0.000211&amp;sourceID=14","0.000211")</f>
        <v>0.000211</v>
      </c>
    </row>
    <row r="10536" spans="1:7">
      <c r="A10536" s="3"/>
      <c r="B10536" s="3"/>
      <c r="C10536" s="3"/>
      <c r="D10536" s="3"/>
      <c r="E10536" s="3">
        <v>13</v>
      </c>
      <c r="F10536" s="4" t="str">
        <f>HYPERLINK("http://141.218.60.56/~jnz1568/getInfo.php?workbook=12_05.xlsx&amp;sheet=U0&amp;row=10536&amp;col=6&amp;number=4.2&amp;sourceID=14","4.2")</f>
        <v>4.2</v>
      </c>
      <c r="G10536" s="4" t="str">
        <f>HYPERLINK("http://141.218.60.56/~jnz1568/getInfo.php?workbook=12_05.xlsx&amp;sheet=U0&amp;row=10536&amp;col=7&amp;number=0.00021&amp;sourceID=14","0.00021")</f>
        <v>0.00021</v>
      </c>
    </row>
    <row r="10537" spans="1:7">
      <c r="A10537" s="3"/>
      <c r="B10537" s="3"/>
      <c r="C10537" s="3"/>
      <c r="D10537" s="3"/>
      <c r="E10537" s="3">
        <v>14</v>
      </c>
      <c r="F10537" s="4" t="str">
        <f>HYPERLINK("http://141.218.60.56/~jnz1568/getInfo.php?workbook=12_05.xlsx&amp;sheet=U0&amp;row=10537&amp;col=6&amp;number=4.3&amp;sourceID=14","4.3")</f>
        <v>4.3</v>
      </c>
      <c r="G10537" s="4" t="str">
        <f>HYPERLINK("http://141.218.60.56/~jnz1568/getInfo.php?workbook=12_05.xlsx&amp;sheet=U0&amp;row=10537&amp;col=7&amp;number=0.00021&amp;sourceID=14","0.00021")</f>
        <v>0.00021</v>
      </c>
    </row>
    <row r="10538" spans="1:7">
      <c r="A10538" s="3"/>
      <c r="B10538" s="3"/>
      <c r="C10538" s="3"/>
      <c r="D10538" s="3"/>
      <c r="E10538" s="3">
        <v>15</v>
      </c>
      <c r="F10538" s="4" t="str">
        <f>HYPERLINK("http://141.218.60.56/~jnz1568/getInfo.php?workbook=12_05.xlsx&amp;sheet=U0&amp;row=10538&amp;col=6&amp;number=4.4&amp;sourceID=14","4.4")</f>
        <v>4.4</v>
      </c>
      <c r="G10538" s="4" t="str">
        <f>HYPERLINK("http://141.218.60.56/~jnz1568/getInfo.php?workbook=12_05.xlsx&amp;sheet=U0&amp;row=10538&amp;col=7&amp;number=0.000209&amp;sourceID=14","0.000209")</f>
        <v>0.000209</v>
      </c>
    </row>
    <row r="10539" spans="1:7">
      <c r="A10539" s="3"/>
      <c r="B10539" s="3"/>
      <c r="C10539" s="3"/>
      <c r="D10539" s="3"/>
      <c r="E10539" s="3">
        <v>16</v>
      </c>
      <c r="F10539" s="4" t="str">
        <f>HYPERLINK("http://141.218.60.56/~jnz1568/getInfo.php?workbook=12_05.xlsx&amp;sheet=U0&amp;row=10539&amp;col=6&amp;number=4.5&amp;sourceID=14","4.5")</f>
        <v>4.5</v>
      </c>
      <c r="G10539" s="4" t="str">
        <f>HYPERLINK("http://141.218.60.56/~jnz1568/getInfo.php?workbook=12_05.xlsx&amp;sheet=U0&amp;row=10539&amp;col=7&amp;number=0.000208&amp;sourceID=14","0.000208")</f>
        <v>0.000208</v>
      </c>
    </row>
    <row r="10540" spans="1:7">
      <c r="A10540" s="3"/>
      <c r="B10540" s="3"/>
      <c r="C10540" s="3"/>
      <c r="D10540" s="3"/>
      <c r="E10540" s="3">
        <v>17</v>
      </c>
      <c r="F10540" s="4" t="str">
        <f>HYPERLINK("http://141.218.60.56/~jnz1568/getInfo.php?workbook=12_05.xlsx&amp;sheet=U0&amp;row=10540&amp;col=6&amp;number=4.6&amp;sourceID=14","4.6")</f>
        <v>4.6</v>
      </c>
      <c r="G10540" s="4" t="str">
        <f>HYPERLINK("http://141.218.60.56/~jnz1568/getInfo.php?workbook=12_05.xlsx&amp;sheet=U0&amp;row=10540&amp;col=7&amp;number=0.000206&amp;sourceID=14","0.000206")</f>
        <v>0.000206</v>
      </c>
    </row>
    <row r="10541" spans="1:7">
      <c r="A10541" s="3"/>
      <c r="B10541" s="3"/>
      <c r="C10541" s="3"/>
      <c r="D10541" s="3"/>
      <c r="E10541" s="3">
        <v>18</v>
      </c>
      <c r="F10541" s="4" t="str">
        <f>HYPERLINK("http://141.218.60.56/~jnz1568/getInfo.php?workbook=12_05.xlsx&amp;sheet=U0&amp;row=10541&amp;col=6&amp;number=4.7&amp;sourceID=14","4.7")</f>
        <v>4.7</v>
      </c>
      <c r="G10541" s="4" t="str">
        <f>HYPERLINK("http://141.218.60.56/~jnz1568/getInfo.php?workbook=12_05.xlsx&amp;sheet=U0&amp;row=10541&amp;col=7&amp;number=0.000205&amp;sourceID=14","0.000205")</f>
        <v>0.000205</v>
      </c>
    </row>
    <row r="10542" spans="1:7">
      <c r="A10542" s="3"/>
      <c r="B10542" s="3"/>
      <c r="C10542" s="3"/>
      <c r="D10542" s="3"/>
      <c r="E10542" s="3">
        <v>19</v>
      </c>
      <c r="F10542" s="4" t="str">
        <f>HYPERLINK("http://141.218.60.56/~jnz1568/getInfo.php?workbook=12_05.xlsx&amp;sheet=U0&amp;row=10542&amp;col=6&amp;number=4.8&amp;sourceID=14","4.8")</f>
        <v>4.8</v>
      </c>
      <c r="G10542" s="4" t="str">
        <f>HYPERLINK("http://141.218.60.56/~jnz1568/getInfo.php?workbook=12_05.xlsx&amp;sheet=U0&amp;row=10542&amp;col=7&amp;number=0.000203&amp;sourceID=14","0.000203")</f>
        <v>0.000203</v>
      </c>
    </row>
    <row r="10543" spans="1:7">
      <c r="A10543" s="3"/>
      <c r="B10543" s="3"/>
      <c r="C10543" s="3"/>
      <c r="D10543" s="3"/>
      <c r="E10543" s="3">
        <v>20</v>
      </c>
      <c r="F10543" s="4" t="str">
        <f>HYPERLINK("http://141.218.60.56/~jnz1568/getInfo.php?workbook=12_05.xlsx&amp;sheet=U0&amp;row=10543&amp;col=6&amp;number=4.9&amp;sourceID=14","4.9")</f>
        <v>4.9</v>
      </c>
      <c r="G10543" s="4" t="str">
        <f>HYPERLINK("http://141.218.60.56/~jnz1568/getInfo.php?workbook=12_05.xlsx&amp;sheet=U0&amp;row=10543&amp;col=7&amp;number=0.0002&amp;sourceID=14","0.0002")</f>
        <v>0.0002</v>
      </c>
    </row>
    <row r="10544" spans="1:7">
      <c r="A10544" s="3">
        <v>12</v>
      </c>
      <c r="B10544" s="3">
        <v>5</v>
      </c>
      <c r="C10544" s="3">
        <v>5</v>
      </c>
      <c r="D10544" s="3">
        <v>104</v>
      </c>
      <c r="E10544" s="3">
        <v>1</v>
      </c>
      <c r="F10544" s="4" t="str">
        <f>HYPERLINK("http://141.218.60.56/~jnz1568/getInfo.php?workbook=12_05.xlsx&amp;sheet=U0&amp;row=10544&amp;col=6&amp;number=3&amp;sourceID=14","3")</f>
        <v>3</v>
      </c>
      <c r="G10544" s="4" t="str">
        <f>HYPERLINK("http://141.218.60.56/~jnz1568/getInfo.php?workbook=12_05.xlsx&amp;sheet=U0&amp;row=10544&amp;col=7&amp;number=0.000915&amp;sourceID=14","0.000915")</f>
        <v>0.000915</v>
      </c>
    </row>
    <row r="10545" spans="1:7">
      <c r="A10545" s="3"/>
      <c r="B10545" s="3"/>
      <c r="C10545" s="3"/>
      <c r="D10545" s="3"/>
      <c r="E10545" s="3">
        <v>2</v>
      </c>
      <c r="F10545" s="4" t="str">
        <f>HYPERLINK("http://141.218.60.56/~jnz1568/getInfo.php?workbook=12_05.xlsx&amp;sheet=U0&amp;row=10545&amp;col=6&amp;number=3.1&amp;sourceID=14","3.1")</f>
        <v>3.1</v>
      </c>
      <c r="G10545" s="4" t="str">
        <f>HYPERLINK("http://141.218.60.56/~jnz1568/getInfo.php?workbook=12_05.xlsx&amp;sheet=U0&amp;row=10545&amp;col=7&amp;number=0.000915&amp;sourceID=14","0.000915")</f>
        <v>0.000915</v>
      </c>
    </row>
    <row r="10546" spans="1:7">
      <c r="A10546" s="3"/>
      <c r="B10546" s="3"/>
      <c r="C10546" s="3"/>
      <c r="D10546" s="3"/>
      <c r="E10546" s="3">
        <v>3</v>
      </c>
      <c r="F10546" s="4" t="str">
        <f>HYPERLINK("http://141.218.60.56/~jnz1568/getInfo.php?workbook=12_05.xlsx&amp;sheet=U0&amp;row=10546&amp;col=6&amp;number=3.2&amp;sourceID=14","3.2")</f>
        <v>3.2</v>
      </c>
      <c r="G10546" s="4" t="str">
        <f>HYPERLINK("http://141.218.60.56/~jnz1568/getInfo.php?workbook=12_05.xlsx&amp;sheet=U0&amp;row=10546&amp;col=7&amp;number=0.000915&amp;sourceID=14","0.000915")</f>
        <v>0.000915</v>
      </c>
    </row>
    <row r="10547" spans="1:7">
      <c r="A10547" s="3"/>
      <c r="B10547" s="3"/>
      <c r="C10547" s="3"/>
      <c r="D10547" s="3"/>
      <c r="E10547" s="3">
        <v>4</v>
      </c>
      <c r="F10547" s="4" t="str">
        <f>HYPERLINK("http://141.218.60.56/~jnz1568/getInfo.php?workbook=12_05.xlsx&amp;sheet=U0&amp;row=10547&amp;col=6&amp;number=3.3&amp;sourceID=14","3.3")</f>
        <v>3.3</v>
      </c>
      <c r="G10547" s="4" t="str">
        <f>HYPERLINK("http://141.218.60.56/~jnz1568/getInfo.php?workbook=12_05.xlsx&amp;sheet=U0&amp;row=10547&amp;col=7&amp;number=0.000914&amp;sourceID=14","0.000914")</f>
        <v>0.000914</v>
      </c>
    </row>
    <row r="10548" spans="1:7">
      <c r="A10548" s="3"/>
      <c r="B10548" s="3"/>
      <c r="C10548" s="3"/>
      <c r="D10548" s="3"/>
      <c r="E10548" s="3">
        <v>5</v>
      </c>
      <c r="F10548" s="4" t="str">
        <f>HYPERLINK("http://141.218.60.56/~jnz1568/getInfo.php?workbook=12_05.xlsx&amp;sheet=U0&amp;row=10548&amp;col=6&amp;number=3.4&amp;sourceID=14","3.4")</f>
        <v>3.4</v>
      </c>
      <c r="G10548" s="4" t="str">
        <f>HYPERLINK("http://141.218.60.56/~jnz1568/getInfo.php?workbook=12_05.xlsx&amp;sheet=U0&amp;row=10548&amp;col=7&amp;number=0.000914&amp;sourceID=14","0.000914")</f>
        <v>0.000914</v>
      </c>
    </row>
    <row r="10549" spans="1:7">
      <c r="A10549" s="3"/>
      <c r="B10549" s="3"/>
      <c r="C10549" s="3"/>
      <c r="D10549" s="3"/>
      <c r="E10549" s="3">
        <v>6</v>
      </c>
      <c r="F10549" s="4" t="str">
        <f>HYPERLINK("http://141.218.60.56/~jnz1568/getInfo.php?workbook=12_05.xlsx&amp;sheet=U0&amp;row=10549&amp;col=6&amp;number=3.5&amp;sourceID=14","3.5")</f>
        <v>3.5</v>
      </c>
      <c r="G10549" s="4" t="str">
        <f>HYPERLINK("http://141.218.60.56/~jnz1568/getInfo.php?workbook=12_05.xlsx&amp;sheet=U0&amp;row=10549&amp;col=7&amp;number=0.000914&amp;sourceID=14","0.000914")</f>
        <v>0.000914</v>
      </c>
    </row>
    <row r="10550" spans="1:7">
      <c r="A10550" s="3"/>
      <c r="B10550" s="3"/>
      <c r="C10550" s="3"/>
      <c r="D10550" s="3"/>
      <c r="E10550" s="3">
        <v>7</v>
      </c>
      <c r="F10550" s="4" t="str">
        <f>HYPERLINK("http://141.218.60.56/~jnz1568/getInfo.php?workbook=12_05.xlsx&amp;sheet=U0&amp;row=10550&amp;col=6&amp;number=3.6&amp;sourceID=14","3.6")</f>
        <v>3.6</v>
      </c>
      <c r="G10550" s="4" t="str">
        <f>HYPERLINK("http://141.218.60.56/~jnz1568/getInfo.php?workbook=12_05.xlsx&amp;sheet=U0&amp;row=10550&amp;col=7&amp;number=0.000913&amp;sourceID=14","0.000913")</f>
        <v>0.000913</v>
      </c>
    </row>
    <row r="10551" spans="1:7">
      <c r="A10551" s="3"/>
      <c r="B10551" s="3"/>
      <c r="C10551" s="3"/>
      <c r="D10551" s="3"/>
      <c r="E10551" s="3">
        <v>8</v>
      </c>
      <c r="F10551" s="4" t="str">
        <f>HYPERLINK("http://141.218.60.56/~jnz1568/getInfo.php?workbook=12_05.xlsx&amp;sheet=U0&amp;row=10551&amp;col=6&amp;number=3.7&amp;sourceID=14","3.7")</f>
        <v>3.7</v>
      </c>
      <c r="G10551" s="4" t="str">
        <f>HYPERLINK("http://141.218.60.56/~jnz1568/getInfo.php?workbook=12_05.xlsx&amp;sheet=U0&amp;row=10551&amp;col=7&amp;number=0.000912&amp;sourceID=14","0.000912")</f>
        <v>0.000912</v>
      </c>
    </row>
    <row r="10552" spans="1:7">
      <c r="A10552" s="3"/>
      <c r="B10552" s="3"/>
      <c r="C10552" s="3"/>
      <c r="D10552" s="3"/>
      <c r="E10552" s="3">
        <v>9</v>
      </c>
      <c r="F10552" s="4" t="str">
        <f>HYPERLINK("http://141.218.60.56/~jnz1568/getInfo.php?workbook=12_05.xlsx&amp;sheet=U0&amp;row=10552&amp;col=6&amp;number=3.8&amp;sourceID=14","3.8")</f>
        <v>3.8</v>
      </c>
      <c r="G10552" s="4" t="str">
        <f>HYPERLINK("http://141.218.60.56/~jnz1568/getInfo.php?workbook=12_05.xlsx&amp;sheet=U0&amp;row=10552&amp;col=7&amp;number=0.000911&amp;sourceID=14","0.000911")</f>
        <v>0.000911</v>
      </c>
    </row>
    <row r="10553" spans="1:7">
      <c r="A10553" s="3"/>
      <c r="B10553" s="3"/>
      <c r="C10553" s="3"/>
      <c r="D10553" s="3"/>
      <c r="E10553" s="3">
        <v>10</v>
      </c>
      <c r="F10553" s="4" t="str">
        <f>HYPERLINK("http://141.218.60.56/~jnz1568/getInfo.php?workbook=12_05.xlsx&amp;sheet=U0&amp;row=10553&amp;col=6&amp;number=3.9&amp;sourceID=14","3.9")</f>
        <v>3.9</v>
      </c>
      <c r="G10553" s="4" t="str">
        <f>HYPERLINK("http://141.218.60.56/~jnz1568/getInfo.php?workbook=12_05.xlsx&amp;sheet=U0&amp;row=10553&amp;col=7&amp;number=0.00091&amp;sourceID=14","0.00091")</f>
        <v>0.00091</v>
      </c>
    </row>
    <row r="10554" spans="1:7">
      <c r="A10554" s="3"/>
      <c r="B10554" s="3"/>
      <c r="C10554" s="3"/>
      <c r="D10554" s="3"/>
      <c r="E10554" s="3">
        <v>11</v>
      </c>
      <c r="F10554" s="4" t="str">
        <f>HYPERLINK("http://141.218.60.56/~jnz1568/getInfo.php?workbook=12_05.xlsx&amp;sheet=U0&amp;row=10554&amp;col=6&amp;number=4&amp;sourceID=14","4")</f>
        <v>4</v>
      </c>
      <c r="G10554" s="4" t="str">
        <f>HYPERLINK("http://141.218.60.56/~jnz1568/getInfo.php?workbook=12_05.xlsx&amp;sheet=U0&amp;row=10554&amp;col=7&amp;number=0.000909&amp;sourceID=14","0.000909")</f>
        <v>0.000909</v>
      </c>
    </row>
    <row r="10555" spans="1:7">
      <c r="A10555" s="3"/>
      <c r="B10555" s="3"/>
      <c r="C10555" s="3"/>
      <c r="D10555" s="3"/>
      <c r="E10555" s="3">
        <v>12</v>
      </c>
      <c r="F10555" s="4" t="str">
        <f>HYPERLINK("http://141.218.60.56/~jnz1568/getInfo.php?workbook=12_05.xlsx&amp;sheet=U0&amp;row=10555&amp;col=6&amp;number=4.1&amp;sourceID=14","4.1")</f>
        <v>4.1</v>
      </c>
      <c r="G10555" s="4" t="str">
        <f>HYPERLINK("http://141.218.60.56/~jnz1568/getInfo.php?workbook=12_05.xlsx&amp;sheet=U0&amp;row=10555&amp;col=7&amp;number=0.000907&amp;sourceID=14","0.000907")</f>
        <v>0.000907</v>
      </c>
    </row>
    <row r="10556" spans="1:7">
      <c r="A10556" s="3"/>
      <c r="B10556" s="3"/>
      <c r="C10556" s="3"/>
      <c r="D10556" s="3"/>
      <c r="E10556" s="3">
        <v>13</v>
      </c>
      <c r="F10556" s="4" t="str">
        <f>HYPERLINK("http://141.218.60.56/~jnz1568/getInfo.php?workbook=12_05.xlsx&amp;sheet=U0&amp;row=10556&amp;col=6&amp;number=4.2&amp;sourceID=14","4.2")</f>
        <v>4.2</v>
      </c>
      <c r="G10556" s="4" t="str">
        <f>HYPERLINK("http://141.218.60.56/~jnz1568/getInfo.php?workbook=12_05.xlsx&amp;sheet=U0&amp;row=10556&amp;col=7&amp;number=0.000904&amp;sourceID=14","0.000904")</f>
        <v>0.000904</v>
      </c>
    </row>
    <row r="10557" spans="1:7">
      <c r="A10557" s="3"/>
      <c r="B10557" s="3"/>
      <c r="C10557" s="3"/>
      <c r="D10557" s="3"/>
      <c r="E10557" s="3">
        <v>14</v>
      </c>
      <c r="F10557" s="4" t="str">
        <f>HYPERLINK("http://141.218.60.56/~jnz1568/getInfo.php?workbook=12_05.xlsx&amp;sheet=U0&amp;row=10557&amp;col=6&amp;number=4.3&amp;sourceID=14","4.3")</f>
        <v>4.3</v>
      </c>
      <c r="G10557" s="4" t="str">
        <f>HYPERLINK("http://141.218.60.56/~jnz1568/getInfo.php?workbook=12_05.xlsx&amp;sheet=U0&amp;row=10557&amp;col=7&amp;number=0.000901&amp;sourceID=14","0.000901")</f>
        <v>0.000901</v>
      </c>
    </row>
    <row r="10558" spans="1:7">
      <c r="A10558" s="3"/>
      <c r="B10558" s="3"/>
      <c r="C10558" s="3"/>
      <c r="D10558" s="3"/>
      <c r="E10558" s="3">
        <v>15</v>
      </c>
      <c r="F10558" s="4" t="str">
        <f>HYPERLINK("http://141.218.60.56/~jnz1568/getInfo.php?workbook=12_05.xlsx&amp;sheet=U0&amp;row=10558&amp;col=6&amp;number=4.4&amp;sourceID=14","4.4")</f>
        <v>4.4</v>
      </c>
      <c r="G10558" s="4" t="str">
        <f>HYPERLINK("http://141.218.60.56/~jnz1568/getInfo.php?workbook=12_05.xlsx&amp;sheet=U0&amp;row=10558&amp;col=7&amp;number=0.000898&amp;sourceID=14","0.000898")</f>
        <v>0.000898</v>
      </c>
    </row>
    <row r="10559" spans="1:7">
      <c r="A10559" s="3"/>
      <c r="B10559" s="3"/>
      <c r="C10559" s="3"/>
      <c r="D10559" s="3"/>
      <c r="E10559" s="3">
        <v>16</v>
      </c>
      <c r="F10559" s="4" t="str">
        <f>HYPERLINK("http://141.218.60.56/~jnz1568/getInfo.php?workbook=12_05.xlsx&amp;sheet=U0&amp;row=10559&amp;col=6&amp;number=4.5&amp;sourceID=14","4.5")</f>
        <v>4.5</v>
      </c>
      <c r="G10559" s="4" t="str">
        <f>HYPERLINK("http://141.218.60.56/~jnz1568/getInfo.php?workbook=12_05.xlsx&amp;sheet=U0&amp;row=10559&amp;col=7&amp;number=0.000893&amp;sourceID=14","0.000893")</f>
        <v>0.000893</v>
      </c>
    </row>
    <row r="10560" spans="1:7">
      <c r="A10560" s="3"/>
      <c r="B10560" s="3"/>
      <c r="C10560" s="3"/>
      <c r="D10560" s="3"/>
      <c r="E10560" s="3">
        <v>17</v>
      </c>
      <c r="F10560" s="4" t="str">
        <f>HYPERLINK("http://141.218.60.56/~jnz1568/getInfo.php?workbook=12_05.xlsx&amp;sheet=U0&amp;row=10560&amp;col=6&amp;number=4.6&amp;sourceID=14","4.6")</f>
        <v>4.6</v>
      </c>
      <c r="G10560" s="4" t="str">
        <f>HYPERLINK("http://141.218.60.56/~jnz1568/getInfo.php?workbook=12_05.xlsx&amp;sheet=U0&amp;row=10560&amp;col=7&amp;number=0.000887&amp;sourceID=14","0.000887")</f>
        <v>0.000887</v>
      </c>
    </row>
    <row r="10561" spans="1:7">
      <c r="A10561" s="3"/>
      <c r="B10561" s="3"/>
      <c r="C10561" s="3"/>
      <c r="D10561" s="3"/>
      <c r="E10561" s="3">
        <v>18</v>
      </c>
      <c r="F10561" s="4" t="str">
        <f>HYPERLINK("http://141.218.60.56/~jnz1568/getInfo.php?workbook=12_05.xlsx&amp;sheet=U0&amp;row=10561&amp;col=6&amp;number=4.7&amp;sourceID=14","4.7")</f>
        <v>4.7</v>
      </c>
      <c r="G10561" s="4" t="str">
        <f>HYPERLINK("http://141.218.60.56/~jnz1568/getInfo.php?workbook=12_05.xlsx&amp;sheet=U0&amp;row=10561&amp;col=7&amp;number=0.00088&amp;sourceID=14","0.00088")</f>
        <v>0.00088</v>
      </c>
    </row>
    <row r="10562" spans="1:7">
      <c r="A10562" s="3"/>
      <c r="B10562" s="3"/>
      <c r="C10562" s="3"/>
      <c r="D10562" s="3"/>
      <c r="E10562" s="3">
        <v>19</v>
      </c>
      <c r="F10562" s="4" t="str">
        <f>HYPERLINK("http://141.218.60.56/~jnz1568/getInfo.php?workbook=12_05.xlsx&amp;sheet=U0&amp;row=10562&amp;col=6&amp;number=4.8&amp;sourceID=14","4.8")</f>
        <v>4.8</v>
      </c>
      <c r="G10562" s="4" t="str">
        <f>HYPERLINK("http://141.218.60.56/~jnz1568/getInfo.php?workbook=12_05.xlsx&amp;sheet=U0&amp;row=10562&amp;col=7&amp;number=0.000871&amp;sourceID=14","0.000871")</f>
        <v>0.000871</v>
      </c>
    </row>
    <row r="10563" spans="1:7">
      <c r="A10563" s="3"/>
      <c r="B10563" s="3"/>
      <c r="C10563" s="3"/>
      <c r="D10563" s="3"/>
      <c r="E10563" s="3">
        <v>20</v>
      </c>
      <c r="F10563" s="4" t="str">
        <f>HYPERLINK("http://141.218.60.56/~jnz1568/getInfo.php?workbook=12_05.xlsx&amp;sheet=U0&amp;row=10563&amp;col=6&amp;number=4.9&amp;sourceID=14","4.9")</f>
        <v>4.9</v>
      </c>
      <c r="G10563" s="4" t="str">
        <f>HYPERLINK("http://141.218.60.56/~jnz1568/getInfo.php?workbook=12_05.xlsx&amp;sheet=U0&amp;row=10563&amp;col=7&amp;number=0.00086&amp;sourceID=14","0.00086")</f>
        <v>0.00086</v>
      </c>
    </row>
    <row r="10564" spans="1:7">
      <c r="A10564" s="3">
        <v>12</v>
      </c>
      <c r="B10564" s="3">
        <v>5</v>
      </c>
      <c r="C10564" s="3">
        <v>5</v>
      </c>
      <c r="D10564" s="3">
        <v>106</v>
      </c>
      <c r="E10564" s="3">
        <v>1</v>
      </c>
      <c r="F10564" s="4" t="str">
        <f>HYPERLINK("http://141.218.60.56/~jnz1568/getInfo.php?workbook=12_05.xlsx&amp;sheet=U0&amp;row=10564&amp;col=6&amp;number=3&amp;sourceID=14","3")</f>
        <v>3</v>
      </c>
      <c r="G10564" s="4" t="str">
        <f>HYPERLINK("http://141.218.60.56/~jnz1568/getInfo.php?workbook=12_05.xlsx&amp;sheet=U0&amp;row=10564&amp;col=7&amp;number=0.027&amp;sourceID=14","0.027")</f>
        <v>0.027</v>
      </c>
    </row>
    <row r="10565" spans="1:7">
      <c r="A10565" s="3"/>
      <c r="B10565" s="3"/>
      <c r="C10565" s="3"/>
      <c r="D10565" s="3"/>
      <c r="E10565" s="3">
        <v>2</v>
      </c>
      <c r="F10565" s="4" t="str">
        <f>HYPERLINK("http://141.218.60.56/~jnz1568/getInfo.php?workbook=12_05.xlsx&amp;sheet=U0&amp;row=10565&amp;col=6&amp;number=3.1&amp;sourceID=14","3.1")</f>
        <v>3.1</v>
      </c>
      <c r="G10565" s="4" t="str">
        <f>HYPERLINK("http://141.218.60.56/~jnz1568/getInfo.php?workbook=12_05.xlsx&amp;sheet=U0&amp;row=10565&amp;col=7&amp;number=0.027&amp;sourceID=14","0.027")</f>
        <v>0.027</v>
      </c>
    </row>
    <row r="10566" spans="1:7">
      <c r="A10566" s="3"/>
      <c r="B10566" s="3"/>
      <c r="C10566" s="3"/>
      <c r="D10566" s="3"/>
      <c r="E10566" s="3">
        <v>3</v>
      </c>
      <c r="F10566" s="4" t="str">
        <f>HYPERLINK("http://141.218.60.56/~jnz1568/getInfo.php?workbook=12_05.xlsx&amp;sheet=U0&amp;row=10566&amp;col=6&amp;number=3.2&amp;sourceID=14","3.2")</f>
        <v>3.2</v>
      </c>
      <c r="G10566" s="4" t="str">
        <f>HYPERLINK("http://141.218.60.56/~jnz1568/getInfo.php?workbook=12_05.xlsx&amp;sheet=U0&amp;row=10566&amp;col=7&amp;number=0.027&amp;sourceID=14","0.027")</f>
        <v>0.027</v>
      </c>
    </row>
    <row r="10567" spans="1:7">
      <c r="A10567" s="3"/>
      <c r="B10567" s="3"/>
      <c r="C10567" s="3"/>
      <c r="D10567" s="3"/>
      <c r="E10567" s="3">
        <v>4</v>
      </c>
      <c r="F10567" s="4" t="str">
        <f>HYPERLINK("http://141.218.60.56/~jnz1568/getInfo.php?workbook=12_05.xlsx&amp;sheet=U0&amp;row=10567&amp;col=6&amp;number=3.3&amp;sourceID=14","3.3")</f>
        <v>3.3</v>
      </c>
      <c r="G10567" s="4" t="str">
        <f>HYPERLINK("http://141.218.60.56/~jnz1568/getInfo.php?workbook=12_05.xlsx&amp;sheet=U0&amp;row=10567&amp;col=7&amp;number=0.027&amp;sourceID=14","0.027")</f>
        <v>0.027</v>
      </c>
    </row>
    <row r="10568" spans="1:7">
      <c r="A10568" s="3"/>
      <c r="B10568" s="3"/>
      <c r="C10568" s="3"/>
      <c r="D10568" s="3"/>
      <c r="E10568" s="3">
        <v>5</v>
      </c>
      <c r="F10568" s="4" t="str">
        <f>HYPERLINK("http://141.218.60.56/~jnz1568/getInfo.php?workbook=12_05.xlsx&amp;sheet=U0&amp;row=10568&amp;col=6&amp;number=3.4&amp;sourceID=14","3.4")</f>
        <v>3.4</v>
      </c>
      <c r="G10568" s="4" t="str">
        <f>HYPERLINK("http://141.218.60.56/~jnz1568/getInfo.php?workbook=12_05.xlsx&amp;sheet=U0&amp;row=10568&amp;col=7&amp;number=0.027&amp;sourceID=14","0.027")</f>
        <v>0.027</v>
      </c>
    </row>
    <row r="10569" spans="1:7">
      <c r="A10569" s="3"/>
      <c r="B10569" s="3"/>
      <c r="C10569" s="3"/>
      <c r="D10569" s="3"/>
      <c r="E10569" s="3">
        <v>6</v>
      </c>
      <c r="F10569" s="4" t="str">
        <f>HYPERLINK("http://141.218.60.56/~jnz1568/getInfo.php?workbook=12_05.xlsx&amp;sheet=U0&amp;row=10569&amp;col=6&amp;number=3.5&amp;sourceID=14","3.5")</f>
        <v>3.5</v>
      </c>
      <c r="G10569" s="4" t="str">
        <f>HYPERLINK("http://141.218.60.56/~jnz1568/getInfo.php?workbook=12_05.xlsx&amp;sheet=U0&amp;row=10569&amp;col=7&amp;number=0.027&amp;sourceID=14","0.027")</f>
        <v>0.027</v>
      </c>
    </row>
    <row r="10570" spans="1:7">
      <c r="A10570" s="3"/>
      <c r="B10570" s="3"/>
      <c r="C10570" s="3"/>
      <c r="D10570" s="3"/>
      <c r="E10570" s="3">
        <v>7</v>
      </c>
      <c r="F10570" s="4" t="str">
        <f>HYPERLINK("http://141.218.60.56/~jnz1568/getInfo.php?workbook=12_05.xlsx&amp;sheet=U0&amp;row=10570&amp;col=6&amp;number=3.6&amp;sourceID=14","3.6")</f>
        <v>3.6</v>
      </c>
      <c r="G10570" s="4" t="str">
        <f>HYPERLINK("http://141.218.60.56/~jnz1568/getInfo.php?workbook=12_05.xlsx&amp;sheet=U0&amp;row=10570&amp;col=7&amp;number=0.027&amp;sourceID=14","0.027")</f>
        <v>0.027</v>
      </c>
    </row>
    <row r="10571" spans="1:7">
      <c r="A10571" s="3"/>
      <c r="B10571" s="3"/>
      <c r="C10571" s="3"/>
      <c r="D10571" s="3"/>
      <c r="E10571" s="3">
        <v>8</v>
      </c>
      <c r="F10571" s="4" t="str">
        <f>HYPERLINK("http://141.218.60.56/~jnz1568/getInfo.php?workbook=12_05.xlsx&amp;sheet=U0&amp;row=10571&amp;col=6&amp;number=3.7&amp;sourceID=14","3.7")</f>
        <v>3.7</v>
      </c>
      <c r="G10571" s="4" t="str">
        <f>HYPERLINK("http://141.218.60.56/~jnz1568/getInfo.php?workbook=12_05.xlsx&amp;sheet=U0&amp;row=10571&amp;col=7&amp;number=0.0271&amp;sourceID=14","0.0271")</f>
        <v>0.0271</v>
      </c>
    </row>
    <row r="10572" spans="1:7">
      <c r="A10572" s="3"/>
      <c r="B10572" s="3"/>
      <c r="C10572" s="3"/>
      <c r="D10572" s="3"/>
      <c r="E10572" s="3">
        <v>9</v>
      </c>
      <c r="F10572" s="4" t="str">
        <f>HYPERLINK("http://141.218.60.56/~jnz1568/getInfo.php?workbook=12_05.xlsx&amp;sheet=U0&amp;row=10572&amp;col=6&amp;number=3.8&amp;sourceID=14","3.8")</f>
        <v>3.8</v>
      </c>
      <c r="G10572" s="4" t="str">
        <f>HYPERLINK("http://141.218.60.56/~jnz1568/getInfo.php?workbook=12_05.xlsx&amp;sheet=U0&amp;row=10572&amp;col=7&amp;number=0.0271&amp;sourceID=14","0.0271")</f>
        <v>0.0271</v>
      </c>
    </row>
    <row r="10573" spans="1:7">
      <c r="A10573" s="3"/>
      <c r="B10573" s="3"/>
      <c r="C10573" s="3"/>
      <c r="D10573" s="3"/>
      <c r="E10573" s="3">
        <v>10</v>
      </c>
      <c r="F10573" s="4" t="str">
        <f>HYPERLINK("http://141.218.60.56/~jnz1568/getInfo.php?workbook=12_05.xlsx&amp;sheet=U0&amp;row=10573&amp;col=6&amp;number=3.9&amp;sourceID=14","3.9")</f>
        <v>3.9</v>
      </c>
      <c r="G10573" s="4" t="str">
        <f>HYPERLINK("http://141.218.60.56/~jnz1568/getInfo.php?workbook=12_05.xlsx&amp;sheet=U0&amp;row=10573&amp;col=7&amp;number=0.0272&amp;sourceID=14","0.0272")</f>
        <v>0.0272</v>
      </c>
    </row>
    <row r="10574" spans="1:7">
      <c r="A10574" s="3"/>
      <c r="B10574" s="3"/>
      <c r="C10574" s="3"/>
      <c r="D10574" s="3"/>
      <c r="E10574" s="3">
        <v>11</v>
      </c>
      <c r="F10574" s="4" t="str">
        <f>HYPERLINK("http://141.218.60.56/~jnz1568/getInfo.php?workbook=12_05.xlsx&amp;sheet=U0&amp;row=10574&amp;col=6&amp;number=4&amp;sourceID=14","4")</f>
        <v>4</v>
      </c>
      <c r="G10574" s="4" t="str">
        <f>HYPERLINK("http://141.218.60.56/~jnz1568/getInfo.php?workbook=12_05.xlsx&amp;sheet=U0&amp;row=10574&amp;col=7&amp;number=0.0272&amp;sourceID=14","0.0272")</f>
        <v>0.0272</v>
      </c>
    </row>
    <row r="10575" spans="1:7">
      <c r="A10575" s="3"/>
      <c r="B10575" s="3"/>
      <c r="C10575" s="3"/>
      <c r="D10575" s="3"/>
      <c r="E10575" s="3">
        <v>12</v>
      </c>
      <c r="F10575" s="4" t="str">
        <f>HYPERLINK("http://141.218.60.56/~jnz1568/getInfo.php?workbook=12_05.xlsx&amp;sheet=U0&amp;row=10575&amp;col=6&amp;number=4.1&amp;sourceID=14","4.1")</f>
        <v>4.1</v>
      </c>
      <c r="G10575" s="4" t="str">
        <f>HYPERLINK("http://141.218.60.56/~jnz1568/getInfo.php?workbook=12_05.xlsx&amp;sheet=U0&amp;row=10575&amp;col=7&amp;number=0.0273&amp;sourceID=14","0.0273")</f>
        <v>0.0273</v>
      </c>
    </row>
    <row r="10576" spans="1:7">
      <c r="A10576" s="3"/>
      <c r="B10576" s="3"/>
      <c r="C10576" s="3"/>
      <c r="D10576" s="3"/>
      <c r="E10576" s="3">
        <v>13</v>
      </c>
      <c r="F10576" s="4" t="str">
        <f>HYPERLINK("http://141.218.60.56/~jnz1568/getInfo.php?workbook=12_05.xlsx&amp;sheet=U0&amp;row=10576&amp;col=6&amp;number=4.2&amp;sourceID=14","4.2")</f>
        <v>4.2</v>
      </c>
      <c r="G10576" s="4" t="str">
        <f>HYPERLINK("http://141.218.60.56/~jnz1568/getInfo.php?workbook=12_05.xlsx&amp;sheet=U0&amp;row=10576&amp;col=7&amp;number=0.0274&amp;sourceID=14","0.0274")</f>
        <v>0.0274</v>
      </c>
    </row>
    <row r="10577" spans="1:7">
      <c r="A10577" s="3"/>
      <c r="B10577" s="3"/>
      <c r="C10577" s="3"/>
      <c r="D10577" s="3"/>
      <c r="E10577" s="3">
        <v>14</v>
      </c>
      <c r="F10577" s="4" t="str">
        <f>HYPERLINK("http://141.218.60.56/~jnz1568/getInfo.php?workbook=12_05.xlsx&amp;sheet=U0&amp;row=10577&amp;col=6&amp;number=4.3&amp;sourceID=14","4.3")</f>
        <v>4.3</v>
      </c>
      <c r="G10577" s="4" t="str">
        <f>HYPERLINK("http://141.218.60.56/~jnz1568/getInfo.php?workbook=12_05.xlsx&amp;sheet=U0&amp;row=10577&amp;col=7&amp;number=0.0275&amp;sourceID=14","0.0275")</f>
        <v>0.0275</v>
      </c>
    </row>
    <row r="10578" spans="1:7">
      <c r="A10578" s="3"/>
      <c r="B10578" s="3"/>
      <c r="C10578" s="3"/>
      <c r="D10578" s="3"/>
      <c r="E10578" s="3">
        <v>15</v>
      </c>
      <c r="F10578" s="4" t="str">
        <f>HYPERLINK("http://141.218.60.56/~jnz1568/getInfo.php?workbook=12_05.xlsx&amp;sheet=U0&amp;row=10578&amp;col=6&amp;number=4.4&amp;sourceID=14","4.4")</f>
        <v>4.4</v>
      </c>
      <c r="G10578" s="4" t="str">
        <f>HYPERLINK("http://141.218.60.56/~jnz1568/getInfo.php?workbook=12_05.xlsx&amp;sheet=U0&amp;row=10578&amp;col=7&amp;number=0.0277&amp;sourceID=14","0.0277")</f>
        <v>0.0277</v>
      </c>
    </row>
    <row r="10579" spans="1:7">
      <c r="A10579" s="3"/>
      <c r="B10579" s="3"/>
      <c r="C10579" s="3"/>
      <c r="D10579" s="3"/>
      <c r="E10579" s="3">
        <v>16</v>
      </c>
      <c r="F10579" s="4" t="str">
        <f>HYPERLINK("http://141.218.60.56/~jnz1568/getInfo.php?workbook=12_05.xlsx&amp;sheet=U0&amp;row=10579&amp;col=6&amp;number=4.5&amp;sourceID=14","4.5")</f>
        <v>4.5</v>
      </c>
      <c r="G10579" s="4" t="str">
        <f>HYPERLINK("http://141.218.60.56/~jnz1568/getInfo.php?workbook=12_05.xlsx&amp;sheet=U0&amp;row=10579&amp;col=7&amp;number=0.0278&amp;sourceID=14","0.0278")</f>
        <v>0.0278</v>
      </c>
    </row>
    <row r="10580" spans="1:7">
      <c r="A10580" s="3"/>
      <c r="B10580" s="3"/>
      <c r="C10580" s="3"/>
      <c r="D10580" s="3"/>
      <c r="E10580" s="3">
        <v>17</v>
      </c>
      <c r="F10580" s="4" t="str">
        <f>HYPERLINK("http://141.218.60.56/~jnz1568/getInfo.php?workbook=12_05.xlsx&amp;sheet=U0&amp;row=10580&amp;col=6&amp;number=4.6&amp;sourceID=14","4.6")</f>
        <v>4.6</v>
      </c>
      <c r="G10580" s="4" t="str">
        <f>HYPERLINK("http://141.218.60.56/~jnz1568/getInfo.php?workbook=12_05.xlsx&amp;sheet=U0&amp;row=10580&amp;col=7&amp;number=0.0281&amp;sourceID=14","0.0281")</f>
        <v>0.0281</v>
      </c>
    </row>
    <row r="10581" spans="1:7">
      <c r="A10581" s="3"/>
      <c r="B10581" s="3"/>
      <c r="C10581" s="3"/>
      <c r="D10581" s="3"/>
      <c r="E10581" s="3">
        <v>18</v>
      </c>
      <c r="F10581" s="4" t="str">
        <f>HYPERLINK("http://141.218.60.56/~jnz1568/getInfo.php?workbook=12_05.xlsx&amp;sheet=U0&amp;row=10581&amp;col=6&amp;number=4.7&amp;sourceID=14","4.7")</f>
        <v>4.7</v>
      </c>
      <c r="G10581" s="4" t="str">
        <f>HYPERLINK("http://141.218.60.56/~jnz1568/getInfo.php?workbook=12_05.xlsx&amp;sheet=U0&amp;row=10581&amp;col=7&amp;number=0.0284&amp;sourceID=14","0.0284")</f>
        <v>0.0284</v>
      </c>
    </row>
    <row r="10582" spans="1:7">
      <c r="A10582" s="3"/>
      <c r="B10582" s="3"/>
      <c r="C10582" s="3"/>
      <c r="D10582" s="3"/>
      <c r="E10582" s="3">
        <v>19</v>
      </c>
      <c r="F10582" s="4" t="str">
        <f>HYPERLINK("http://141.218.60.56/~jnz1568/getInfo.php?workbook=12_05.xlsx&amp;sheet=U0&amp;row=10582&amp;col=6&amp;number=4.8&amp;sourceID=14","4.8")</f>
        <v>4.8</v>
      </c>
      <c r="G10582" s="4" t="str">
        <f>HYPERLINK("http://141.218.60.56/~jnz1568/getInfo.php?workbook=12_05.xlsx&amp;sheet=U0&amp;row=10582&amp;col=7&amp;number=0.0287&amp;sourceID=14","0.0287")</f>
        <v>0.0287</v>
      </c>
    </row>
    <row r="10583" spans="1:7">
      <c r="A10583" s="3"/>
      <c r="B10583" s="3"/>
      <c r="C10583" s="3"/>
      <c r="D10583" s="3"/>
      <c r="E10583" s="3">
        <v>20</v>
      </c>
      <c r="F10583" s="4" t="str">
        <f>HYPERLINK("http://141.218.60.56/~jnz1568/getInfo.php?workbook=12_05.xlsx&amp;sheet=U0&amp;row=10583&amp;col=6&amp;number=4.9&amp;sourceID=14","4.9")</f>
        <v>4.9</v>
      </c>
      <c r="G10583" s="4" t="str">
        <f>HYPERLINK("http://141.218.60.56/~jnz1568/getInfo.php?workbook=12_05.xlsx&amp;sheet=U0&amp;row=10583&amp;col=7&amp;number=0.0292&amp;sourceID=14","0.0292")</f>
        <v>0.0292</v>
      </c>
    </row>
    <row r="10584" spans="1:7">
      <c r="A10584" s="3">
        <v>12</v>
      </c>
      <c r="B10584" s="3">
        <v>5</v>
      </c>
      <c r="C10584" s="3">
        <v>5</v>
      </c>
      <c r="D10584" s="3">
        <v>107</v>
      </c>
      <c r="E10584" s="3">
        <v>1</v>
      </c>
      <c r="F10584" s="4" t="str">
        <f>HYPERLINK("http://141.218.60.56/~jnz1568/getInfo.php?workbook=12_05.xlsx&amp;sheet=U0&amp;row=10584&amp;col=6&amp;number=3&amp;sourceID=14","3")</f>
        <v>3</v>
      </c>
      <c r="G10584" s="4" t="str">
        <f>HYPERLINK("http://141.218.60.56/~jnz1568/getInfo.php?workbook=12_05.xlsx&amp;sheet=U0&amp;row=10584&amp;col=7&amp;number=0.0215&amp;sourceID=14","0.0215")</f>
        <v>0.0215</v>
      </c>
    </row>
    <row r="10585" spans="1:7">
      <c r="A10585" s="3"/>
      <c r="B10585" s="3"/>
      <c r="C10585" s="3"/>
      <c r="D10585" s="3"/>
      <c r="E10585" s="3">
        <v>2</v>
      </c>
      <c r="F10585" s="4" t="str">
        <f>HYPERLINK("http://141.218.60.56/~jnz1568/getInfo.php?workbook=12_05.xlsx&amp;sheet=U0&amp;row=10585&amp;col=6&amp;number=3.1&amp;sourceID=14","3.1")</f>
        <v>3.1</v>
      </c>
      <c r="G10585" s="4" t="str">
        <f>HYPERLINK("http://141.218.60.56/~jnz1568/getInfo.php?workbook=12_05.xlsx&amp;sheet=U0&amp;row=10585&amp;col=7&amp;number=0.0215&amp;sourceID=14","0.0215")</f>
        <v>0.0215</v>
      </c>
    </row>
    <row r="10586" spans="1:7">
      <c r="A10586" s="3"/>
      <c r="B10586" s="3"/>
      <c r="C10586" s="3"/>
      <c r="D10586" s="3"/>
      <c r="E10586" s="3">
        <v>3</v>
      </c>
      <c r="F10586" s="4" t="str">
        <f>HYPERLINK("http://141.218.60.56/~jnz1568/getInfo.php?workbook=12_05.xlsx&amp;sheet=U0&amp;row=10586&amp;col=6&amp;number=3.2&amp;sourceID=14","3.2")</f>
        <v>3.2</v>
      </c>
      <c r="G10586" s="4" t="str">
        <f>HYPERLINK("http://141.218.60.56/~jnz1568/getInfo.php?workbook=12_05.xlsx&amp;sheet=U0&amp;row=10586&amp;col=7&amp;number=0.0215&amp;sourceID=14","0.0215")</f>
        <v>0.0215</v>
      </c>
    </row>
    <row r="10587" spans="1:7">
      <c r="A10587" s="3"/>
      <c r="B10587" s="3"/>
      <c r="C10587" s="3"/>
      <c r="D10587" s="3"/>
      <c r="E10587" s="3">
        <v>4</v>
      </c>
      <c r="F10587" s="4" t="str">
        <f>HYPERLINK("http://141.218.60.56/~jnz1568/getInfo.php?workbook=12_05.xlsx&amp;sheet=U0&amp;row=10587&amp;col=6&amp;number=3.3&amp;sourceID=14","3.3")</f>
        <v>3.3</v>
      </c>
      <c r="G10587" s="4" t="str">
        <f>HYPERLINK("http://141.218.60.56/~jnz1568/getInfo.php?workbook=12_05.xlsx&amp;sheet=U0&amp;row=10587&amp;col=7&amp;number=0.0215&amp;sourceID=14","0.0215")</f>
        <v>0.0215</v>
      </c>
    </row>
    <row r="10588" spans="1:7">
      <c r="A10588" s="3"/>
      <c r="B10588" s="3"/>
      <c r="C10588" s="3"/>
      <c r="D10588" s="3"/>
      <c r="E10588" s="3">
        <v>5</v>
      </c>
      <c r="F10588" s="4" t="str">
        <f>HYPERLINK("http://141.218.60.56/~jnz1568/getInfo.php?workbook=12_05.xlsx&amp;sheet=U0&amp;row=10588&amp;col=6&amp;number=3.4&amp;sourceID=14","3.4")</f>
        <v>3.4</v>
      </c>
      <c r="G10588" s="4" t="str">
        <f>HYPERLINK("http://141.218.60.56/~jnz1568/getInfo.php?workbook=12_05.xlsx&amp;sheet=U0&amp;row=10588&amp;col=7&amp;number=0.0215&amp;sourceID=14","0.0215")</f>
        <v>0.0215</v>
      </c>
    </row>
    <row r="10589" spans="1:7">
      <c r="A10589" s="3"/>
      <c r="B10589" s="3"/>
      <c r="C10589" s="3"/>
      <c r="D10589" s="3"/>
      <c r="E10589" s="3">
        <v>6</v>
      </c>
      <c r="F10589" s="4" t="str">
        <f>HYPERLINK("http://141.218.60.56/~jnz1568/getInfo.php?workbook=12_05.xlsx&amp;sheet=U0&amp;row=10589&amp;col=6&amp;number=3.5&amp;sourceID=14","3.5")</f>
        <v>3.5</v>
      </c>
      <c r="G10589" s="4" t="str">
        <f>HYPERLINK("http://141.218.60.56/~jnz1568/getInfo.php?workbook=12_05.xlsx&amp;sheet=U0&amp;row=10589&amp;col=7&amp;number=0.0215&amp;sourceID=14","0.0215")</f>
        <v>0.0215</v>
      </c>
    </row>
    <row r="10590" spans="1:7">
      <c r="A10590" s="3"/>
      <c r="B10590" s="3"/>
      <c r="C10590" s="3"/>
      <c r="D10590" s="3"/>
      <c r="E10590" s="3">
        <v>7</v>
      </c>
      <c r="F10590" s="4" t="str">
        <f>HYPERLINK("http://141.218.60.56/~jnz1568/getInfo.php?workbook=12_05.xlsx&amp;sheet=U0&amp;row=10590&amp;col=6&amp;number=3.6&amp;sourceID=14","3.6")</f>
        <v>3.6</v>
      </c>
      <c r="G10590" s="4" t="str">
        <f>HYPERLINK("http://141.218.60.56/~jnz1568/getInfo.php?workbook=12_05.xlsx&amp;sheet=U0&amp;row=10590&amp;col=7&amp;number=0.0215&amp;sourceID=14","0.0215")</f>
        <v>0.0215</v>
      </c>
    </row>
    <row r="10591" spans="1:7">
      <c r="A10591" s="3"/>
      <c r="B10591" s="3"/>
      <c r="C10591" s="3"/>
      <c r="D10591" s="3"/>
      <c r="E10591" s="3">
        <v>8</v>
      </c>
      <c r="F10591" s="4" t="str">
        <f>HYPERLINK("http://141.218.60.56/~jnz1568/getInfo.php?workbook=12_05.xlsx&amp;sheet=U0&amp;row=10591&amp;col=6&amp;number=3.7&amp;sourceID=14","3.7")</f>
        <v>3.7</v>
      </c>
      <c r="G10591" s="4" t="str">
        <f>HYPERLINK("http://141.218.60.56/~jnz1568/getInfo.php?workbook=12_05.xlsx&amp;sheet=U0&amp;row=10591&amp;col=7&amp;number=0.0214&amp;sourceID=14","0.0214")</f>
        <v>0.0214</v>
      </c>
    </row>
    <row r="10592" spans="1:7">
      <c r="A10592" s="3"/>
      <c r="B10592" s="3"/>
      <c r="C10592" s="3"/>
      <c r="D10592" s="3"/>
      <c r="E10592" s="3">
        <v>9</v>
      </c>
      <c r="F10592" s="4" t="str">
        <f>HYPERLINK("http://141.218.60.56/~jnz1568/getInfo.php?workbook=12_05.xlsx&amp;sheet=U0&amp;row=10592&amp;col=6&amp;number=3.8&amp;sourceID=14","3.8")</f>
        <v>3.8</v>
      </c>
      <c r="G10592" s="4" t="str">
        <f>HYPERLINK("http://141.218.60.56/~jnz1568/getInfo.php?workbook=12_05.xlsx&amp;sheet=U0&amp;row=10592&amp;col=7&amp;number=0.0214&amp;sourceID=14","0.0214")</f>
        <v>0.0214</v>
      </c>
    </row>
    <row r="10593" spans="1:7">
      <c r="A10593" s="3"/>
      <c r="B10593" s="3"/>
      <c r="C10593" s="3"/>
      <c r="D10593" s="3"/>
      <c r="E10593" s="3">
        <v>10</v>
      </c>
      <c r="F10593" s="4" t="str">
        <f>HYPERLINK("http://141.218.60.56/~jnz1568/getInfo.php?workbook=12_05.xlsx&amp;sheet=U0&amp;row=10593&amp;col=6&amp;number=3.9&amp;sourceID=14","3.9")</f>
        <v>3.9</v>
      </c>
      <c r="G10593" s="4" t="str">
        <f>HYPERLINK("http://141.218.60.56/~jnz1568/getInfo.php?workbook=12_05.xlsx&amp;sheet=U0&amp;row=10593&amp;col=7&amp;number=0.0214&amp;sourceID=14","0.0214")</f>
        <v>0.0214</v>
      </c>
    </row>
    <row r="10594" spans="1:7">
      <c r="A10594" s="3"/>
      <c r="B10594" s="3"/>
      <c r="C10594" s="3"/>
      <c r="D10594" s="3"/>
      <c r="E10594" s="3">
        <v>11</v>
      </c>
      <c r="F10594" s="4" t="str">
        <f>HYPERLINK("http://141.218.60.56/~jnz1568/getInfo.php?workbook=12_05.xlsx&amp;sheet=U0&amp;row=10594&amp;col=6&amp;number=4&amp;sourceID=14","4")</f>
        <v>4</v>
      </c>
      <c r="G10594" s="4" t="str">
        <f>HYPERLINK("http://141.218.60.56/~jnz1568/getInfo.php?workbook=12_05.xlsx&amp;sheet=U0&amp;row=10594&amp;col=7&amp;number=0.0214&amp;sourceID=14","0.0214")</f>
        <v>0.0214</v>
      </c>
    </row>
    <row r="10595" spans="1:7">
      <c r="A10595" s="3"/>
      <c r="B10595" s="3"/>
      <c r="C10595" s="3"/>
      <c r="D10595" s="3"/>
      <c r="E10595" s="3">
        <v>12</v>
      </c>
      <c r="F10595" s="4" t="str">
        <f>HYPERLINK("http://141.218.60.56/~jnz1568/getInfo.php?workbook=12_05.xlsx&amp;sheet=U0&amp;row=10595&amp;col=6&amp;number=4.1&amp;sourceID=14","4.1")</f>
        <v>4.1</v>
      </c>
      <c r="G10595" s="4" t="str">
        <f>HYPERLINK("http://141.218.60.56/~jnz1568/getInfo.php?workbook=12_05.xlsx&amp;sheet=U0&amp;row=10595&amp;col=7&amp;number=0.0213&amp;sourceID=14","0.0213")</f>
        <v>0.0213</v>
      </c>
    </row>
    <row r="10596" spans="1:7">
      <c r="A10596" s="3"/>
      <c r="B10596" s="3"/>
      <c r="C10596" s="3"/>
      <c r="D10596" s="3"/>
      <c r="E10596" s="3">
        <v>13</v>
      </c>
      <c r="F10596" s="4" t="str">
        <f>HYPERLINK("http://141.218.60.56/~jnz1568/getInfo.php?workbook=12_05.xlsx&amp;sheet=U0&amp;row=10596&amp;col=6&amp;number=4.2&amp;sourceID=14","4.2")</f>
        <v>4.2</v>
      </c>
      <c r="G10596" s="4" t="str">
        <f>HYPERLINK("http://141.218.60.56/~jnz1568/getInfo.php?workbook=12_05.xlsx&amp;sheet=U0&amp;row=10596&amp;col=7&amp;number=0.0213&amp;sourceID=14","0.0213")</f>
        <v>0.0213</v>
      </c>
    </row>
    <row r="10597" spans="1:7">
      <c r="A10597" s="3"/>
      <c r="B10597" s="3"/>
      <c r="C10597" s="3"/>
      <c r="D10597" s="3"/>
      <c r="E10597" s="3">
        <v>14</v>
      </c>
      <c r="F10597" s="4" t="str">
        <f>HYPERLINK("http://141.218.60.56/~jnz1568/getInfo.php?workbook=12_05.xlsx&amp;sheet=U0&amp;row=10597&amp;col=6&amp;number=4.3&amp;sourceID=14","4.3")</f>
        <v>4.3</v>
      </c>
      <c r="G10597" s="4" t="str">
        <f>HYPERLINK("http://141.218.60.56/~jnz1568/getInfo.php?workbook=12_05.xlsx&amp;sheet=U0&amp;row=10597&amp;col=7&amp;number=0.0212&amp;sourceID=14","0.0212")</f>
        <v>0.0212</v>
      </c>
    </row>
    <row r="10598" spans="1:7">
      <c r="A10598" s="3"/>
      <c r="B10598" s="3"/>
      <c r="C10598" s="3"/>
      <c r="D10598" s="3"/>
      <c r="E10598" s="3">
        <v>15</v>
      </c>
      <c r="F10598" s="4" t="str">
        <f>HYPERLINK("http://141.218.60.56/~jnz1568/getInfo.php?workbook=12_05.xlsx&amp;sheet=U0&amp;row=10598&amp;col=6&amp;number=4.4&amp;sourceID=14","4.4")</f>
        <v>4.4</v>
      </c>
      <c r="G10598" s="4" t="str">
        <f>HYPERLINK("http://141.218.60.56/~jnz1568/getInfo.php?workbook=12_05.xlsx&amp;sheet=U0&amp;row=10598&amp;col=7&amp;number=0.0211&amp;sourceID=14","0.0211")</f>
        <v>0.0211</v>
      </c>
    </row>
    <row r="10599" spans="1:7">
      <c r="A10599" s="3"/>
      <c r="B10599" s="3"/>
      <c r="C10599" s="3"/>
      <c r="D10599" s="3"/>
      <c r="E10599" s="3">
        <v>16</v>
      </c>
      <c r="F10599" s="4" t="str">
        <f>HYPERLINK("http://141.218.60.56/~jnz1568/getInfo.php?workbook=12_05.xlsx&amp;sheet=U0&amp;row=10599&amp;col=6&amp;number=4.5&amp;sourceID=14","4.5")</f>
        <v>4.5</v>
      </c>
      <c r="G10599" s="4" t="str">
        <f>HYPERLINK("http://141.218.60.56/~jnz1568/getInfo.php?workbook=12_05.xlsx&amp;sheet=U0&amp;row=10599&amp;col=7&amp;number=0.021&amp;sourceID=14","0.021")</f>
        <v>0.021</v>
      </c>
    </row>
    <row r="10600" spans="1:7">
      <c r="A10600" s="3"/>
      <c r="B10600" s="3"/>
      <c r="C10600" s="3"/>
      <c r="D10600" s="3"/>
      <c r="E10600" s="3">
        <v>17</v>
      </c>
      <c r="F10600" s="4" t="str">
        <f>HYPERLINK("http://141.218.60.56/~jnz1568/getInfo.php?workbook=12_05.xlsx&amp;sheet=U0&amp;row=10600&amp;col=6&amp;number=4.6&amp;sourceID=14","4.6")</f>
        <v>4.6</v>
      </c>
      <c r="G10600" s="4" t="str">
        <f>HYPERLINK("http://141.218.60.56/~jnz1568/getInfo.php?workbook=12_05.xlsx&amp;sheet=U0&amp;row=10600&amp;col=7&amp;number=0.0209&amp;sourceID=14","0.0209")</f>
        <v>0.0209</v>
      </c>
    </row>
    <row r="10601" spans="1:7">
      <c r="A10601" s="3"/>
      <c r="B10601" s="3"/>
      <c r="C10601" s="3"/>
      <c r="D10601" s="3"/>
      <c r="E10601" s="3">
        <v>18</v>
      </c>
      <c r="F10601" s="4" t="str">
        <f>HYPERLINK("http://141.218.60.56/~jnz1568/getInfo.php?workbook=12_05.xlsx&amp;sheet=U0&amp;row=10601&amp;col=6&amp;number=4.7&amp;sourceID=14","4.7")</f>
        <v>4.7</v>
      </c>
      <c r="G10601" s="4" t="str">
        <f>HYPERLINK("http://141.218.60.56/~jnz1568/getInfo.php?workbook=12_05.xlsx&amp;sheet=U0&amp;row=10601&amp;col=7&amp;number=0.0207&amp;sourceID=14","0.0207")</f>
        <v>0.0207</v>
      </c>
    </row>
    <row r="10602" spans="1:7">
      <c r="A10602" s="3"/>
      <c r="B10602" s="3"/>
      <c r="C10602" s="3"/>
      <c r="D10602" s="3"/>
      <c r="E10602" s="3">
        <v>19</v>
      </c>
      <c r="F10602" s="4" t="str">
        <f>HYPERLINK("http://141.218.60.56/~jnz1568/getInfo.php?workbook=12_05.xlsx&amp;sheet=U0&amp;row=10602&amp;col=6&amp;number=4.8&amp;sourceID=14","4.8")</f>
        <v>4.8</v>
      </c>
      <c r="G10602" s="4" t="str">
        <f>HYPERLINK("http://141.218.60.56/~jnz1568/getInfo.php?workbook=12_05.xlsx&amp;sheet=U0&amp;row=10602&amp;col=7&amp;number=0.0205&amp;sourceID=14","0.0205")</f>
        <v>0.0205</v>
      </c>
    </row>
    <row r="10603" spans="1:7">
      <c r="A10603" s="3"/>
      <c r="B10603" s="3"/>
      <c r="C10603" s="3"/>
      <c r="D10603" s="3"/>
      <c r="E10603" s="3">
        <v>20</v>
      </c>
      <c r="F10603" s="4" t="str">
        <f>HYPERLINK("http://141.218.60.56/~jnz1568/getInfo.php?workbook=12_05.xlsx&amp;sheet=U0&amp;row=10603&amp;col=6&amp;number=4.9&amp;sourceID=14","4.9")</f>
        <v>4.9</v>
      </c>
      <c r="G10603" s="4" t="str">
        <f>HYPERLINK("http://141.218.60.56/~jnz1568/getInfo.php?workbook=12_05.xlsx&amp;sheet=U0&amp;row=10603&amp;col=7&amp;number=0.0203&amp;sourceID=14","0.0203")</f>
        <v>0.0203</v>
      </c>
    </row>
    <row r="10604" spans="1:7">
      <c r="A10604" s="3">
        <v>12</v>
      </c>
      <c r="B10604" s="3">
        <v>5</v>
      </c>
      <c r="C10604" s="3">
        <v>5</v>
      </c>
      <c r="D10604" s="3">
        <v>108</v>
      </c>
      <c r="E10604" s="3">
        <v>1</v>
      </c>
      <c r="F10604" s="4" t="str">
        <f>HYPERLINK("http://141.218.60.56/~jnz1568/getInfo.php?workbook=12_05.xlsx&amp;sheet=U0&amp;row=10604&amp;col=6&amp;number=3&amp;sourceID=14","3")</f>
        <v>3</v>
      </c>
      <c r="G10604" s="4" t="str">
        <f>HYPERLINK("http://141.218.60.56/~jnz1568/getInfo.php?workbook=12_05.xlsx&amp;sheet=U0&amp;row=10604&amp;col=7&amp;number=0.0997&amp;sourceID=14","0.0997")</f>
        <v>0.0997</v>
      </c>
    </row>
    <row r="10605" spans="1:7">
      <c r="A10605" s="3"/>
      <c r="B10605" s="3"/>
      <c r="C10605" s="3"/>
      <c r="D10605" s="3"/>
      <c r="E10605" s="3">
        <v>2</v>
      </c>
      <c r="F10605" s="4" t="str">
        <f>HYPERLINK("http://141.218.60.56/~jnz1568/getInfo.php?workbook=12_05.xlsx&amp;sheet=U0&amp;row=10605&amp;col=6&amp;number=3.1&amp;sourceID=14","3.1")</f>
        <v>3.1</v>
      </c>
      <c r="G10605" s="4" t="str">
        <f>HYPERLINK("http://141.218.60.56/~jnz1568/getInfo.php?workbook=12_05.xlsx&amp;sheet=U0&amp;row=10605&amp;col=7&amp;number=0.0997&amp;sourceID=14","0.0997")</f>
        <v>0.0997</v>
      </c>
    </row>
    <row r="10606" spans="1:7">
      <c r="A10606" s="3"/>
      <c r="B10606" s="3"/>
      <c r="C10606" s="3"/>
      <c r="D10606" s="3"/>
      <c r="E10606" s="3">
        <v>3</v>
      </c>
      <c r="F10606" s="4" t="str">
        <f>HYPERLINK("http://141.218.60.56/~jnz1568/getInfo.php?workbook=12_05.xlsx&amp;sheet=U0&amp;row=10606&amp;col=6&amp;number=3.2&amp;sourceID=14","3.2")</f>
        <v>3.2</v>
      </c>
      <c r="G10606" s="4" t="str">
        <f>HYPERLINK("http://141.218.60.56/~jnz1568/getInfo.php?workbook=12_05.xlsx&amp;sheet=U0&amp;row=10606&amp;col=7&amp;number=0.0997&amp;sourceID=14","0.0997")</f>
        <v>0.0997</v>
      </c>
    </row>
    <row r="10607" spans="1:7">
      <c r="A10607" s="3"/>
      <c r="B10607" s="3"/>
      <c r="C10607" s="3"/>
      <c r="D10607" s="3"/>
      <c r="E10607" s="3">
        <v>4</v>
      </c>
      <c r="F10607" s="4" t="str">
        <f>HYPERLINK("http://141.218.60.56/~jnz1568/getInfo.php?workbook=12_05.xlsx&amp;sheet=U0&amp;row=10607&amp;col=6&amp;number=3.3&amp;sourceID=14","3.3")</f>
        <v>3.3</v>
      </c>
      <c r="G10607" s="4" t="str">
        <f>HYPERLINK("http://141.218.60.56/~jnz1568/getInfo.php?workbook=12_05.xlsx&amp;sheet=U0&amp;row=10607&amp;col=7&amp;number=0.0997&amp;sourceID=14","0.0997")</f>
        <v>0.0997</v>
      </c>
    </row>
    <row r="10608" spans="1:7">
      <c r="A10608" s="3"/>
      <c r="B10608" s="3"/>
      <c r="C10608" s="3"/>
      <c r="D10608" s="3"/>
      <c r="E10608" s="3">
        <v>5</v>
      </c>
      <c r="F10608" s="4" t="str">
        <f>HYPERLINK("http://141.218.60.56/~jnz1568/getInfo.php?workbook=12_05.xlsx&amp;sheet=U0&amp;row=10608&amp;col=6&amp;number=3.4&amp;sourceID=14","3.4")</f>
        <v>3.4</v>
      </c>
      <c r="G10608" s="4" t="str">
        <f>HYPERLINK("http://141.218.60.56/~jnz1568/getInfo.php?workbook=12_05.xlsx&amp;sheet=U0&amp;row=10608&amp;col=7&amp;number=0.0998&amp;sourceID=14","0.0998")</f>
        <v>0.0998</v>
      </c>
    </row>
    <row r="10609" spans="1:7">
      <c r="A10609" s="3"/>
      <c r="B10609" s="3"/>
      <c r="C10609" s="3"/>
      <c r="D10609" s="3"/>
      <c r="E10609" s="3">
        <v>6</v>
      </c>
      <c r="F10609" s="4" t="str">
        <f>HYPERLINK("http://141.218.60.56/~jnz1568/getInfo.php?workbook=12_05.xlsx&amp;sheet=U0&amp;row=10609&amp;col=6&amp;number=3.5&amp;sourceID=14","3.5")</f>
        <v>3.5</v>
      </c>
      <c r="G10609" s="4" t="str">
        <f>HYPERLINK("http://141.218.60.56/~jnz1568/getInfo.php?workbook=12_05.xlsx&amp;sheet=U0&amp;row=10609&amp;col=7&amp;number=0.0998&amp;sourceID=14","0.0998")</f>
        <v>0.0998</v>
      </c>
    </row>
    <row r="10610" spans="1:7">
      <c r="A10610" s="3"/>
      <c r="B10610" s="3"/>
      <c r="C10610" s="3"/>
      <c r="D10610" s="3"/>
      <c r="E10610" s="3">
        <v>7</v>
      </c>
      <c r="F10610" s="4" t="str">
        <f>HYPERLINK("http://141.218.60.56/~jnz1568/getInfo.php?workbook=12_05.xlsx&amp;sheet=U0&amp;row=10610&amp;col=6&amp;number=3.6&amp;sourceID=14","3.6")</f>
        <v>3.6</v>
      </c>
      <c r="G10610" s="4" t="str">
        <f>HYPERLINK("http://141.218.60.56/~jnz1568/getInfo.php?workbook=12_05.xlsx&amp;sheet=U0&amp;row=10610&amp;col=7&amp;number=0.0998&amp;sourceID=14","0.0998")</f>
        <v>0.0998</v>
      </c>
    </row>
    <row r="10611" spans="1:7">
      <c r="A10611" s="3"/>
      <c r="B10611" s="3"/>
      <c r="C10611" s="3"/>
      <c r="D10611" s="3"/>
      <c r="E10611" s="3">
        <v>8</v>
      </c>
      <c r="F10611" s="4" t="str">
        <f>HYPERLINK("http://141.218.60.56/~jnz1568/getInfo.php?workbook=12_05.xlsx&amp;sheet=U0&amp;row=10611&amp;col=6&amp;number=3.7&amp;sourceID=14","3.7")</f>
        <v>3.7</v>
      </c>
      <c r="G10611" s="4" t="str">
        <f>HYPERLINK("http://141.218.60.56/~jnz1568/getInfo.php?workbook=12_05.xlsx&amp;sheet=U0&amp;row=10611&amp;col=7&amp;number=0.0999&amp;sourceID=14","0.0999")</f>
        <v>0.0999</v>
      </c>
    </row>
    <row r="10612" spans="1:7">
      <c r="A10612" s="3"/>
      <c r="B10612" s="3"/>
      <c r="C10612" s="3"/>
      <c r="D10612" s="3"/>
      <c r="E10612" s="3">
        <v>9</v>
      </c>
      <c r="F10612" s="4" t="str">
        <f>HYPERLINK("http://141.218.60.56/~jnz1568/getInfo.php?workbook=12_05.xlsx&amp;sheet=U0&amp;row=10612&amp;col=6&amp;number=3.8&amp;sourceID=14","3.8")</f>
        <v>3.8</v>
      </c>
      <c r="G10612" s="4" t="str">
        <f>HYPERLINK("http://141.218.60.56/~jnz1568/getInfo.php?workbook=12_05.xlsx&amp;sheet=U0&amp;row=10612&amp;col=7&amp;number=0.0999&amp;sourceID=14","0.0999")</f>
        <v>0.0999</v>
      </c>
    </row>
    <row r="10613" spans="1:7">
      <c r="A10613" s="3"/>
      <c r="B10613" s="3"/>
      <c r="C10613" s="3"/>
      <c r="D10613" s="3"/>
      <c r="E10613" s="3">
        <v>10</v>
      </c>
      <c r="F10613" s="4" t="str">
        <f>HYPERLINK("http://141.218.60.56/~jnz1568/getInfo.php?workbook=12_05.xlsx&amp;sheet=U0&amp;row=10613&amp;col=6&amp;number=3.9&amp;sourceID=14","3.9")</f>
        <v>3.9</v>
      </c>
      <c r="G10613" s="4" t="str">
        <f>HYPERLINK("http://141.218.60.56/~jnz1568/getInfo.php?workbook=12_05.xlsx&amp;sheet=U0&amp;row=10613&amp;col=7&amp;number=0.1&amp;sourceID=14","0.1")</f>
        <v>0.1</v>
      </c>
    </row>
    <row r="10614" spans="1:7">
      <c r="A10614" s="3"/>
      <c r="B10614" s="3"/>
      <c r="C10614" s="3"/>
      <c r="D10614" s="3"/>
      <c r="E10614" s="3">
        <v>11</v>
      </c>
      <c r="F10614" s="4" t="str">
        <f>HYPERLINK("http://141.218.60.56/~jnz1568/getInfo.php?workbook=12_05.xlsx&amp;sheet=U0&amp;row=10614&amp;col=6&amp;number=4&amp;sourceID=14","4")</f>
        <v>4</v>
      </c>
      <c r="G10614" s="4" t="str">
        <f>HYPERLINK("http://141.218.60.56/~jnz1568/getInfo.php?workbook=12_05.xlsx&amp;sheet=U0&amp;row=10614&amp;col=7&amp;number=0.1&amp;sourceID=14","0.1")</f>
        <v>0.1</v>
      </c>
    </row>
    <row r="10615" spans="1:7">
      <c r="A10615" s="3"/>
      <c r="B10615" s="3"/>
      <c r="C10615" s="3"/>
      <c r="D10615" s="3"/>
      <c r="E10615" s="3">
        <v>12</v>
      </c>
      <c r="F10615" s="4" t="str">
        <f>HYPERLINK("http://141.218.60.56/~jnz1568/getInfo.php?workbook=12_05.xlsx&amp;sheet=U0&amp;row=10615&amp;col=6&amp;number=4.1&amp;sourceID=14","4.1")</f>
        <v>4.1</v>
      </c>
      <c r="G10615" s="4" t="str">
        <f>HYPERLINK("http://141.218.60.56/~jnz1568/getInfo.php?workbook=12_05.xlsx&amp;sheet=U0&amp;row=10615&amp;col=7&amp;number=0.1&amp;sourceID=14","0.1")</f>
        <v>0.1</v>
      </c>
    </row>
    <row r="10616" spans="1:7">
      <c r="A10616" s="3"/>
      <c r="B10616" s="3"/>
      <c r="C10616" s="3"/>
      <c r="D10616" s="3"/>
      <c r="E10616" s="3">
        <v>13</v>
      </c>
      <c r="F10616" s="4" t="str">
        <f>HYPERLINK("http://141.218.60.56/~jnz1568/getInfo.php?workbook=12_05.xlsx&amp;sheet=U0&amp;row=10616&amp;col=6&amp;number=4.2&amp;sourceID=14","4.2")</f>
        <v>4.2</v>
      </c>
      <c r="G10616" s="4" t="str">
        <f>HYPERLINK("http://141.218.60.56/~jnz1568/getInfo.php?workbook=12_05.xlsx&amp;sheet=U0&amp;row=10616&amp;col=7&amp;number=0.1&amp;sourceID=14","0.1")</f>
        <v>0.1</v>
      </c>
    </row>
    <row r="10617" spans="1:7">
      <c r="A10617" s="3"/>
      <c r="B10617" s="3"/>
      <c r="C10617" s="3"/>
      <c r="D10617" s="3"/>
      <c r="E10617" s="3">
        <v>14</v>
      </c>
      <c r="F10617" s="4" t="str">
        <f>HYPERLINK("http://141.218.60.56/~jnz1568/getInfo.php?workbook=12_05.xlsx&amp;sheet=U0&amp;row=10617&amp;col=6&amp;number=4.3&amp;sourceID=14","4.3")</f>
        <v>4.3</v>
      </c>
      <c r="G10617" s="4" t="str">
        <f>HYPERLINK("http://141.218.60.56/~jnz1568/getInfo.php?workbook=12_05.xlsx&amp;sheet=U0&amp;row=10617&amp;col=7&amp;number=0.101&amp;sourceID=14","0.101")</f>
        <v>0.101</v>
      </c>
    </row>
    <row r="10618" spans="1:7">
      <c r="A10618" s="3"/>
      <c r="B10618" s="3"/>
      <c r="C10618" s="3"/>
      <c r="D10618" s="3"/>
      <c r="E10618" s="3">
        <v>15</v>
      </c>
      <c r="F10618" s="4" t="str">
        <f>HYPERLINK("http://141.218.60.56/~jnz1568/getInfo.php?workbook=12_05.xlsx&amp;sheet=U0&amp;row=10618&amp;col=6&amp;number=4.4&amp;sourceID=14","4.4")</f>
        <v>4.4</v>
      </c>
      <c r="G10618" s="4" t="str">
        <f>HYPERLINK("http://141.218.60.56/~jnz1568/getInfo.php?workbook=12_05.xlsx&amp;sheet=U0&amp;row=10618&amp;col=7&amp;number=0.101&amp;sourceID=14","0.101")</f>
        <v>0.101</v>
      </c>
    </row>
    <row r="10619" spans="1:7">
      <c r="A10619" s="3"/>
      <c r="B10619" s="3"/>
      <c r="C10619" s="3"/>
      <c r="D10619" s="3"/>
      <c r="E10619" s="3">
        <v>16</v>
      </c>
      <c r="F10619" s="4" t="str">
        <f>HYPERLINK("http://141.218.60.56/~jnz1568/getInfo.php?workbook=12_05.xlsx&amp;sheet=U0&amp;row=10619&amp;col=6&amp;number=4.5&amp;sourceID=14","4.5")</f>
        <v>4.5</v>
      </c>
      <c r="G10619" s="4" t="str">
        <f>HYPERLINK("http://141.218.60.56/~jnz1568/getInfo.php?workbook=12_05.xlsx&amp;sheet=U0&amp;row=10619&amp;col=7&amp;number=0.101&amp;sourceID=14","0.101")</f>
        <v>0.101</v>
      </c>
    </row>
    <row r="10620" spans="1:7">
      <c r="A10620" s="3"/>
      <c r="B10620" s="3"/>
      <c r="C10620" s="3"/>
      <c r="D10620" s="3"/>
      <c r="E10620" s="3">
        <v>17</v>
      </c>
      <c r="F10620" s="4" t="str">
        <f>HYPERLINK("http://141.218.60.56/~jnz1568/getInfo.php?workbook=12_05.xlsx&amp;sheet=U0&amp;row=10620&amp;col=6&amp;number=4.6&amp;sourceID=14","4.6")</f>
        <v>4.6</v>
      </c>
      <c r="G10620" s="4" t="str">
        <f>HYPERLINK("http://141.218.60.56/~jnz1568/getInfo.php?workbook=12_05.xlsx&amp;sheet=U0&amp;row=10620&amp;col=7&amp;number=0.102&amp;sourceID=14","0.102")</f>
        <v>0.102</v>
      </c>
    </row>
    <row r="10621" spans="1:7">
      <c r="A10621" s="3"/>
      <c r="B10621" s="3"/>
      <c r="C10621" s="3"/>
      <c r="D10621" s="3"/>
      <c r="E10621" s="3">
        <v>18</v>
      </c>
      <c r="F10621" s="4" t="str">
        <f>HYPERLINK("http://141.218.60.56/~jnz1568/getInfo.php?workbook=12_05.xlsx&amp;sheet=U0&amp;row=10621&amp;col=6&amp;number=4.7&amp;sourceID=14","4.7")</f>
        <v>4.7</v>
      </c>
      <c r="G10621" s="4" t="str">
        <f>HYPERLINK("http://141.218.60.56/~jnz1568/getInfo.php?workbook=12_05.xlsx&amp;sheet=U0&amp;row=10621&amp;col=7&amp;number=0.102&amp;sourceID=14","0.102")</f>
        <v>0.102</v>
      </c>
    </row>
    <row r="10622" spans="1:7">
      <c r="A10622" s="3"/>
      <c r="B10622" s="3"/>
      <c r="C10622" s="3"/>
      <c r="D10622" s="3"/>
      <c r="E10622" s="3">
        <v>19</v>
      </c>
      <c r="F10622" s="4" t="str">
        <f>HYPERLINK("http://141.218.60.56/~jnz1568/getInfo.php?workbook=12_05.xlsx&amp;sheet=U0&amp;row=10622&amp;col=6&amp;number=4.8&amp;sourceID=14","4.8")</f>
        <v>4.8</v>
      </c>
      <c r="G10622" s="4" t="str">
        <f>HYPERLINK("http://141.218.60.56/~jnz1568/getInfo.php?workbook=12_05.xlsx&amp;sheet=U0&amp;row=10622&amp;col=7&amp;number=0.103&amp;sourceID=14","0.103")</f>
        <v>0.103</v>
      </c>
    </row>
    <row r="10623" spans="1:7">
      <c r="A10623" s="3"/>
      <c r="B10623" s="3"/>
      <c r="C10623" s="3"/>
      <c r="D10623" s="3"/>
      <c r="E10623" s="3">
        <v>20</v>
      </c>
      <c r="F10623" s="4" t="str">
        <f>HYPERLINK("http://141.218.60.56/~jnz1568/getInfo.php?workbook=12_05.xlsx&amp;sheet=U0&amp;row=10623&amp;col=6&amp;number=4.9&amp;sourceID=14","4.9")</f>
        <v>4.9</v>
      </c>
      <c r="G10623" s="4" t="str">
        <f>HYPERLINK("http://141.218.60.56/~jnz1568/getInfo.php?workbook=12_05.xlsx&amp;sheet=U0&amp;row=10623&amp;col=7&amp;number=0.103&amp;sourceID=14","0.103")</f>
        <v>0.103</v>
      </c>
    </row>
    <row r="10624" spans="1:7">
      <c r="A10624" s="3">
        <v>12</v>
      </c>
      <c r="B10624" s="3">
        <v>5</v>
      </c>
      <c r="C10624" s="3">
        <v>5</v>
      </c>
      <c r="D10624" s="3">
        <v>109</v>
      </c>
      <c r="E10624" s="3">
        <v>1</v>
      </c>
      <c r="F10624" s="4" t="str">
        <f>HYPERLINK("http://141.218.60.56/~jnz1568/getInfo.php?workbook=12_05.xlsx&amp;sheet=U0&amp;row=10624&amp;col=6&amp;number=3&amp;sourceID=14","3")</f>
        <v>3</v>
      </c>
      <c r="G10624" s="4" t="str">
        <f>HYPERLINK("http://141.218.60.56/~jnz1568/getInfo.php?workbook=12_05.xlsx&amp;sheet=U0&amp;row=10624&amp;col=7&amp;number=0.11&amp;sourceID=14","0.11")</f>
        <v>0.11</v>
      </c>
    </row>
    <row r="10625" spans="1:7">
      <c r="A10625" s="3"/>
      <c r="B10625" s="3"/>
      <c r="C10625" s="3"/>
      <c r="D10625" s="3"/>
      <c r="E10625" s="3">
        <v>2</v>
      </c>
      <c r="F10625" s="4" t="str">
        <f>HYPERLINK("http://141.218.60.56/~jnz1568/getInfo.php?workbook=12_05.xlsx&amp;sheet=U0&amp;row=10625&amp;col=6&amp;number=3.1&amp;sourceID=14","3.1")</f>
        <v>3.1</v>
      </c>
      <c r="G10625" s="4" t="str">
        <f>HYPERLINK("http://141.218.60.56/~jnz1568/getInfo.php?workbook=12_05.xlsx&amp;sheet=U0&amp;row=10625&amp;col=7&amp;number=0.11&amp;sourceID=14","0.11")</f>
        <v>0.11</v>
      </c>
    </row>
    <row r="10626" spans="1:7">
      <c r="A10626" s="3"/>
      <c r="B10626" s="3"/>
      <c r="C10626" s="3"/>
      <c r="D10626" s="3"/>
      <c r="E10626" s="3">
        <v>3</v>
      </c>
      <c r="F10626" s="4" t="str">
        <f>HYPERLINK("http://141.218.60.56/~jnz1568/getInfo.php?workbook=12_05.xlsx&amp;sheet=U0&amp;row=10626&amp;col=6&amp;number=3.2&amp;sourceID=14","3.2")</f>
        <v>3.2</v>
      </c>
      <c r="G10626" s="4" t="str">
        <f>HYPERLINK("http://141.218.60.56/~jnz1568/getInfo.php?workbook=12_05.xlsx&amp;sheet=U0&amp;row=10626&amp;col=7&amp;number=0.11&amp;sourceID=14","0.11")</f>
        <v>0.11</v>
      </c>
    </row>
    <row r="10627" spans="1:7">
      <c r="A10627" s="3"/>
      <c r="B10627" s="3"/>
      <c r="C10627" s="3"/>
      <c r="D10627" s="3"/>
      <c r="E10627" s="3">
        <v>4</v>
      </c>
      <c r="F10627" s="4" t="str">
        <f>HYPERLINK("http://141.218.60.56/~jnz1568/getInfo.php?workbook=12_05.xlsx&amp;sheet=U0&amp;row=10627&amp;col=6&amp;number=3.3&amp;sourceID=14","3.3")</f>
        <v>3.3</v>
      </c>
      <c r="G10627" s="4" t="str">
        <f>HYPERLINK("http://141.218.60.56/~jnz1568/getInfo.php?workbook=12_05.xlsx&amp;sheet=U0&amp;row=10627&amp;col=7&amp;number=0.11&amp;sourceID=14","0.11")</f>
        <v>0.11</v>
      </c>
    </row>
    <row r="10628" spans="1:7">
      <c r="A10628" s="3"/>
      <c r="B10628" s="3"/>
      <c r="C10628" s="3"/>
      <c r="D10628" s="3"/>
      <c r="E10628" s="3">
        <v>5</v>
      </c>
      <c r="F10628" s="4" t="str">
        <f>HYPERLINK("http://141.218.60.56/~jnz1568/getInfo.php?workbook=12_05.xlsx&amp;sheet=U0&amp;row=10628&amp;col=6&amp;number=3.4&amp;sourceID=14","3.4")</f>
        <v>3.4</v>
      </c>
      <c r="G10628" s="4" t="str">
        <f>HYPERLINK("http://141.218.60.56/~jnz1568/getInfo.php?workbook=12_05.xlsx&amp;sheet=U0&amp;row=10628&amp;col=7&amp;number=0.11&amp;sourceID=14","0.11")</f>
        <v>0.11</v>
      </c>
    </row>
    <row r="10629" spans="1:7">
      <c r="A10629" s="3"/>
      <c r="B10629" s="3"/>
      <c r="C10629" s="3"/>
      <c r="D10629" s="3"/>
      <c r="E10629" s="3">
        <v>6</v>
      </c>
      <c r="F10629" s="4" t="str">
        <f>HYPERLINK("http://141.218.60.56/~jnz1568/getInfo.php?workbook=12_05.xlsx&amp;sheet=U0&amp;row=10629&amp;col=6&amp;number=3.5&amp;sourceID=14","3.5")</f>
        <v>3.5</v>
      </c>
      <c r="G10629" s="4" t="str">
        <f>HYPERLINK("http://141.218.60.56/~jnz1568/getInfo.php?workbook=12_05.xlsx&amp;sheet=U0&amp;row=10629&amp;col=7&amp;number=0.11&amp;sourceID=14","0.11")</f>
        <v>0.11</v>
      </c>
    </row>
    <row r="10630" spans="1:7">
      <c r="A10630" s="3"/>
      <c r="B10630" s="3"/>
      <c r="C10630" s="3"/>
      <c r="D10630" s="3"/>
      <c r="E10630" s="3">
        <v>7</v>
      </c>
      <c r="F10630" s="4" t="str">
        <f>HYPERLINK("http://141.218.60.56/~jnz1568/getInfo.php?workbook=12_05.xlsx&amp;sheet=U0&amp;row=10630&amp;col=6&amp;number=3.6&amp;sourceID=14","3.6")</f>
        <v>3.6</v>
      </c>
      <c r="G10630" s="4" t="str">
        <f>HYPERLINK("http://141.218.60.56/~jnz1568/getInfo.php?workbook=12_05.xlsx&amp;sheet=U0&amp;row=10630&amp;col=7&amp;number=0.11&amp;sourceID=14","0.11")</f>
        <v>0.11</v>
      </c>
    </row>
    <row r="10631" spans="1:7">
      <c r="A10631" s="3"/>
      <c r="B10631" s="3"/>
      <c r="C10631" s="3"/>
      <c r="D10631" s="3"/>
      <c r="E10631" s="3">
        <v>8</v>
      </c>
      <c r="F10631" s="4" t="str">
        <f>HYPERLINK("http://141.218.60.56/~jnz1568/getInfo.php?workbook=12_05.xlsx&amp;sheet=U0&amp;row=10631&amp;col=6&amp;number=3.7&amp;sourceID=14","3.7")</f>
        <v>3.7</v>
      </c>
      <c r="G10631" s="4" t="str">
        <f>HYPERLINK("http://141.218.60.56/~jnz1568/getInfo.php?workbook=12_05.xlsx&amp;sheet=U0&amp;row=10631&amp;col=7&amp;number=0.11&amp;sourceID=14","0.11")</f>
        <v>0.11</v>
      </c>
    </row>
    <row r="10632" spans="1:7">
      <c r="A10632" s="3"/>
      <c r="B10632" s="3"/>
      <c r="C10632" s="3"/>
      <c r="D10632" s="3"/>
      <c r="E10632" s="3">
        <v>9</v>
      </c>
      <c r="F10632" s="4" t="str">
        <f>HYPERLINK("http://141.218.60.56/~jnz1568/getInfo.php?workbook=12_05.xlsx&amp;sheet=U0&amp;row=10632&amp;col=6&amp;number=3.8&amp;sourceID=14","3.8")</f>
        <v>3.8</v>
      </c>
      <c r="G10632" s="4" t="str">
        <f>HYPERLINK("http://141.218.60.56/~jnz1568/getInfo.php?workbook=12_05.xlsx&amp;sheet=U0&amp;row=10632&amp;col=7&amp;number=0.11&amp;sourceID=14","0.11")</f>
        <v>0.11</v>
      </c>
    </row>
    <row r="10633" spans="1:7">
      <c r="A10633" s="3"/>
      <c r="B10633" s="3"/>
      <c r="C10633" s="3"/>
      <c r="D10633" s="3"/>
      <c r="E10633" s="3">
        <v>10</v>
      </c>
      <c r="F10633" s="4" t="str">
        <f>HYPERLINK("http://141.218.60.56/~jnz1568/getInfo.php?workbook=12_05.xlsx&amp;sheet=U0&amp;row=10633&amp;col=6&amp;number=3.9&amp;sourceID=14","3.9")</f>
        <v>3.9</v>
      </c>
      <c r="G10633" s="4" t="str">
        <f>HYPERLINK("http://141.218.60.56/~jnz1568/getInfo.php?workbook=12_05.xlsx&amp;sheet=U0&amp;row=10633&amp;col=7&amp;number=0.11&amp;sourceID=14","0.11")</f>
        <v>0.11</v>
      </c>
    </row>
    <row r="10634" spans="1:7">
      <c r="A10634" s="3"/>
      <c r="B10634" s="3"/>
      <c r="C10634" s="3"/>
      <c r="D10634" s="3"/>
      <c r="E10634" s="3">
        <v>11</v>
      </c>
      <c r="F10634" s="4" t="str">
        <f>HYPERLINK("http://141.218.60.56/~jnz1568/getInfo.php?workbook=12_05.xlsx&amp;sheet=U0&amp;row=10634&amp;col=6&amp;number=4&amp;sourceID=14","4")</f>
        <v>4</v>
      </c>
      <c r="G10634" s="4" t="str">
        <f>HYPERLINK("http://141.218.60.56/~jnz1568/getInfo.php?workbook=12_05.xlsx&amp;sheet=U0&amp;row=10634&amp;col=7&amp;number=0.11&amp;sourceID=14","0.11")</f>
        <v>0.11</v>
      </c>
    </row>
    <row r="10635" spans="1:7">
      <c r="A10635" s="3"/>
      <c r="B10635" s="3"/>
      <c r="C10635" s="3"/>
      <c r="D10635" s="3"/>
      <c r="E10635" s="3">
        <v>12</v>
      </c>
      <c r="F10635" s="4" t="str">
        <f>HYPERLINK("http://141.218.60.56/~jnz1568/getInfo.php?workbook=12_05.xlsx&amp;sheet=U0&amp;row=10635&amp;col=6&amp;number=4.1&amp;sourceID=14","4.1")</f>
        <v>4.1</v>
      </c>
      <c r="G10635" s="4" t="str">
        <f>HYPERLINK("http://141.218.60.56/~jnz1568/getInfo.php?workbook=12_05.xlsx&amp;sheet=U0&amp;row=10635&amp;col=7&amp;number=0.11&amp;sourceID=14","0.11")</f>
        <v>0.11</v>
      </c>
    </row>
    <row r="10636" spans="1:7">
      <c r="A10636" s="3"/>
      <c r="B10636" s="3"/>
      <c r="C10636" s="3"/>
      <c r="D10636" s="3"/>
      <c r="E10636" s="3">
        <v>13</v>
      </c>
      <c r="F10636" s="4" t="str">
        <f>HYPERLINK("http://141.218.60.56/~jnz1568/getInfo.php?workbook=12_05.xlsx&amp;sheet=U0&amp;row=10636&amp;col=6&amp;number=4.2&amp;sourceID=14","4.2")</f>
        <v>4.2</v>
      </c>
      <c r="G10636" s="4" t="str">
        <f>HYPERLINK("http://141.218.60.56/~jnz1568/getInfo.php?workbook=12_05.xlsx&amp;sheet=U0&amp;row=10636&amp;col=7&amp;number=0.109&amp;sourceID=14","0.109")</f>
        <v>0.109</v>
      </c>
    </row>
    <row r="10637" spans="1:7">
      <c r="A10637" s="3"/>
      <c r="B10637" s="3"/>
      <c r="C10637" s="3"/>
      <c r="D10637" s="3"/>
      <c r="E10637" s="3">
        <v>14</v>
      </c>
      <c r="F10637" s="4" t="str">
        <f>HYPERLINK("http://141.218.60.56/~jnz1568/getInfo.php?workbook=12_05.xlsx&amp;sheet=U0&amp;row=10637&amp;col=6&amp;number=4.3&amp;sourceID=14","4.3")</f>
        <v>4.3</v>
      </c>
      <c r="G10637" s="4" t="str">
        <f>HYPERLINK("http://141.218.60.56/~jnz1568/getInfo.php?workbook=12_05.xlsx&amp;sheet=U0&amp;row=10637&amp;col=7&amp;number=0.109&amp;sourceID=14","0.109")</f>
        <v>0.109</v>
      </c>
    </row>
    <row r="10638" spans="1:7">
      <c r="A10638" s="3"/>
      <c r="B10638" s="3"/>
      <c r="C10638" s="3"/>
      <c r="D10638" s="3"/>
      <c r="E10638" s="3">
        <v>15</v>
      </c>
      <c r="F10638" s="4" t="str">
        <f>HYPERLINK("http://141.218.60.56/~jnz1568/getInfo.php?workbook=12_05.xlsx&amp;sheet=U0&amp;row=10638&amp;col=6&amp;number=4.4&amp;sourceID=14","4.4")</f>
        <v>4.4</v>
      </c>
      <c r="G10638" s="4" t="str">
        <f>HYPERLINK("http://141.218.60.56/~jnz1568/getInfo.php?workbook=12_05.xlsx&amp;sheet=U0&amp;row=10638&amp;col=7&amp;number=0.109&amp;sourceID=14","0.109")</f>
        <v>0.109</v>
      </c>
    </row>
    <row r="10639" spans="1:7">
      <c r="A10639" s="3"/>
      <c r="B10639" s="3"/>
      <c r="C10639" s="3"/>
      <c r="D10639" s="3"/>
      <c r="E10639" s="3">
        <v>16</v>
      </c>
      <c r="F10639" s="4" t="str">
        <f>HYPERLINK("http://141.218.60.56/~jnz1568/getInfo.php?workbook=12_05.xlsx&amp;sheet=U0&amp;row=10639&amp;col=6&amp;number=4.5&amp;sourceID=14","4.5")</f>
        <v>4.5</v>
      </c>
      <c r="G10639" s="4" t="str">
        <f>HYPERLINK("http://141.218.60.56/~jnz1568/getInfo.php?workbook=12_05.xlsx&amp;sheet=U0&amp;row=10639&amp;col=7&amp;number=0.108&amp;sourceID=14","0.108")</f>
        <v>0.108</v>
      </c>
    </row>
    <row r="10640" spans="1:7">
      <c r="A10640" s="3"/>
      <c r="B10640" s="3"/>
      <c r="C10640" s="3"/>
      <c r="D10640" s="3"/>
      <c r="E10640" s="3">
        <v>17</v>
      </c>
      <c r="F10640" s="4" t="str">
        <f>HYPERLINK("http://141.218.60.56/~jnz1568/getInfo.php?workbook=12_05.xlsx&amp;sheet=U0&amp;row=10640&amp;col=6&amp;number=4.6&amp;sourceID=14","4.6")</f>
        <v>4.6</v>
      </c>
      <c r="G10640" s="4" t="str">
        <f>HYPERLINK("http://141.218.60.56/~jnz1568/getInfo.php?workbook=12_05.xlsx&amp;sheet=U0&amp;row=10640&amp;col=7&amp;number=0.108&amp;sourceID=14","0.108")</f>
        <v>0.108</v>
      </c>
    </row>
    <row r="10641" spans="1:7">
      <c r="A10641" s="3"/>
      <c r="B10641" s="3"/>
      <c r="C10641" s="3"/>
      <c r="D10641" s="3"/>
      <c r="E10641" s="3">
        <v>18</v>
      </c>
      <c r="F10641" s="4" t="str">
        <f>HYPERLINK("http://141.218.60.56/~jnz1568/getInfo.php?workbook=12_05.xlsx&amp;sheet=U0&amp;row=10641&amp;col=6&amp;number=4.7&amp;sourceID=14","4.7")</f>
        <v>4.7</v>
      </c>
      <c r="G10641" s="4" t="str">
        <f>HYPERLINK("http://141.218.60.56/~jnz1568/getInfo.php?workbook=12_05.xlsx&amp;sheet=U0&amp;row=10641&amp;col=7&amp;number=0.107&amp;sourceID=14","0.107")</f>
        <v>0.107</v>
      </c>
    </row>
    <row r="10642" spans="1:7">
      <c r="A10642" s="3"/>
      <c r="B10642" s="3"/>
      <c r="C10642" s="3"/>
      <c r="D10642" s="3"/>
      <c r="E10642" s="3">
        <v>19</v>
      </c>
      <c r="F10642" s="4" t="str">
        <f>HYPERLINK("http://141.218.60.56/~jnz1568/getInfo.php?workbook=12_05.xlsx&amp;sheet=U0&amp;row=10642&amp;col=6&amp;number=4.8&amp;sourceID=14","4.8")</f>
        <v>4.8</v>
      </c>
      <c r="G10642" s="4" t="str">
        <f>HYPERLINK("http://141.218.60.56/~jnz1568/getInfo.php?workbook=12_05.xlsx&amp;sheet=U0&amp;row=10642&amp;col=7&amp;number=0.106&amp;sourceID=14","0.106")</f>
        <v>0.106</v>
      </c>
    </row>
    <row r="10643" spans="1:7">
      <c r="A10643" s="3"/>
      <c r="B10643" s="3"/>
      <c r="C10643" s="3"/>
      <c r="D10643" s="3"/>
      <c r="E10643" s="3">
        <v>20</v>
      </c>
      <c r="F10643" s="4" t="str">
        <f>HYPERLINK("http://141.218.60.56/~jnz1568/getInfo.php?workbook=12_05.xlsx&amp;sheet=U0&amp;row=10643&amp;col=6&amp;number=4.9&amp;sourceID=14","4.9")</f>
        <v>4.9</v>
      </c>
      <c r="G10643" s="4" t="str">
        <f>HYPERLINK("http://141.218.60.56/~jnz1568/getInfo.php?workbook=12_05.xlsx&amp;sheet=U0&amp;row=10643&amp;col=7&amp;number=0.106&amp;sourceID=14","0.106")</f>
        <v>0.106</v>
      </c>
    </row>
    <row r="10644" spans="1:7">
      <c r="A10644" s="3">
        <v>12</v>
      </c>
      <c r="B10644" s="3">
        <v>5</v>
      </c>
      <c r="C10644" s="3">
        <v>5</v>
      </c>
      <c r="D10644" s="3">
        <v>110</v>
      </c>
      <c r="E10644" s="3">
        <v>1</v>
      </c>
      <c r="F10644" s="4" t="str">
        <f>HYPERLINK("http://141.218.60.56/~jnz1568/getInfo.php?workbook=12_05.xlsx&amp;sheet=U0&amp;row=10644&amp;col=6&amp;number=3&amp;sourceID=14","3")</f>
        <v>3</v>
      </c>
      <c r="G10644" s="4" t="str">
        <f>HYPERLINK("http://141.218.60.56/~jnz1568/getInfo.php?workbook=12_05.xlsx&amp;sheet=U0&amp;row=10644&amp;col=7&amp;number=0.283&amp;sourceID=14","0.283")</f>
        <v>0.283</v>
      </c>
    </row>
    <row r="10645" spans="1:7">
      <c r="A10645" s="3"/>
      <c r="B10645" s="3"/>
      <c r="C10645" s="3"/>
      <c r="D10645" s="3"/>
      <c r="E10645" s="3">
        <v>2</v>
      </c>
      <c r="F10645" s="4" t="str">
        <f>HYPERLINK("http://141.218.60.56/~jnz1568/getInfo.php?workbook=12_05.xlsx&amp;sheet=U0&amp;row=10645&amp;col=6&amp;number=3.1&amp;sourceID=14","3.1")</f>
        <v>3.1</v>
      </c>
      <c r="G10645" s="4" t="str">
        <f>HYPERLINK("http://141.218.60.56/~jnz1568/getInfo.php?workbook=12_05.xlsx&amp;sheet=U0&amp;row=10645&amp;col=7&amp;number=0.283&amp;sourceID=14","0.283")</f>
        <v>0.283</v>
      </c>
    </row>
    <row r="10646" spans="1:7">
      <c r="A10646" s="3"/>
      <c r="B10646" s="3"/>
      <c r="C10646" s="3"/>
      <c r="D10646" s="3"/>
      <c r="E10646" s="3">
        <v>3</v>
      </c>
      <c r="F10646" s="4" t="str">
        <f>HYPERLINK("http://141.218.60.56/~jnz1568/getInfo.php?workbook=12_05.xlsx&amp;sheet=U0&amp;row=10646&amp;col=6&amp;number=3.2&amp;sourceID=14","3.2")</f>
        <v>3.2</v>
      </c>
      <c r="G10646" s="4" t="str">
        <f>HYPERLINK("http://141.218.60.56/~jnz1568/getInfo.php?workbook=12_05.xlsx&amp;sheet=U0&amp;row=10646&amp;col=7&amp;number=0.283&amp;sourceID=14","0.283")</f>
        <v>0.283</v>
      </c>
    </row>
    <row r="10647" spans="1:7">
      <c r="A10647" s="3"/>
      <c r="B10647" s="3"/>
      <c r="C10647" s="3"/>
      <c r="D10647" s="3"/>
      <c r="E10647" s="3">
        <v>4</v>
      </c>
      <c r="F10647" s="4" t="str">
        <f>HYPERLINK("http://141.218.60.56/~jnz1568/getInfo.php?workbook=12_05.xlsx&amp;sheet=U0&amp;row=10647&amp;col=6&amp;number=3.3&amp;sourceID=14","3.3")</f>
        <v>3.3</v>
      </c>
      <c r="G10647" s="4" t="str">
        <f>HYPERLINK("http://141.218.60.56/~jnz1568/getInfo.php?workbook=12_05.xlsx&amp;sheet=U0&amp;row=10647&amp;col=7&amp;number=0.283&amp;sourceID=14","0.283")</f>
        <v>0.283</v>
      </c>
    </row>
    <row r="10648" spans="1:7">
      <c r="A10648" s="3"/>
      <c r="B10648" s="3"/>
      <c r="C10648" s="3"/>
      <c r="D10648" s="3"/>
      <c r="E10648" s="3">
        <v>5</v>
      </c>
      <c r="F10648" s="4" t="str">
        <f>HYPERLINK("http://141.218.60.56/~jnz1568/getInfo.php?workbook=12_05.xlsx&amp;sheet=U0&amp;row=10648&amp;col=6&amp;number=3.4&amp;sourceID=14","3.4")</f>
        <v>3.4</v>
      </c>
      <c r="G10648" s="4" t="str">
        <f>HYPERLINK("http://141.218.60.56/~jnz1568/getInfo.php?workbook=12_05.xlsx&amp;sheet=U0&amp;row=10648&amp;col=7&amp;number=0.283&amp;sourceID=14","0.283")</f>
        <v>0.283</v>
      </c>
    </row>
    <row r="10649" spans="1:7">
      <c r="A10649" s="3"/>
      <c r="B10649" s="3"/>
      <c r="C10649" s="3"/>
      <c r="D10649" s="3"/>
      <c r="E10649" s="3">
        <v>6</v>
      </c>
      <c r="F10649" s="4" t="str">
        <f>HYPERLINK("http://141.218.60.56/~jnz1568/getInfo.php?workbook=12_05.xlsx&amp;sheet=U0&amp;row=10649&amp;col=6&amp;number=3.5&amp;sourceID=14","3.5")</f>
        <v>3.5</v>
      </c>
      <c r="G10649" s="4" t="str">
        <f>HYPERLINK("http://141.218.60.56/~jnz1568/getInfo.php?workbook=12_05.xlsx&amp;sheet=U0&amp;row=10649&amp;col=7&amp;number=0.284&amp;sourceID=14","0.284")</f>
        <v>0.284</v>
      </c>
    </row>
    <row r="10650" spans="1:7">
      <c r="A10650" s="3"/>
      <c r="B10650" s="3"/>
      <c r="C10650" s="3"/>
      <c r="D10650" s="3"/>
      <c r="E10650" s="3">
        <v>7</v>
      </c>
      <c r="F10650" s="4" t="str">
        <f>HYPERLINK("http://141.218.60.56/~jnz1568/getInfo.php?workbook=12_05.xlsx&amp;sheet=U0&amp;row=10650&amp;col=6&amp;number=3.6&amp;sourceID=14","3.6")</f>
        <v>3.6</v>
      </c>
      <c r="G10650" s="4" t="str">
        <f>HYPERLINK("http://141.218.60.56/~jnz1568/getInfo.php?workbook=12_05.xlsx&amp;sheet=U0&amp;row=10650&amp;col=7&amp;number=0.284&amp;sourceID=14","0.284")</f>
        <v>0.284</v>
      </c>
    </row>
    <row r="10651" spans="1:7">
      <c r="A10651" s="3"/>
      <c r="B10651" s="3"/>
      <c r="C10651" s="3"/>
      <c r="D10651" s="3"/>
      <c r="E10651" s="3">
        <v>8</v>
      </c>
      <c r="F10651" s="4" t="str">
        <f>HYPERLINK("http://141.218.60.56/~jnz1568/getInfo.php?workbook=12_05.xlsx&amp;sheet=U0&amp;row=10651&amp;col=6&amp;number=3.7&amp;sourceID=14","3.7")</f>
        <v>3.7</v>
      </c>
      <c r="G10651" s="4" t="str">
        <f>HYPERLINK("http://141.218.60.56/~jnz1568/getInfo.php?workbook=12_05.xlsx&amp;sheet=U0&amp;row=10651&amp;col=7&amp;number=0.284&amp;sourceID=14","0.284")</f>
        <v>0.284</v>
      </c>
    </row>
    <row r="10652" spans="1:7">
      <c r="A10652" s="3"/>
      <c r="B10652" s="3"/>
      <c r="C10652" s="3"/>
      <c r="D10652" s="3"/>
      <c r="E10652" s="3">
        <v>9</v>
      </c>
      <c r="F10652" s="4" t="str">
        <f>HYPERLINK("http://141.218.60.56/~jnz1568/getInfo.php?workbook=12_05.xlsx&amp;sheet=U0&amp;row=10652&amp;col=6&amp;number=3.8&amp;sourceID=14","3.8")</f>
        <v>3.8</v>
      </c>
      <c r="G10652" s="4" t="str">
        <f>HYPERLINK("http://141.218.60.56/~jnz1568/getInfo.php?workbook=12_05.xlsx&amp;sheet=U0&amp;row=10652&amp;col=7&amp;number=0.284&amp;sourceID=14","0.284")</f>
        <v>0.284</v>
      </c>
    </row>
    <row r="10653" spans="1:7">
      <c r="A10653" s="3"/>
      <c r="B10653" s="3"/>
      <c r="C10653" s="3"/>
      <c r="D10653" s="3"/>
      <c r="E10653" s="3">
        <v>10</v>
      </c>
      <c r="F10653" s="4" t="str">
        <f>HYPERLINK("http://141.218.60.56/~jnz1568/getInfo.php?workbook=12_05.xlsx&amp;sheet=U0&amp;row=10653&amp;col=6&amp;number=3.9&amp;sourceID=14","3.9")</f>
        <v>3.9</v>
      </c>
      <c r="G10653" s="4" t="str">
        <f>HYPERLINK("http://141.218.60.56/~jnz1568/getInfo.php?workbook=12_05.xlsx&amp;sheet=U0&amp;row=10653&amp;col=7&amp;number=0.284&amp;sourceID=14","0.284")</f>
        <v>0.284</v>
      </c>
    </row>
    <row r="10654" spans="1:7">
      <c r="A10654" s="3"/>
      <c r="B10654" s="3"/>
      <c r="C10654" s="3"/>
      <c r="D10654" s="3"/>
      <c r="E10654" s="3">
        <v>11</v>
      </c>
      <c r="F10654" s="4" t="str">
        <f>HYPERLINK("http://141.218.60.56/~jnz1568/getInfo.php?workbook=12_05.xlsx&amp;sheet=U0&amp;row=10654&amp;col=6&amp;number=4&amp;sourceID=14","4")</f>
        <v>4</v>
      </c>
      <c r="G10654" s="4" t="str">
        <f>HYPERLINK("http://141.218.60.56/~jnz1568/getInfo.php?workbook=12_05.xlsx&amp;sheet=U0&amp;row=10654&amp;col=7&amp;number=0.285&amp;sourceID=14","0.285")</f>
        <v>0.285</v>
      </c>
    </row>
    <row r="10655" spans="1:7">
      <c r="A10655" s="3"/>
      <c r="B10655" s="3"/>
      <c r="C10655" s="3"/>
      <c r="D10655" s="3"/>
      <c r="E10655" s="3">
        <v>12</v>
      </c>
      <c r="F10655" s="4" t="str">
        <f>HYPERLINK("http://141.218.60.56/~jnz1568/getInfo.php?workbook=12_05.xlsx&amp;sheet=U0&amp;row=10655&amp;col=6&amp;number=4.1&amp;sourceID=14","4.1")</f>
        <v>4.1</v>
      </c>
      <c r="G10655" s="4" t="str">
        <f>HYPERLINK("http://141.218.60.56/~jnz1568/getInfo.php?workbook=12_05.xlsx&amp;sheet=U0&amp;row=10655&amp;col=7&amp;number=0.285&amp;sourceID=14","0.285")</f>
        <v>0.285</v>
      </c>
    </row>
    <row r="10656" spans="1:7">
      <c r="A10656" s="3"/>
      <c r="B10656" s="3"/>
      <c r="C10656" s="3"/>
      <c r="D10656" s="3"/>
      <c r="E10656" s="3">
        <v>13</v>
      </c>
      <c r="F10656" s="4" t="str">
        <f>HYPERLINK("http://141.218.60.56/~jnz1568/getInfo.php?workbook=12_05.xlsx&amp;sheet=U0&amp;row=10656&amp;col=6&amp;number=4.2&amp;sourceID=14","4.2")</f>
        <v>4.2</v>
      </c>
      <c r="G10656" s="4" t="str">
        <f>HYPERLINK("http://141.218.60.56/~jnz1568/getInfo.php?workbook=12_05.xlsx&amp;sheet=U0&amp;row=10656&amp;col=7&amp;number=0.286&amp;sourceID=14","0.286")</f>
        <v>0.286</v>
      </c>
    </row>
    <row r="10657" spans="1:7">
      <c r="A10657" s="3"/>
      <c r="B10657" s="3"/>
      <c r="C10657" s="3"/>
      <c r="D10657" s="3"/>
      <c r="E10657" s="3">
        <v>14</v>
      </c>
      <c r="F10657" s="4" t="str">
        <f>HYPERLINK("http://141.218.60.56/~jnz1568/getInfo.php?workbook=12_05.xlsx&amp;sheet=U0&amp;row=10657&amp;col=6&amp;number=4.3&amp;sourceID=14","4.3")</f>
        <v>4.3</v>
      </c>
      <c r="G10657" s="4" t="str">
        <f>HYPERLINK("http://141.218.60.56/~jnz1568/getInfo.php?workbook=12_05.xlsx&amp;sheet=U0&amp;row=10657&amp;col=7&amp;number=0.286&amp;sourceID=14","0.286")</f>
        <v>0.286</v>
      </c>
    </row>
    <row r="10658" spans="1:7">
      <c r="A10658" s="3"/>
      <c r="B10658" s="3"/>
      <c r="C10658" s="3"/>
      <c r="D10658" s="3"/>
      <c r="E10658" s="3">
        <v>15</v>
      </c>
      <c r="F10658" s="4" t="str">
        <f>HYPERLINK("http://141.218.60.56/~jnz1568/getInfo.php?workbook=12_05.xlsx&amp;sheet=U0&amp;row=10658&amp;col=6&amp;number=4.4&amp;sourceID=14","4.4")</f>
        <v>4.4</v>
      </c>
      <c r="G10658" s="4" t="str">
        <f>HYPERLINK("http://141.218.60.56/~jnz1568/getInfo.php?workbook=12_05.xlsx&amp;sheet=U0&amp;row=10658&amp;col=7&amp;number=0.287&amp;sourceID=14","0.287")</f>
        <v>0.287</v>
      </c>
    </row>
    <row r="10659" spans="1:7">
      <c r="A10659" s="3"/>
      <c r="B10659" s="3"/>
      <c r="C10659" s="3"/>
      <c r="D10659" s="3"/>
      <c r="E10659" s="3">
        <v>16</v>
      </c>
      <c r="F10659" s="4" t="str">
        <f>HYPERLINK("http://141.218.60.56/~jnz1568/getInfo.php?workbook=12_05.xlsx&amp;sheet=U0&amp;row=10659&amp;col=6&amp;number=4.5&amp;sourceID=14","4.5")</f>
        <v>4.5</v>
      </c>
      <c r="G10659" s="4" t="str">
        <f>HYPERLINK("http://141.218.60.56/~jnz1568/getInfo.php?workbook=12_05.xlsx&amp;sheet=U0&amp;row=10659&amp;col=7&amp;number=0.288&amp;sourceID=14","0.288")</f>
        <v>0.288</v>
      </c>
    </row>
    <row r="10660" spans="1:7">
      <c r="A10660" s="3"/>
      <c r="B10660" s="3"/>
      <c r="C10660" s="3"/>
      <c r="D10660" s="3"/>
      <c r="E10660" s="3">
        <v>17</v>
      </c>
      <c r="F10660" s="4" t="str">
        <f>HYPERLINK("http://141.218.60.56/~jnz1568/getInfo.php?workbook=12_05.xlsx&amp;sheet=U0&amp;row=10660&amp;col=6&amp;number=4.6&amp;sourceID=14","4.6")</f>
        <v>4.6</v>
      </c>
      <c r="G10660" s="4" t="str">
        <f>HYPERLINK("http://141.218.60.56/~jnz1568/getInfo.php?workbook=12_05.xlsx&amp;sheet=U0&amp;row=10660&amp;col=7&amp;number=0.29&amp;sourceID=14","0.29")</f>
        <v>0.29</v>
      </c>
    </row>
    <row r="10661" spans="1:7">
      <c r="A10661" s="3"/>
      <c r="B10661" s="3"/>
      <c r="C10661" s="3"/>
      <c r="D10661" s="3"/>
      <c r="E10661" s="3">
        <v>18</v>
      </c>
      <c r="F10661" s="4" t="str">
        <f>HYPERLINK("http://141.218.60.56/~jnz1568/getInfo.php?workbook=12_05.xlsx&amp;sheet=U0&amp;row=10661&amp;col=6&amp;number=4.7&amp;sourceID=14","4.7")</f>
        <v>4.7</v>
      </c>
      <c r="G10661" s="4" t="str">
        <f>HYPERLINK("http://141.218.60.56/~jnz1568/getInfo.php?workbook=12_05.xlsx&amp;sheet=U0&amp;row=10661&amp;col=7&amp;number=0.292&amp;sourceID=14","0.292")</f>
        <v>0.292</v>
      </c>
    </row>
    <row r="10662" spans="1:7">
      <c r="A10662" s="3"/>
      <c r="B10662" s="3"/>
      <c r="C10662" s="3"/>
      <c r="D10662" s="3"/>
      <c r="E10662" s="3">
        <v>19</v>
      </c>
      <c r="F10662" s="4" t="str">
        <f>HYPERLINK("http://141.218.60.56/~jnz1568/getInfo.php?workbook=12_05.xlsx&amp;sheet=U0&amp;row=10662&amp;col=6&amp;number=4.8&amp;sourceID=14","4.8")</f>
        <v>4.8</v>
      </c>
      <c r="G10662" s="4" t="str">
        <f>HYPERLINK("http://141.218.60.56/~jnz1568/getInfo.php?workbook=12_05.xlsx&amp;sheet=U0&amp;row=10662&amp;col=7&amp;number=0.294&amp;sourceID=14","0.294")</f>
        <v>0.294</v>
      </c>
    </row>
    <row r="10663" spans="1:7">
      <c r="A10663" s="3"/>
      <c r="B10663" s="3"/>
      <c r="C10663" s="3"/>
      <c r="D10663" s="3"/>
      <c r="E10663" s="3">
        <v>20</v>
      </c>
      <c r="F10663" s="4" t="str">
        <f>HYPERLINK("http://141.218.60.56/~jnz1568/getInfo.php?workbook=12_05.xlsx&amp;sheet=U0&amp;row=10663&amp;col=6&amp;number=4.9&amp;sourceID=14","4.9")</f>
        <v>4.9</v>
      </c>
      <c r="G10663" s="4" t="str">
        <f>HYPERLINK("http://141.218.60.56/~jnz1568/getInfo.php?workbook=12_05.xlsx&amp;sheet=U0&amp;row=10663&amp;col=7&amp;number=0.297&amp;sourceID=14","0.297")</f>
        <v>0.297</v>
      </c>
    </row>
    <row r="10664" spans="1:7">
      <c r="A10664" s="3">
        <v>12</v>
      </c>
      <c r="B10664" s="3">
        <v>5</v>
      </c>
      <c r="C10664" s="3">
        <v>5</v>
      </c>
      <c r="D10664" s="3">
        <v>111</v>
      </c>
      <c r="E10664" s="3">
        <v>1</v>
      </c>
      <c r="F10664" s="4" t="str">
        <f>HYPERLINK("http://141.218.60.56/~jnz1568/getInfo.php?workbook=12_05.xlsx&amp;sheet=U0&amp;row=10664&amp;col=6&amp;number=3&amp;sourceID=14","3")</f>
        <v>3</v>
      </c>
      <c r="G10664" s="4" t="str">
        <f>HYPERLINK("http://141.218.60.56/~jnz1568/getInfo.php?workbook=12_05.xlsx&amp;sheet=U0&amp;row=10664&amp;col=7&amp;number=0.602&amp;sourceID=14","0.602")</f>
        <v>0.602</v>
      </c>
    </row>
    <row r="10665" spans="1:7">
      <c r="A10665" s="3"/>
      <c r="B10665" s="3"/>
      <c r="C10665" s="3"/>
      <c r="D10665" s="3"/>
      <c r="E10665" s="3">
        <v>2</v>
      </c>
      <c r="F10665" s="4" t="str">
        <f>HYPERLINK("http://141.218.60.56/~jnz1568/getInfo.php?workbook=12_05.xlsx&amp;sheet=U0&amp;row=10665&amp;col=6&amp;number=3.1&amp;sourceID=14","3.1")</f>
        <v>3.1</v>
      </c>
      <c r="G10665" s="4" t="str">
        <f>HYPERLINK("http://141.218.60.56/~jnz1568/getInfo.php?workbook=12_05.xlsx&amp;sheet=U0&amp;row=10665&amp;col=7&amp;number=0.602&amp;sourceID=14","0.602")</f>
        <v>0.602</v>
      </c>
    </row>
    <row r="10666" spans="1:7">
      <c r="A10666" s="3"/>
      <c r="B10666" s="3"/>
      <c r="C10666" s="3"/>
      <c r="D10666" s="3"/>
      <c r="E10666" s="3">
        <v>3</v>
      </c>
      <c r="F10666" s="4" t="str">
        <f>HYPERLINK("http://141.218.60.56/~jnz1568/getInfo.php?workbook=12_05.xlsx&amp;sheet=U0&amp;row=10666&amp;col=6&amp;number=3.2&amp;sourceID=14","3.2")</f>
        <v>3.2</v>
      </c>
      <c r="G10666" s="4" t="str">
        <f>HYPERLINK("http://141.218.60.56/~jnz1568/getInfo.php?workbook=12_05.xlsx&amp;sheet=U0&amp;row=10666&amp;col=7&amp;number=0.602&amp;sourceID=14","0.602")</f>
        <v>0.602</v>
      </c>
    </row>
    <row r="10667" spans="1:7">
      <c r="A10667" s="3"/>
      <c r="B10667" s="3"/>
      <c r="C10667" s="3"/>
      <c r="D10667" s="3"/>
      <c r="E10667" s="3">
        <v>4</v>
      </c>
      <c r="F10667" s="4" t="str">
        <f>HYPERLINK("http://141.218.60.56/~jnz1568/getInfo.php?workbook=12_05.xlsx&amp;sheet=U0&amp;row=10667&amp;col=6&amp;number=3.3&amp;sourceID=14","3.3")</f>
        <v>3.3</v>
      </c>
      <c r="G10667" s="4" t="str">
        <f>HYPERLINK("http://141.218.60.56/~jnz1568/getInfo.php?workbook=12_05.xlsx&amp;sheet=U0&amp;row=10667&amp;col=7&amp;number=0.602&amp;sourceID=14","0.602")</f>
        <v>0.602</v>
      </c>
    </row>
    <row r="10668" spans="1:7">
      <c r="A10668" s="3"/>
      <c r="B10668" s="3"/>
      <c r="C10668" s="3"/>
      <c r="D10668" s="3"/>
      <c r="E10668" s="3">
        <v>5</v>
      </c>
      <c r="F10668" s="4" t="str">
        <f>HYPERLINK("http://141.218.60.56/~jnz1568/getInfo.php?workbook=12_05.xlsx&amp;sheet=U0&amp;row=10668&amp;col=6&amp;number=3.4&amp;sourceID=14","3.4")</f>
        <v>3.4</v>
      </c>
      <c r="G10668" s="4" t="str">
        <f>HYPERLINK("http://141.218.60.56/~jnz1568/getInfo.php?workbook=12_05.xlsx&amp;sheet=U0&amp;row=10668&amp;col=7&amp;number=0.601&amp;sourceID=14","0.601")</f>
        <v>0.601</v>
      </c>
    </row>
    <row r="10669" spans="1:7">
      <c r="A10669" s="3"/>
      <c r="B10669" s="3"/>
      <c r="C10669" s="3"/>
      <c r="D10669" s="3"/>
      <c r="E10669" s="3">
        <v>6</v>
      </c>
      <c r="F10669" s="4" t="str">
        <f>HYPERLINK("http://141.218.60.56/~jnz1568/getInfo.php?workbook=12_05.xlsx&amp;sheet=U0&amp;row=10669&amp;col=6&amp;number=3.5&amp;sourceID=14","3.5")</f>
        <v>3.5</v>
      </c>
      <c r="G10669" s="4" t="str">
        <f>HYPERLINK("http://141.218.60.56/~jnz1568/getInfo.php?workbook=12_05.xlsx&amp;sheet=U0&amp;row=10669&amp;col=7&amp;number=0.601&amp;sourceID=14","0.601")</f>
        <v>0.601</v>
      </c>
    </row>
    <row r="10670" spans="1:7">
      <c r="A10670" s="3"/>
      <c r="B10670" s="3"/>
      <c r="C10670" s="3"/>
      <c r="D10670" s="3"/>
      <c r="E10670" s="3">
        <v>7</v>
      </c>
      <c r="F10670" s="4" t="str">
        <f>HYPERLINK("http://141.218.60.56/~jnz1568/getInfo.php?workbook=12_05.xlsx&amp;sheet=U0&amp;row=10670&amp;col=6&amp;number=3.6&amp;sourceID=14","3.6")</f>
        <v>3.6</v>
      </c>
      <c r="G10670" s="4" t="str">
        <f>HYPERLINK("http://141.218.60.56/~jnz1568/getInfo.php?workbook=12_05.xlsx&amp;sheet=U0&amp;row=10670&amp;col=7&amp;number=0.601&amp;sourceID=14","0.601")</f>
        <v>0.601</v>
      </c>
    </row>
    <row r="10671" spans="1:7">
      <c r="A10671" s="3"/>
      <c r="B10671" s="3"/>
      <c r="C10671" s="3"/>
      <c r="D10671" s="3"/>
      <c r="E10671" s="3">
        <v>8</v>
      </c>
      <c r="F10671" s="4" t="str">
        <f>HYPERLINK("http://141.218.60.56/~jnz1568/getInfo.php?workbook=12_05.xlsx&amp;sheet=U0&amp;row=10671&amp;col=6&amp;number=3.7&amp;sourceID=14","3.7")</f>
        <v>3.7</v>
      </c>
      <c r="G10671" s="4" t="str">
        <f>HYPERLINK("http://141.218.60.56/~jnz1568/getInfo.php?workbook=12_05.xlsx&amp;sheet=U0&amp;row=10671&amp;col=7&amp;number=0.601&amp;sourceID=14","0.601")</f>
        <v>0.601</v>
      </c>
    </row>
    <row r="10672" spans="1:7">
      <c r="A10672" s="3"/>
      <c r="B10672" s="3"/>
      <c r="C10672" s="3"/>
      <c r="D10672" s="3"/>
      <c r="E10672" s="3">
        <v>9</v>
      </c>
      <c r="F10672" s="4" t="str">
        <f>HYPERLINK("http://141.218.60.56/~jnz1568/getInfo.php?workbook=12_05.xlsx&amp;sheet=U0&amp;row=10672&amp;col=6&amp;number=3.8&amp;sourceID=14","3.8")</f>
        <v>3.8</v>
      </c>
      <c r="G10672" s="4" t="str">
        <f>HYPERLINK("http://141.218.60.56/~jnz1568/getInfo.php?workbook=12_05.xlsx&amp;sheet=U0&amp;row=10672&amp;col=7&amp;number=0.6&amp;sourceID=14","0.6")</f>
        <v>0.6</v>
      </c>
    </row>
    <row r="10673" spans="1:7">
      <c r="A10673" s="3"/>
      <c r="B10673" s="3"/>
      <c r="C10673" s="3"/>
      <c r="D10673" s="3"/>
      <c r="E10673" s="3">
        <v>10</v>
      </c>
      <c r="F10673" s="4" t="str">
        <f>HYPERLINK("http://141.218.60.56/~jnz1568/getInfo.php?workbook=12_05.xlsx&amp;sheet=U0&amp;row=10673&amp;col=6&amp;number=3.9&amp;sourceID=14","3.9")</f>
        <v>3.9</v>
      </c>
      <c r="G10673" s="4" t="str">
        <f>HYPERLINK("http://141.218.60.56/~jnz1568/getInfo.php?workbook=12_05.xlsx&amp;sheet=U0&amp;row=10673&amp;col=7&amp;number=0.6&amp;sourceID=14","0.6")</f>
        <v>0.6</v>
      </c>
    </row>
    <row r="10674" spans="1:7">
      <c r="A10674" s="3"/>
      <c r="B10674" s="3"/>
      <c r="C10674" s="3"/>
      <c r="D10674" s="3"/>
      <c r="E10674" s="3">
        <v>11</v>
      </c>
      <c r="F10674" s="4" t="str">
        <f>HYPERLINK("http://141.218.60.56/~jnz1568/getInfo.php?workbook=12_05.xlsx&amp;sheet=U0&amp;row=10674&amp;col=6&amp;number=4&amp;sourceID=14","4")</f>
        <v>4</v>
      </c>
      <c r="G10674" s="4" t="str">
        <f>HYPERLINK("http://141.218.60.56/~jnz1568/getInfo.php?workbook=12_05.xlsx&amp;sheet=U0&amp;row=10674&amp;col=7&amp;number=0.599&amp;sourceID=14","0.599")</f>
        <v>0.599</v>
      </c>
    </row>
    <row r="10675" spans="1:7">
      <c r="A10675" s="3"/>
      <c r="B10675" s="3"/>
      <c r="C10675" s="3"/>
      <c r="D10675" s="3"/>
      <c r="E10675" s="3">
        <v>12</v>
      </c>
      <c r="F10675" s="4" t="str">
        <f>HYPERLINK("http://141.218.60.56/~jnz1568/getInfo.php?workbook=12_05.xlsx&amp;sheet=U0&amp;row=10675&amp;col=6&amp;number=4.1&amp;sourceID=14","4.1")</f>
        <v>4.1</v>
      </c>
      <c r="G10675" s="4" t="str">
        <f>HYPERLINK("http://141.218.60.56/~jnz1568/getInfo.php?workbook=12_05.xlsx&amp;sheet=U0&amp;row=10675&amp;col=7&amp;number=0.598&amp;sourceID=14","0.598")</f>
        <v>0.598</v>
      </c>
    </row>
    <row r="10676" spans="1:7">
      <c r="A10676" s="3"/>
      <c r="B10676" s="3"/>
      <c r="C10676" s="3"/>
      <c r="D10676" s="3"/>
      <c r="E10676" s="3">
        <v>13</v>
      </c>
      <c r="F10676" s="4" t="str">
        <f>HYPERLINK("http://141.218.60.56/~jnz1568/getInfo.php?workbook=12_05.xlsx&amp;sheet=U0&amp;row=10676&amp;col=6&amp;number=4.2&amp;sourceID=14","4.2")</f>
        <v>4.2</v>
      </c>
      <c r="G10676" s="4" t="str">
        <f>HYPERLINK("http://141.218.60.56/~jnz1568/getInfo.php?workbook=12_05.xlsx&amp;sheet=U0&amp;row=10676&amp;col=7&amp;number=0.597&amp;sourceID=14","0.597")</f>
        <v>0.597</v>
      </c>
    </row>
    <row r="10677" spans="1:7">
      <c r="A10677" s="3"/>
      <c r="B10677" s="3"/>
      <c r="C10677" s="3"/>
      <c r="D10677" s="3"/>
      <c r="E10677" s="3">
        <v>14</v>
      </c>
      <c r="F10677" s="4" t="str">
        <f>HYPERLINK("http://141.218.60.56/~jnz1568/getInfo.php?workbook=12_05.xlsx&amp;sheet=U0&amp;row=10677&amp;col=6&amp;number=4.3&amp;sourceID=14","4.3")</f>
        <v>4.3</v>
      </c>
      <c r="G10677" s="4" t="str">
        <f>HYPERLINK("http://141.218.60.56/~jnz1568/getInfo.php?workbook=12_05.xlsx&amp;sheet=U0&amp;row=10677&amp;col=7&amp;number=0.596&amp;sourceID=14","0.596")</f>
        <v>0.596</v>
      </c>
    </row>
    <row r="10678" spans="1:7">
      <c r="A10678" s="3"/>
      <c r="B10678" s="3"/>
      <c r="C10678" s="3"/>
      <c r="D10678" s="3"/>
      <c r="E10678" s="3">
        <v>15</v>
      </c>
      <c r="F10678" s="4" t="str">
        <f>HYPERLINK("http://141.218.60.56/~jnz1568/getInfo.php?workbook=12_05.xlsx&amp;sheet=U0&amp;row=10678&amp;col=6&amp;number=4.4&amp;sourceID=14","4.4")</f>
        <v>4.4</v>
      </c>
      <c r="G10678" s="4" t="str">
        <f>HYPERLINK("http://141.218.60.56/~jnz1568/getInfo.php?workbook=12_05.xlsx&amp;sheet=U0&amp;row=10678&amp;col=7&amp;number=0.594&amp;sourceID=14","0.594")</f>
        <v>0.594</v>
      </c>
    </row>
    <row r="10679" spans="1:7">
      <c r="A10679" s="3"/>
      <c r="B10679" s="3"/>
      <c r="C10679" s="3"/>
      <c r="D10679" s="3"/>
      <c r="E10679" s="3">
        <v>16</v>
      </c>
      <c r="F10679" s="4" t="str">
        <f>HYPERLINK("http://141.218.60.56/~jnz1568/getInfo.php?workbook=12_05.xlsx&amp;sheet=U0&amp;row=10679&amp;col=6&amp;number=4.5&amp;sourceID=14","4.5")</f>
        <v>4.5</v>
      </c>
      <c r="G10679" s="4" t="str">
        <f>HYPERLINK("http://141.218.60.56/~jnz1568/getInfo.php?workbook=12_05.xlsx&amp;sheet=U0&amp;row=10679&amp;col=7&amp;number=0.592&amp;sourceID=14","0.592")</f>
        <v>0.592</v>
      </c>
    </row>
    <row r="10680" spans="1:7">
      <c r="A10680" s="3"/>
      <c r="B10680" s="3"/>
      <c r="C10680" s="3"/>
      <c r="D10680" s="3"/>
      <c r="E10680" s="3">
        <v>17</v>
      </c>
      <c r="F10680" s="4" t="str">
        <f>HYPERLINK("http://141.218.60.56/~jnz1568/getInfo.php?workbook=12_05.xlsx&amp;sheet=U0&amp;row=10680&amp;col=6&amp;number=4.6&amp;sourceID=14","4.6")</f>
        <v>4.6</v>
      </c>
      <c r="G10680" s="4" t="str">
        <f>HYPERLINK("http://141.218.60.56/~jnz1568/getInfo.php?workbook=12_05.xlsx&amp;sheet=U0&amp;row=10680&amp;col=7&amp;number=0.589&amp;sourceID=14","0.589")</f>
        <v>0.589</v>
      </c>
    </row>
    <row r="10681" spans="1:7">
      <c r="A10681" s="3"/>
      <c r="B10681" s="3"/>
      <c r="C10681" s="3"/>
      <c r="D10681" s="3"/>
      <c r="E10681" s="3">
        <v>18</v>
      </c>
      <c r="F10681" s="4" t="str">
        <f>HYPERLINK("http://141.218.60.56/~jnz1568/getInfo.php?workbook=12_05.xlsx&amp;sheet=U0&amp;row=10681&amp;col=6&amp;number=4.7&amp;sourceID=14","4.7")</f>
        <v>4.7</v>
      </c>
      <c r="G10681" s="4" t="str">
        <f>HYPERLINK("http://141.218.60.56/~jnz1568/getInfo.php?workbook=12_05.xlsx&amp;sheet=U0&amp;row=10681&amp;col=7&amp;number=0.586&amp;sourceID=14","0.586")</f>
        <v>0.586</v>
      </c>
    </row>
    <row r="10682" spans="1:7">
      <c r="A10682" s="3"/>
      <c r="B10682" s="3"/>
      <c r="C10682" s="3"/>
      <c r="D10682" s="3"/>
      <c r="E10682" s="3">
        <v>19</v>
      </c>
      <c r="F10682" s="4" t="str">
        <f>HYPERLINK("http://141.218.60.56/~jnz1568/getInfo.php?workbook=12_05.xlsx&amp;sheet=U0&amp;row=10682&amp;col=6&amp;number=4.8&amp;sourceID=14","4.8")</f>
        <v>4.8</v>
      </c>
      <c r="G10682" s="4" t="str">
        <f>HYPERLINK("http://141.218.60.56/~jnz1568/getInfo.php?workbook=12_05.xlsx&amp;sheet=U0&amp;row=10682&amp;col=7&amp;number=0.582&amp;sourceID=14","0.582")</f>
        <v>0.582</v>
      </c>
    </row>
    <row r="10683" spans="1:7">
      <c r="A10683" s="3"/>
      <c r="B10683" s="3"/>
      <c r="C10683" s="3"/>
      <c r="D10683" s="3"/>
      <c r="E10683" s="3">
        <v>20</v>
      </c>
      <c r="F10683" s="4" t="str">
        <f>HYPERLINK("http://141.218.60.56/~jnz1568/getInfo.php?workbook=12_05.xlsx&amp;sheet=U0&amp;row=10683&amp;col=6&amp;number=4.9&amp;sourceID=14","4.9")</f>
        <v>4.9</v>
      </c>
      <c r="G10683" s="4" t="str">
        <f>HYPERLINK("http://141.218.60.56/~jnz1568/getInfo.php?workbook=12_05.xlsx&amp;sheet=U0&amp;row=10683&amp;col=7&amp;number=0.577&amp;sourceID=14","0.577")</f>
        <v>0.577</v>
      </c>
    </row>
    <row r="10684" spans="1:7">
      <c r="A10684" s="3">
        <v>12</v>
      </c>
      <c r="B10684" s="3">
        <v>5</v>
      </c>
      <c r="C10684" s="3">
        <v>5</v>
      </c>
      <c r="D10684" s="3">
        <v>112</v>
      </c>
      <c r="E10684" s="3">
        <v>1</v>
      </c>
      <c r="F10684" s="4" t="str">
        <f>HYPERLINK("http://141.218.60.56/~jnz1568/getInfo.php?workbook=12_05.xlsx&amp;sheet=U0&amp;row=10684&amp;col=6&amp;number=3&amp;sourceID=14","3")</f>
        <v>3</v>
      </c>
      <c r="G10684" s="4" t="str">
        <f>HYPERLINK("http://141.218.60.56/~jnz1568/getInfo.php?workbook=12_05.xlsx&amp;sheet=U0&amp;row=10684&amp;col=7&amp;number=0.0246&amp;sourceID=14","0.0246")</f>
        <v>0.0246</v>
      </c>
    </row>
    <row r="10685" spans="1:7">
      <c r="A10685" s="3"/>
      <c r="B10685" s="3"/>
      <c r="C10685" s="3"/>
      <c r="D10685" s="3"/>
      <c r="E10685" s="3">
        <v>2</v>
      </c>
      <c r="F10685" s="4" t="str">
        <f>HYPERLINK("http://141.218.60.56/~jnz1568/getInfo.php?workbook=12_05.xlsx&amp;sheet=U0&amp;row=10685&amp;col=6&amp;number=3.1&amp;sourceID=14","3.1")</f>
        <v>3.1</v>
      </c>
      <c r="G10685" s="4" t="str">
        <f>HYPERLINK("http://141.218.60.56/~jnz1568/getInfo.php?workbook=12_05.xlsx&amp;sheet=U0&amp;row=10685&amp;col=7&amp;number=0.0246&amp;sourceID=14","0.0246")</f>
        <v>0.0246</v>
      </c>
    </row>
    <row r="10686" spans="1:7">
      <c r="A10686" s="3"/>
      <c r="B10686" s="3"/>
      <c r="C10686" s="3"/>
      <c r="D10686" s="3"/>
      <c r="E10686" s="3">
        <v>3</v>
      </c>
      <c r="F10686" s="4" t="str">
        <f>HYPERLINK("http://141.218.60.56/~jnz1568/getInfo.php?workbook=12_05.xlsx&amp;sheet=U0&amp;row=10686&amp;col=6&amp;number=3.2&amp;sourceID=14","3.2")</f>
        <v>3.2</v>
      </c>
      <c r="G10686" s="4" t="str">
        <f>HYPERLINK("http://141.218.60.56/~jnz1568/getInfo.php?workbook=12_05.xlsx&amp;sheet=U0&amp;row=10686&amp;col=7&amp;number=0.0246&amp;sourceID=14","0.0246")</f>
        <v>0.0246</v>
      </c>
    </row>
    <row r="10687" spans="1:7">
      <c r="A10687" s="3"/>
      <c r="B10687" s="3"/>
      <c r="C10687" s="3"/>
      <c r="D10687" s="3"/>
      <c r="E10687" s="3">
        <v>4</v>
      </c>
      <c r="F10687" s="4" t="str">
        <f>HYPERLINK("http://141.218.60.56/~jnz1568/getInfo.php?workbook=12_05.xlsx&amp;sheet=U0&amp;row=10687&amp;col=6&amp;number=3.3&amp;sourceID=14","3.3")</f>
        <v>3.3</v>
      </c>
      <c r="G10687" s="4" t="str">
        <f>HYPERLINK("http://141.218.60.56/~jnz1568/getInfo.php?workbook=12_05.xlsx&amp;sheet=U0&amp;row=10687&amp;col=7&amp;number=0.0245&amp;sourceID=14","0.0245")</f>
        <v>0.0245</v>
      </c>
    </row>
    <row r="10688" spans="1:7">
      <c r="A10688" s="3"/>
      <c r="B10688" s="3"/>
      <c r="C10688" s="3"/>
      <c r="D10688" s="3"/>
      <c r="E10688" s="3">
        <v>5</v>
      </c>
      <c r="F10688" s="4" t="str">
        <f>HYPERLINK("http://141.218.60.56/~jnz1568/getInfo.php?workbook=12_05.xlsx&amp;sheet=U0&amp;row=10688&amp;col=6&amp;number=3.4&amp;sourceID=14","3.4")</f>
        <v>3.4</v>
      </c>
      <c r="G10688" s="4" t="str">
        <f>HYPERLINK("http://141.218.60.56/~jnz1568/getInfo.php?workbook=12_05.xlsx&amp;sheet=U0&amp;row=10688&amp;col=7&amp;number=0.0245&amp;sourceID=14","0.0245")</f>
        <v>0.0245</v>
      </c>
    </row>
    <row r="10689" spans="1:7">
      <c r="A10689" s="3"/>
      <c r="B10689" s="3"/>
      <c r="C10689" s="3"/>
      <c r="D10689" s="3"/>
      <c r="E10689" s="3">
        <v>6</v>
      </c>
      <c r="F10689" s="4" t="str">
        <f>HYPERLINK("http://141.218.60.56/~jnz1568/getInfo.php?workbook=12_05.xlsx&amp;sheet=U0&amp;row=10689&amp;col=6&amp;number=3.5&amp;sourceID=14","3.5")</f>
        <v>3.5</v>
      </c>
      <c r="G10689" s="4" t="str">
        <f>HYPERLINK("http://141.218.60.56/~jnz1568/getInfo.php?workbook=12_05.xlsx&amp;sheet=U0&amp;row=10689&amp;col=7&amp;number=0.0245&amp;sourceID=14","0.0245")</f>
        <v>0.0245</v>
      </c>
    </row>
    <row r="10690" spans="1:7">
      <c r="A10690" s="3"/>
      <c r="B10690" s="3"/>
      <c r="C10690" s="3"/>
      <c r="D10690" s="3"/>
      <c r="E10690" s="3">
        <v>7</v>
      </c>
      <c r="F10690" s="4" t="str">
        <f>HYPERLINK("http://141.218.60.56/~jnz1568/getInfo.php?workbook=12_05.xlsx&amp;sheet=U0&amp;row=10690&amp;col=6&amp;number=3.6&amp;sourceID=14","3.6")</f>
        <v>3.6</v>
      </c>
      <c r="G10690" s="4" t="str">
        <f>HYPERLINK("http://141.218.60.56/~jnz1568/getInfo.php?workbook=12_05.xlsx&amp;sheet=U0&amp;row=10690&amp;col=7&amp;number=0.0245&amp;sourceID=14","0.0245")</f>
        <v>0.0245</v>
      </c>
    </row>
    <row r="10691" spans="1:7">
      <c r="A10691" s="3"/>
      <c r="B10691" s="3"/>
      <c r="C10691" s="3"/>
      <c r="D10691" s="3"/>
      <c r="E10691" s="3">
        <v>8</v>
      </c>
      <c r="F10691" s="4" t="str">
        <f>HYPERLINK("http://141.218.60.56/~jnz1568/getInfo.php?workbook=12_05.xlsx&amp;sheet=U0&amp;row=10691&amp;col=6&amp;number=3.7&amp;sourceID=14","3.7")</f>
        <v>3.7</v>
      </c>
      <c r="G10691" s="4" t="str">
        <f>HYPERLINK("http://141.218.60.56/~jnz1568/getInfo.php?workbook=12_05.xlsx&amp;sheet=U0&amp;row=10691&amp;col=7&amp;number=0.0244&amp;sourceID=14","0.0244")</f>
        <v>0.0244</v>
      </c>
    </row>
    <row r="10692" spans="1:7">
      <c r="A10692" s="3"/>
      <c r="B10692" s="3"/>
      <c r="C10692" s="3"/>
      <c r="D10692" s="3"/>
      <c r="E10692" s="3">
        <v>9</v>
      </c>
      <c r="F10692" s="4" t="str">
        <f>HYPERLINK("http://141.218.60.56/~jnz1568/getInfo.php?workbook=12_05.xlsx&amp;sheet=U0&amp;row=10692&amp;col=6&amp;number=3.8&amp;sourceID=14","3.8")</f>
        <v>3.8</v>
      </c>
      <c r="G10692" s="4" t="str">
        <f>HYPERLINK("http://141.218.60.56/~jnz1568/getInfo.php?workbook=12_05.xlsx&amp;sheet=U0&amp;row=10692&amp;col=7&amp;number=0.0244&amp;sourceID=14","0.0244")</f>
        <v>0.0244</v>
      </c>
    </row>
    <row r="10693" spans="1:7">
      <c r="A10693" s="3"/>
      <c r="B10693" s="3"/>
      <c r="C10693" s="3"/>
      <c r="D10693" s="3"/>
      <c r="E10693" s="3">
        <v>10</v>
      </c>
      <c r="F10693" s="4" t="str">
        <f>HYPERLINK("http://141.218.60.56/~jnz1568/getInfo.php?workbook=12_05.xlsx&amp;sheet=U0&amp;row=10693&amp;col=6&amp;number=3.9&amp;sourceID=14","3.9")</f>
        <v>3.9</v>
      </c>
      <c r="G10693" s="4" t="str">
        <f>HYPERLINK("http://141.218.60.56/~jnz1568/getInfo.php?workbook=12_05.xlsx&amp;sheet=U0&amp;row=10693&amp;col=7&amp;number=0.0244&amp;sourceID=14","0.0244")</f>
        <v>0.0244</v>
      </c>
    </row>
    <row r="10694" spans="1:7">
      <c r="A10694" s="3"/>
      <c r="B10694" s="3"/>
      <c r="C10694" s="3"/>
      <c r="D10694" s="3"/>
      <c r="E10694" s="3">
        <v>11</v>
      </c>
      <c r="F10694" s="4" t="str">
        <f>HYPERLINK("http://141.218.60.56/~jnz1568/getInfo.php?workbook=12_05.xlsx&amp;sheet=U0&amp;row=10694&amp;col=6&amp;number=4&amp;sourceID=14","4")</f>
        <v>4</v>
      </c>
      <c r="G10694" s="4" t="str">
        <f>HYPERLINK("http://141.218.60.56/~jnz1568/getInfo.php?workbook=12_05.xlsx&amp;sheet=U0&amp;row=10694&amp;col=7&amp;number=0.0243&amp;sourceID=14","0.0243")</f>
        <v>0.0243</v>
      </c>
    </row>
    <row r="10695" spans="1:7">
      <c r="A10695" s="3"/>
      <c r="B10695" s="3"/>
      <c r="C10695" s="3"/>
      <c r="D10695" s="3"/>
      <c r="E10695" s="3">
        <v>12</v>
      </c>
      <c r="F10695" s="4" t="str">
        <f>HYPERLINK("http://141.218.60.56/~jnz1568/getInfo.php?workbook=12_05.xlsx&amp;sheet=U0&amp;row=10695&amp;col=6&amp;number=4.1&amp;sourceID=14","4.1")</f>
        <v>4.1</v>
      </c>
      <c r="G10695" s="4" t="str">
        <f>HYPERLINK("http://141.218.60.56/~jnz1568/getInfo.php?workbook=12_05.xlsx&amp;sheet=U0&amp;row=10695&amp;col=7&amp;number=0.0242&amp;sourceID=14","0.0242")</f>
        <v>0.0242</v>
      </c>
    </row>
    <row r="10696" spans="1:7">
      <c r="A10696" s="3"/>
      <c r="B10696" s="3"/>
      <c r="C10696" s="3"/>
      <c r="D10696" s="3"/>
      <c r="E10696" s="3">
        <v>13</v>
      </c>
      <c r="F10696" s="4" t="str">
        <f>HYPERLINK("http://141.218.60.56/~jnz1568/getInfo.php?workbook=12_05.xlsx&amp;sheet=U0&amp;row=10696&amp;col=6&amp;number=4.2&amp;sourceID=14","4.2")</f>
        <v>4.2</v>
      </c>
      <c r="G10696" s="4" t="str">
        <f>HYPERLINK("http://141.218.60.56/~jnz1568/getInfo.php?workbook=12_05.xlsx&amp;sheet=U0&amp;row=10696&amp;col=7&amp;number=0.0241&amp;sourceID=14","0.0241")</f>
        <v>0.0241</v>
      </c>
    </row>
    <row r="10697" spans="1:7">
      <c r="A10697" s="3"/>
      <c r="B10697" s="3"/>
      <c r="C10697" s="3"/>
      <c r="D10697" s="3"/>
      <c r="E10697" s="3">
        <v>14</v>
      </c>
      <c r="F10697" s="4" t="str">
        <f>HYPERLINK("http://141.218.60.56/~jnz1568/getInfo.php?workbook=12_05.xlsx&amp;sheet=U0&amp;row=10697&amp;col=6&amp;number=4.3&amp;sourceID=14","4.3")</f>
        <v>4.3</v>
      </c>
      <c r="G10697" s="4" t="str">
        <f>HYPERLINK("http://141.218.60.56/~jnz1568/getInfo.php?workbook=12_05.xlsx&amp;sheet=U0&amp;row=10697&amp;col=7&amp;number=0.024&amp;sourceID=14","0.024")</f>
        <v>0.024</v>
      </c>
    </row>
    <row r="10698" spans="1:7">
      <c r="A10698" s="3"/>
      <c r="B10698" s="3"/>
      <c r="C10698" s="3"/>
      <c r="D10698" s="3"/>
      <c r="E10698" s="3">
        <v>15</v>
      </c>
      <c r="F10698" s="4" t="str">
        <f>HYPERLINK("http://141.218.60.56/~jnz1568/getInfo.php?workbook=12_05.xlsx&amp;sheet=U0&amp;row=10698&amp;col=6&amp;number=4.4&amp;sourceID=14","4.4")</f>
        <v>4.4</v>
      </c>
      <c r="G10698" s="4" t="str">
        <f>HYPERLINK("http://141.218.60.56/~jnz1568/getInfo.php?workbook=12_05.xlsx&amp;sheet=U0&amp;row=10698&amp;col=7&amp;number=0.0239&amp;sourceID=14","0.0239")</f>
        <v>0.0239</v>
      </c>
    </row>
    <row r="10699" spans="1:7">
      <c r="A10699" s="3"/>
      <c r="B10699" s="3"/>
      <c r="C10699" s="3"/>
      <c r="D10699" s="3"/>
      <c r="E10699" s="3">
        <v>16</v>
      </c>
      <c r="F10699" s="4" t="str">
        <f>HYPERLINK("http://141.218.60.56/~jnz1568/getInfo.php?workbook=12_05.xlsx&amp;sheet=U0&amp;row=10699&amp;col=6&amp;number=4.5&amp;sourceID=14","4.5")</f>
        <v>4.5</v>
      </c>
      <c r="G10699" s="4" t="str">
        <f>HYPERLINK("http://141.218.60.56/~jnz1568/getInfo.php?workbook=12_05.xlsx&amp;sheet=U0&amp;row=10699&amp;col=7&amp;number=0.0237&amp;sourceID=14","0.0237")</f>
        <v>0.0237</v>
      </c>
    </row>
    <row r="10700" spans="1:7">
      <c r="A10700" s="3"/>
      <c r="B10700" s="3"/>
      <c r="C10700" s="3"/>
      <c r="D10700" s="3"/>
      <c r="E10700" s="3">
        <v>17</v>
      </c>
      <c r="F10700" s="4" t="str">
        <f>HYPERLINK("http://141.218.60.56/~jnz1568/getInfo.php?workbook=12_05.xlsx&amp;sheet=U0&amp;row=10700&amp;col=6&amp;number=4.6&amp;sourceID=14","4.6")</f>
        <v>4.6</v>
      </c>
      <c r="G10700" s="4" t="str">
        <f>HYPERLINK("http://141.218.60.56/~jnz1568/getInfo.php?workbook=12_05.xlsx&amp;sheet=U0&amp;row=10700&amp;col=7&amp;number=0.0234&amp;sourceID=14","0.0234")</f>
        <v>0.0234</v>
      </c>
    </row>
    <row r="10701" spans="1:7">
      <c r="A10701" s="3"/>
      <c r="B10701" s="3"/>
      <c r="C10701" s="3"/>
      <c r="D10701" s="3"/>
      <c r="E10701" s="3">
        <v>18</v>
      </c>
      <c r="F10701" s="4" t="str">
        <f>HYPERLINK("http://141.218.60.56/~jnz1568/getInfo.php?workbook=12_05.xlsx&amp;sheet=U0&amp;row=10701&amp;col=6&amp;number=4.7&amp;sourceID=14","4.7")</f>
        <v>4.7</v>
      </c>
      <c r="G10701" s="4" t="str">
        <f>HYPERLINK("http://141.218.60.56/~jnz1568/getInfo.php?workbook=12_05.xlsx&amp;sheet=U0&amp;row=10701&amp;col=7&amp;number=0.0232&amp;sourceID=14","0.0232")</f>
        <v>0.0232</v>
      </c>
    </row>
    <row r="10702" spans="1:7">
      <c r="A10702" s="3"/>
      <c r="B10702" s="3"/>
      <c r="C10702" s="3"/>
      <c r="D10702" s="3"/>
      <c r="E10702" s="3">
        <v>19</v>
      </c>
      <c r="F10702" s="4" t="str">
        <f>HYPERLINK("http://141.218.60.56/~jnz1568/getInfo.php?workbook=12_05.xlsx&amp;sheet=U0&amp;row=10702&amp;col=6&amp;number=4.8&amp;sourceID=14","4.8")</f>
        <v>4.8</v>
      </c>
      <c r="G10702" s="4" t="str">
        <f>HYPERLINK("http://141.218.60.56/~jnz1568/getInfo.php?workbook=12_05.xlsx&amp;sheet=U0&amp;row=10702&amp;col=7&amp;number=0.0228&amp;sourceID=14","0.0228")</f>
        <v>0.0228</v>
      </c>
    </row>
    <row r="10703" spans="1:7">
      <c r="A10703" s="3"/>
      <c r="B10703" s="3"/>
      <c r="C10703" s="3"/>
      <c r="D10703" s="3"/>
      <c r="E10703" s="3">
        <v>20</v>
      </c>
      <c r="F10703" s="4" t="str">
        <f>HYPERLINK("http://141.218.60.56/~jnz1568/getInfo.php?workbook=12_05.xlsx&amp;sheet=U0&amp;row=10703&amp;col=6&amp;number=4.9&amp;sourceID=14","4.9")</f>
        <v>4.9</v>
      </c>
      <c r="G10703" s="4" t="str">
        <f>HYPERLINK("http://141.218.60.56/~jnz1568/getInfo.php?workbook=12_05.xlsx&amp;sheet=U0&amp;row=10703&amp;col=7&amp;number=0.0224&amp;sourceID=14","0.0224")</f>
        <v>0.0224</v>
      </c>
    </row>
    <row r="10704" spans="1:7">
      <c r="A10704" s="3">
        <v>12</v>
      </c>
      <c r="B10704" s="3">
        <v>5</v>
      </c>
      <c r="C10704" s="3">
        <v>5</v>
      </c>
      <c r="D10704" s="3">
        <v>113</v>
      </c>
      <c r="E10704" s="3">
        <v>1</v>
      </c>
      <c r="F10704" s="4" t="str">
        <f>HYPERLINK("http://141.218.60.56/~jnz1568/getInfo.php?workbook=12_05.xlsx&amp;sheet=U0&amp;row=10704&amp;col=6&amp;number=3&amp;sourceID=14","3")</f>
        <v>3</v>
      </c>
      <c r="G10704" s="4" t="str">
        <f>HYPERLINK("http://141.218.60.56/~jnz1568/getInfo.php?workbook=12_05.xlsx&amp;sheet=U0&amp;row=10704&amp;col=7&amp;number=0.000875&amp;sourceID=14","0.000875")</f>
        <v>0.000875</v>
      </c>
    </row>
    <row r="10705" spans="1:7">
      <c r="A10705" s="3"/>
      <c r="B10705" s="3"/>
      <c r="C10705" s="3"/>
      <c r="D10705" s="3"/>
      <c r="E10705" s="3">
        <v>2</v>
      </c>
      <c r="F10705" s="4" t="str">
        <f>HYPERLINK("http://141.218.60.56/~jnz1568/getInfo.php?workbook=12_05.xlsx&amp;sheet=U0&amp;row=10705&amp;col=6&amp;number=3.1&amp;sourceID=14","3.1")</f>
        <v>3.1</v>
      </c>
      <c r="G10705" s="4" t="str">
        <f>HYPERLINK("http://141.218.60.56/~jnz1568/getInfo.php?workbook=12_05.xlsx&amp;sheet=U0&amp;row=10705&amp;col=7&amp;number=0.000875&amp;sourceID=14","0.000875")</f>
        <v>0.000875</v>
      </c>
    </row>
    <row r="10706" spans="1:7">
      <c r="A10706" s="3"/>
      <c r="B10706" s="3"/>
      <c r="C10706" s="3"/>
      <c r="D10706" s="3"/>
      <c r="E10706" s="3">
        <v>3</v>
      </c>
      <c r="F10706" s="4" t="str">
        <f>HYPERLINK("http://141.218.60.56/~jnz1568/getInfo.php?workbook=12_05.xlsx&amp;sheet=U0&amp;row=10706&amp;col=6&amp;number=3.2&amp;sourceID=14","3.2")</f>
        <v>3.2</v>
      </c>
      <c r="G10706" s="4" t="str">
        <f>HYPERLINK("http://141.218.60.56/~jnz1568/getInfo.php?workbook=12_05.xlsx&amp;sheet=U0&amp;row=10706&amp;col=7&amp;number=0.000874&amp;sourceID=14","0.000874")</f>
        <v>0.000874</v>
      </c>
    </row>
    <row r="10707" spans="1:7">
      <c r="A10707" s="3"/>
      <c r="B10707" s="3"/>
      <c r="C10707" s="3"/>
      <c r="D10707" s="3"/>
      <c r="E10707" s="3">
        <v>4</v>
      </c>
      <c r="F10707" s="4" t="str">
        <f>HYPERLINK("http://141.218.60.56/~jnz1568/getInfo.php?workbook=12_05.xlsx&amp;sheet=U0&amp;row=10707&amp;col=6&amp;number=3.3&amp;sourceID=14","3.3")</f>
        <v>3.3</v>
      </c>
      <c r="G10707" s="4" t="str">
        <f>HYPERLINK("http://141.218.60.56/~jnz1568/getInfo.php?workbook=12_05.xlsx&amp;sheet=U0&amp;row=10707&amp;col=7&amp;number=0.000874&amp;sourceID=14","0.000874")</f>
        <v>0.000874</v>
      </c>
    </row>
    <row r="10708" spans="1:7">
      <c r="A10708" s="3"/>
      <c r="B10708" s="3"/>
      <c r="C10708" s="3"/>
      <c r="D10708" s="3"/>
      <c r="E10708" s="3">
        <v>5</v>
      </c>
      <c r="F10708" s="4" t="str">
        <f>HYPERLINK("http://141.218.60.56/~jnz1568/getInfo.php?workbook=12_05.xlsx&amp;sheet=U0&amp;row=10708&amp;col=6&amp;number=3.4&amp;sourceID=14","3.4")</f>
        <v>3.4</v>
      </c>
      <c r="G10708" s="4" t="str">
        <f>HYPERLINK("http://141.218.60.56/~jnz1568/getInfo.php?workbook=12_05.xlsx&amp;sheet=U0&amp;row=10708&amp;col=7&amp;number=0.000873&amp;sourceID=14","0.000873")</f>
        <v>0.000873</v>
      </c>
    </row>
    <row r="10709" spans="1:7">
      <c r="A10709" s="3"/>
      <c r="B10709" s="3"/>
      <c r="C10709" s="3"/>
      <c r="D10709" s="3"/>
      <c r="E10709" s="3">
        <v>6</v>
      </c>
      <c r="F10709" s="4" t="str">
        <f>HYPERLINK("http://141.218.60.56/~jnz1568/getInfo.php?workbook=12_05.xlsx&amp;sheet=U0&amp;row=10709&amp;col=6&amp;number=3.5&amp;sourceID=14","3.5")</f>
        <v>3.5</v>
      </c>
      <c r="G10709" s="4" t="str">
        <f>HYPERLINK("http://141.218.60.56/~jnz1568/getInfo.php?workbook=12_05.xlsx&amp;sheet=U0&amp;row=10709&amp;col=7&amp;number=0.000873&amp;sourceID=14","0.000873")</f>
        <v>0.000873</v>
      </c>
    </row>
    <row r="10710" spans="1:7">
      <c r="A10710" s="3"/>
      <c r="B10710" s="3"/>
      <c r="C10710" s="3"/>
      <c r="D10710" s="3"/>
      <c r="E10710" s="3">
        <v>7</v>
      </c>
      <c r="F10710" s="4" t="str">
        <f>HYPERLINK("http://141.218.60.56/~jnz1568/getInfo.php?workbook=12_05.xlsx&amp;sheet=U0&amp;row=10710&amp;col=6&amp;number=3.6&amp;sourceID=14","3.6")</f>
        <v>3.6</v>
      </c>
      <c r="G10710" s="4" t="str">
        <f>HYPERLINK("http://141.218.60.56/~jnz1568/getInfo.php?workbook=12_05.xlsx&amp;sheet=U0&amp;row=10710&amp;col=7&amp;number=0.000872&amp;sourceID=14","0.000872")</f>
        <v>0.000872</v>
      </c>
    </row>
    <row r="10711" spans="1:7">
      <c r="A10711" s="3"/>
      <c r="B10711" s="3"/>
      <c r="C10711" s="3"/>
      <c r="D10711" s="3"/>
      <c r="E10711" s="3">
        <v>8</v>
      </c>
      <c r="F10711" s="4" t="str">
        <f>HYPERLINK("http://141.218.60.56/~jnz1568/getInfo.php?workbook=12_05.xlsx&amp;sheet=U0&amp;row=10711&amp;col=6&amp;number=3.7&amp;sourceID=14","3.7")</f>
        <v>3.7</v>
      </c>
      <c r="G10711" s="4" t="str">
        <f>HYPERLINK("http://141.218.60.56/~jnz1568/getInfo.php?workbook=12_05.xlsx&amp;sheet=U0&amp;row=10711&amp;col=7&amp;number=0.000871&amp;sourceID=14","0.000871")</f>
        <v>0.000871</v>
      </c>
    </row>
    <row r="10712" spans="1:7">
      <c r="A10712" s="3"/>
      <c r="B10712" s="3"/>
      <c r="C10712" s="3"/>
      <c r="D10712" s="3"/>
      <c r="E10712" s="3">
        <v>9</v>
      </c>
      <c r="F10712" s="4" t="str">
        <f>HYPERLINK("http://141.218.60.56/~jnz1568/getInfo.php?workbook=12_05.xlsx&amp;sheet=U0&amp;row=10712&amp;col=6&amp;number=3.8&amp;sourceID=14","3.8")</f>
        <v>3.8</v>
      </c>
      <c r="G10712" s="4" t="str">
        <f>HYPERLINK("http://141.218.60.56/~jnz1568/getInfo.php?workbook=12_05.xlsx&amp;sheet=U0&amp;row=10712&amp;col=7&amp;number=0.00087&amp;sourceID=14","0.00087")</f>
        <v>0.00087</v>
      </c>
    </row>
    <row r="10713" spans="1:7">
      <c r="A10713" s="3"/>
      <c r="B10713" s="3"/>
      <c r="C10713" s="3"/>
      <c r="D10713" s="3"/>
      <c r="E10713" s="3">
        <v>10</v>
      </c>
      <c r="F10713" s="4" t="str">
        <f>HYPERLINK("http://141.218.60.56/~jnz1568/getInfo.php?workbook=12_05.xlsx&amp;sheet=U0&amp;row=10713&amp;col=6&amp;number=3.9&amp;sourceID=14","3.9")</f>
        <v>3.9</v>
      </c>
      <c r="G10713" s="4" t="str">
        <f>HYPERLINK("http://141.218.60.56/~jnz1568/getInfo.php?workbook=12_05.xlsx&amp;sheet=U0&amp;row=10713&amp;col=7&amp;number=0.000869&amp;sourceID=14","0.000869")</f>
        <v>0.000869</v>
      </c>
    </row>
    <row r="10714" spans="1:7">
      <c r="A10714" s="3"/>
      <c r="B10714" s="3"/>
      <c r="C10714" s="3"/>
      <c r="D10714" s="3"/>
      <c r="E10714" s="3">
        <v>11</v>
      </c>
      <c r="F10714" s="4" t="str">
        <f>HYPERLINK("http://141.218.60.56/~jnz1568/getInfo.php?workbook=12_05.xlsx&amp;sheet=U0&amp;row=10714&amp;col=6&amp;number=4&amp;sourceID=14","4")</f>
        <v>4</v>
      </c>
      <c r="G10714" s="4" t="str">
        <f>HYPERLINK("http://141.218.60.56/~jnz1568/getInfo.php?workbook=12_05.xlsx&amp;sheet=U0&amp;row=10714&amp;col=7&amp;number=0.000867&amp;sourceID=14","0.000867")</f>
        <v>0.000867</v>
      </c>
    </row>
    <row r="10715" spans="1:7">
      <c r="A10715" s="3"/>
      <c r="B10715" s="3"/>
      <c r="C10715" s="3"/>
      <c r="D10715" s="3"/>
      <c r="E10715" s="3">
        <v>12</v>
      </c>
      <c r="F10715" s="4" t="str">
        <f>HYPERLINK("http://141.218.60.56/~jnz1568/getInfo.php?workbook=12_05.xlsx&amp;sheet=U0&amp;row=10715&amp;col=6&amp;number=4.1&amp;sourceID=14","4.1")</f>
        <v>4.1</v>
      </c>
      <c r="G10715" s="4" t="str">
        <f>HYPERLINK("http://141.218.60.56/~jnz1568/getInfo.php?workbook=12_05.xlsx&amp;sheet=U0&amp;row=10715&amp;col=7&amp;number=0.000864&amp;sourceID=14","0.000864")</f>
        <v>0.000864</v>
      </c>
    </row>
    <row r="10716" spans="1:7">
      <c r="A10716" s="3"/>
      <c r="B10716" s="3"/>
      <c r="C10716" s="3"/>
      <c r="D10716" s="3"/>
      <c r="E10716" s="3">
        <v>13</v>
      </c>
      <c r="F10716" s="4" t="str">
        <f>HYPERLINK("http://141.218.60.56/~jnz1568/getInfo.php?workbook=12_05.xlsx&amp;sheet=U0&amp;row=10716&amp;col=6&amp;number=4.2&amp;sourceID=14","4.2")</f>
        <v>4.2</v>
      </c>
      <c r="G10716" s="4" t="str">
        <f>HYPERLINK("http://141.218.60.56/~jnz1568/getInfo.php?workbook=12_05.xlsx&amp;sheet=U0&amp;row=10716&amp;col=7&amp;number=0.000861&amp;sourceID=14","0.000861")</f>
        <v>0.000861</v>
      </c>
    </row>
    <row r="10717" spans="1:7">
      <c r="A10717" s="3"/>
      <c r="B10717" s="3"/>
      <c r="C10717" s="3"/>
      <c r="D10717" s="3"/>
      <c r="E10717" s="3">
        <v>14</v>
      </c>
      <c r="F10717" s="4" t="str">
        <f>HYPERLINK("http://141.218.60.56/~jnz1568/getInfo.php?workbook=12_05.xlsx&amp;sheet=U0&amp;row=10717&amp;col=6&amp;number=4.3&amp;sourceID=14","4.3")</f>
        <v>4.3</v>
      </c>
      <c r="G10717" s="4" t="str">
        <f>HYPERLINK("http://141.218.60.56/~jnz1568/getInfo.php?workbook=12_05.xlsx&amp;sheet=U0&amp;row=10717&amp;col=7&amp;number=0.000858&amp;sourceID=14","0.000858")</f>
        <v>0.000858</v>
      </c>
    </row>
    <row r="10718" spans="1:7">
      <c r="A10718" s="3"/>
      <c r="B10718" s="3"/>
      <c r="C10718" s="3"/>
      <c r="D10718" s="3"/>
      <c r="E10718" s="3">
        <v>15</v>
      </c>
      <c r="F10718" s="4" t="str">
        <f>HYPERLINK("http://141.218.60.56/~jnz1568/getInfo.php?workbook=12_05.xlsx&amp;sheet=U0&amp;row=10718&amp;col=6&amp;number=4.4&amp;sourceID=14","4.4")</f>
        <v>4.4</v>
      </c>
      <c r="G10718" s="4" t="str">
        <f>HYPERLINK("http://141.218.60.56/~jnz1568/getInfo.php?workbook=12_05.xlsx&amp;sheet=U0&amp;row=10718&amp;col=7&amp;number=0.000853&amp;sourceID=14","0.000853")</f>
        <v>0.000853</v>
      </c>
    </row>
    <row r="10719" spans="1:7">
      <c r="A10719" s="3"/>
      <c r="B10719" s="3"/>
      <c r="C10719" s="3"/>
      <c r="D10719" s="3"/>
      <c r="E10719" s="3">
        <v>16</v>
      </c>
      <c r="F10719" s="4" t="str">
        <f>HYPERLINK("http://141.218.60.56/~jnz1568/getInfo.php?workbook=12_05.xlsx&amp;sheet=U0&amp;row=10719&amp;col=6&amp;number=4.5&amp;sourceID=14","4.5")</f>
        <v>4.5</v>
      </c>
      <c r="G10719" s="4" t="str">
        <f>HYPERLINK("http://141.218.60.56/~jnz1568/getInfo.php?workbook=12_05.xlsx&amp;sheet=U0&amp;row=10719&amp;col=7&amp;number=0.000847&amp;sourceID=14","0.000847")</f>
        <v>0.000847</v>
      </c>
    </row>
    <row r="10720" spans="1:7">
      <c r="A10720" s="3"/>
      <c r="B10720" s="3"/>
      <c r="C10720" s="3"/>
      <c r="D10720" s="3"/>
      <c r="E10720" s="3">
        <v>17</v>
      </c>
      <c r="F10720" s="4" t="str">
        <f>HYPERLINK("http://141.218.60.56/~jnz1568/getInfo.php?workbook=12_05.xlsx&amp;sheet=U0&amp;row=10720&amp;col=6&amp;number=4.6&amp;sourceID=14","4.6")</f>
        <v>4.6</v>
      </c>
      <c r="G10720" s="4" t="str">
        <f>HYPERLINK("http://141.218.60.56/~jnz1568/getInfo.php?workbook=12_05.xlsx&amp;sheet=U0&amp;row=10720&amp;col=7&amp;number=0.00084&amp;sourceID=14","0.00084")</f>
        <v>0.00084</v>
      </c>
    </row>
    <row r="10721" spans="1:7">
      <c r="A10721" s="3"/>
      <c r="B10721" s="3"/>
      <c r="C10721" s="3"/>
      <c r="D10721" s="3"/>
      <c r="E10721" s="3">
        <v>18</v>
      </c>
      <c r="F10721" s="4" t="str">
        <f>HYPERLINK("http://141.218.60.56/~jnz1568/getInfo.php?workbook=12_05.xlsx&amp;sheet=U0&amp;row=10721&amp;col=6&amp;number=4.7&amp;sourceID=14","4.7")</f>
        <v>4.7</v>
      </c>
      <c r="G10721" s="4" t="str">
        <f>HYPERLINK("http://141.218.60.56/~jnz1568/getInfo.php?workbook=12_05.xlsx&amp;sheet=U0&amp;row=10721&amp;col=7&amp;number=0.000831&amp;sourceID=14","0.000831")</f>
        <v>0.000831</v>
      </c>
    </row>
    <row r="10722" spans="1:7">
      <c r="A10722" s="3"/>
      <c r="B10722" s="3"/>
      <c r="C10722" s="3"/>
      <c r="D10722" s="3"/>
      <c r="E10722" s="3">
        <v>19</v>
      </c>
      <c r="F10722" s="4" t="str">
        <f>HYPERLINK("http://141.218.60.56/~jnz1568/getInfo.php?workbook=12_05.xlsx&amp;sheet=U0&amp;row=10722&amp;col=6&amp;number=4.8&amp;sourceID=14","4.8")</f>
        <v>4.8</v>
      </c>
      <c r="G10722" s="4" t="str">
        <f>HYPERLINK("http://141.218.60.56/~jnz1568/getInfo.php?workbook=12_05.xlsx&amp;sheet=U0&amp;row=10722&amp;col=7&amp;number=0.00082&amp;sourceID=14","0.00082")</f>
        <v>0.00082</v>
      </c>
    </row>
    <row r="10723" spans="1:7">
      <c r="A10723" s="3"/>
      <c r="B10723" s="3"/>
      <c r="C10723" s="3"/>
      <c r="D10723" s="3"/>
      <c r="E10723" s="3">
        <v>20</v>
      </c>
      <c r="F10723" s="4" t="str">
        <f>HYPERLINK("http://141.218.60.56/~jnz1568/getInfo.php?workbook=12_05.xlsx&amp;sheet=U0&amp;row=10723&amp;col=6&amp;number=4.9&amp;sourceID=14","4.9")</f>
        <v>4.9</v>
      </c>
      <c r="G10723" s="4" t="str">
        <f>HYPERLINK("http://141.218.60.56/~jnz1568/getInfo.php?workbook=12_05.xlsx&amp;sheet=U0&amp;row=10723&amp;col=7&amp;number=0.000807&amp;sourceID=14","0.000807")</f>
        <v>0.000807</v>
      </c>
    </row>
    <row r="10724" spans="1:7">
      <c r="A10724" s="3">
        <v>12</v>
      </c>
      <c r="B10724" s="3">
        <v>5</v>
      </c>
      <c r="C10724" s="3">
        <v>5</v>
      </c>
      <c r="D10724" s="3">
        <v>114</v>
      </c>
      <c r="E10724" s="3">
        <v>1</v>
      </c>
      <c r="F10724" s="4" t="str">
        <f>HYPERLINK("http://141.218.60.56/~jnz1568/getInfo.php?workbook=12_05.xlsx&amp;sheet=U0&amp;row=10724&amp;col=6&amp;number=3&amp;sourceID=14","3")</f>
        <v>3</v>
      </c>
      <c r="G10724" s="4" t="str">
        <f>HYPERLINK("http://141.218.60.56/~jnz1568/getInfo.php?workbook=12_05.xlsx&amp;sheet=U0&amp;row=10724&amp;col=7&amp;number=0.00374&amp;sourceID=14","0.00374")</f>
        <v>0.00374</v>
      </c>
    </row>
    <row r="10725" spans="1:7">
      <c r="A10725" s="3"/>
      <c r="B10725" s="3"/>
      <c r="C10725" s="3"/>
      <c r="D10725" s="3"/>
      <c r="E10725" s="3">
        <v>2</v>
      </c>
      <c r="F10725" s="4" t="str">
        <f>HYPERLINK("http://141.218.60.56/~jnz1568/getInfo.php?workbook=12_05.xlsx&amp;sheet=U0&amp;row=10725&amp;col=6&amp;number=3.1&amp;sourceID=14","3.1")</f>
        <v>3.1</v>
      </c>
      <c r="G10725" s="4" t="str">
        <f>HYPERLINK("http://141.218.60.56/~jnz1568/getInfo.php?workbook=12_05.xlsx&amp;sheet=U0&amp;row=10725&amp;col=7&amp;number=0.00374&amp;sourceID=14","0.00374")</f>
        <v>0.00374</v>
      </c>
    </row>
    <row r="10726" spans="1:7">
      <c r="A10726" s="3"/>
      <c r="B10726" s="3"/>
      <c r="C10726" s="3"/>
      <c r="D10726" s="3"/>
      <c r="E10726" s="3">
        <v>3</v>
      </c>
      <c r="F10726" s="4" t="str">
        <f>HYPERLINK("http://141.218.60.56/~jnz1568/getInfo.php?workbook=12_05.xlsx&amp;sheet=U0&amp;row=10726&amp;col=6&amp;number=3.2&amp;sourceID=14","3.2")</f>
        <v>3.2</v>
      </c>
      <c r="G10726" s="4" t="str">
        <f>HYPERLINK("http://141.218.60.56/~jnz1568/getInfo.php?workbook=12_05.xlsx&amp;sheet=U0&amp;row=10726&amp;col=7&amp;number=0.00374&amp;sourceID=14","0.00374")</f>
        <v>0.00374</v>
      </c>
    </row>
    <row r="10727" spans="1:7">
      <c r="A10727" s="3"/>
      <c r="B10727" s="3"/>
      <c r="C10727" s="3"/>
      <c r="D10727" s="3"/>
      <c r="E10727" s="3">
        <v>4</v>
      </c>
      <c r="F10727" s="4" t="str">
        <f>HYPERLINK("http://141.218.60.56/~jnz1568/getInfo.php?workbook=12_05.xlsx&amp;sheet=U0&amp;row=10727&amp;col=6&amp;number=3.3&amp;sourceID=14","3.3")</f>
        <v>3.3</v>
      </c>
      <c r="G10727" s="4" t="str">
        <f>HYPERLINK("http://141.218.60.56/~jnz1568/getInfo.php?workbook=12_05.xlsx&amp;sheet=U0&amp;row=10727&amp;col=7&amp;number=0.00374&amp;sourceID=14","0.00374")</f>
        <v>0.00374</v>
      </c>
    </row>
    <row r="10728" spans="1:7">
      <c r="A10728" s="3"/>
      <c r="B10728" s="3"/>
      <c r="C10728" s="3"/>
      <c r="D10728" s="3"/>
      <c r="E10728" s="3">
        <v>5</v>
      </c>
      <c r="F10728" s="4" t="str">
        <f>HYPERLINK("http://141.218.60.56/~jnz1568/getInfo.php?workbook=12_05.xlsx&amp;sheet=U0&amp;row=10728&amp;col=6&amp;number=3.4&amp;sourceID=14","3.4")</f>
        <v>3.4</v>
      </c>
      <c r="G10728" s="4" t="str">
        <f>HYPERLINK("http://141.218.60.56/~jnz1568/getInfo.php?workbook=12_05.xlsx&amp;sheet=U0&amp;row=10728&amp;col=7&amp;number=0.00375&amp;sourceID=14","0.00375")</f>
        <v>0.00375</v>
      </c>
    </row>
    <row r="10729" spans="1:7">
      <c r="A10729" s="3"/>
      <c r="B10729" s="3"/>
      <c r="C10729" s="3"/>
      <c r="D10729" s="3"/>
      <c r="E10729" s="3">
        <v>6</v>
      </c>
      <c r="F10729" s="4" t="str">
        <f>HYPERLINK("http://141.218.60.56/~jnz1568/getInfo.php?workbook=12_05.xlsx&amp;sheet=U0&amp;row=10729&amp;col=6&amp;number=3.5&amp;sourceID=14","3.5")</f>
        <v>3.5</v>
      </c>
      <c r="G10729" s="4" t="str">
        <f>HYPERLINK("http://141.218.60.56/~jnz1568/getInfo.php?workbook=12_05.xlsx&amp;sheet=U0&amp;row=10729&amp;col=7&amp;number=0.00375&amp;sourceID=14","0.00375")</f>
        <v>0.00375</v>
      </c>
    </row>
    <row r="10730" spans="1:7">
      <c r="A10730" s="3"/>
      <c r="B10730" s="3"/>
      <c r="C10730" s="3"/>
      <c r="D10730" s="3"/>
      <c r="E10730" s="3">
        <v>7</v>
      </c>
      <c r="F10730" s="4" t="str">
        <f>HYPERLINK("http://141.218.60.56/~jnz1568/getInfo.php?workbook=12_05.xlsx&amp;sheet=U0&amp;row=10730&amp;col=6&amp;number=3.6&amp;sourceID=14","3.6")</f>
        <v>3.6</v>
      </c>
      <c r="G10730" s="4" t="str">
        <f>HYPERLINK("http://141.218.60.56/~jnz1568/getInfo.php?workbook=12_05.xlsx&amp;sheet=U0&amp;row=10730&amp;col=7&amp;number=0.00375&amp;sourceID=14","0.00375")</f>
        <v>0.00375</v>
      </c>
    </row>
    <row r="10731" spans="1:7">
      <c r="A10731" s="3"/>
      <c r="B10731" s="3"/>
      <c r="C10731" s="3"/>
      <c r="D10731" s="3"/>
      <c r="E10731" s="3">
        <v>8</v>
      </c>
      <c r="F10731" s="4" t="str">
        <f>HYPERLINK("http://141.218.60.56/~jnz1568/getInfo.php?workbook=12_05.xlsx&amp;sheet=U0&amp;row=10731&amp;col=6&amp;number=3.7&amp;sourceID=14","3.7")</f>
        <v>3.7</v>
      </c>
      <c r="G10731" s="4" t="str">
        <f>HYPERLINK("http://141.218.60.56/~jnz1568/getInfo.php?workbook=12_05.xlsx&amp;sheet=U0&amp;row=10731&amp;col=7&amp;number=0.00375&amp;sourceID=14","0.00375")</f>
        <v>0.00375</v>
      </c>
    </row>
    <row r="10732" spans="1:7">
      <c r="A10732" s="3"/>
      <c r="B10732" s="3"/>
      <c r="C10732" s="3"/>
      <c r="D10732" s="3"/>
      <c r="E10732" s="3">
        <v>9</v>
      </c>
      <c r="F10732" s="4" t="str">
        <f>HYPERLINK("http://141.218.60.56/~jnz1568/getInfo.php?workbook=12_05.xlsx&amp;sheet=U0&amp;row=10732&amp;col=6&amp;number=3.8&amp;sourceID=14","3.8")</f>
        <v>3.8</v>
      </c>
      <c r="G10732" s="4" t="str">
        <f>HYPERLINK("http://141.218.60.56/~jnz1568/getInfo.php?workbook=12_05.xlsx&amp;sheet=U0&amp;row=10732&amp;col=7&amp;number=0.00375&amp;sourceID=14","0.00375")</f>
        <v>0.00375</v>
      </c>
    </row>
    <row r="10733" spans="1:7">
      <c r="A10733" s="3"/>
      <c r="B10733" s="3"/>
      <c r="C10733" s="3"/>
      <c r="D10733" s="3"/>
      <c r="E10733" s="3">
        <v>10</v>
      </c>
      <c r="F10733" s="4" t="str">
        <f>HYPERLINK("http://141.218.60.56/~jnz1568/getInfo.php?workbook=12_05.xlsx&amp;sheet=U0&amp;row=10733&amp;col=6&amp;number=3.9&amp;sourceID=14","3.9")</f>
        <v>3.9</v>
      </c>
      <c r="G10733" s="4" t="str">
        <f>HYPERLINK("http://141.218.60.56/~jnz1568/getInfo.php?workbook=12_05.xlsx&amp;sheet=U0&amp;row=10733&amp;col=7&amp;number=0.00375&amp;sourceID=14","0.00375")</f>
        <v>0.00375</v>
      </c>
    </row>
    <row r="10734" spans="1:7">
      <c r="A10734" s="3"/>
      <c r="B10734" s="3"/>
      <c r="C10734" s="3"/>
      <c r="D10734" s="3"/>
      <c r="E10734" s="3">
        <v>11</v>
      </c>
      <c r="F10734" s="4" t="str">
        <f>HYPERLINK("http://141.218.60.56/~jnz1568/getInfo.php?workbook=12_05.xlsx&amp;sheet=U0&amp;row=10734&amp;col=6&amp;number=4&amp;sourceID=14","4")</f>
        <v>4</v>
      </c>
      <c r="G10734" s="4" t="str">
        <f>HYPERLINK("http://141.218.60.56/~jnz1568/getInfo.php?workbook=12_05.xlsx&amp;sheet=U0&amp;row=10734&amp;col=7&amp;number=0.00376&amp;sourceID=14","0.00376")</f>
        <v>0.00376</v>
      </c>
    </row>
    <row r="10735" spans="1:7">
      <c r="A10735" s="3"/>
      <c r="B10735" s="3"/>
      <c r="C10735" s="3"/>
      <c r="D10735" s="3"/>
      <c r="E10735" s="3">
        <v>12</v>
      </c>
      <c r="F10735" s="4" t="str">
        <f>HYPERLINK("http://141.218.60.56/~jnz1568/getInfo.php?workbook=12_05.xlsx&amp;sheet=U0&amp;row=10735&amp;col=6&amp;number=4.1&amp;sourceID=14","4.1")</f>
        <v>4.1</v>
      </c>
      <c r="G10735" s="4" t="str">
        <f>HYPERLINK("http://141.218.60.56/~jnz1568/getInfo.php?workbook=12_05.xlsx&amp;sheet=U0&amp;row=10735&amp;col=7&amp;number=0.00376&amp;sourceID=14","0.00376")</f>
        <v>0.00376</v>
      </c>
    </row>
    <row r="10736" spans="1:7">
      <c r="A10736" s="3"/>
      <c r="B10736" s="3"/>
      <c r="C10736" s="3"/>
      <c r="D10736" s="3"/>
      <c r="E10736" s="3">
        <v>13</v>
      </c>
      <c r="F10736" s="4" t="str">
        <f>HYPERLINK("http://141.218.60.56/~jnz1568/getInfo.php?workbook=12_05.xlsx&amp;sheet=U0&amp;row=10736&amp;col=6&amp;number=4.2&amp;sourceID=14","4.2")</f>
        <v>4.2</v>
      </c>
      <c r="G10736" s="4" t="str">
        <f>HYPERLINK("http://141.218.60.56/~jnz1568/getInfo.php?workbook=12_05.xlsx&amp;sheet=U0&amp;row=10736&amp;col=7&amp;number=0.00376&amp;sourceID=14","0.00376")</f>
        <v>0.00376</v>
      </c>
    </row>
    <row r="10737" spans="1:7">
      <c r="A10737" s="3"/>
      <c r="B10737" s="3"/>
      <c r="C10737" s="3"/>
      <c r="D10737" s="3"/>
      <c r="E10737" s="3">
        <v>14</v>
      </c>
      <c r="F10737" s="4" t="str">
        <f>HYPERLINK("http://141.218.60.56/~jnz1568/getInfo.php?workbook=12_05.xlsx&amp;sheet=U0&amp;row=10737&amp;col=6&amp;number=4.3&amp;sourceID=14","4.3")</f>
        <v>4.3</v>
      </c>
      <c r="G10737" s="4" t="str">
        <f>HYPERLINK("http://141.218.60.56/~jnz1568/getInfo.php?workbook=12_05.xlsx&amp;sheet=U0&amp;row=10737&amp;col=7&amp;number=0.00377&amp;sourceID=14","0.00377")</f>
        <v>0.00377</v>
      </c>
    </row>
    <row r="10738" spans="1:7">
      <c r="A10738" s="3"/>
      <c r="B10738" s="3"/>
      <c r="C10738" s="3"/>
      <c r="D10738" s="3"/>
      <c r="E10738" s="3">
        <v>15</v>
      </c>
      <c r="F10738" s="4" t="str">
        <f>HYPERLINK("http://141.218.60.56/~jnz1568/getInfo.php?workbook=12_05.xlsx&amp;sheet=U0&amp;row=10738&amp;col=6&amp;number=4.4&amp;sourceID=14","4.4")</f>
        <v>4.4</v>
      </c>
      <c r="G10738" s="4" t="str">
        <f>HYPERLINK("http://141.218.60.56/~jnz1568/getInfo.php?workbook=12_05.xlsx&amp;sheet=U0&amp;row=10738&amp;col=7&amp;number=0.00378&amp;sourceID=14","0.00378")</f>
        <v>0.00378</v>
      </c>
    </row>
    <row r="10739" spans="1:7">
      <c r="A10739" s="3"/>
      <c r="B10739" s="3"/>
      <c r="C10739" s="3"/>
      <c r="D10739" s="3"/>
      <c r="E10739" s="3">
        <v>16</v>
      </c>
      <c r="F10739" s="4" t="str">
        <f>HYPERLINK("http://141.218.60.56/~jnz1568/getInfo.php?workbook=12_05.xlsx&amp;sheet=U0&amp;row=10739&amp;col=6&amp;number=4.5&amp;sourceID=14","4.5")</f>
        <v>4.5</v>
      </c>
      <c r="G10739" s="4" t="str">
        <f>HYPERLINK("http://141.218.60.56/~jnz1568/getInfo.php?workbook=12_05.xlsx&amp;sheet=U0&amp;row=10739&amp;col=7&amp;number=0.00379&amp;sourceID=14","0.00379")</f>
        <v>0.00379</v>
      </c>
    </row>
    <row r="10740" spans="1:7">
      <c r="A10740" s="3"/>
      <c r="B10740" s="3"/>
      <c r="C10740" s="3"/>
      <c r="D10740" s="3"/>
      <c r="E10740" s="3">
        <v>17</v>
      </c>
      <c r="F10740" s="4" t="str">
        <f>HYPERLINK("http://141.218.60.56/~jnz1568/getInfo.php?workbook=12_05.xlsx&amp;sheet=U0&amp;row=10740&amp;col=6&amp;number=4.6&amp;sourceID=14","4.6")</f>
        <v>4.6</v>
      </c>
      <c r="G10740" s="4" t="str">
        <f>HYPERLINK("http://141.218.60.56/~jnz1568/getInfo.php?workbook=12_05.xlsx&amp;sheet=U0&amp;row=10740&amp;col=7&amp;number=0.0038&amp;sourceID=14","0.0038")</f>
        <v>0.0038</v>
      </c>
    </row>
    <row r="10741" spans="1:7">
      <c r="A10741" s="3"/>
      <c r="B10741" s="3"/>
      <c r="C10741" s="3"/>
      <c r="D10741" s="3"/>
      <c r="E10741" s="3">
        <v>18</v>
      </c>
      <c r="F10741" s="4" t="str">
        <f>HYPERLINK("http://141.218.60.56/~jnz1568/getInfo.php?workbook=12_05.xlsx&amp;sheet=U0&amp;row=10741&amp;col=6&amp;number=4.7&amp;sourceID=14","4.7")</f>
        <v>4.7</v>
      </c>
      <c r="G10741" s="4" t="str">
        <f>HYPERLINK("http://141.218.60.56/~jnz1568/getInfo.php?workbook=12_05.xlsx&amp;sheet=U0&amp;row=10741&amp;col=7&amp;number=0.00381&amp;sourceID=14","0.00381")</f>
        <v>0.00381</v>
      </c>
    </row>
    <row r="10742" spans="1:7">
      <c r="A10742" s="3"/>
      <c r="B10742" s="3"/>
      <c r="C10742" s="3"/>
      <c r="D10742" s="3"/>
      <c r="E10742" s="3">
        <v>19</v>
      </c>
      <c r="F10742" s="4" t="str">
        <f>HYPERLINK("http://141.218.60.56/~jnz1568/getInfo.php?workbook=12_05.xlsx&amp;sheet=U0&amp;row=10742&amp;col=6&amp;number=4.8&amp;sourceID=14","4.8")</f>
        <v>4.8</v>
      </c>
      <c r="G10742" s="4" t="str">
        <f>HYPERLINK("http://141.218.60.56/~jnz1568/getInfo.php?workbook=12_05.xlsx&amp;sheet=U0&amp;row=10742&amp;col=7&amp;number=0.00383&amp;sourceID=14","0.00383")</f>
        <v>0.00383</v>
      </c>
    </row>
    <row r="10743" spans="1:7">
      <c r="A10743" s="3"/>
      <c r="B10743" s="3"/>
      <c r="C10743" s="3"/>
      <c r="D10743" s="3"/>
      <c r="E10743" s="3">
        <v>20</v>
      </c>
      <c r="F10743" s="4" t="str">
        <f>HYPERLINK("http://141.218.60.56/~jnz1568/getInfo.php?workbook=12_05.xlsx&amp;sheet=U0&amp;row=10743&amp;col=6&amp;number=4.9&amp;sourceID=14","4.9")</f>
        <v>4.9</v>
      </c>
      <c r="G10743" s="4" t="str">
        <f>HYPERLINK("http://141.218.60.56/~jnz1568/getInfo.php?workbook=12_05.xlsx&amp;sheet=U0&amp;row=10743&amp;col=7&amp;number=0.00385&amp;sourceID=14","0.00385")</f>
        <v>0.00385</v>
      </c>
    </row>
    <row r="10744" spans="1:7">
      <c r="A10744" s="3">
        <v>12</v>
      </c>
      <c r="B10744" s="3">
        <v>5</v>
      </c>
      <c r="C10744" s="3">
        <v>5</v>
      </c>
      <c r="D10744" s="3">
        <v>115</v>
      </c>
      <c r="E10744" s="3">
        <v>1</v>
      </c>
      <c r="F10744" s="4" t="str">
        <f>HYPERLINK("http://141.218.60.56/~jnz1568/getInfo.php?workbook=12_05.xlsx&amp;sheet=U0&amp;row=10744&amp;col=6&amp;number=3&amp;sourceID=14","3")</f>
        <v>3</v>
      </c>
      <c r="G10744" s="4" t="str">
        <f>HYPERLINK("http://141.218.60.56/~jnz1568/getInfo.php?workbook=12_05.xlsx&amp;sheet=U0&amp;row=10744&amp;col=7&amp;number=0.00966&amp;sourceID=14","0.00966")</f>
        <v>0.00966</v>
      </c>
    </row>
    <row r="10745" spans="1:7">
      <c r="A10745" s="3"/>
      <c r="B10745" s="3"/>
      <c r="C10745" s="3"/>
      <c r="D10745" s="3"/>
      <c r="E10745" s="3">
        <v>2</v>
      </c>
      <c r="F10745" s="4" t="str">
        <f>HYPERLINK("http://141.218.60.56/~jnz1568/getInfo.php?workbook=12_05.xlsx&amp;sheet=U0&amp;row=10745&amp;col=6&amp;number=3.1&amp;sourceID=14","3.1")</f>
        <v>3.1</v>
      </c>
      <c r="G10745" s="4" t="str">
        <f>HYPERLINK("http://141.218.60.56/~jnz1568/getInfo.php?workbook=12_05.xlsx&amp;sheet=U0&amp;row=10745&amp;col=7&amp;number=0.00967&amp;sourceID=14","0.00967")</f>
        <v>0.00967</v>
      </c>
    </row>
    <row r="10746" spans="1:7">
      <c r="A10746" s="3"/>
      <c r="B10746" s="3"/>
      <c r="C10746" s="3"/>
      <c r="D10746" s="3"/>
      <c r="E10746" s="3">
        <v>3</v>
      </c>
      <c r="F10746" s="4" t="str">
        <f>HYPERLINK("http://141.218.60.56/~jnz1568/getInfo.php?workbook=12_05.xlsx&amp;sheet=U0&amp;row=10746&amp;col=6&amp;number=3.2&amp;sourceID=14","3.2")</f>
        <v>3.2</v>
      </c>
      <c r="G10746" s="4" t="str">
        <f>HYPERLINK("http://141.218.60.56/~jnz1568/getInfo.php?workbook=12_05.xlsx&amp;sheet=U0&amp;row=10746&amp;col=7&amp;number=0.00967&amp;sourceID=14","0.00967")</f>
        <v>0.00967</v>
      </c>
    </row>
    <row r="10747" spans="1:7">
      <c r="A10747" s="3"/>
      <c r="B10747" s="3"/>
      <c r="C10747" s="3"/>
      <c r="D10747" s="3"/>
      <c r="E10747" s="3">
        <v>4</v>
      </c>
      <c r="F10747" s="4" t="str">
        <f>HYPERLINK("http://141.218.60.56/~jnz1568/getInfo.php?workbook=12_05.xlsx&amp;sheet=U0&amp;row=10747&amp;col=6&amp;number=3.3&amp;sourceID=14","3.3")</f>
        <v>3.3</v>
      </c>
      <c r="G10747" s="4" t="str">
        <f>HYPERLINK("http://141.218.60.56/~jnz1568/getInfo.php?workbook=12_05.xlsx&amp;sheet=U0&amp;row=10747&amp;col=7&amp;number=0.00967&amp;sourceID=14","0.00967")</f>
        <v>0.00967</v>
      </c>
    </row>
    <row r="10748" spans="1:7">
      <c r="A10748" s="3"/>
      <c r="B10748" s="3"/>
      <c r="C10748" s="3"/>
      <c r="D10748" s="3"/>
      <c r="E10748" s="3">
        <v>5</v>
      </c>
      <c r="F10748" s="4" t="str">
        <f>HYPERLINK("http://141.218.60.56/~jnz1568/getInfo.php?workbook=12_05.xlsx&amp;sheet=U0&amp;row=10748&amp;col=6&amp;number=3.4&amp;sourceID=14","3.4")</f>
        <v>3.4</v>
      </c>
      <c r="G10748" s="4" t="str">
        <f>HYPERLINK("http://141.218.60.56/~jnz1568/getInfo.php?workbook=12_05.xlsx&amp;sheet=U0&amp;row=10748&amp;col=7&amp;number=0.00968&amp;sourceID=14","0.00968")</f>
        <v>0.00968</v>
      </c>
    </row>
    <row r="10749" spans="1:7">
      <c r="A10749" s="3"/>
      <c r="B10749" s="3"/>
      <c r="C10749" s="3"/>
      <c r="D10749" s="3"/>
      <c r="E10749" s="3">
        <v>6</v>
      </c>
      <c r="F10749" s="4" t="str">
        <f>HYPERLINK("http://141.218.60.56/~jnz1568/getInfo.php?workbook=12_05.xlsx&amp;sheet=U0&amp;row=10749&amp;col=6&amp;number=3.5&amp;sourceID=14","3.5")</f>
        <v>3.5</v>
      </c>
      <c r="G10749" s="4" t="str">
        <f>HYPERLINK("http://141.218.60.56/~jnz1568/getInfo.php?workbook=12_05.xlsx&amp;sheet=U0&amp;row=10749&amp;col=7&amp;number=0.00969&amp;sourceID=14","0.00969")</f>
        <v>0.00969</v>
      </c>
    </row>
    <row r="10750" spans="1:7">
      <c r="A10750" s="3"/>
      <c r="B10750" s="3"/>
      <c r="C10750" s="3"/>
      <c r="D10750" s="3"/>
      <c r="E10750" s="3">
        <v>7</v>
      </c>
      <c r="F10750" s="4" t="str">
        <f>HYPERLINK("http://141.218.60.56/~jnz1568/getInfo.php?workbook=12_05.xlsx&amp;sheet=U0&amp;row=10750&amp;col=6&amp;number=3.6&amp;sourceID=14","3.6")</f>
        <v>3.6</v>
      </c>
      <c r="G10750" s="4" t="str">
        <f>HYPERLINK("http://141.218.60.56/~jnz1568/getInfo.php?workbook=12_05.xlsx&amp;sheet=U0&amp;row=10750&amp;col=7&amp;number=0.0097&amp;sourceID=14","0.0097")</f>
        <v>0.0097</v>
      </c>
    </row>
    <row r="10751" spans="1:7">
      <c r="A10751" s="3"/>
      <c r="B10751" s="3"/>
      <c r="C10751" s="3"/>
      <c r="D10751" s="3"/>
      <c r="E10751" s="3">
        <v>8</v>
      </c>
      <c r="F10751" s="4" t="str">
        <f>HYPERLINK("http://141.218.60.56/~jnz1568/getInfo.php?workbook=12_05.xlsx&amp;sheet=U0&amp;row=10751&amp;col=6&amp;number=3.7&amp;sourceID=14","3.7")</f>
        <v>3.7</v>
      </c>
      <c r="G10751" s="4" t="str">
        <f>HYPERLINK("http://141.218.60.56/~jnz1568/getInfo.php?workbook=12_05.xlsx&amp;sheet=U0&amp;row=10751&amp;col=7&amp;number=0.00971&amp;sourceID=14","0.00971")</f>
        <v>0.00971</v>
      </c>
    </row>
    <row r="10752" spans="1:7">
      <c r="A10752" s="3"/>
      <c r="B10752" s="3"/>
      <c r="C10752" s="3"/>
      <c r="D10752" s="3"/>
      <c r="E10752" s="3">
        <v>9</v>
      </c>
      <c r="F10752" s="4" t="str">
        <f>HYPERLINK("http://141.218.60.56/~jnz1568/getInfo.php?workbook=12_05.xlsx&amp;sheet=U0&amp;row=10752&amp;col=6&amp;number=3.8&amp;sourceID=14","3.8")</f>
        <v>3.8</v>
      </c>
      <c r="G10752" s="4" t="str">
        <f>HYPERLINK("http://141.218.60.56/~jnz1568/getInfo.php?workbook=12_05.xlsx&amp;sheet=U0&amp;row=10752&amp;col=7&amp;number=0.00973&amp;sourceID=14","0.00973")</f>
        <v>0.00973</v>
      </c>
    </row>
    <row r="10753" spans="1:7">
      <c r="A10753" s="3"/>
      <c r="B10753" s="3"/>
      <c r="C10753" s="3"/>
      <c r="D10753" s="3"/>
      <c r="E10753" s="3">
        <v>10</v>
      </c>
      <c r="F10753" s="4" t="str">
        <f>HYPERLINK("http://141.218.60.56/~jnz1568/getInfo.php?workbook=12_05.xlsx&amp;sheet=U0&amp;row=10753&amp;col=6&amp;number=3.9&amp;sourceID=14","3.9")</f>
        <v>3.9</v>
      </c>
      <c r="G10753" s="4" t="str">
        <f>HYPERLINK("http://141.218.60.56/~jnz1568/getInfo.php?workbook=12_05.xlsx&amp;sheet=U0&amp;row=10753&amp;col=7&amp;number=0.00975&amp;sourceID=14","0.00975")</f>
        <v>0.00975</v>
      </c>
    </row>
    <row r="10754" spans="1:7">
      <c r="A10754" s="3"/>
      <c r="B10754" s="3"/>
      <c r="C10754" s="3"/>
      <c r="D10754" s="3"/>
      <c r="E10754" s="3">
        <v>11</v>
      </c>
      <c r="F10754" s="4" t="str">
        <f>HYPERLINK("http://141.218.60.56/~jnz1568/getInfo.php?workbook=12_05.xlsx&amp;sheet=U0&amp;row=10754&amp;col=6&amp;number=4&amp;sourceID=14","4")</f>
        <v>4</v>
      </c>
      <c r="G10754" s="4" t="str">
        <f>HYPERLINK("http://141.218.60.56/~jnz1568/getInfo.php?workbook=12_05.xlsx&amp;sheet=U0&amp;row=10754&amp;col=7&amp;number=0.00977&amp;sourceID=14","0.00977")</f>
        <v>0.00977</v>
      </c>
    </row>
    <row r="10755" spans="1:7">
      <c r="A10755" s="3"/>
      <c r="B10755" s="3"/>
      <c r="C10755" s="3"/>
      <c r="D10755" s="3"/>
      <c r="E10755" s="3">
        <v>12</v>
      </c>
      <c r="F10755" s="4" t="str">
        <f>HYPERLINK("http://141.218.60.56/~jnz1568/getInfo.php?workbook=12_05.xlsx&amp;sheet=U0&amp;row=10755&amp;col=6&amp;number=4.1&amp;sourceID=14","4.1")</f>
        <v>4.1</v>
      </c>
      <c r="G10755" s="4" t="str">
        <f>HYPERLINK("http://141.218.60.56/~jnz1568/getInfo.php?workbook=12_05.xlsx&amp;sheet=U0&amp;row=10755&amp;col=7&amp;number=0.0098&amp;sourceID=14","0.0098")</f>
        <v>0.0098</v>
      </c>
    </row>
    <row r="10756" spans="1:7">
      <c r="A10756" s="3"/>
      <c r="B10756" s="3"/>
      <c r="C10756" s="3"/>
      <c r="D10756" s="3"/>
      <c r="E10756" s="3">
        <v>13</v>
      </c>
      <c r="F10756" s="4" t="str">
        <f>HYPERLINK("http://141.218.60.56/~jnz1568/getInfo.php?workbook=12_05.xlsx&amp;sheet=U0&amp;row=10756&amp;col=6&amp;number=4.2&amp;sourceID=14","4.2")</f>
        <v>4.2</v>
      </c>
      <c r="G10756" s="4" t="str">
        <f>HYPERLINK("http://141.218.60.56/~jnz1568/getInfo.php?workbook=12_05.xlsx&amp;sheet=U0&amp;row=10756&amp;col=7&amp;number=0.00984&amp;sourceID=14","0.00984")</f>
        <v>0.00984</v>
      </c>
    </row>
    <row r="10757" spans="1:7">
      <c r="A10757" s="3"/>
      <c r="B10757" s="3"/>
      <c r="C10757" s="3"/>
      <c r="D10757" s="3"/>
      <c r="E10757" s="3">
        <v>14</v>
      </c>
      <c r="F10757" s="4" t="str">
        <f>HYPERLINK("http://141.218.60.56/~jnz1568/getInfo.php?workbook=12_05.xlsx&amp;sheet=U0&amp;row=10757&amp;col=6&amp;number=4.3&amp;sourceID=14","4.3")</f>
        <v>4.3</v>
      </c>
      <c r="G10757" s="4" t="str">
        <f>HYPERLINK("http://141.218.60.56/~jnz1568/getInfo.php?workbook=12_05.xlsx&amp;sheet=U0&amp;row=10757&amp;col=7&amp;number=0.00989&amp;sourceID=14","0.00989")</f>
        <v>0.00989</v>
      </c>
    </row>
    <row r="10758" spans="1:7">
      <c r="A10758" s="3"/>
      <c r="B10758" s="3"/>
      <c r="C10758" s="3"/>
      <c r="D10758" s="3"/>
      <c r="E10758" s="3">
        <v>15</v>
      </c>
      <c r="F10758" s="4" t="str">
        <f>HYPERLINK("http://141.218.60.56/~jnz1568/getInfo.php?workbook=12_05.xlsx&amp;sheet=U0&amp;row=10758&amp;col=6&amp;number=4.4&amp;sourceID=14","4.4")</f>
        <v>4.4</v>
      </c>
      <c r="G10758" s="4" t="str">
        <f>HYPERLINK("http://141.218.60.56/~jnz1568/getInfo.php?workbook=12_05.xlsx&amp;sheet=U0&amp;row=10758&amp;col=7&amp;number=0.00995&amp;sourceID=14","0.00995")</f>
        <v>0.00995</v>
      </c>
    </row>
    <row r="10759" spans="1:7">
      <c r="A10759" s="3"/>
      <c r="B10759" s="3"/>
      <c r="C10759" s="3"/>
      <c r="D10759" s="3"/>
      <c r="E10759" s="3">
        <v>16</v>
      </c>
      <c r="F10759" s="4" t="str">
        <f>HYPERLINK("http://141.218.60.56/~jnz1568/getInfo.php?workbook=12_05.xlsx&amp;sheet=U0&amp;row=10759&amp;col=6&amp;number=4.5&amp;sourceID=14","4.5")</f>
        <v>4.5</v>
      </c>
      <c r="G10759" s="4" t="str">
        <f>HYPERLINK("http://141.218.60.56/~jnz1568/getInfo.php?workbook=12_05.xlsx&amp;sheet=U0&amp;row=10759&amp;col=7&amp;number=0.01&amp;sourceID=14","0.01")</f>
        <v>0.01</v>
      </c>
    </row>
    <row r="10760" spans="1:7">
      <c r="A10760" s="3"/>
      <c r="B10760" s="3"/>
      <c r="C10760" s="3"/>
      <c r="D10760" s="3"/>
      <c r="E10760" s="3">
        <v>17</v>
      </c>
      <c r="F10760" s="4" t="str">
        <f>HYPERLINK("http://141.218.60.56/~jnz1568/getInfo.php?workbook=12_05.xlsx&amp;sheet=U0&amp;row=10760&amp;col=6&amp;number=4.6&amp;sourceID=14","4.6")</f>
        <v>4.6</v>
      </c>
      <c r="G10760" s="4" t="str">
        <f>HYPERLINK("http://141.218.60.56/~jnz1568/getInfo.php?workbook=12_05.xlsx&amp;sheet=U0&amp;row=10760&amp;col=7&amp;number=0.0101&amp;sourceID=14","0.0101")</f>
        <v>0.0101</v>
      </c>
    </row>
    <row r="10761" spans="1:7">
      <c r="A10761" s="3"/>
      <c r="B10761" s="3"/>
      <c r="C10761" s="3"/>
      <c r="D10761" s="3"/>
      <c r="E10761" s="3">
        <v>18</v>
      </c>
      <c r="F10761" s="4" t="str">
        <f>HYPERLINK("http://141.218.60.56/~jnz1568/getInfo.php?workbook=12_05.xlsx&amp;sheet=U0&amp;row=10761&amp;col=6&amp;number=4.7&amp;sourceID=14","4.7")</f>
        <v>4.7</v>
      </c>
      <c r="G10761" s="4" t="str">
        <f>HYPERLINK("http://141.218.60.56/~jnz1568/getInfo.php?workbook=12_05.xlsx&amp;sheet=U0&amp;row=10761&amp;col=7&amp;number=0.0102&amp;sourceID=14","0.0102")</f>
        <v>0.0102</v>
      </c>
    </row>
    <row r="10762" spans="1:7">
      <c r="A10762" s="3"/>
      <c r="B10762" s="3"/>
      <c r="C10762" s="3"/>
      <c r="D10762" s="3"/>
      <c r="E10762" s="3">
        <v>19</v>
      </c>
      <c r="F10762" s="4" t="str">
        <f>HYPERLINK("http://141.218.60.56/~jnz1568/getInfo.php?workbook=12_05.xlsx&amp;sheet=U0&amp;row=10762&amp;col=6&amp;number=4.8&amp;sourceID=14","4.8")</f>
        <v>4.8</v>
      </c>
      <c r="G10762" s="4" t="str">
        <f>HYPERLINK("http://141.218.60.56/~jnz1568/getInfo.php?workbook=12_05.xlsx&amp;sheet=U0&amp;row=10762&amp;col=7&amp;number=0.0104&amp;sourceID=14","0.0104")</f>
        <v>0.0104</v>
      </c>
    </row>
    <row r="10763" spans="1:7">
      <c r="A10763" s="3"/>
      <c r="B10763" s="3"/>
      <c r="C10763" s="3"/>
      <c r="D10763" s="3"/>
      <c r="E10763" s="3">
        <v>20</v>
      </c>
      <c r="F10763" s="4" t="str">
        <f>HYPERLINK("http://141.218.60.56/~jnz1568/getInfo.php?workbook=12_05.xlsx&amp;sheet=U0&amp;row=10763&amp;col=6&amp;number=4.9&amp;sourceID=14","4.9")</f>
        <v>4.9</v>
      </c>
      <c r="G10763" s="4" t="str">
        <f>HYPERLINK("http://141.218.60.56/~jnz1568/getInfo.php?workbook=12_05.xlsx&amp;sheet=U0&amp;row=10763&amp;col=7&amp;number=0.0106&amp;sourceID=14","0.0106")</f>
        <v>0.0106</v>
      </c>
    </row>
    <row r="10764" spans="1:7">
      <c r="A10764" s="3">
        <v>12</v>
      </c>
      <c r="B10764" s="3">
        <v>5</v>
      </c>
      <c r="C10764" s="3">
        <v>5</v>
      </c>
      <c r="D10764" s="3">
        <v>116</v>
      </c>
      <c r="E10764" s="3">
        <v>1</v>
      </c>
      <c r="F10764" s="4" t="str">
        <f>HYPERLINK("http://141.218.60.56/~jnz1568/getInfo.php?workbook=12_05.xlsx&amp;sheet=U0&amp;row=10764&amp;col=6&amp;number=3&amp;sourceID=14","3")</f>
        <v>3</v>
      </c>
      <c r="G10764" s="4" t="str">
        <f>HYPERLINK("http://141.218.60.56/~jnz1568/getInfo.php?workbook=12_05.xlsx&amp;sheet=U0&amp;row=10764&amp;col=7&amp;number=0.00641&amp;sourceID=14","0.00641")</f>
        <v>0.00641</v>
      </c>
    </row>
    <row r="10765" spans="1:7">
      <c r="A10765" s="3"/>
      <c r="B10765" s="3"/>
      <c r="C10765" s="3"/>
      <c r="D10765" s="3"/>
      <c r="E10765" s="3">
        <v>2</v>
      </c>
      <c r="F10765" s="4" t="str">
        <f>HYPERLINK("http://141.218.60.56/~jnz1568/getInfo.php?workbook=12_05.xlsx&amp;sheet=U0&amp;row=10765&amp;col=6&amp;number=3.1&amp;sourceID=14","3.1")</f>
        <v>3.1</v>
      </c>
      <c r="G10765" s="4" t="str">
        <f>HYPERLINK("http://141.218.60.56/~jnz1568/getInfo.php?workbook=12_05.xlsx&amp;sheet=U0&amp;row=10765&amp;col=7&amp;number=0.00641&amp;sourceID=14","0.00641")</f>
        <v>0.00641</v>
      </c>
    </row>
    <row r="10766" spans="1:7">
      <c r="A10766" s="3"/>
      <c r="B10766" s="3"/>
      <c r="C10766" s="3"/>
      <c r="D10766" s="3"/>
      <c r="E10766" s="3">
        <v>3</v>
      </c>
      <c r="F10766" s="4" t="str">
        <f>HYPERLINK("http://141.218.60.56/~jnz1568/getInfo.php?workbook=12_05.xlsx&amp;sheet=U0&amp;row=10766&amp;col=6&amp;number=3.2&amp;sourceID=14","3.2")</f>
        <v>3.2</v>
      </c>
      <c r="G10766" s="4" t="str">
        <f>HYPERLINK("http://141.218.60.56/~jnz1568/getInfo.php?workbook=12_05.xlsx&amp;sheet=U0&amp;row=10766&amp;col=7&amp;number=0.00641&amp;sourceID=14","0.00641")</f>
        <v>0.00641</v>
      </c>
    </row>
    <row r="10767" spans="1:7">
      <c r="A10767" s="3"/>
      <c r="B10767" s="3"/>
      <c r="C10767" s="3"/>
      <c r="D10767" s="3"/>
      <c r="E10767" s="3">
        <v>4</v>
      </c>
      <c r="F10767" s="4" t="str">
        <f>HYPERLINK("http://141.218.60.56/~jnz1568/getInfo.php?workbook=12_05.xlsx&amp;sheet=U0&amp;row=10767&amp;col=6&amp;number=3.3&amp;sourceID=14","3.3")</f>
        <v>3.3</v>
      </c>
      <c r="G10767" s="4" t="str">
        <f>HYPERLINK("http://141.218.60.56/~jnz1568/getInfo.php?workbook=12_05.xlsx&amp;sheet=U0&amp;row=10767&amp;col=7&amp;number=0.00641&amp;sourceID=14","0.00641")</f>
        <v>0.00641</v>
      </c>
    </row>
    <row r="10768" spans="1:7">
      <c r="A10768" s="3"/>
      <c r="B10768" s="3"/>
      <c r="C10768" s="3"/>
      <c r="D10768" s="3"/>
      <c r="E10768" s="3">
        <v>5</v>
      </c>
      <c r="F10768" s="4" t="str">
        <f>HYPERLINK("http://141.218.60.56/~jnz1568/getInfo.php?workbook=12_05.xlsx&amp;sheet=U0&amp;row=10768&amp;col=6&amp;number=3.4&amp;sourceID=14","3.4")</f>
        <v>3.4</v>
      </c>
      <c r="G10768" s="4" t="str">
        <f>HYPERLINK("http://141.218.60.56/~jnz1568/getInfo.php?workbook=12_05.xlsx&amp;sheet=U0&amp;row=10768&amp;col=7&amp;number=0.00641&amp;sourceID=14","0.00641")</f>
        <v>0.00641</v>
      </c>
    </row>
    <row r="10769" spans="1:7">
      <c r="A10769" s="3"/>
      <c r="B10769" s="3"/>
      <c r="C10769" s="3"/>
      <c r="D10769" s="3"/>
      <c r="E10769" s="3">
        <v>6</v>
      </c>
      <c r="F10769" s="4" t="str">
        <f>HYPERLINK("http://141.218.60.56/~jnz1568/getInfo.php?workbook=12_05.xlsx&amp;sheet=U0&amp;row=10769&amp;col=6&amp;number=3.5&amp;sourceID=14","3.5")</f>
        <v>3.5</v>
      </c>
      <c r="G10769" s="4" t="str">
        <f>HYPERLINK("http://141.218.60.56/~jnz1568/getInfo.php?workbook=12_05.xlsx&amp;sheet=U0&amp;row=10769&amp;col=7&amp;number=0.0064&amp;sourceID=14","0.0064")</f>
        <v>0.0064</v>
      </c>
    </row>
    <row r="10770" spans="1:7">
      <c r="A10770" s="3"/>
      <c r="B10770" s="3"/>
      <c r="C10770" s="3"/>
      <c r="D10770" s="3"/>
      <c r="E10770" s="3">
        <v>7</v>
      </c>
      <c r="F10770" s="4" t="str">
        <f>HYPERLINK("http://141.218.60.56/~jnz1568/getInfo.php?workbook=12_05.xlsx&amp;sheet=U0&amp;row=10770&amp;col=6&amp;number=3.6&amp;sourceID=14","3.6")</f>
        <v>3.6</v>
      </c>
      <c r="G10770" s="4" t="str">
        <f>HYPERLINK("http://141.218.60.56/~jnz1568/getInfo.php?workbook=12_05.xlsx&amp;sheet=U0&amp;row=10770&amp;col=7&amp;number=0.0064&amp;sourceID=14","0.0064")</f>
        <v>0.0064</v>
      </c>
    </row>
    <row r="10771" spans="1:7">
      <c r="A10771" s="3"/>
      <c r="B10771" s="3"/>
      <c r="C10771" s="3"/>
      <c r="D10771" s="3"/>
      <c r="E10771" s="3">
        <v>8</v>
      </c>
      <c r="F10771" s="4" t="str">
        <f>HYPERLINK("http://141.218.60.56/~jnz1568/getInfo.php?workbook=12_05.xlsx&amp;sheet=U0&amp;row=10771&amp;col=6&amp;number=3.7&amp;sourceID=14","3.7")</f>
        <v>3.7</v>
      </c>
      <c r="G10771" s="4" t="str">
        <f>HYPERLINK("http://141.218.60.56/~jnz1568/getInfo.php?workbook=12_05.xlsx&amp;sheet=U0&amp;row=10771&amp;col=7&amp;number=0.00639&amp;sourceID=14","0.00639")</f>
        <v>0.00639</v>
      </c>
    </row>
    <row r="10772" spans="1:7">
      <c r="A10772" s="3"/>
      <c r="B10772" s="3"/>
      <c r="C10772" s="3"/>
      <c r="D10772" s="3"/>
      <c r="E10772" s="3">
        <v>9</v>
      </c>
      <c r="F10772" s="4" t="str">
        <f>HYPERLINK("http://141.218.60.56/~jnz1568/getInfo.php?workbook=12_05.xlsx&amp;sheet=U0&amp;row=10772&amp;col=6&amp;number=3.8&amp;sourceID=14","3.8")</f>
        <v>3.8</v>
      </c>
      <c r="G10772" s="4" t="str">
        <f>HYPERLINK("http://141.218.60.56/~jnz1568/getInfo.php?workbook=12_05.xlsx&amp;sheet=U0&amp;row=10772&amp;col=7&amp;number=0.00639&amp;sourceID=14","0.00639")</f>
        <v>0.00639</v>
      </c>
    </row>
    <row r="10773" spans="1:7">
      <c r="A10773" s="3"/>
      <c r="B10773" s="3"/>
      <c r="C10773" s="3"/>
      <c r="D10773" s="3"/>
      <c r="E10773" s="3">
        <v>10</v>
      </c>
      <c r="F10773" s="4" t="str">
        <f>HYPERLINK("http://141.218.60.56/~jnz1568/getInfo.php?workbook=12_05.xlsx&amp;sheet=U0&amp;row=10773&amp;col=6&amp;number=3.9&amp;sourceID=14","3.9")</f>
        <v>3.9</v>
      </c>
      <c r="G10773" s="4" t="str">
        <f>HYPERLINK("http://141.218.60.56/~jnz1568/getInfo.php?workbook=12_05.xlsx&amp;sheet=U0&amp;row=10773&amp;col=7&amp;number=0.00638&amp;sourceID=14","0.00638")</f>
        <v>0.00638</v>
      </c>
    </row>
    <row r="10774" spans="1:7">
      <c r="A10774" s="3"/>
      <c r="B10774" s="3"/>
      <c r="C10774" s="3"/>
      <c r="D10774" s="3"/>
      <c r="E10774" s="3">
        <v>11</v>
      </c>
      <c r="F10774" s="4" t="str">
        <f>HYPERLINK("http://141.218.60.56/~jnz1568/getInfo.php?workbook=12_05.xlsx&amp;sheet=U0&amp;row=10774&amp;col=6&amp;number=4&amp;sourceID=14","4")</f>
        <v>4</v>
      </c>
      <c r="G10774" s="4" t="str">
        <f>HYPERLINK("http://141.218.60.56/~jnz1568/getInfo.php?workbook=12_05.xlsx&amp;sheet=U0&amp;row=10774&amp;col=7&amp;number=0.00637&amp;sourceID=14","0.00637")</f>
        <v>0.00637</v>
      </c>
    </row>
    <row r="10775" spans="1:7">
      <c r="A10775" s="3"/>
      <c r="B10775" s="3"/>
      <c r="C10775" s="3"/>
      <c r="D10775" s="3"/>
      <c r="E10775" s="3">
        <v>12</v>
      </c>
      <c r="F10775" s="4" t="str">
        <f>HYPERLINK("http://141.218.60.56/~jnz1568/getInfo.php?workbook=12_05.xlsx&amp;sheet=U0&amp;row=10775&amp;col=6&amp;number=4.1&amp;sourceID=14","4.1")</f>
        <v>4.1</v>
      </c>
      <c r="G10775" s="4" t="str">
        <f>HYPERLINK("http://141.218.60.56/~jnz1568/getInfo.php?workbook=12_05.xlsx&amp;sheet=U0&amp;row=10775&amp;col=7&amp;number=0.00636&amp;sourceID=14","0.00636")</f>
        <v>0.00636</v>
      </c>
    </row>
    <row r="10776" spans="1:7">
      <c r="A10776" s="3"/>
      <c r="B10776" s="3"/>
      <c r="C10776" s="3"/>
      <c r="D10776" s="3"/>
      <c r="E10776" s="3">
        <v>13</v>
      </c>
      <c r="F10776" s="4" t="str">
        <f>HYPERLINK("http://141.218.60.56/~jnz1568/getInfo.php?workbook=12_05.xlsx&amp;sheet=U0&amp;row=10776&amp;col=6&amp;number=4.2&amp;sourceID=14","4.2")</f>
        <v>4.2</v>
      </c>
      <c r="G10776" s="4" t="str">
        <f>HYPERLINK("http://141.218.60.56/~jnz1568/getInfo.php?workbook=12_05.xlsx&amp;sheet=U0&amp;row=10776&amp;col=7&amp;number=0.00635&amp;sourceID=14","0.00635")</f>
        <v>0.00635</v>
      </c>
    </row>
    <row r="10777" spans="1:7">
      <c r="A10777" s="3"/>
      <c r="B10777" s="3"/>
      <c r="C10777" s="3"/>
      <c r="D10777" s="3"/>
      <c r="E10777" s="3">
        <v>14</v>
      </c>
      <c r="F10777" s="4" t="str">
        <f>HYPERLINK("http://141.218.60.56/~jnz1568/getInfo.php?workbook=12_05.xlsx&amp;sheet=U0&amp;row=10777&amp;col=6&amp;number=4.3&amp;sourceID=14","4.3")</f>
        <v>4.3</v>
      </c>
      <c r="G10777" s="4" t="str">
        <f>HYPERLINK("http://141.218.60.56/~jnz1568/getInfo.php?workbook=12_05.xlsx&amp;sheet=U0&amp;row=10777&amp;col=7&amp;number=0.00633&amp;sourceID=14","0.00633")</f>
        <v>0.00633</v>
      </c>
    </row>
    <row r="10778" spans="1:7">
      <c r="A10778" s="3"/>
      <c r="B10778" s="3"/>
      <c r="C10778" s="3"/>
      <c r="D10778" s="3"/>
      <c r="E10778" s="3">
        <v>15</v>
      </c>
      <c r="F10778" s="4" t="str">
        <f>HYPERLINK("http://141.218.60.56/~jnz1568/getInfo.php?workbook=12_05.xlsx&amp;sheet=U0&amp;row=10778&amp;col=6&amp;number=4.4&amp;sourceID=14","4.4")</f>
        <v>4.4</v>
      </c>
      <c r="G10778" s="4" t="str">
        <f>HYPERLINK("http://141.218.60.56/~jnz1568/getInfo.php?workbook=12_05.xlsx&amp;sheet=U0&amp;row=10778&amp;col=7&amp;number=0.00631&amp;sourceID=14","0.00631")</f>
        <v>0.00631</v>
      </c>
    </row>
    <row r="10779" spans="1:7">
      <c r="A10779" s="3"/>
      <c r="B10779" s="3"/>
      <c r="C10779" s="3"/>
      <c r="D10779" s="3"/>
      <c r="E10779" s="3">
        <v>16</v>
      </c>
      <c r="F10779" s="4" t="str">
        <f>HYPERLINK("http://141.218.60.56/~jnz1568/getInfo.php?workbook=12_05.xlsx&amp;sheet=U0&amp;row=10779&amp;col=6&amp;number=4.5&amp;sourceID=14","4.5")</f>
        <v>4.5</v>
      </c>
      <c r="G10779" s="4" t="str">
        <f>HYPERLINK("http://141.218.60.56/~jnz1568/getInfo.php?workbook=12_05.xlsx&amp;sheet=U0&amp;row=10779&amp;col=7&amp;number=0.00629&amp;sourceID=14","0.00629")</f>
        <v>0.00629</v>
      </c>
    </row>
    <row r="10780" spans="1:7">
      <c r="A10780" s="3"/>
      <c r="B10780" s="3"/>
      <c r="C10780" s="3"/>
      <c r="D10780" s="3"/>
      <c r="E10780" s="3">
        <v>17</v>
      </c>
      <c r="F10780" s="4" t="str">
        <f>HYPERLINK("http://141.218.60.56/~jnz1568/getInfo.php?workbook=12_05.xlsx&amp;sheet=U0&amp;row=10780&amp;col=6&amp;number=4.6&amp;sourceID=14","4.6")</f>
        <v>4.6</v>
      </c>
      <c r="G10780" s="4" t="str">
        <f>HYPERLINK("http://141.218.60.56/~jnz1568/getInfo.php?workbook=12_05.xlsx&amp;sheet=U0&amp;row=10780&amp;col=7&amp;number=0.00625&amp;sourceID=14","0.00625")</f>
        <v>0.00625</v>
      </c>
    </row>
    <row r="10781" spans="1:7">
      <c r="A10781" s="3"/>
      <c r="B10781" s="3"/>
      <c r="C10781" s="3"/>
      <c r="D10781" s="3"/>
      <c r="E10781" s="3">
        <v>18</v>
      </c>
      <c r="F10781" s="4" t="str">
        <f>HYPERLINK("http://141.218.60.56/~jnz1568/getInfo.php?workbook=12_05.xlsx&amp;sheet=U0&amp;row=10781&amp;col=6&amp;number=4.7&amp;sourceID=14","4.7")</f>
        <v>4.7</v>
      </c>
      <c r="G10781" s="4" t="str">
        <f>HYPERLINK("http://141.218.60.56/~jnz1568/getInfo.php?workbook=12_05.xlsx&amp;sheet=U0&amp;row=10781&amp;col=7&amp;number=0.00621&amp;sourceID=14","0.00621")</f>
        <v>0.00621</v>
      </c>
    </row>
    <row r="10782" spans="1:7">
      <c r="A10782" s="3"/>
      <c r="B10782" s="3"/>
      <c r="C10782" s="3"/>
      <c r="D10782" s="3"/>
      <c r="E10782" s="3">
        <v>19</v>
      </c>
      <c r="F10782" s="4" t="str">
        <f>HYPERLINK("http://141.218.60.56/~jnz1568/getInfo.php?workbook=12_05.xlsx&amp;sheet=U0&amp;row=10782&amp;col=6&amp;number=4.8&amp;sourceID=14","4.8")</f>
        <v>4.8</v>
      </c>
      <c r="G10782" s="4" t="str">
        <f>HYPERLINK("http://141.218.60.56/~jnz1568/getInfo.php?workbook=12_05.xlsx&amp;sheet=U0&amp;row=10782&amp;col=7&amp;number=0.00616&amp;sourceID=14","0.00616")</f>
        <v>0.00616</v>
      </c>
    </row>
    <row r="10783" spans="1:7">
      <c r="A10783" s="3"/>
      <c r="B10783" s="3"/>
      <c r="C10783" s="3"/>
      <c r="D10783" s="3"/>
      <c r="E10783" s="3">
        <v>20</v>
      </c>
      <c r="F10783" s="4" t="str">
        <f>HYPERLINK("http://141.218.60.56/~jnz1568/getInfo.php?workbook=12_05.xlsx&amp;sheet=U0&amp;row=10783&amp;col=6&amp;number=4.9&amp;sourceID=14","4.9")</f>
        <v>4.9</v>
      </c>
      <c r="G10783" s="4" t="str">
        <f>HYPERLINK("http://141.218.60.56/~jnz1568/getInfo.php?workbook=12_05.xlsx&amp;sheet=U0&amp;row=10783&amp;col=7&amp;number=0.00609&amp;sourceID=14","0.00609")</f>
        <v>0.00609</v>
      </c>
    </row>
    <row r="10784" spans="1:7">
      <c r="A10784" s="3">
        <v>12</v>
      </c>
      <c r="B10784" s="3">
        <v>5</v>
      </c>
      <c r="C10784" s="3">
        <v>5</v>
      </c>
      <c r="D10784" s="3">
        <v>118</v>
      </c>
      <c r="E10784" s="3">
        <v>1</v>
      </c>
      <c r="F10784" s="4" t="str">
        <f>HYPERLINK("http://141.218.60.56/~jnz1568/getInfo.php?workbook=12_05.xlsx&amp;sheet=U0&amp;row=10784&amp;col=6&amp;number=3&amp;sourceID=14","3")</f>
        <v>3</v>
      </c>
      <c r="G10784" s="4" t="str">
        <f>HYPERLINK("http://141.218.60.56/~jnz1568/getInfo.php?workbook=12_05.xlsx&amp;sheet=U0&amp;row=10784&amp;col=7&amp;number=0.0018&amp;sourceID=14","0.0018")</f>
        <v>0.0018</v>
      </c>
    </row>
    <row r="10785" spans="1:7">
      <c r="A10785" s="3"/>
      <c r="B10785" s="3"/>
      <c r="C10785" s="3"/>
      <c r="D10785" s="3"/>
      <c r="E10785" s="3">
        <v>2</v>
      </c>
      <c r="F10785" s="4" t="str">
        <f>HYPERLINK("http://141.218.60.56/~jnz1568/getInfo.php?workbook=12_05.xlsx&amp;sheet=U0&amp;row=10785&amp;col=6&amp;number=3.1&amp;sourceID=14","3.1")</f>
        <v>3.1</v>
      </c>
      <c r="G10785" s="4" t="str">
        <f>HYPERLINK("http://141.218.60.56/~jnz1568/getInfo.php?workbook=12_05.xlsx&amp;sheet=U0&amp;row=10785&amp;col=7&amp;number=0.0018&amp;sourceID=14","0.0018")</f>
        <v>0.0018</v>
      </c>
    </row>
    <row r="10786" spans="1:7">
      <c r="A10786" s="3"/>
      <c r="B10786" s="3"/>
      <c r="C10786" s="3"/>
      <c r="D10786" s="3"/>
      <c r="E10786" s="3">
        <v>3</v>
      </c>
      <c r="F10786" s="4" t="str">
        <f>HYPERLINK("http://141.218.60.56/~jnz1568/getInfo.php?workbook=12_05.xlsx&amp;sheet=U0&amp;row=10786&amp;col=6&amp;number=3.2&amp;sourceID=14","3.2")</f>
        <v>3.2</v>
      </c>
      <c r="G10786" s="4" t="str">
        <f>HYPERLINK("http://141.218.60.56/~jnz1568/getInfo.php?workbook=12_05.xlsx&amp;sheet=U0&amp;row=10786&amp;col=7&amp;number=0.00179&amp;sourceID=14","0.00179")</f>
        <v>0.00179</v>
      </c>
    </row>
    <row r="10787" spans="1:7">
      <c r="A10787" s="3"/>
      <c r="B10787" s="3"/>
      <c r="C10787" s="3"/>
      <c r="D10787" s="3"/>
      <c r="E10787" s="3">
        <v>4</v>
      </c>
      <c r="F10787" s="4" t="str">
        <f>HYPERLINK("http://141.218.60.56/~jnz1568/getInfo.php?workbook=12_05.xlsx&amp;sheet=U0&amp;row=10787&amp;col=6&amp;number=3.3&amp;sourceID=14","3.3")</f>
        <v>3.3</v>
      </c>
      <c r="G10787" s="4" t="str">
        <f>HYPERLINK("http://141.218.60.56/~jnz1568/getInfo.php?workbook=12_05.xlsx&amp;sheet=U0&amp;row=10787&amp;col=7&amp;number=0.00179&amp;sourceID=14","0.00179")</f>
        <v>0.00179</v>
      </c>
    </row>
    <row r="10788" spans="1:7">
      <c r="A10788" s="3"/>
      <c r="B10788" s="3"/>
      <c r="C10788" s="3"/>
      <c r="D10788" s="3"/>
      <c r="E10788" s="3">
        <v>5</v>
      </c>
      <c r="F10788" s="4" t="str">
        <f>HYPERLINK("http://141.218.60.56/~jnz1568/getInfo.php?workbook=12_05.xlsx&amp;sheet=U0&amp;row=10788&amp;col=6&amp;number=3.4&amp;sourceID=14","3.4")</f>
        <v>3.4</v>
      </c>
      <c r="G10788" s="4" t="str">
        <f>HYPERLINK("http://141.218.60.56/~jnz1568/getInfo.php?workbook=12_05.xlsx&amp;sheet=U0&amp;row=10788&amp;col=7&amp;number=0.00179&amp;sourceID=14","0.00179")</f>
        <v>0.00179</v>
      </c>
    </row>
    <row r="10789" spans="1:7">
      <c r="A10789" s="3"/>
      <c r="B10789" s="3"/>
      <c r="C10789" s="3"/>
      <c r="D10789" s="3"/>
      <c r="E10789" s="3">
        <v>6</v>
      </c>
      <c r="F10789" s="4" t="str">
        <f>HYPERLINK("http://141.218.60.56/~jnz1568/getInfo.php?workbook=12_05.xlsx&amp;sheet=U0&amp;row=10789&amp;col=6&amp;number=3.5&amp;sourceID=14","3.5")</f>
        <v>3.5</v>
      </c>
      <c r="G10789" s="4" t="str">
        <f>HYPERLINK("http://141.218.60.56/~jnz1568/getInfo.php?workbook=12_05.xlsx&amp;sheet=U0&amp;row=10789&amp;col=7&amp;number=0.00179&amp;sourceID=14","0.00179")</f>
        <v>0.00179</v>
      </c>
    </row>
    <row r="10790" spans="1:7">
      <c r="A10790" s="3"/>
      <c r="B10790" s="3"/>
      <c r="C10790" s="3"/>
      <c r="D10790" s="3"/>
      <c r="E10790" s="3">
        <v>7</v>
      </c>
      <c r="F10790" s="4" t="str">
        <f>HYPERLINK("http://141.218.60.56/~jnz1568/getInfo.php?workbook=12_05.xlsx&amp;sheet=U0&amp;row=10790&amp;col=6&amp;number=3.6&amp;sourceID=14","3.6")</f>
        <v>3.6</v>
      </c>
      <c r="G10790" s="4" t="str">
        <f>HYPERLINK("http://141.218.60.56/~jnz1568/getInfo.php?workbook=12_05.xlsx&amp;sheet=U0&amp;row=10790&amp;col=7&amp;number=0.00179&amp;sourceID=14","0.00179")</f>
        <v>0.00179</v>
      </c>
    </row>
    <row r="10791" spans="1:7">
      <c r="A10791" s="3"/>
      <c r="B10791" s="3"/>
      <c r="C10791" s="3"/>
      <c r="D10791" s="3"/>
      <c r="E10791" s="3">
        <v>8</v>
      </c>
      <c r="F10791" s="4" t="str">
        <f>HYPERLINK("http://141.218.60.56/~jnz1568/getInfo.php?workbook=12_05.xlsx&amp;sheet=U0&amp;row=10791&amp;col=6&amp;number=3.7&amp;sourceID=14","3.7")</f>
        <v>3.7</v>
      </c>
      <c r="G10791" s="4" t="str">
        <f>HYPERLINK("http://141.218.60.56/~jnz1568/getInfo.php?workbook=12_05.xlsx&amp;sheet=U0&amp;row=10791&amp;col=7&amp;number=0.00179&amp;sourceID=14","0.00179")</f>
        <v>0.00179</v>
      </c>
    </row>
    <row r="10792" spans="1:7">
      <c r="A10792" s="3"/>
      <c r="B10792" s="3"/>
      <c r="C10792" s="3"/>
      <c r="D10792" s="3"/>
      <c r="E10792" s="3">
        <v>9</v>
      </c>
      <c r="F10792" s="4" t="str">
        <f>HYPERLINK("http://141.218.60.56/~jnz1568/getInfo.php?workbook=12_05.xlsx&amp;sheet=U0&amp;row=10792&amp;col=6&amp;number=3.8&amp;sourceID=14","3.8")</f>
        <v>3.8</v>
      </c>
      <c r="G10792" s="4" t="str">
        <f>HYPERLINK("http://141.218.60.56/~jnz1568/getInfo.php?workbook=12_05.xlsx&amp;sheet=U0&amp;row=10792&amp;col=7&amp;number=0.00179&amp;sourceID=14","0.00179")</f>
        <v>0.00179</v>
      </c>
    </row>
    <row r="10793" spans="1:7">
      <c r="A10793" s="3"/>
      <c r="B10793" s="3"/>
      <c r="C10793" s="3"/>
      <c r="D10793" s="3"/>
      <c r="E10793" s="3">
        <v>10</v>
      </c>
      <c r="F10793" s="4" t="str">
        <f>HYPERLINK("http://141.218.60.56/~jnz1568/getInfo.php?workbook=12_05.xlsx&amp;sheet=U0&amp;row=10793&amp;col=6&amp;number=3.9&amp;sourceID=14","3.9")</f>
        <v>3.9</v>
      </c>
      <c r="G10793" s="4" t="str">
        <f>HYPERLINK("http://141.218.60.56/~jnz1568/getInfo.php?workbook=12_05.xlsx&amp;sheet=U0&amp;row=10793&amp;col=7&amp;number=0.00179&amp;sourceID=14","0.00179")</f>
        <v>0.00179</v>
      </c>
    </row>
    <row r="10794" spans="1:7">
      <c r="A10794" s="3"/>
      <c r="B10794" s="3"/>
      <c r="C10794" s="3"/>
      <c r="D10794" s="3"/>
      <c r="E10794" s="3">
        <v>11</v>
      </c>
      <c r="F10794" s="4" t="str">
        <f>HYPERLINK("http://141.218.60.56/~jnz1568/getInfo.php?workbook=12_05.xlsx&amp;sheet=U0&amp;row=10794&amp;col=6&amp;number=4&amp;sourceID=14","4")</f>
        <v>4</v>
      </c>
      <c r="G10794" s="4" t="str">
        <f>HYPERLINK("http://141.218.60.56/~jnz1568/getInfo.php?workbook=12_05.xlsx&amp;sheet=U0&amp;row=10794&amp;col=7&amp;number=0.00178&amp;sourceID=14","0.00178")</f>
        <v>0.00178</v>
      </c>
    </row>
    <row r="10795" spans="1:7">
      <c r="A10795" s="3"/>
      <c r="B10795" s="3"/>
      <c r="C10795" s="3"/>
      <c r="D10795" s="3"/>
      <c r="E10795" s="3">
        <v>12</v>
      </c>
      <c r="F10795" s="4" t="str">
        <f>HYPERLINK("http://141.218.60.56/~jnz1568/getInfo.php?workbook=12_05.xlsx&amp;sheet=U0&amp;row=10795&amp;col=6&amp;number=4.1&amp;sourceID=14","4.1")</f>
        <v>4.1</v>
      </c>
      <c r="G10795" s="4" t="str">
        <f>HYPERLINK("http://141.218.60.56/~jnz1568/getInfo.php?workbook=12_05.xlsx&amp;sheet=U0&amp;row=10795&amp;col=7&amp;number=0.00178&amp;sourceID=14","0.00178")</f>
        <v>0.00178</v>
      </c>
    </row>
    <row r="10796" spans="1:7">
      <c r="A10796" s="3"/>
      <c r="B10796" s="3"/>
      <c r="C10796" s="3"/>
      <c r="D10796" s="3"/>
      <c r="E10796" s="3">
        <v>13</v>
      </c>
      <c r="F10796" s="4" t="str">
        <f>HYPERLINK("http://141.218.60.56/~jnz1568/getInfo.php?workbook=12_05.xlsx&amp;sheet=U0&amp;row=10796&amp;col=6&amp;number=4.2&amp;sourceID=14","4.2")</f>
        <v>4.2</v>
      </c>
      <c r="G10796" s="4" t="str">
        <f>HYPERLINK("http://141.218.60.56/~jnz1568/getInfo.php?workbook=12_05.xlsx&amp;sheet=U0&amp;row=10796&amp;col=7&amp;number=0.00178&amp;sourceID=14","0.00178")</f>
        <v>0.00178</v>
      </c>
    </row>
    <row r="10797" spans="1:7">
      <c r="A10797" s="3"/>
      <c r="B10797" s="3"/>
      <c r="C10797" s="3"/>
      <c r="D10797" s="3"/>
      <c r="E10797" s="3">
        <v>14</v>
      </c>
      <c r="F10797" s="4" t="str">
        <f>HYPERLINK("http://141.218.60.56/~jnz1568/getInfo.php?workbook=12_05.xlsx&amp;sheet=U0&amp;row=10797&amp;col=6&amp;number=4.3&amp;sourceID=14","4.3")</f>
        <v>4.3</v>
      </c>
      <c r="G10797" s="4" t="str">
        <f>HYPERLINK("http://141.218.60.56/~jnz1568/getInfo.php?workbook=12_05.xlsx&amp;sheet=U0&amp;row=10797&amp;col=7&amp;number=0.00177&amp;sourceID=14","0.00177")</f>
        <v>0.00177</v>
      </c>
    </row>
    <row r="10798" spans="1:7">
      <c r="A10798" s="3"/>
      <c r="B10798" s="3"/>
      <c r="C10798" s="3"/>
      <c r="D10798" s="3"/>
      <c r="E10798" s="3">
        <v>15</v>
      </c>
      <c r="F10798" s="4" t="str">
        <f>HYPERLINK("http://141.218.60.56/~jnz1568/getInfo.php?workbook=12_05.xlsx&amp;sheet=U0&amp;row=10798&amp;col=6&amp;number=4.4&amp;sourceID=14","4.4")</f>
        <v>4.4</v>
      </c>
      <c r="G10798" s="4" t="str">
        <f>HYPERLINK("http://141.218.60.56/~jnz1568/getInfo.php?workbook=12_05.xlsx&amp;sheet=U0&amp;row=10798&amp;col=7&amp;number=0.00176&amp;sourceID=14","0.00176")</f>
        <v>0.00176</v>
      </c>
    </row>
    <row r="10799" spans="1:7">
      <c r="A10799" s="3"/>
      <c r="B10799" s="3"/>
      <c r="C10799" s="3"/>
      <c r="D10799" s="3"/>
      <c r="E10799" s="3">
        <v>16</v>
      </c>
      <c r="F10799" s="4" t="str">
        <f>HYPERLINK("http://141.218.60.56/~jnz1568/getInfo.php?workbook=12_05.xlsx&amp;sheet=U0&amp;row=10799&amp;col=6&amp;number=4.5&amp;sourceID=14","4.5")</f>
        <v>4.5</v>
      </c>
      <c r="G10799" s="4" t="str">
        <f>HYPERLINK("http://141.218.60.56/~jnz1568/getInfo.php?workbook=12_05.xlsx&amp;sheet=U0&amp;row=10799&amp;col=7&amp;number=0.00176&amp;sourceID=14","0.00176")</f>
        <v>0.00176</v>
      </c>
    </row>
    <row r="10800" spans="1:7">
      <c r="A10800" s="3"/>
      <c r="B10800" s="3"/>
      <c r="C10800" s="3"/>
      <c r="D10800" s="3"/>
      <c r="E10800" s="3">
        <v>17</v>
      </c>
      <c r="F10800" s="4" t="str">
        <f>HYPERLINK("http://141.218.60.56/~jnz1568/getInfo.php?workbook=12_05.xlsx&amp;sheet=U0&amp;row=10800&amp;col=6&amp;number=4.6&amp;sourceID=14","4.6")</f>
        <v>4.6</v>
      </c>
      <c r="G10800" s="4" t="str">
        <f>HYPERLINK("http://141.218.60.56/~jnz1568/getInfo.php?workbook=12_05.xlsx&amp;sheet=U0&amp;row=10800&amp;col=7&amp;number=0.00175&amp;sourceID=14","0.00175")</f>
        <v>0.00175</v>
      </c>
    </row>
    <row r="10801" spans="1:7">
      <c r="A10801" s="3"/>
      <c r="B10801" s="3"/>
      <c r="C10801" s="3"/>
      <c r="D10801" s="3"/>
      <c r="E10801" s="3">
        <v>18</v>
      </c>
      <c r="F10801" s="4" t="str">
        <f>HYPERLINK("http://141.218.60.56/~jnz1568/getInfo.php?workbook=12_05.xlsx&amp;sheet=U0&amp;row=10801&amp;col=6&amp;number=4.7&amp;sourceID=14","4.7")</f>
        <v>4.7</v>
      </c>
      <c r="G10801" s="4" t="str">
        <f>HYPERLINK("http://141.218.60.56/~jnz1568/getInfo.php?workbook=12_05.xlsx&amp;sheet=U0&amp;row=10801&amp;col=7&amp;number=0.00173&amp;sourceID=14","0.00173")</f>
        <v>0.00173</v>
      </c>
    </row>
    <row r="10802" spans="1:7">
      <c r="A10802" s="3"/>
      <c r="B10802" s="3"/>
      <c r="C10802" s="3"/>
      <c r="D10802" s="3"/>
      <c r="E10802" s="3">
        <v>19</v>
      </c>
      <c r="F10802" s="4" t="str">
        <f>HYPERLINK("http://141.218.60.56/~jnz1568/getInfo.php?workbook=12_05.xlsx&amp;sheet=U0&amp;row=10802&amp;col=6&amp;number=4.8&amp;sourceID=14","4.8")</f>
        <v>4.8</v>
      </c>
      <c r="G10802" s="4" t="str">
        <f>HYPERLINK("http://141.218.60.56/~jnz1568/getInfo.php?workbook=12_05.xlsx&amp;sheet=U0&amp;row=10802&amp;col=7&amp;number=0.00172&amp;sourceID=14","0.00172")</f>
        <v>0.00172</v>
      </c>
    </row>
    <row r="10803" spans="1:7">
      <c r="A10803" s="3"/>
      <c r="B10803" s="3"/>
      <c r="C10803" s="3"/>
      <c r="D10803" s="3"/>
      <c r="E10803" s="3">
        <v>20</v>
      </c>
      <c r="F10803" s="4" t="str">
        <f>HYPERLINK("http://141.218.60.56/~jnz1568/getInfo.php?workbook=12_05.xlsx&amp;sheet=U0&amp;row=10803&amp;col=6&amp;number=4.9&amp;sourceID=14","4.9")</f>
        <v>4.9</v>
      </c>
      <c r="G10803" s="4" t="str">
        <f>HYPERLINK("http://141.218.60.56/~jnz1568/getInfo.php?workbook=12_05.xlsx&amp;sheet=U0&amp;row=10803&amp;col=7&amp;number=0.0017&amp;sourceID=14","0.0017")</f>
        <v>0.0017</v>
      </c>
    </row>
    <row r="10804" spans="1:7">
      <c r="A10804" s="3">
        <v>12</v>
      </c>
      <c r="B10804" s="3">
        <v>5</v>
      </c>
      <c r="C10804" s="3">
        <v>5</v>
      </c>
      <c r="D10804" s="3">
        <v>119</v>
      </c>
      <c r="E10804" s="3">
        <v>1</v>
      </c>
      <c r="F10804" s="4" t="str">
        <f>HYPERLINK("http://141.218.60.56/~jnz1568/getInfo.php?workbook=12_05.xlsx&amp;sheet=U0&amp;row=10804&amp;col=6&amp;number=3&amp;sourceID=14","3")</f>
        <v>3</v>
      </c>
      <c r="G10804" s="4" t="str">
        <f>HYPERLINK("http://141.218.60.56/~jnz1568/getInfo.php?workbook=12_05.xlsx&amp;sheet=U0&amp;row=10804&amp;col=7&amp;number=0.043&amp;sourceID=14","0.043")</f>
        <v>0.043</v>
      </c>
    </row>
    <row r="10805" spans="1:7">
      <c r="A10805" s="3"/>
      <c r="B10805" s="3"/>
      <c r="C10805" s="3"/>
      <c r="D10805" s="3"/>
      <c r="E10805" s="3">
        <v>2</v>
      </c>
      <c r="F10805" s="4" t="str">
        <f>HYPERLINK("http://141.218.60.56/~jnz1568/getInfo.php?workbook=12_05.xlsx&amp;sheet=U0&amp;row=10805&amp;col=6&amp;number=3.1&amp;sourceID=14","3.1")</f>
        <v>3.1</v>
      </c>
      <c r="G10805" s="4" t="str">
        <f>HYPERLINK("http://141.218.60.56/~jnz1568/getInfo.php?workbook=12_05.xlsx&amp;sheet=U0&amp;row=10805&amp;col=7&amp;number=0.043&amp;sourceID=14","0.043")</f>
        <v>0.043</v>
      </c>
    </row>
    <row r="10806" spans="1:7">
      <c r="A10806" s="3"/>
      <c r="B10806" s="3"/>
      <c r="C10806" s="3"/>
      <c r="D10806" s="3"/>
      <c r="E10806" s="3">
        <v>3</v>
      </c>
      <c r="F10806" s="4" t="str">
        <f>HYPERLINK("http://141.218.60.56/~jnz1568/getInfo.php?workbook=12_05.xlsx&amp;sheet=U0&amp;row=10806&amp;col=6&amp;number=3.2&amp;sourceID=14","3.2")</f>
        <v>3.2</v>
      </c>
      <c r="G10806" s="4" t="str">
        <f>HYPERLINK("http://141.218.60.56/~jnz1568/getInfo.php?workbook=12_05.xlsx&amp;sheet=U0&amp;row=10806&amp;col=7&amp;number=0.043&amp;sourceID=14","0.043")</f>
        <v>0.043</v>
      </c>
    </row>
    <row r="10807" spans="1:7">
      <c r="A10807" s="3"/>
      <c r="B10807" s="3"/>
      <c r="C10807" s="3"/>
      <c r="D10807" s="3"/>
      <c r="E10807" s="3">
        <v>4</v>
      </c>
      <c r="F10807" s="4" t="str">
        <f>HYPERLINK("http://141.218.60.56/~jnz1568/getInfo.php?workbook=12_05.xlsx&amp;sheet=U0&amp;row=10807&amp;col=6&amp;number=3.3&amp;sourceID=14","3.3")</f>
        <v>3.3</v>
      </c>
      <c r="G10807" s="4" t="str">
        <f>HYPERLINK("http://141.218.60.56/~jnz1568/getInfo.php?workbook=12_05.xlsx&amp;sheet=U0&amp;row=10807&amp;col=7&amp;number=0.0429&amp;sourceID=14","0.0429")</f>
        <v>0.0429</v>
      </c>
    </row>
    <row r="10808" spans="1:7">
      <c r="A10808" s="3"/>
      <c r="B10808" s="3"/>
      <c r="C10808" s="3"/>
      <c r="D10808" s="3"/>
      <c r="E10808" s="3">
        <v>5</v>
      </c>
      <c r="F10808" s="4" t="str">
        <f>HYPERLINK("http://141.218.60.56/~jnz1568/getInfo.php?workbook=12_05.xlsx&amp;sheet=U0&amp;row=10808&amp;col=6&amp;number=3.4&amp;sourceID=14","3.4")</f>
        <v>3.4</v>
      </c>
      <c r="G10808" s="4" t="str">
        <f>HYPERLINK("http://141.218.60.56/~jnz1568/getInfo.php?workbook=12_05.xlsx&amp;sheet=U0&amp;row=10808&amp;col=7&amp;number=0.0429&amp;sourceID=14","0.0429")</f>
        <v>0.0429</v>
      </c>
    </row>
    <row r="10809" spans="1:7">
      <c r="A10809" s="3"/>
      <c r="B10809" s="3"/>
      <c r="C10809" s="3"/>
      <c r="D10809" s="3"/>
      <c r="E10809" s="3">
        <v>6</v>
      </c>
      <c r="F10809" s="4" t="str">
        <f>HYPERLINK("http://141.218.60.56/~jnz1568/getInfo.php?workbook=12_05.xlsx&amp;sheet=U0&amp;row=10809&amp;col=6&amp;number=3.5&amp;sourceID=14","3.5")</f>
        <v>3.5</v>
      </c>
      <c r="G10809" s="4" t="str">
        <f>HYPERLINK("http://141.218.60.56/~jnz1568/getInfo.php?workbook=12_05.xlsx&amp;sheet=U0&amp;row=10809&amp;col=7&amp;number=0.0429&amp;sourceID=14","0.0429")</f>
        <v>0.0429</v>
      </c>
    </row>
    <row r="10810" spans="1:7">
      <c r="A10810" s="3"/>
      <c r="B10810" s="3"/>
      <c r="C10810" s="3"/>
      <c r="D10810" s="3"/>
      <c r="E10810" s="3">
        <v>7</v>
      </c>
      <c r="F10810" s="4" t="str">
        <f>HYPERLINK("http://141.218.60.56/~jnz1568/getInfo.php?workbook=12_05.xlsx&amp;sheet=U0&amp;row=10810&amp;col=6&amp;number=3.6&amp;sourceID=14","3.6")</f>
        <v>3.6</v>
      </c>
      <c r="G10810" s="4" t="str">
        <f>HYPERLINK("http://141.218.60.56/~jnz1568/getInfo.php?workbook=12_05.xlsx&amp;sheet=U0&amp;row=10810&amp;col=7&amp;number=0.0429&amp;sourceID=14","0.0429")</f>
        <v>0.0429</v>
      </c>
    </row>
    <row r="10811" spans="1:7">
      <c r="A10811" s="3"/>
      <c r="B10811" s="3"/>
      <c r="C10811" s="3"/>
      <c r="D10811" s="3"/>
      <c r="E10811" s="3">
        <v>8</v>
      </c>
      <c r="F10811" s="4" t="str">
        <f>HYPERLINK("http://141.218.60.56/~jnz1568/getInfo.php?workbook=12_05.xlsx&amp;sheet=U0&amp;row=10811&amp;col=6&amp;number=3.7&amp;sourceID=14","3.7")</f>
        <v>3.7</v>
      </c>
      <c r="G10811" s="4" t="str">
        <f>HYPERLINK("http://141.218.60.56/~jnz1568/getInfo.php?workbook=12_05.xlsx&amp;sheet=U0&amp;row=10811&amp;col=7&amp;number=0.0429&amp;sourceID=14","0.0429")</f>
        <v>0.0429</v>
      </c>
    </row>
    <row r="10812" spans="1:7">
      <c r="A10812" s="3"/>
      <c r="B10812" s="3"/>
      <c r="C10812" s="3"/>
      <c r="D10812" s="3"/>
      <c r="E10812" s="3">
        <v>9</v>
      </c>
      <c r="F10812" s="4" t="str">
        <f>HYPERLINK("http://141.218.60.56/~jnz1568/getInfo.php?workbook=12_05.xlsx&amp;sheet=U0&amp;row=10812&amp;col=6&amp;number=3.8&amp;sourceID=14","3.8")</f>
        <v>3.8</v>
      </c>
      <c r="G10812" s="4" t="str">
        <f>HYPERLINK("http://141.218.60.56/~jnz1568/getInfo.php?workbook=12_05.xlsx&amp;sheet=U0&amp;row=10812&amp;col=7&amp;number=0.0428&amp;sourceID=14","0.0428")</f>
        <v>0.0428</v>
      </c>
    </row>
    <row r="10813" spans="1:7">
      <c r="A10813" s="3"/>
      <c r="B10813" s="3"/>
      <c r="C10813" s="3"/>
      <c r="D10813" s="3"/>
      <c r="E10813" s="3">
        <v>10</v>
      </c>
      <c r="F10813" s="4" t="str">
        <f>HYPERLINK("http://141.218.60.56/~jnz1568/getInfo.php?workbook=12_05.xlsx&amp;sheet=U0&amp;row=10813&amp;col=6&amp;number=3.9&amp;sourceID=14","3.9")</f>
        <v>3.9</v>
      </c>
      <c r="G10813" s="4" t="str">
        <f>HYPERLINK("http://141.218.60.56/~jnz1568/getInfo.php?workbook=12_05.xlsx&amp;sheet=U0&amp;row=10813&amp;col=7&amp;number=0.0428&amp;sourceID=14","0.0428")</f>
        <v>0.0428</v>
      </c>
    </row>
    <row r="10814" spans="1:7">
      <c r="A10814" s="3"/>
      <c r="B10814" s="3"/>
      <c r="C10814" s="3"/>
      <c r="D10814" s="3"/>
      <c r="E10814" s="3">
        <v>11</v>
      </c>
      <c r="F10814" s="4" t="str">
        <f>HYPERLINK("http://141.218.60.56/~jnz1568/getInfo.php?workbook=12_05.xlsx&amp;sheet=U0&amp;row=10814&amp;col=6&amp;number=4&amp;sourceID=14","4")</f>
        <v>4</v>
      </c>
      <c r="G10814" s="4" t="str">
        <f>HYPERLINK("http://141.218.60.56/~jnz1568/getInfo.php?workbook=12_05.xlsx&amp;sheet=U0&amp;row=10814&amp;col=7&amp;number=0.0427&amp;sourceID=14","0.0427")</f>
        <v>0.0427</v>
      </c>
    </row>
    <row r="10815" spans="1:7">
      <c r="A10815" s="3"/>
      <c r="B10815" s="3"/>
      <c r="C10815" s="3"/>
      <c r="D10815" s="3"/>
      <c r="E10815" s="3">
        <v>12</v>
      </c>
      <c r="F10815" s="4" t="str">
        <f>HYPERLINK("http://141.218.60.56/~jnz1568/getInfo.php?workbook=12_05.xlsx&amp;sheet=U0&amp;row=10815&amp;col=6&amp;number=4.1&amp;sourceID=14","4.1")</f>
        <v>4.1</v>
      </c>
      <c r="G10815" s="4" t="str">
        <f>HYPERLINK("http://141.218.60.56/~jnz1568/getInfo.php?workbook=12_05.xlsx&amp;sheet=U0&amp;row=10815&amp;col=7&amp;number=0.0426&amp;sourceID=14","0.0426")</f>
        <v>0.0426</v>
      </c>
    </row>
    <row r="10816" spans="1:7">
      <c r="A10816" s="3"/>
      <c r="B10816" s="3"/>
      <c r="C10816" s="3"/>
      <c r="D10816" s="3"/>
      <c r="E10816" s="3">
        <v>13</v>
      </c>
      <c r="F10816" s="4" t="str">
        <f>HYPERLINK("http://141.218.60.56/~jnz1568/getInfo.php?workbook=12_05.xlsx&amp;sheet=U0&amp;row=10816&amp;col=6&amp;number=4.2&amp;sourceID=14","4.2")</f>
        <v>4.2</v>
      </c>
      <c r="G10816" s="4" t="str">
        <f>HYPERLINK("http://141.218.60.56/~jnz1568/getInfo.php?workbook=12_05.xlsx&amp;sheet=U0&amp;row=10816&amp;col=7&amp;number=0.0426&amp;sourceID=14","0.0426")</f>
        <v>0.0426</v>
      </c>
    </row>
    <row r="10817" spans="1:7">
      <c r="A10817" s="3"/>
      <c r="B10817" s="3"/>
      <c r="C10817" s="3"/>
      <c r="D10817" s="3"/>
      <c r="E10817" s="3">
        <v>14</v>
      </c>
      <c r="F10817" s="4" t="str">
        <f>HYPERLINK("http://141.218.60.56/~jnz1568/getInfo.php?workbook=12_05.xlsx&amp;sheet=U0&amp;row=10817&amp;col=6&amp;number=4.3&amp;sourceID=14","4.3")</f>
        <v>4.3</v>
      </c>
      <c r="G10817" s="4" t="str">
        <f>HYPERLINK("http://141.218.60.56/~jnz1568/getInfo.php?workbook=12_05.xlsx&amp;sheet=U0&amp;row=10817&amp;col=7&amp;number=0.0424&amp;sourceID=14","0.0424")</f>
        <v>0.0424</v>
      </c>
    </row>
    <row r="10818" spans="1:7">
      <c r="A10818" s="3"/>
      <c r="B10818" s="3"/>
      <c r="C10818" s="3"/>
      <c r="D10818" s="3"/>
      <c r="E10818" s="3">
        <v>15</v>
      </c>
      <c r="F10818" s="4" t="str">
        <f>HYPERLINK("http://141.218.60.56/~jnz1568/getInfo.php?workbook=12_05.xlsx&amp;sheet=U0&amp;row=10818&amp;col=6&amp;number=4.4&amp;sourceID=14","4.4")</f>
        <v>4.4</v>
      </c>
      <c r="G10818" s="4" t="str">
        <f>HYPERLINK("http://141.218.60.56/~jnz1568/getInfo.php?workbook=12_05.xlsx&amp;sheet=U0&amp;row=10818&amp;col=7&amp;number=0.0423&amp;sourceID=14","0.0423")</f>
        <v>0.0423</v>
      </c>
    </row>
    <row r="10819" spans="1:7">
      <c r="A10819" s="3"/>
      <c r="B10819" s="3"/>
      <c r="C10819" s="3"/>
      <c r="D10819" s="3"/>
      <c r="E10819" s="3">
        <v>16</v>
      </c>
      <c r="F10819" s="4" t="str">
        <f>HYPERLINK("http://141.218.60.56/~jnz1568/getInfo.php?workbook=12_05.xlsx&amp;sheet=U0&amp;row=10819&amp;col=6&amp;number=4.5&amp;sourceID=14","4.5")</f>
        <v>4.5</v>
      </c>
      <c r="G10819" s="4" t="str">
        <f>HYPERLINK("http://141.218.60.56/~jnz1568/getInfo.php?workbook=12_05.xlsx&amp;sheet=U0&amp;row=10819&amp;col=7&amp;number=0.0421&amp;sourceID=14","0.0421")</f>
        <v>0.0421</v>
      </c>
    </row>
    <row r="10820" spans="1:7">
      <c r="A10820" s="3"/>
      <c r="B10820" s="3"/>
      <c r="C10820" s="3"/>
      <c r="D10820" s="3"/>
      <c r="E10820" s="3">
        <v>17</v>
      </c>
      <c r="F10820" s="4" t="str">
        <f>HYPERLINK("http://141.218.60.56/~jnz1568/getInfo.php?workbook=12_05.xlsx&amp;sheet=U0&amp;row=10820&amp;col=6&amp;number=4.6&amp;sourceID=14","4.6")</f>
        <v>4.6</v>
      </c>
      <c r="G10820" s="4" t="str">
        <f>HYPERLINK("http://141.218.60.56/~jnz1568/getInfo.php?workbook=12_05.xlsx&amp;sheet=U0&amp;row=10820&amp;col=7&amp;number=0.0419&amp;sourceID=14","0.0419")</f>
        <v>0.0419</v>
      </c>
    </row>
    <row r="10821" spans="1:7">
      <c r="A10821" s="3"/>
      <c r="B10821" s="3"/>
      <c r="C10821" s="3"/>
      <c r="D10821" s="3"/>
      <c r="E10821" s="3">
        <v>18</v>
      </c>
      <c r="F10821" s="4" t="str">
        <f>HYPERLINK("http://141.218.60.56/~jnz1568/getInfo.php?workbook=12_05.xlsx&amp;sheet=U0&amp;row=10821&amp;col=6&amp;number=4.7&amp;sourceID=14","4.7")</f>
        <v>4.7</v>
      </c>
      <c r="G10821" s="4" t="str">
        <f>HYPERLINK("http://141.218.60.56/~jnz1568/getInfo.php?workbook=12_05.xlsx&amp;sheet=U0&amp;row=10821&amp;col=7&amp;number=0.0416&amp;sourceID=14","0.0416")</f>
        <v>0.0416</v>
      </c>
    </row>
    <row r="10822" spans="1:7">
      <c r="A10822" s="3"/>
      <c r="B10822" s="3"/>
      <c r="C10822" s="3"/>
      <c r="D10822" s="3"/>
      <c r="E10822" s="3">
        <v>19</v>
      </c>
      <c r="F10822" s="4" t="str">
        <f>HYPERLINK("http://141.218.60.56/~jnz1568/getInfo.php?workbook=12_05.xlsx&amp;sheet=U0&amp;row=10822&amp;col=6&amp;number=4.8&amp;sourceID=14","4.8")</f>
        <v>4.8</v>
      </c>
      <c r="G10822" s="4" t="str">
        <f>HYPERLINK("http://141.218.60.56/~jnz1568/getInfo.php?workbook=12_05.xlsx&amp;sheet=U0&amp;row=10822&amp;col=7&amp;number=0.0413&amp;sourceID=14","0.0413")</f>
        <v>0.0413</v>
      </c>
    </row>
    <row r="10823" spans="1:7">
      <c r="A10823" s="3"/>
      <c r="B10823" s="3"/>
      <c r="C10823" s="3"/>
      <c r="D10823" s="3"/>
      <c r="E10823" s="3">
        <v>20</v>
      </c>
      <c r="F10823" s="4" t="str">
        <f>HYPERLINK("http://141.218.60.56/~jnz1568/getInfo.php?workbook=12_05.xlsx&amp;sheet=U0&amp;row=10823&amp;col=6&amp;number=4.9&amp;sourceID=14","4.9")</f>
        <v>4.9</v>
      </c>
      <c r="G10823" s="4" t="str">
        <f>HYPERLINK("http://141.218.60.56/~jnz1568/getInfo.php?workbook=12_05.xlsx&amp;sheet=U0&amp;row=10823&amp;col=7&amp;number=0.0409&amp;sourceID=14","0.0409")</f>
        <v>0.0409</v>
      </c>
    </row>
    <row r="10824" spans="1:7">
      <c r="A10824" s="3">
        <v>12</v>
      </c>
      <c r="B10824" s="3">
        <v>5</v>
      </c>
      <c r="C10824" s="3">
        <v>5</v>
      </c>
      <c r="D10824" s="3">
        <v>120</v>
      </c>
      <c r="E10824" s="3">
        <v>1</v>
      </c>
      <c r="F10824" s="4" t="str">
        <f>HYPERLINK("http://141.218.60.56/~jnz1568/getInfo.php?workbook=12_05.xlsx&amp;sheet=U0&amp;row=10824&amp;col=6&amp;number=3&amp;sourceID=14","3")</f>
        <v>3</v>
      </c>
      <c r="G10824" s="4" t="str">
        <f>HYPERLINK("http://141.218.60.56/~jnz1568/getInfo.php?workbook=12_05.xlsx&amp;sheet=U0&amp;row=10824&amp;col=7&amp;number=0.738&amp;sourceID=14","0.738")</f>
        <v>0.738</v>
      </c>
    </row>
    <row r="10825" spans="1:7">
      <c r="A10825" s="3"/>
      <c r="B10825" s="3"/>
      <c r="C10825" s="3"/>
      <c r="D10825" s="3"/>
      <c r="E10825" s="3">
        <v>2</v>
      </c>
      <c r="F10825" s="4" t="str">
        <f>HYPERLINK("http://141.218.60.56/~jnz1568/getInfo.php?workbook=12_05.xlsx&amp;sheet=U0&amp;row=10825&amp;col=6&amp;number=3.1&amp;sourceID=14","3.1")</f>
        <v>3.1</v>
      </c>
      <c r="G10825" s="4" t="str">
        <f>HYPERLINK("http://141.218.60.56/~jnz1568/getInfo.php?workbook=12_05.xlsx&amp;sheet=U0&amp;row=10825&amp;col=7&amp;number=0.739&amp;sourceID=14","0.739")</f>
        <v>0.739</v>
      </c>
    </row>
    <row r="10826" spans="1:7">
      <c r="A10826" s="3"/>
      <c r="B10826" s="3"/>
      <c r="C10826" s="3"/>
      <c r="D10826" s="3"/>
      <c r="E10826" s="3">
        <v>3</v>
      </c>
      <c r="F10826" s="4" t="str">
        <f>HYPERLINK("http://141.218.60.56/~jnz1568/getInfo.php?workbook=12_05.xlsx&amp;sheet=U0&amp;row=10826&amp;col=6&amp;number=3.2&amp;sourceID=14","3.2")</f>
        <v>3.2</v>
      </c>
      <c r="G10826" s="4" t="str">
        <f>HYPERLINK("http://141.218.60.56/~jnz1568/getInfo.php?workbook=12_05.xlsx&amp;sheet=U0&amp;row=10826&amp;col=7&amp;number=0.739&amp;sourceID=14","0.739")</f>
        <v>0.739</v>
      </c>
    </row>
    <row r="10827" spans="1:7">
      <c r="A10827" s="3"/>
      <c r="B10827" s="3"/>
      <c r="C10827" s="3"/>
      <c r="D10827" s="3"/>
      <c r="E10827" s="3">
        <v>4</v>
      </c>
      <c r="F10827" s="4" t="str">
        <f>HYPERLINK("http://141.218.60.56/~jnz1568/getInfo.php?workbook=12_05.xlsx&amp;sheet=U0&amp;row=10827&amp;col=6&amp;number=3.3&amp;sourceID=14","3.3")</f>
        <v>3.3</v>
      </c>
      <c r="G10827" s="4" t="str">
        <f>HYPERLINK("http://141.218.60.56/~jnz1568/getInfo.php?workbook=12_05.xlsx&amp;sheet=U0&amp;row=10827&amp;col=7&amp;number=0.739&amp;sourceID=14","0.739")</f>
        <v>0.739</v>
      </c>
    </row>
    <row r="10828" spans="1:7">
      <c r="A10828" s="3"/>
      <c r="B10828" s="3"/>
      <c r="C10828" s="3"/>
      <c r="D10828" s="3"/>
      <c r="E10828" s="3">
        <v>5</v>
      </c>
      <c r="F10828" s="4" t="str">
        <f>HYPERLINK("http://141.218.60.56/~jnz1568/getInfo.php?workbook=12_05.xlsx&amp;sheet=U0&amp;row=10828&amp;col=6&amp;number=3.4&amp;sourceID=14","3.4")</f>
        <v>3.4</v>
      </c>
      <c r="G10828" s="4" t="str">
        <f>HYPERLINK("http://141.218.60.56/~jnz1568/getInfo.php?workbook=12_05.xlsx&amp;sheet=U0&amp;row=10828&amp;col=7&amp;number=0.739&amp;sourceID=14","0.739")</f>
        <v>0.739</v>
      </c>
    </row>
    <row r="10829" spans="1:7">
      <c r="A10829" s="3"/>
      <c r="B10829" s="3"/>
      <c r="C10829" s="3"/>
      <c r="D10829" s="3"/>
      <c r="E10829" s="3">
        <v>6</v>
      </c>
      <c r="F10829" s="4" t="str">
        <f>HYPERLINK("http://141.218.60.56/~jnz1568/getInfo.php?workbook=12_05.xlsx&amp;sheet=U0&amp;row=10829&amp;col=6&amp;number=3.5&amp;sourceID=14","3.5")</f>
        <v>3.5</v>
      </c>
      <c r="G10829" s="4" t="str">
        <f>HYPERLINK("http://141.218.60.56/~jnz1568/getInfo.php?workbook=12_05.xlsx&amp;sheet=U0&amp;row=10829&amp;col=7&amp;number=0.74&amp;sourceID=14","0.74")</f>
        <v>0.74</v>
      </c>
    </row>
    <row r="10830" spans="1:7">
      <c r="A10830" s="3"/>
      <c r="B10830" s="3"/>
      <c r="C10830" s="3"/>
      <c r="D10830" s="3"/>
      <c r="E10830" s="3">
        <v>7</v>
      </c>
      <c r="F10830" s="4" t="str">
        <f>HYPERLINK("http://141.218.60.56/~jnz1568/getInfo.php?workbook=12_05.xlsx&amp;sheet=U0&amp;row=10830&amp;col=6&amp;number=3.6&amp;sourceID=14","3.6")</f>
        <v>3.6</v>
      </c>
      <c r="G10830" s="4" t="str">
        <f>HYPERLINK("http://141.218.60.56/~jnz1568/getInfo.php?workbook=12_05.xlsx&amp;sheet=U0&amp;row=10830&amp;col=7&amp;number=0.74&amp;sourceID=14","0.74")</f>
        <v>0.74</v>
      </c>
    </row>
    <row r="10831" spans="1:7">
      <c r="A10831" s="3"/>
      <c r="B10831" s="3"/>
      <c r="C10831" s="3"/>
      <c r="D10831" s="3"/>
      <c r="E10831" s="3">
        <v>8</v>
      </c>
      <c r="F10831" s="4" t="str">
        <f>HYPERLINK("http://141.218.60.56/~jnz1568/getInfo.php?workbook=12_05.xlsx&amp;sheet=U0&amp;row=10831&amp;col=6&amp;number=3.7&amp;sourceID=14","3.7")</f>
        <v>3.7</v>
      </c>
      <c r="G10831" s="4" t="str">
        <f>HYPERLINK("http://141.218.60.56/~jnz1568/getInfo.php?workbook=12_05.xlsx&amp;sheet=U0&amp;row=10831&amp;col=7&amp;number=0.741&amp;sourceID=14","0.741")</f>
        <v>0.741</v>
      </c>
    </row>
    <row r="10832" spans="1:7">
      <c r="A10832" s="3"/>
      <c r="B10832" s="3"/>
      <c r="C10832" s="3"/>
      <c r="D10832" s="3"/>
      <c r="E10832" s="3">
        <v>9</v>
      </c>
      <c r="F10832" s="4" t="str">
        <f>HYPERLINK("http://141.218.60.56/~jnz1568/getInfo.php?workbook=12_05.xlsx&amp;sheet=U0&amp;row=10832&amp;col=6&amp;number=3.8&amp;sourceID=14","3.8")</f>
        <v>3.8</v>
      </c>
      <c r="G10832" s="4" t="str">
        <f>HYPERLINK("http://141.218.60.56/~jnz1568/getInfo.php?workbook=12_05.xlsx&amp;sheet=U0&amp;row=10832&amp;col=7&amp;number=0.741&amp;sourceID=14","0.741")</f>
        <v>0.741</v>
      </c>
    </row>
    <row r="10833" spans="1:7">
      <c r="A10833" s="3"/>
      <c r="B10833" s="3"/>
      <c r="C10833" s="3"/>
      <c r="D10833" s="3"/>
      <c r="E10833" s="3">
        <v>10</v>
      </c>
      <c r="F10833" s="4" t="str">
        <f>HYPERLINK("http://141.218.60.56/~jnz1568/getInfo.php?workbook=12_05.xlsx&amp;sheet=U0&amp;row=10833&amp;col=6&amp;number=3.9&amp;sourceID=14","3.9")</f>
        <v>3.9</v>
      </c>
      <c r="G10833" s="4" t="str">
        <f>HYPERLINK("http://141.218.60.56/~jnz1568/getInfo.php?workbook=12_05.xlsx&amp;sheet=U0&amp;row=10833&amp;col=7&amp;number=0.742&amp;sourceID=14","0.742")</f>
        <v>0.742</v>
      </c>
    </row>
    <row r="10834" spans="1:7">
      <c r="A10834" s="3"/>
      <c r="B10834" s="3"/>
      <c r="C10834" s="3"/>
      <c r="D10834" s="3"/>
      <c r="E10834" s="3">
        <v>11</v>
      </c>
      <c r="F10834" s="4" t="str">
        <f>HYPERLINK("http://141.218.60.56/~jnz1568/getInfo.php?workbook=12_05.xlsx&amp;sheet=U0&amp;row=10834&amp;col=6&amp;number=4&amp;sourceID=14","4")</f>
        <v>4</v>
      </c>
      <c r="G10834" s="4" t="str">
        <f>HYPERLINK("http://141.218.60.56/~jnz1568/getInfo.php?workbook=12_05.xlsx&amp;sheet=U0&amp;row=10834&amp;col=7&amp;number=0.743&amp;sourceID=14","0.743")</f>
        <v>0.743</v>
      </c>
    </row>
    <row r="10835" spans="1:7">
      <c r="A10835" s="3"/>
      <c r="B10835" s="3"/>
      <c r="C10835" s="3"/>
      <c r="D10835" s="3"/>
      <c r="E10835" s="3">
        <v>12</v>
      </c>
      <c r="F10835" s="4" t="str">
        <f>HYPERLINK("http://141.218.60.56/~jnz1568/getInfo.php?workbook=12_05.xlsx&amp;sheet=U0&amp;row=10835&amp;col=6&amp;number=4.1&amp;sourceID=14","4.1")</f>
        <v>4.1</v>
      </c>
      <c r="G10835" s="4" t="str">
        <f>HYPERLINK("http://141.218.60.56/~jnz1568/getInfo.php?workbook=12_05.xlsx&amp;sheet=U0&amp;row=10835&amp;col=7&amp;number=0.745&amp;sourceID=14","0.745")</f>
        <v>0.745</v>
      </c>
    </row>
    <row r="10836" spans="1:7">
      <c r="A10836" s="3"/>
      <c r="B10836" s="3"/>
      <c r="C10836" s="3"/>
      <c r="D10836" s="3"/>
      <c r="E10836" s="3">
        <v>13</v>
      </c>
      <c r="F10836" s="4" t="str">
        <f>HYPERLINK("http://141.218.60.56/~jnz1568/getInfo.php?workbook=12_05.xlsx&amp;sheet=U0&amp;row=10836&amp;col=6&amp;number=4.2&amp;sourceID=14","4.2")</f>
        <v>4.2</v>
      </c>
      <c r="G10836" s="4" t="str">
        <f>HYPERLINK("http://141.218.60.56/~jnz1568/getInfo.php?workbook=12_05.xlsx&amp;sheet=U0&amp;row=10836&amp;col=7&amp;number=0.746&amp;sourceID=14","0.746")</f>
        <v>0.746</v>
      </c>
    </row>
    <row r="10837" spans="1:7">
      <c r="A10837" s="3"/>
      <c r="B10837" s="3"/>
      <c r="C10837" s="3"/>
      <c r="D10837" s="3"/>
      <c r="E10837" s="3">
        <v>14</v>
      </c>
      <c r="F10837" s="4" t="str">
        <f>HYPERLINK("http://141.218.60.56/~jnz1568/getInfo.php?workbook=12_05.xlsx&amp;sheet=U0&amp;row=10837&amp;col=6&amp;number=4.3&amp;sourceID=14","4.3")</f>
        <v>4.3</v>
      </c>
      <c r="G10837" s="4" t="str">
        <f>HYPERLINK("http://141.218.60.56/~jnz1568/getInfo.php?workbook=12_05.xlsx&amp;sheet=U0&amp;row=10837&amp;col=7&amp;number=0.748&amp;sourceID=14","0.748")</f>
        <v>0.748</v>
      </c>
    </row>
    <row r="10838" spans="1:7">
      <c r="A10838" s="3"/>
      <c r="B10838" s="3"/>
      <c r="C10838" s="3"/>
      <c r="D10838" s="3"/>
      <c r="E10838" s="3">
        <v>15</v>
      </c>
      <c r="F10838" s="4" t="str">
        <f>HYPERLINK("http://141.218.60.56/~jnz1568/getInfo.php?workbook=12_05.xlsx&amp;sheet=U0&amp;row=10838&amp;col=6&amp;number=4.4&amp;sourceID=14","4.4")</f>
        <v>4.4</v>
      </c>
      <c r="G10838" s="4" t="str">
        <f>HYPERLINK("http://141.218.60.56/~jnz1568/getInfo.php?workbook=12_05.xlsx&amp;sheet=U0&amp;row=10838&amp;col=7&amp;number=0.751&amp;sourceID=14","0.751")</f>
        <v>0.751</v>
      </c>
    </row>
    <row r="10839" spans="1:7">
      <c r="A10839" s="3"/>
      <c r="B10839" s="3"/>
      <c r="C10839" s="3"/>
      <c r="D10839" s="3"/>
      <c r="E10839" s="3">
        <v>16</v>
      </c>
      <c r="F10839" s="4" t="str">
        <f>HYPERLINK("http://141.218.60.56/~jnz1568/getInfo.php?workbook=12_05.xlsx&amp;sheet=U0&amp;row=10839&amp;col=6&amp;number=4.5&amp;sourceID=14","4.5")</f>
        <v>4.5</v>
      </c>
      <c r="G10839" s="4" t="str">
        <f>HYPERLINK("http://141.218.60.56/~jnz1568/getInfo.php?workbook=12_05.xlsx&amp;sheet=U0&amp;row=10839&amp;col=7&amp;number=0.755&amp;sourceID=14","0.755")</f>
        <v>0.755</v>
      </c>
    </row>
    <row r="10840" spans="1:7">
      <c r="A10840" s="3"/>
      <c r="B10840" s="3"/>
      <c r="C10840" s="3"/>
      <c r="D10840" s="3"/>
      <c r="E10840" s="3">
        <v>17</v>
      </c>
      <c r="F10840" s="4" t="str">
        <f>HYPERLINK("http://141.218.60.56/~jnz1568/getInfo.php?workbook=12_05.xlsx&amp;sheet=U0&amp;row=10840&amp;col=6&amp;number=4.6&amp;sourceID=14","4.6")</f>
        <v>4.6</v>
      </c>
      <c r="G10840" s="4" t="str">
        <f>HYPERLINK("http://141.218.60.56/~jnz1568/getInfo.php?workbook=12_05.xlsx&amp;sheet=U0&amp;row=10840&amp;col=7&amp;number=0.759&amp;sourceID=14","0.759")</f>
        <v>0.759</v>
      </c>
    </row>
    <row r="10841" spans="1:7">
      <c r="A10841" s="3"/>
      <c r="B10841" s="3"/>
      <c r="C10841" s="3"/>
      <c r="D10841" s="3"/>
      <c r="E10841" s="3">
        <v>18</v>
      </c>
      <c r="F10841" s="4" t="str">
        <f>HYPERLINK("http://141.218.60.56/~jnz1568/getInfo.php?workbook=12_05.xlsx&amp;sheet=U0&amp;row=10841&amp;col=6&amp;number=4.7&amp;sourceID=14","4.7")</f>
        <v>4.7</v>
      </c>
      <c r="G10841" s="4" t="str">
        <f>HYPERLINK("http://141.218.60.56/~jnz1568/getInfo.php?workbook=12_05.xlsx&amp;sheet=U0&amp;row=10841&amp;col=7&amp;number=0.764&amp;sourceID=14","0.764")</f>
        <v>0.764</v>
      </c>
    </row>
    <row r="10842" spans="1:7">
      <c r="A10842" s="3"/>
      <c r="B10842" s="3"/>
      <c r="C10842" s="3"/>
      <c r="D10842" s="3"/>
      <c r="E10842" s="3">
        <v>19</v>
      </c>
      <c r="F10842" s="4" t="str">
        <f>HYPERLINK("http://141.218.60.56/~jnz1568/getInfo.php?workbook=12_05.xlsx&amp;sheet=U0&amp;row=10842&amp;col=6&amp;number=4.8&amp;sourceID=14","4.8")</f>
        <v>4.8</v>
      </c>
      <c r="G10842" s="4" t="str">
        <f>HYPERLINK("http://141.218.60.56/~jnz1568/getInfo.php?workbook=12_05.xlsx&amp;sheet=U0&amp;row=10842&amp;col=7&amp;number=0.771&amp;sourceID=14","0.771")</f>
        <v>0.771</v>
      </c>
    </row>
    <row r="10843" spans="1:7">
      <c r="A10843" s="3"/>
      <c r="B10843" s="3"/>
      <c r="C10843" s="3"/>
      <c r="D10843" s="3"/>
      <c r="E10843" s="3">
        <v>20</v>
      </c>
      <c r="F10843" s="4" t="str">
        <f>HYPERLINK("http://141.218.60.56/~jnz1568/getInfo.php?workbook=12_05.xlsx&amp;sheet=U0&amp;row=10843&amp;col=6&amp;number=4.9&amp;sourceID=14","4.9")</f>
        <v>4.9</v>
      </c>
      <c r="G10843" s="4" t="str">
        <f>HYPERLINK("http://141.218.60.56/~jnz1568/getInfo.php?workbook=12_05.xlsx&amp;sheet=U0&amp;row=10843&amp;col=7&amp;number=0.779&amp;sourceID=14","0.779")</f>
        <v>0.779</v>
      </c>
    </row>
    <row r="10844" spans="1:7">
      <c r="A10844" s="3">
        <v>12</v>
      </c>
      <c r="B10844" s="3">
        <v>5</v>
      </c>
      <c r="C10844" s="3">
        <v>5</v>
      </c>
      <c r="D10844" s="3">
        <v>121</v>
      </c>
      <c r="E10844" s="3">
        <v>1</v>
      </c>
      <c r="F10844" s="4" t="str">
        <f>HYPERLINK("http://141.218.60.56/~jnz1568/getInfo.php?workbook=12_05.xlsx&amp;sheet=U0&amp;row=10844&amp;col=6&amp;number=3&amp;sourceID=14","3")</f>
        <v>3</v>
      </c>
      <c r="G10844" s="4" t="str">
        <f>HYPERLINK("http://141.218.60.56/~jnz1568/getInfo.php?workbook=12_05.xlsx&amp;sheet=U0&amp;row=10844&amp;col=7&amp;number=0.0527&amp;sourceID=14","0.0527")</f>
        <v>0.0527</v>
      </c>
    </row>
    <row r="10845" spans="1:7">
      <c r="A10845" s="3"/>
      <c r="B10845" s="3"/>
      <c r="C10845" s="3"/>
      <c r="D10845" s="3"/>
      <c r="E10845" s="3">
        <v>2</v>
      </c>
      <c r="F10845" s="4" t="str">
        <f>HYPERLINK("http://141.218.60.56/~jnz1568/getInfo.php?workbook=12_05.xlsx&amp;sheet=U0&amp;row=10845&amp;col=6&amp;number=3.1&amp;sourceID=14","3.1")</f>
        <v>3.1</v>
      </c>
      <c r="G10845" s="4" t="str">
        <f>HYPERLINK("http://141.218.60.56/~jnz1568/getInfo.php?workbook=12_05.xlsx&amp;sheet=U0&amp;row=10845&amp;col=7&amp;number=0.0527&amp;sourceID=14","0.0527")</f>
        <v>0.0527</v>
      </c>
    </row>
    <row r="10846" spans="1:7">
      <c r="A10846" s="3"/>
      <c r="B10846" s="3"/>
      <c r="C10846" s="3"/>
      <c r="D10846" s="3"/>
      <c r="E10846" s="3">
        <v>3</v>
      </c>
      <c r="F10846" s="4" t="str">
        <f>HYPERLINK("http://141.218.60.56/~jnz1568/getInfo.php?workbook=12_05.xlsx&amp;sheet=U0&amp;row=10846&amp;col=6&amp;number=3.2&amp;sourceID=14","3.2")</f>
        <v>3.2</v>
      </c>
      <c r="G10846" s="4" t="str">
        <f>HYPERLINK("http://141.218.60.56/~jnz1568/getInfo.php?workbook=12_05.xlsx&amp;sheet=U0&amp;row=10846&amp;col=7&amp;number=0.0527&amp;sourceID=14","0.0527")</f>
        <v>0.0527</v>
      </c>
    </row>
    <row r="10847" spans="1:7">
      <c r="A10847" s="3"/>
      <c r="B10847" s="3"/>
      <c r="C10847" s="3"/>
      <c r="D10847" s="3"/>
      <c r="E10847" s="3">
        <v>4</v>
      </c>
      <c r="F10847" s="4" t="str">
        <f>HYPERLINK("http://141.218.60.56/~jnz1568/getInfo.php?workbook=12_05.xlsx&amp;sheet=U0&amp;row=10847&amp;col=6&amp;number=3.3&amp;sourceID=14","3.3")</f>
        <v>3.3</v>
      </c>
      <c r="G10847" s="4" t="str">
        <f>HYPERLINK("http://141.218.60.56/~jnz1568/getInfo.php?workbook=12_05.xlsx&amp;sheet=U0&amp;row=10847&amp;col=7&amp;number=0.0527&amp;sourceID=14","0.0527")</f>
        <v>0.0527</v>
      </c>
    </row>
    <row r="10848" spans="1:7">
      <c r="A10848" s="3"/>
      <c r="B10848" s="3"/>
      <c r="C10848" s="3"/>
      <c r="D10848" s="3"/>
      <c r="E10848" s="3">
        <v>5</v>
      </c>
      <c r="F10848" s="4" t="str">
        <f>HYPERLINK("http://141.218.60.56/~jnz1568/getInfo.php?workbook=12_05.xlsx&amp;sheet=U0&amp;row=10848&amp;col=6&amp;number=3.4&amp;sourceID=14","3.4")</f>
        <v>3.4</v>
      </c>
      <c r="G10848" s="4" t="str">
        <f>HYPERLINK("http://141.218.60.56/~jnz1568/getInfo.php?workbook=12_05.xlsx&amp;sheet=U0&amp;row=10848&amp;col=7&amp;number=0.0526&amp;sourceID=14","0.0526")</f>
        <v>0.0526</v>
      </c>
    </row>
    <row r="10849" spans="1:7">
      <c r="A10849" s="3"/>
      <c r="B10849" s="3"/>
      <c r="C10849" s="3"/>
      <c r="D10849" s="3"/>
      <c r="E10849" s="3">
        <v>6</v>
      </c>
      <c r="F10849" s="4" t="str">
        <f>HYPERLINK("http://141.218.60.56/~jnz1568/getInfo.php?workbook=12_05.xlsx&amp;sheet=U0&amp;row=10849&amp;col=6&amp;number=3.5&amp;sourceID=14","3.5")</f>
        <v>3.5</v>
      </c>
      <c r="G10849" s="4" t="str">
        <f>HYPERLINK("http://141.218.60.56/~jnz1568/getInfo.php?workbook=12_05.xlsx&amp;sheet=U0&amp;row=10849&amp;col=7&amp;number=0.0526&amp;sourceID=14","0.0526")</f>
        <v>0.0526</v>
      </c>
    </row>
    <row r="10850" spans="1:7">
      <c r="A10850" s="3"/>
      <c r="B10850" s="3"/>
      <c r="C10850" s="3"/>
      <c r="D10850" s="3"/>
      <c r="E10850" s="3">
        <v>7</v>
      </c>
      <c r="F10850" s="4" t="str">
        <f>HYPERLINK("http://141.218.60.56/~jnz1568/getInfo.php?workbook=12_05.xlsx&amp;sheet=U0&amp;row=10850&amp;col=6&amp;number=3.6&amp;sourceID=14","3.6")</f>
        <v>3.6</v>
      </c>
      <c r="G10850" s="4" t="str">
        <f>HYPERLINK("http://141.218.60.56/~jnz1568/getInfo.php?workbook=12_05.xlsx&amp;sheet=U0&amp;row=10850&amp;col=7&amp;number=0.0525&amp;sourceID=14","0.0525")</f>
        <v>0.0525</v>
      </c>
    </row>
    <row r="10851" spans="1:7">
      <c r="A10851" s="3"/>
      <c r="B10851" s="3"/>
      <c r="C10851" s="3"/>
      <c r="D10851" s="3"/>
      <c r="E10851" s="3">
        <v>8</v>
      </c>
      <c r="F10851" s="4" t="str">
        <f>HYPERLINK("http://141.218.60.56/~jnz1568/getInfo.php?workbook=12_05.xlsx&amp;sheet=U0&amp;row=10851&amp;col=6&amp;number=3.7&amp;sourceID=14","3.7")</f>
        <v>3.7</v>
      </c>
      <c r="G10851" s="4" t="str">
        <f>HYPERLINK("http://141.218.60.56/~jnz1568/getInfo.php?workbook=12_05.xlsx&amp;sheet=U0&amp;row=10851&amp;col=7&amp;number=0.0525&amp;sourceID=14","0.0525")</f>
        <v>0.0525</v>
      </c>
    </row>
    <row r="10852" spans="1:7">
      <c r="A10852" s="3"/>
      <c r="B10852" s="3"/>
      <c r="C10852" s="3"/>
      <c r="D10852" s="3"/>
      <c r="E10852" s="3">
        <v>9</v>
      </c>
      <c r="F10852" s="4" t="str">
        <f>HYPERLINK("http://141.218.60.56/~jnz1568/getInfo.php?workbook=12_05.xlsx&amp;sheet=U0&amp;row=10852&amp;col=6&amp;number=3.8&amp;sourceID=14","3.8")</f>
        <v>3.8</v>
      </c>
      <c r="G10852" s="4" t="str">
        <f>HYPERLINK("http://141.218.60.56/~jnz1568/getInfo.php?workbook=12_05.xlsx&amp;sheet=U0&amp;row=10852&amp;col=7&amp;number=0.0524&amp;sourceID=14","0.0524")</f>
        <v>0.0524</v>
      </c>
    </row>
    <row r="10853" spans="1:7">
      <c r="A10853" s="3"/>
      <c r="B10853" s="3"/>
      <c r="C10853" s="3"/>
      <c r="D10853" s="3"/>
      <c r="E10853" s="3">
        <v>10</v>
      </c>
      <c r="F10853" s="4" t="str">
        <f>HYPERLINK("http://141.218.60.56/~jnz1568/getInfo.php?workbook=12_05.xlsx&amp;sheet=U0&amp;row=10853&amp;col=6&amp;number=3.9&amp;sourceID=14","3.9")</f>
        <v>3.9</v>
      </c>
      <c r="G10853" s="4" t="str">
        <f>HYPERLINK("http://141.218.60.56/~jnz1568/getInfo.php?workbook=12_05.xlsx&amp;sheet=U0&amp;row=10853&amp;col=7&amp;number=0.0523&amp;sourceID=14","0.0523")</f>
        <v>0.0523</v>
      </c>
    </row>
    <row r="10854" spans="1:7">
      <c r="A10854" s="3"/>
      <c r="B10854" s="3"/>
      <c r="C10854" s="3"/>
      <c r="D10854" s="3"/>
      <c r="E10854" s="3">
        <v>11</v>
      </c>
      <c r="F10854" s="4" t="str">
        <f>HYPERLINK("http://141.218.60.56/~jnz1568/getInfo.php?workbook=12_05.xlsx&amp;sheet=U0&amp;row=10854&amp;col=6&amp;number=4&amp;sourceID=14","4")</f>
        <v>4</v>
      </c>
      <c r="G10854" s="4" t="str">
        <f>HYPERLINK("http://141.218.60.56/~jnz1568/getInfo.php?workbook=12_05.xlsx&amp;sheet=U0&amp;row=10854&amp;col=7&amp;number=0.0521&amp;sourceID=14","0.0521")</f>
        <v>0.0521</v>
      </c>
    </row>
    <row r="10855" spans="1:7">
      <c r="A10855" s="3"/>
      <c r="B10855" s="3"/>
      <c r="C10855" s="3"/>
      <c r="D10855" s="3"/>
      <c r="E10855" s="3">
        <v>12</v>
      </c>
      <c r="F10855" s="4" t="str">
        <f>HYPERLINK("http://141.218.60.56/~jnz1568/getInfo.php?workbook=12_05.xlsx&amp;sheet=U0&amp;row=10855&amp;col=6&amp;number=4.1&amp;sourceID=14","4.1")</f>
        <v>4.1</v>
      </c>
      <c r="G10855" s="4" t="str">
        <f>HYPERLINK("http://141.218.60.56/~jnz1568/getInfo.php?workbook=12_05.xlsx&amp;sheet=U0&amp;row=10855&amp;col=7&amp;number=0.052&amp;sourceID=14","0.052")</f>
        <v>0.052</v>
      </c>
    </row>
    <row r="10856" spans="1:7">
      <c r="A10856" s="3"/>
      <c r="B10856" s="3"/>
      <c r="C10856" s="3"/>
      <c r="D10856" s="3"/>
      <c r="E10856" s="3">
        <v>13</v>
      </c>
      <c r="F10856" s="4" t="str">
        <f>HYPERLINK("http://141.218.60.56/~jnz1568/getInfo.php?workbook=12_05.xlsx&amp;sheet=U0&amp;row=10856&amp;col=6&amp;number=4.2&amp;sourceID=14","4.2")</f>
        <v>4.2</v>
      </c>
      <c r="G10856" s="4" t="str">
        <f>HYPERLINK("http://141.218.60.56/~jnz1568/getInfo.php?workbook=12_05.xlsx&amp;sheet=U0&amp;row=10856&amp;col=7&amp;number=0.0517&amp;sourceID=14","0.0517")</f>
        <v>0.0517</v>
      </c>
    </row>
    <row r="10857" spans="1:7">
      <c r="A10857" s="3"/>
      <c r="B10857" s="3"/>
      <c r="C10857" s="3"/>
      <c r="D10857" s="3"/>
      <c r="E10857" s="3">
        <v>14</v>
      </c>
      <c r="F10857" s="4" t="str">
        <f>HYPERLINK("http://141.218.60.56/~jnz1568/getInfo.php?workbook=12_05.xlsx&amp;sheet=U0&amp;row=10857&amp;col=6&amp;number=4.3&amp;sourceID=14","4.3")</f>
        <v>4.3</v>
      </c>
      <c r="G10857" s="4" t="str">
        <f>HYPERLINK("http://141.218.60.56/~jnz1568/getInfo.php?workbook=12_05.xlsx&amp;sheet=U0&amp;row=10857&amp;col=7&amp;number=0.0515&amp;sourceID=14","0.0515")</f>
        <v>0.0515</v>
      </c>
    </row>
    <row r="10858" spans="1:7">
      <c r="A10858" s="3"/>
      <c r="B10858" s="3"/>
      <c r="C10858" s="3"/>
      <c r="D10858" s="3"/>
      <c r="E10858" s="3">
        <v>15</v>
      </c>
      <c r="F10858" s="4" t="str">
        <f>HYPERLINK("http://141.218.60.56/~jnz1568/getInfo.php?workbook=12_05.xlsx&amp;sheet=U0&amp;row=10858&amp;col=6&amp;number=4.4&amp;sourceID=14","4.4")</f>
        <v>4.4</v>
      </c>
      <c r="G10858" s="4" t="str">
        <f>HYPERLINK("http://141.218.60.56/~jnz1568/getInfo.php?workbook=12_05.xlsx&amp;sheet=U0&amp;row=10858&amp;col=7&amp;number=0.0511&amp;sourceID=14","0.0511")</f>
        <v>0.0511</v>
      </c>
    </row>
    <row r="10859" spans="1:7">
      <c r="A10859" s="3"/>
      <c r="B10859" s="3"/>
      <c r="C10859" s="3"/>
      <c r="D10859" s="3"/>
      <c r="E10859" s="3">
        <v>16</v>
      </c>
      <c r="F10859" s="4" t="str">
        <f>HYPERLINK("http://141.218.60.56/~jnz1568/getInfo.php?workbook=12_05.xlsx&amp;sheet=U0&amp;row=10859&amp;col=6&amp;number=4.5&amp;sourceID=14","4.5")</f>
        <v>4.5</v>
      </c>
      <c r="G10859" s="4" t="str">
        <f>HYPERLINK("http://141.218.60.56/~jnz1568/getInfo.php?workbook=12_05.xlsx&amp;sheet=U0&amp;row=10859&amp;col=7&amp;number=0.0507&amp;sourceID=14","0.0507")</f>
        <v>0.0507</v>
      </c>
    </row>
    <row r="10860" spans="1:7">
      <c r="A10860" s="3"/>
      <c r="B10860" s="3"/>
      <c r="C10860" s="3"/>
      <c r="D10860" s="3"/>
      <c r="E10860" s="3">
        <v>17</v>
      </c>
      <c r="F10860" s="4" t="str">
        <f>HYPERLINK("http://141.218.60.56/~jnz1568/getInfo.php?workbook=12_05.xlsx&amp;sheet=U0&amp;row=10860&amp;col=6&amp;number=4.6&amp;sourceID=14","4.6")</f>
        <v>4.6</v>
      </c>
      <c r="G10860" s="4" t="str">
        <f>HYPERLINK("http://141.218.60.56/~jnz1568/getInfo.php?workbook=12_05.xlsx&amp;sheet=U0&amp;row=10860&amp;col=7&amp;number=0.0502&amp;sourceID=14","0.0502")</f>
        <v>0.0502</v>
      </c>
    </row>
    <row r="10861" spans="1:7">
      <c r="A10861" s="3"/>
      <c r="B10861" s="3"/>
      <c r="C10861" s="3"/>
      <c r="D10861" s="3"/>
      <c r="E10861" s="3">
        <v>18</v>
      </c>
      <c r="F10861" s="4" t="str">
        <f>HYPERLINK("http://141.218.60.56/~jnz1568/getInfo.php?workbook=12_05.xlsx&amp;sheet=U0&amp;row=10861&amp;col=6&amp;number=4.7&amp;sourceID=14","4.7")</f>
        <v>4.7</v>
      </c>
      <c r="G10861" s="4" t="str">
        <f>HYPERLINK("http://141.218.60.56/~jnz1568/getInfo.php?workbook=12_05.xlsx&amp;sheet=U0&amp;row=10861&amp;col=7&amp;number=0.0496&amp;sourceID=14","0.0496")</f>
        <v>0.0496</v>
      </c>
    </row>
    <row r="10862" spans="1:7">
      <c r="A10862" s="3"/>
      <c r="B10862" s="3"/>
      <c r="C10862" s="3"/>
      <c r="D10862" s="3"/>
      <c r="E10862" s="3">
        <v>19</v>
      </c>
      <c r="F10862" s="4" t="str">
        <f>HYPERLINK("http://141.218.60.56/~jnz1568/getInfo.php?workbook=12_05.xlsx&amp;sheet=U0&amp;row=10862&amp;col=6&amp;number=4.8&amp;sourceID=14","4.8")</f>
        <v>4.8</v>
      </c>
      <c r="G10862" s="4" t="str">
        <f>HYPERLINK("http://141.218.60.56/~jnz1568/getInfo.php?workbook=12_05.xlsx&amp;sheet=U0&amp;row=10862&amp;col=7&amp;number=0.0488&amp;sourceID=14","0.0488")</f>
        <v>0.0488</v>
      </c>
    </row>
    <row r="10863" spans="1:7">
      <c r="A10863" s="3"/>
      <c r="B10863" s="3"/>
      <c r="C10863" s="3"/>
      <c r="D10863" s="3"/>
      <c r="E10863" s="3">
        <v>20</v>
      </c>
      <c r="F10863" s="4" t="str">
        <f>HYPERLINK("http://141.218.60.56/~jnz1568/getInfo.php?workbook=12_05.xlsx&amp;sheet=U0&amp;row=10863&amp;col=6&amp;number=4.9&amp;sourceID=14","4.9")</f>
        <v>4.9</v>
      </c>
      <c r="G10863" s="4" t="str">
        <f>HYPERLINK("http://141.218.60.56/~jnz1568/getInfo.php?workbook=12_05.xlsx&amp;sheet=U0&amp;row=10863&amp;col=7&amp;number=0.0478&amp;sourceID=14","0.0478")</f>
        <v>0.0478</v>
      </c>
    </row>
    <row r="10864" spans="1:7">
      <c r="A10864" s="3">
        <v>12</v>
      </c>
      <c r="B10864" s="3">
        <v>5</v>
      </c>
      <c r="C10864" s="3">
        <v>5</v>
      </c>
      <c r="D10864" s="3">
        <v>122</v>
      </c>
      <c r="E10864" s="3">
        <v>1</v>
      </c>
      <c r="F10864" s="4" t="str">
        <f>HYPERLINK("http://141.218.60.56/~jnz1568/getInfo.php?workbook=12_05.xlsx&amp;sheet=U0&amp;row=10864&amp;col=6&amp;number=3&amp;sourceID=14","3")</f>
        <v>3</v>
      </c>
      <c r="G10864" s="4" t="str">
        <f>HYPERLINK("http://141.218.60.56/~jnz1568/getInfo.php?workbook=12_05.xlsx&amp;sheet=U0&amp;row=10864&amp;col=7&amp;number=0.000473&amp;sourceID=14","0.000473")</f>
        <v>0.000473</v>
      </c>
    </row>
    <row r="10865" spans="1:7">
      <c r="A10865" s="3"/>
      <c r="B10865" s="3"/>
      <c r="C10865" s="3"/>
      <c r="D10865" s="3"/>
      <c r="E10865" s="3">
        <v>2</v>
      </c>
      <c r="F10865" s="4" t="str">
        <f>HYPERLINK("http://141.218.60.56/~jnz1568/getInfo.php?workbook=12_05.xlsx&amp;sheet=U0&amp;row=10865&amp;col=6&amp;number=3.1&amp;sourceID=14","3.1")</f>
        <v>3.1</v>
      </c>
      <c r="G10865" s="4" t="str">
        <f>HYPERLINK("http://141.218.60.56/~jnz1568/getInfo.php?workbook=12_05.xlsx&amp;sheet=U0&amp;row=10865&amp;col=7&amp;number=0.000473&amp;sourceID=14","0.000473")</f>
        <v>0.000473</v>
      </c>
    </row>
    <row r="10866" spans="1:7">
      <c r="A10866" s="3"/>
      <c r="B10866" s="3"/>
      <c r="C10866" s="3"/>
      <c r="D10866" s="3"/>
      <c r="E10866" s="3">
        <v>3</v>
      </c>
      <c r="F10866" s="4" t="str">
        <f>HYPERLINK("http://141.218.60.56/~jnz1568/getInfo.php?workbook=12_05.xlsx&amp;sheet=U0&amp;row=10866&amp;col=6&amp;number=3.2&amp;sourceID=14","3.2")</f>
        <v>3.2</v>
      </c>
      <c r="G10866" s="4" t="str">
        <f>HYPERLINK("http://141.218.60.56/~jnz1568/getInfo.php?workbook=12_05.xlsx&amp;sheet=U0&amp;row=10866&amp;col=7&amp;number=0.000473&amp;sourceID=14","0.000473")</f>
        <v>0.000473</v>
      </c>
    </row>
    <row r="10867" spans="1:7">
      <c r="A10867" s="3"/>
      <c r="B10867" s="3"/>
      <c r="C10867" s="3"/>
      <c r="D10867" s="3"/>
      <c r="E10867" s="3">
        <v>4</v>
      </c>
      <c r="F10867" s="4" t="str">
        <f>HYPERLINK("http://141.218.60.56/~jnz1568/getInfo.php?workbook=12_05.xlsx&amp;sheet=U0&amp;row=10867&amp;col=6&amp;number=3.3&amp;sourceID=14","3.3")</f>
        <v>3.3</v>
      </c>
      <c r="G10867" s="4" t="str">
        <f>HYPERLINK("http://141.218.60.56/~jnz1568/getInfo.php?workbook=12_05.xlsx&amp;sheet=U0&amp;row=10867&amp;col=7&amp;number=0.000473&amp;sourceID=14","0.000473")</f>
        <v>0.000473</v>
      </c>
    </row>
    <row r="10868" spans="1:7">
      <c r="A10868" s="3"/>
      <c r="B10868" s="3"/>
      <c r="C10868" s="3"/>
      <c r="D10868" s="3"/>
      <c r="E10868" s="3">
        <v>5</v>
      </c>
      <c r="F10868" s="4" t="str">
        <f>HYPERLINK("http://141.218.60.56/~jnz1568/getInfo.php?workbook=12_05.xlsx&amp;sheet=U0&amp;row=10868&amp;col=6&amp;number=3.4&amp;sourceID=14","3.4")</f>
        <v>3.4</v>
      </c>
      <c r="G10868" s="4" t="str">
        <f>HYPERLINK("http://141.218.60.56/~jnz1568/getInfo.php?workbook=12_05.xlsx&amp;sheet=U0&amp;row=10868&amp;col=7&amp;number=0.000472&amp;sourceID=14","0.000472")</f>
        <v>0.000472</v>
      </c>
    </row>
    <row r="10869" spans="1:7">
      <c r="A10869" s="3"/>
      <c r="B10869" s="3"/>
      <c r="C10869" s="3"/>
      <c r="D10869" s="3"/>
      <c r="E10869" s="3">
        <v>6</v>
      </c>
      <c r="F10869" s="4" t="str">
        <f>HYPERLINK("http://141.218.60.56/~jnz1568/getInfo.php?workbook=12_05.xlsx&amp;sheet=U0&amp;row=10869&amp;col=6&amp;number=3.5&amp;sourceID=14","3.5")</f>
        <v>3.5</v>
      </c>
      <c r="G10869" s="4" t="str">
        <f>HYPERLINK("http://141.218.60.56/~jnz1568/getInfo.php?workbook=12_05.xlsx&amp;sheet=U0&amp;row=10869&amp;col=7&amp;number=0.000472&amp;sourceID=14","0.000472")</f>
        <v>0.000472</v>
      </c>
    </row>
    <row r="10870" spans="1:7">
      <c r="A10870" s="3"/>
      <c r="B10870" s="3"/>
      <c r="C10870" s="3"/>
      <c r="D10870" s="3"/>
      <c r="E10870" s="3">
        <v>7</v>
      </c>
      <c r="F10870" s="4" t="str">
        <f>HYPERLINK("http://141.218.60.56/~jnz1568/getInfo.php?workbook=12_05.xlsx&amp;sheet=U0&amp;row=10870&amp;col=6&amp;number=3.6&amp;sourceID=14","3.6")</f>
        <v>3.6</v>
      </c>
      <c r="G10870" s="4" t="str">
        <f>HYPERLINK("http://141.218.60.56/~jnz1568/getInfo.php?workbook=12_05.xlsx&amp;sheet=U0&amp;row=10870&amp;col=7&amp;number=0.000472&amp;sourceID=14","0.000472")</f>
        <v>0.000472</v>
      </c>
    </row>
    <row r="10871" spans="1:7">
      <c r="A10871" s="3"/>
      <c r="B10871" s="3"/>
      <c r="C10871" s="3"/>
      <c r="D10871" s="3"/>
      <c r="E10871" s="3">
        <v>8</v>
      </c>
      <c r="F10871" s="4" t="str">
        <f>HYPERLINK("http://141.218.60.56/~jnz1568/getInfo.php?workbook=12_05.xlsx&amp;sheet=U0&amp;row=10871&amp;col=6&amp;number=3.7&amp;sourceID=14","3.7")</f>
        <v>3.7</v>
      </c>
      <c r="G10871" s="4" t="str">
        <f>HYPERLINK("http://141.218.60.56/~jnz1568/getInfo.php?workbook=12_05.xlsx&amp;sheet=U0&amp;row=10871&amp;col=7&amp;number=0.000471&amp;sourceID=14","0.000471")</f>
        <v>0.000471</v>
      </c>
    </row>
    <row r="10872" spans="1:7">
      <c r="A10872" s="3"/>
      <c r="B10872" s="3"/>
      <c r="C10872" s="3"/>
      <c r="D10872" s="3"/>
      <c r="E10872" s="3">
        <v>9</v>
      </c>
      <c r="F10872" s="4" t="str">
        <f>HYPERLINK("http://141.218.60.56/~jnz1568/getInfo.php?workbook=12_05.xlsx&amp;sheet=U0&amp;row=10872&amp;col=6&amp;number=3.8&amp;sourceID=14","3.8")</f>
        <v>3.8</v>
      </c>
      <c r="G10872" s="4" t="str">
        <f>HYPERLINK("http://141.218.60.56/~jnz1568/getInfo.php?workbook=12_05.xlsx&amp;sheet=U0&amp;row=10872&amp;col=7&amp;number=0.000471&amp;sourceID=14","0.000471")</f>
        <v>0.000471</v>
      </c>
    </row>
    <row r="10873" spans="1:7">
      <c r="A10873" s="3"/>
      <c r="B10873" s="3"/>
      <c r="C10873" s="3"/>
      <c r="D10873" s="3"/>
      <c r="E10873" s="3">
        <v>10</v>
      </c>
      <c r="F10873" s="4" t="str">
        <f>HYPERLINK("http://141.218.60.56/~jnz1568/getInfo.php?workbook=12_05.xlsx&amp;sheet=U0&amp;row=10873&amp;col=6&amp;number=3.9&amp;sourceID=14","3.9")</f>
        <v>3.9</v>
      </c>
      <c r="G10873" s="4" t="str">
        <f>HYPERLINK("http://141.218.60.56/~jnz1568/getInfo.php?workbook=12_05.xlsx&amp;sheet=U0&amp;row=10873&amp;col=7&amp;number=0.00047&amp;sourceID=14","0.00047")</f>
        <v>0.00047</v>
      </c>
    </row>
    <row r="10874" spans="1:7">
      <c r="A10874" s="3"/>
      <c r="B10874" s="3"/>
      <c r="C10874" s="3"/>
      <c r="D10874" s="3"/>
      <c r="E10874" s="3">
        <v>11</v>
      </c>
      <c r="F10874" s="4" t="str">
        <f>HYPERLINK("http://141.218.60.56/~jnz1568/getInfo.php?workbook=12_05.xlsx&amp;sheet=U0&amp;row=10874&amp;col=6&amp;number=4&amp;sourceID=14","4")</f>
        <v>4</v>
      </c>
      <c r="G10874" s="4" t="str">
        <f>HYPERLINK("http://141.218.60.56/~jnz1568/getInfo.php?workbook=12_05.xlsx&amp;sheet=U0&amp;row=10874&amp;col=7&amp;number=0.000469&amp;sourceID=14","0.000469")</f>
        <v>0.000469</v>
      </c>
    </row>
    <row r="10875" spans="1:7">
      <c r="A10875" s="3"/>
      <c r="B10875" s="3"/>
      <c r="C10875" s="3"/>
      <c r="D10875" s="3"/>
      <c r="E10875" s="3">
        <v>12</v>
      </c>
      <c r="F10875" s="4" t="str">
        <f>HYPERLINK("http://141.218.60.56/~jnz1568/getInfo.php?workbook=12_05.xlsx&amp;sheet=U0&amp;row=10875&amp;col=6&amp;number=4.1&amp;sourceID=14","4.1")</f>
        <v>4.1</v>
      </c>
      <c r="G10875" s="4" t="str">
        <f>HYPERLINK("http://141.218.60.56/~jnz1568/getInfo.php?workbook=12_05.xlsx&amp;sheet=U0&amp;row=10875&amp;col=7&amp;number=0.000467&amp;sourceID=14","0.000467")</f>
        <v>0.000467</v>
      </c>
    </row>
    <row r="10876" spans="1:7">
      <c r="A10876" s="3"/>
      <c r="B10876" s="3"/>
      <c r="C10876" s="3"/>
      <c r="D10876" s="3"/>
      <c r="E10876" s="3">
        <v>13</v>
      </c>
      <c r="F10876" s="4" t="str">
        <f>HYPERLINK("http://141.218.60.56/~jnz1568/getInfo.php?workbook=12_05.xlsx&amp;sheet=U0&amp;row=10876&amp;col=6&amp;number=4.2&amp;sourceID=14","4.2")</f>
        <v>4.2</v>
      </c>
      <c r="G10876" s="4" t="str">
        <f>HYPERLINK("http://141.218.60.56/~jnz1568/getInfo.php?workbook=12_05.xlsx&amp;sheet=U0&amp;row=10876&amp;col=7&amp;number=0.000466&amp;sourceID=14","0.000466")</f>
        <v>0.000466</v>
      </c>
    </row>
    <row r="10877" spans="1:7">
      <c r="A10877" s="3"/>
      <c r="B10877" s="3"/>
      <c r="C10877" s="3"/>
      <c r="D10877" s="3"/>
      <c r="E10877" s="3">
        <v>14</v>
      </c>
      <c r="F10877" s="4" t="str">
        <f>HYPERLINK("http://141.218.60.56/~jnz1568/getInfo.php?workbook=12_05.xlsx&amp;sheet=U0&amp;row=10877&amp;col=6&amp;number=4.3&amp;sourceID=14","4.3")</f>
        <v>4.3</v>
      </c>
      <c r="G10877" s="4" t="str">
        <f>HYPERLINK("http://141.218.60.56/~jnz1568/getInfo.php?workbook=12_05.xlsx&amp;sheet=U0&amp;row=10877&amp;col=7&amp;number=0.000464&amp;sourceID=14","0.000464")</f>
        <v>0.000464</v>
      </c>
    </row>
    <row r="10878" spans="1:7">
      <c r="A10878" s="3"/>
      <c r="B10878" s="3"/>
      <c r="C10878" s="3"/>
      <c r="D10878" s="3"/>
      <c r="E10878" s="3">
        <v>15</v>
      </c>
      <c r="F10878" s="4" t="str">
        <f>HYPERLINK("http://141.218.60.56/~jnz1568/getInfo.php?workbook=12_05.xlsx&amp;sheet=U0&amp;row=10878&amp;col=6&amp;number=4.4&amp;sourceID=14","4.4")</f>
        <v>4.4</v>
      </c>
      <c r="G10878" s="4" t="str">
        <f>HYPERLINK("http://141.218.60.56/~jnz1568/getInfo.php?workbook=12_05.xlsx&amp;sheet=U0&amp;row=10878&amp;col=7&amp;number=0.000461&amp;sourceID=14","0.000461")</f>
        <v>0.000461</v>
      </c>
    </row>
    <row r="10879" spans="1:7">
      <c r="A10879" s="3"/>
      <c r="B10879" s="3"/>
      <c r="C10879" s="3"/>
      <c r="D10879" s="3"/>
      <c r="E10879" s="3">
        <v>16</v>
      </c>
      <c r="F10879" s="4" t="str">
        <f>HYPERLINK("http://141.218.60.56/~jnz1568/getInfo.php?workbook=12_05.xlsx&amp;sheet=U0&amp;row=10879&amp;col=6&amp;number=4.5&amp;sourceID=14","4.5")</f>
        <v>4.5</v>
      </c>
      <c r="G10879" s="4" t="str">
        <f>HYPERLINK("http://141.218.60.56/~jnz1568/getInfo.php?workbook=12_05.xlsx&amp;sheet=U0&amp;row=10879&amp;col=7&amp;number=0.000458&amp;sourceID=14","0.000458")</f>
        <v>0.000458</v>
      </c>
    </row>
    <row r="10880" spans="1:7">
      <c r="A10880" s="3"/>
      <c r="B10880" s="3"/>
      <c r="C10880" s="3"/>
      <c r="D10880" s="3"/>
      <c r="E10880" s="3">
        <v>17</v>
      </c>
      <c r="F10880" s="4" t="str">
        <f>HYPERLINK("http://141.218.60.56/~jnz1568/getInfo.php?workbook=12_05.xlsx&amp;sheet=U0&amp;row=10880&amp;col=6&amp;number=4.6&amp;sourceID=14","4.6")</f>
        <v>4.6</v>
      </c>
      <c r="G10880" s="4" t="str">
        <f>HYPERLINK("http://141.218.60.56/~jnz1568/getInfo.php?workbook=12_05.xlsx&amp;sheet=U0&amp;row=10880&amp;col=7&amp;number=0.000454&amp;sourceID=14","0.000454")</f>
        <v>0.000454</v>
      </c>
    </row>
    <row r="10881" spans="1:7">
      <c r="A10881" s="3"/>
      <c r="B10881" s="3"/>
      <c r="C10881" s="3"/>
      <c r="D10881" s="3"/>
      <c r="E10881" s="3">
        <v>18</v>
      </c>
      <c r="F10881" s="4" t="str">
        <f>HYPERLINK("http://141.218.60.56/~jnz1568/getInfo.php?workbook=12_05.xlsx&amp;sheet=U0&amp;row=10881&amp;col=6&amp;number=4.7&amp;sourceID=14","4.7")</f>
        <v>4.7</v>
      </c>
      <c r="G10881" s="4" t="str">
        <f>HYPERLINK("http://141.218.60.56/~jnz1568/getInfo.php?workbook=12_05.xlsx&amp;sheet=U0&amp;row=10881&amp;col=7&amp;number=0.000449&amp;sourceID=14","0.000449")</f>
        <v>0.000449</v>
      </c>
    </row>
    <row r="10882" spans="1:7">
      <c r="A10882" s="3"/>
      <c r="B10882" s="3"/>
      <c r="C10882" s="3"/>
      <c r="D10882" s="3"/>
      <c r="E10882" s="3">
        <v>19</v>
      </c>
      <c r="F10882" s="4" t="str">
        <f>HYPERLINK("http://141.218.60.56/~jnz1568/getInfo.php?workbook=12_05.xlsx&amp;sheet=U0&amp;row=10882&amp;col=6&amp;number=4.8&amp;sourceID=14","4.8")</f>
        <v>4.8</v>
      </c>
      <c r="G10882" s="4" t="str">
        <f>HYPERLINK("http://141.218.60.56/~jnz1568/getInfo.php?workbook=12_05.xlsx&amp;sheet=U0&amp;row=10882&amp;col=7&amp;number=0.000442&amp;sourceID=14","0.000442")</f>
        <v>0.000442</v>
      </c>
    </row>
    <row r="10883" spans="1:7">
      <c r="A10883" s="3"/>
      <c r="B10883" s="3"/>
      <c r="C10883" s="3"/>
      <c r="D10883" s="3"/>
      <c r="E10883" s="3">
        <v>20</v>
      </c>
      <c r="F10883" s="4" t="str">
        <f>HYPERLINK("http://141.218.60.56/~jnz1568/getInfo.php?workbook=12_05.xlsx&amp;sheet=U0&amp;row=10883&amp;col=6&amp;number=4.9&amp;sourceID=14","4.9")</f>
        <v>4.9</v>
      </c>
      <c r="G10883" s="4" t="str">
        <f>HYPERLINK("http://141.218.60.56/~jnz1568/getInfo.php?workbook=12_05.xlsx&amp;sheet=U0&amp;row=10883&amp;col=7&amp;number=0.000434&amp;sourceID=14","0.000434")</f>
        <v>0.000434</v>
      </c>
    </row>
    <row r="10884" spans="1:7">
      <c r="A10884" s="3">
        <v>12</v>
      </c>
      <c r="B10884" s="3">
        <v>5</v>
      </c>
      <c r="C10884" s="3">
        <v>5</v>
      </c>
      <c r="D10884" s="3">
        <v>123</v>
      </c>
      <c r="E10884" s="3">
        <v>1</v>
      </c>
      <c r="F10884" s="4" t="str">
        <f>HYPERLINK("http://141.218.60.56/~jnz1568/getInfo.php?workbook=12_05.xlsx&amp;sheet=U0&amp;row=10884&amp;col=6&amp;number=3&amp;sourceID=14","3")</f>
        <v>3</v>
      </c>
      <c r="G10884" s="4" t="str">
        <f>HYPERLINK("http://141.218.60.56/~jnz1568/getInfo.php?workbook=12_05.xlsx&amp;sheet=U0&amp;row=10884&amp;col=7&amp;number=0.0132&amp;sourceID=14","0.0132")</f>
        <v>0.0132</v>
      </c>
    </row>
    <row r="10885" spans="1:7">
      <c r="A10885" s="3"/>
      <c r="B10885" s="3"/>
      <c r="C10885" s="3"/>
      <c r="D10885" s="3"/>
      <c r="E10885" s="3">
        <v>2</v>
      </c>
      <c r="F10885" s="4" t="str">
        <f>HYPERLINK("http://141.218.60.56/~jnz1568/getInfo.php?workbook=12_05.xlsx&amp;sheet=U0&amp;row=10885&amp;col=6&amp;number=3.1&amp;sourceID=14","3.1")</f>
        <v>3.1</v>
      </c>
      <c r="G10885" s="4" t="str">
        <f>HYPERLINK("http://141.218.60.56/~jnz1568/getInfo.php?workbook=12_05.xlsx&amp;sheet=U0&amp;row=10885&amp;col=7&amp;number=0.0132&amp;sourceID=14","0.0132")</f>
        <v>0.0132</v>
      </c>
    </row>
    <row r="10886" spans="1:7">
      <c r="A10886" s="3"/>
      <c r="B10886" s="3"/>
      <c r="C10886" s="3"/>
      <c r="D10886" s="3"/>
      <c r="E10886" s="3">
        <v>3</v>
      </c>
      <c r="F10886" s="4" t="str">
        <f>HYPERLINK("http://141.218.60.56/~jnz1568/getInfo.php?workbook=12_05.xlsx&amp;sheet=U0&amp;row=10886&amp;col=6&amp;number=3.2&amp;sourceID=14","3.2")</f>
        <v>3.2</v>
      </c>
      <c r="G10886" s="4" t="str">
        <f>HYPERLINK("http://141.218.60.56/~jnz1568/getInfo.php?workbook=12_05.xlsx&amp;sheet=U0&amp;row=10886&amp;col=7&amp;number=0.0132&amp;sourceID=14","0.0132")</f>
        <v>0.0132</v>
      </c>
    </row>
    <row r="10887" spans="1:7">
      <c r="A10887" s="3"/>
      <c r="B10887" s="3"/>
      <c r="C10887" s="3"/>
      <c r="D10887" s="3"/>
      <c r="E10887" s="3">
        <v>4</v>
      </c>
      <c r="F10887" s="4" t="str">
        <f>HYPERLINK("http://141.218.60.56/~jnz1568/getInfo.php?workbook=12_05.xlsx&amp;sheet=U0&amp;row=10887&amp;col=6&amp;number=3.3&amp;sourceID=14","3.3")</f>
        <v>3.3</v>
      </c>
      <c r="G10887" s="4" t="str">
        <f>HYPERLINK("http://141.218.60.56/~jnz1568/getInfo.php?workbook=12_05.xlsx&amp;sheet=U0&amp;row=10887&amp;col=7&amp;number=0.0132&amp;sourceID=14","0.0132")</f>
        <v>0.0132</v>
      </c>
    </row>
    <row r="10888" spans="1:7">
      <c r="A10888" s="3"/>
      <c r="B10888" s="3"/>
      <c r="C10888" s="3"/>
      <c r="D10888" s="3"/>
      <c r="E10888" s="3">
        <v>5</v>
      </c>
      <c r="F10888" s="4" t="str">
        <f>HYPERLINK("http://141.218.60.56/~jnz1568/getInfo.php?workbook=12_05.xlsx&amp;sheet=U0&amp;row=10888&amp;col=6&amp;number=3.4&amp;sourceID=14","3.4")</f>
        <v>3.4</v>
      </c>
      <c r="G10888" s="4" t="str">
        <f>HYPERLINK("http://141.218.60.56/~jnz1568/getInfo.php?workbook=12_05.xlsx&amp;sheet=U0&amp;row=10888&amp;col=7&amp;number=0.0132&amp;sourceID=14","0.0132")</f>
        <v>0.0132</v>
      </c>
    </row>
    <row r="10889" spans="1:7">
      <c r="A10889" s="3"/>
      <c r="B10889" s="3"/>
      <c r="C10889" s="3"/>
      <c r="D10889" s="3"/>
      <c r="E10889" s="3">
        <v>6</v>
      </c>
      <c r="F10889" s="4" t="str">
        <f>HYPERLINK("http://141.218.60.56/~jnz1568/getInfo.php?workbook=12_05.xlsx&amp;sheet=U0&amp;row=10889&amp;col=6&amp;number=3.5&amp;sourceID=14","3.5")</f>
        <v>3.5</v>
      </c>
      <c r="G10889" s="4" t="str">
        <f>HYPERLINK("http://141.218.60.56/~jnz1568/getInfo.php?workbook=12_05.xlsx&amp;sheet=U0&amp;row=10889&amp;col=7&amp;number=0.0132&amp;sourceID=14","0.0132")</f>
        <v>0.0132</v>
      </c>
    </row>
    <row r="10890" spans="1:7">
      <c r="A10890" s="3"/>
      <c r="B10890" s="3"/>
      <c r="C10890" s="3"/>
      <c r="D10890" s="3"/>
      <c r="E10890" s="3">
        <v>7</v>
      </c>
      <c r="F10890" s="4" t="str">
        <f>HYPERLINK("http://141.218.60.56/~jnz1568/getInfo.php?workbook=12_05.xlsx&amp;sheet=U0&amp;row=10890&amp;col=6&amp;number=3.6&amp;sourceID=14","3.6")</f>
        <v>3.6</v>
      </c>
      <c r="G10890" s="4" t="str">
        <f>HYPERLINK("http://141.218.60.56/~jnz1568/getInfo.php?workbook=12_05.xlsx&amp;sheet=U0&amp;row=10890&amp;col=7&amp;number=0.0132&amp;sourceID=14","0.0132")</f>
        <v>0.0132</v>
      </c>
    </row>
    <row r="10891" spans="1:7">
      <c r="A10891" s="3"/>
      <c r="B10891" s="3"/>
      <c r="C10891" s="3"/>
      <c r="D10891" s="3"/>
      <c r="E10891" s="3">
        <v>8</v>
      </c>
      <c r="F10891" s="4" t="str">
        <f>HYPERLINK("http://141.218.60.56/~jnz1568/getInfo.php?workbook=12_05.xlsx&amp;sheet=U0&amp;row=10891&amp;col=6&amp;number=3.7&amp;sourceID=14","3.7")</f>
        <v>3.7</v>
      </c>
      <c r="G10891" s="4" t="str">
        <f>HYPERLINK("http://141.218.60.56/~jnz1568/getInfo.php?workbook=12_05.xlsx&amp;sheet=U0&amp;row=10891&amp;col=7&amp;number=0.0133&amp;sourceID=14","0.0133")</f>
        <v>0.0133</v>
      </c>
    </row>
    <row r="10892" spans="1:7">
      <c r="A10892" s="3"/>
      <c r="B10892" s="3"/>
      <c r="C10892" s="3"/>
      <c r="D10892" s="3"/>
      <c r="E10892" s="3">
        <v>9</v>
      </c>
      <c r="F10892" s="4" t="str">
        <f>HYPERLINK("http://141.218.60.56/~jnz1568/getInfo.php?workbook=12_05.xlsx&amp;sheet=U0&amp;row=10892&amp;col=6&amp;number=3.8&amp;sourceID=14","3.8")</f>
        <v>3.8</v>
      </c>
      <c r="G10892" s="4" t="str">
        <f>HYPERLINK("http://141.218.60.56/~jnz1568/getInfo.php?workbook=12_05.xlsx&amp;sheet=U0&amp;row=10892&amp;col=7&amp;number=0.0133&amp;sourceID=14","0.0133")</f>
        <v>0.0133</v>
      </c>
    </row>
    <row r="10893" spans="1:7">
      <c r="A10893" s="3"/>
      <c r="B10893" s="3"/>
      <c r="C10893" s="3"/>
      <c r="D10893" s="3"/>
      <c r="E10893" s="3">
        <v>10</v>
      </c>
      <c r="F10893" s="4" t="str">
        <f>HYPERLINK("http://141.218.60.56/~jnz1568/getInfo.php?workbook=12_05.xlsx&amp;sheet=U0&amp;row=10893&amp;col=6&amp;number=3.9&amp;sourceID=14","3.9")</f>
        <v>3.9</v>
      </c>
      <c r="G10893" s="4" t="str">
        <f>HYPERLINK("http://141.218.60.56/~jnz1568/getInfo.php?workbook=12_05.xlsx&amp;sheet=U0&amp;row=10893&amp;col=7&amp;number=0.0133&amp;sourceID=14","0.0133")</f>
        <v>0.0133</v>
      </c>
    </row>
    <row r="10894" spans="1:7">
      <c r="A10894" s="3"/>
      <c r="B10894" s="3"/>
      <c r="C10894" s="3"/>
      <c r="D10894" s="3"/>
      <c r="E10894" s="3">
        <v>11</v>
      </c>
      <c r="F10894" s="4" t="str">
        <f>HYPERLINK("http://141.218.60.56/~jnz1568/getInfo.php?workbook=12_05.xlsx&amp;sheet=U0&amp;row=10894&amp;col=6&amp;number=4&amp;sourceID=14","4")</f>
        <v>4</v>
      </c>
      <c r="G10894" s="4" t="str">
        <f>HYPERLINK("http://141.218.60.56/~jnz1568/getInfo.php?workbook=12_05.xlsx&amp;sheet=U0&amp;row=10894&amp;col=7&amp;number=0.0133&amp;sourceID=14","0.0133")</f>
        <v>0.0133</v>
      </c>
    </row>
    <row r="10895" spans="1:7">
      <c r="A10895" s="3"/>
      <c r="B10895" s="3"/>
      <c r="C10895" s="3"/>
      <c r="D10895" s="3"/>
      <c r="E10895" s="3">
        <v>12</v>
      </c>
      <c r="F10895" s="4" t="str">
        <f>HYPERLINK("http://141.218.60.56/~jnz1568/getInfo.php?workbook=12_05.xlsx&amp;sheet=U0&amp;row=10895&amp;col=6&amp;number=4.1&amp;sourceID=14","4.1")</f>
        <v>4.1</v>
      </c>
      <c r="G10895" s="4" t="str">
        <f>HYPERLINK("http://141.218.60.56/~jnz1568/getInfo.php?workbook=12_05.xlsx&amp;sheet=U0&amp;row=10895&amp;col=7&amp;number=0.0134&amp;sourceID=14","0.0134")</f>
        <v>0.0134</v>
      </c>
    </row>
    <row r="10896" spans="1:7">
      <c r="A10896" s="3"/>
      <c r="B10896" s="3"/>
      <c r="C10896" s="3"/>
      <c r="D10896" s="3"/>
      <c r="E10896" s="3">
        <v>13</v>
      </c>
      <c r="F10896" s="4" t="str">
        <f>HYPERLINK("http://141.218.60.56/~jnz1568/getInfo.php?workbook=12_05.xlsx&amp;sheet=U0&amp;row=10896&amp;col=6&amp;number=4.2&amp;sourceID=14","4.2")</f>
        <v>4.2</v>
      </c>
      <c r="G10896" s="4" t="str">
        <f>HYPERLINK("http://141.218.60.56/~jnz1568/getInfo.php?workbook=12_05.xlsx&amp;sheet=U0&amp;row=10896&amp;col=7&amp;number=0.0134&amp;sourceID=14","0.0134")</f>
        <v>0.0134</v>
      </c>
    </row>
    <row r="10897" spans="1:7">
      <c r="A10897" s="3"/>
      <c r="B10897" s="3"/>
      <c r="C10897" s="3"/>
      <c r="D10897" s="3"/>
      <c r="E10897" s="3">
        <v>14</v>
      </c>
      <c r="F10897" s="4" t="str">
        <f>HYPERLINK("http://141.218.60.56/~jnz1568/getInfo.php?workbook=12_05.xlsx&amp;sheet=U0&amp;row=10897&amp;col=6&amp;number=4.3&amp;sourceID=14","4.3")</f>
        <v>4.3</v>
      </c>
      <c r="G10897" s="4" t="str">
        <f>HYPERLINK("http://141.218.60.56/~jnz1568/getInfo.php?workbook=12_05.xlsx&amp;sheet=U0&amp;row=10897&amp;col=7&amp;number=0.0135&amp;sourceID=14","0.0135")</f>
        <v>0.0135</v>
      </c>
    </row>
    <row r="10898" spans="1:7">
      <c r="A10898" s="3"/>
      <c r="B10898" s="3"/>
      <c r="C10898" s="3"/>
      <c r="D10898" s="3"/>
      <c r="E10898" s="3">
        <v>15</v>
      </c>
      <c r="F10898" s="4" t="str">
        <f>HYPERLINK("http://141.218.60.56/~jnz1568/getInfo.php?workbook=12_05.xlsx&amp;sheet=U0&amp;row=10898&amp;col=6&amp;number=4.4&amp;sourceID=14","4.4")</f>
        <v>4.4</v>
      </c>
      <c r="G10898" s="4" t="str">
        <f>HYPERLINK("http://141.218.60.56/~jnz1568/getInfo.php?workbook=12_05.xlsx&amp;sheet=U0&amp;row=10898&amp;col=7&amp;number=0.0135&amp;sourceID=14","0.0135")</f>
        <v>0.0135</v>
      </c>
    </row>
    <row r="10899" spans="1:7">
      <c r="A10899" s="3"/>
      <c r="B10899" s="3"/>
      <c r="C10899" s="3"/>
      <c r="D10899" s="3"/>
      <c r="E10899" s="3">
        <v>16</v>
      </c>
      <c r="F10899" s="4" t="str">
        <f>HYPERLINK("http://141.218.60.56/~jnz1568/getInfo.php?workbook=12_05.xlsx&amp;sheet=U0&amp;row=10899&amp;col=6&amp;number=4.5&amp;sourceID=14","4.5")</f>
        <v>4.5</v>
      </c>
      <c r="G10899" s="4" t="str">
        <f>HYPERLINK("http://141.218.60.56/~jnz1568/getInfo.php?workbook=12_05.xlsx&amp;sheet=U0&amp;row=10899&amp;col=7&amp;number=0.0136&amp;sourceID=14","0.0136")</f>
        <v>0.0136</v>
      </c>
    </row>
    <row r="10900" spans="1:7">
      <c r="A10900" s="3"/>
      <c r="B10900" s="3"/>
      <c r="C10900" s="3"/>
      <c r="D10900" s="3"/>
      <c r="E10900" s="3">
        <v>17</v>
      </c>
      <c r="F10900" s="4" t="str">
        <f>HYPERLINK("http://141.218.60.56/~jnz1568/getInfo.php?workbook=12_05.xlsx&amp;sheet=U0&amp;row=10900&amp;col=6&amp;number=4.6&amp;sourceID=14","4.6")</f>
        <v>4.6</v>
      </c>
      <c r="G10900" s="4" t="str">
        <f>HYPERLINK("http://141.218.60.56/~jnz1568/getInfo.php?workbook=12_05.xlsx&amp;sheet=U0&amp;row=10900&amp;col=7&amp;number=0.0137&amp;sourceID=14","0.0137")</f>
        <v>0.0137</v>
      </c>
    </row>
    <row r="10901" spans="1:7">
      <c r="A10901" s="3"/>
      <c r="B10901" s="3"/>
      <c r="C10901" s="3"/>
      <c r="D10901" s="3"/>
      <c r="E10901" s="3">
        <v>18</v>
      </c>
      <c r="F10901" s="4" t="str">
        <f>HYPERLINK("http://141.218.60.56/~jnz1568/getInfo.php?workbook=12_05.xlsx&amp;sheet=U0&amp;row=10901&amp;col=6&amp;number=4.7&amp;sourceID=14","4.7")</f>
        <v>4.7</v>
      </c>
      <c r="G10901" s="4" t="str">
        <f>HYPERLINK("http://141.218.60.56/~jnz1568/getInfo.php?workbook=12_05.xlsx&amp;sheet=U0&amp;row=10901&amp;col=7&amp;number=0.0139&amp;sourceID=14","0.0139")</f>
        <v>0.0139</v>
      </c>
    </row>
    <row r="10902" spans="1:7">
      <c r="A10902" s="3"/>
      <c r="B10902" s="3"/>
      <c r="C10902" s="3"/>
      <c r="D10902" s="3"/>
      <c r="E10902" s="3">
        <v>19</v>
      </c>
      <c r="F10902" s="4" t="str">
        <f>HYPERLINK("http://141.218.60.56/~jnz1568/getInfo.php?workbook=12_05.xlsx&amp;sheet=U0&amp;row=10902&amp;col=6&amp;number=4.8&amp;sourceID=14","4.8")</f>
        <v>4.8</v>
      </c>
      <c r="G10902" s="4" t="str">
        <f>HYPERLINK("http://141.218.60.56/~jnz1568/getInfo.php?workbook=12_05.xlsx&amp;sheet=U0&amp;row=10902&amp;col=7&amp;number=0.014&amp;sourceID=14","0.014")</f>
        <v>0.014</v>
      </c>
    </row>
    <row r="10903" spans="1:7">
      <c r="A10903" s="3"/>
      <c r="B10903" s="3"/>
      <c r="C10903" s="3"/>
      <c r="D10903" s="3"/>
      <c r="E10903" s="3">
        <v>20</v>
      </c>
      <c r="F10903" s="4" t="str">
        <f>HYPERLINK("http://141.218.60.56/~jnz1568/getInfo.php?workbook=12_05.xlsx&amp;sheet=U0&amp;row=10903&amp;col=6&amp;number=4.9&amp;sourceID=14","4.9")</f>
        <v>4.9</v>
      </c>
      <c r="G10903" s="4" t="str">
        <f>HYPERLINK("http://141.218.60.56/~jnz1568/getInfo.php?workbook=12_05.xlsx&amp;sheet=U0&amp;row=10903&amp;col=7&amp;number=0.0143&amp;sourceID=14","0.0143")</f>
        <v>0.0143</v>
      </c>
    </row>
    <row r="10904" spans="1:7">
      <c r="A10904" s="3">
        <v>12</v>
      </c>
      <c r="B10904" s="3">
        <v>5</v>
      </c>
      <c r="C10904" s="3">
        <v>2</v>
      </c>
      <c r="D10904" s="3">
        <v>125</v>
      </c>
      <c r="E10904" s="3">
        <v>1</v>
      </c>
      <c r="F10904" s="4" t="str">
        <f>HYPERLINK("http://141.218.60.56/~jnz1568/getInfo.php?workbook=12_05.xlsx&amp;sheet=U0&amp;row=10904&amp;col=6&amp;number=3&amp;sourceID=14","3")</f>
        <v>3</v>
      </c>
      <c r="G10904" s="4" t="str">
        <f>HYPERLINK("http://141.218.60.56/~jnz1568/getInfo.php?workbook=12_05.xlsx&amp;sheet=U0&amp;row=10904&amp;col=7&amp;number=0.0345&amp;sourceID=14","0.0345")</f>
        <v>0.0345</v>
      </c>
    </row>
    <row r="10905" spans="1:7">
      <c r="A10905" s="3"/>
      <c r="B10905" s="3"/>
      <c r="C10905" s="3"/>
      <c r="D10905" s="3"/>
      <c r="E10905" s="3">
        <v>2</v>
      </c>
      <c r="F10905" s="4" t="str">
        <f>HYPERLINK("http://141.218.60.56/~jnz1568/getInfo.php?workbook=12_05.xlsx&amp;sheet=U0&amp;row=10905&amp;col=6&amp;number=3.1&amp;sourceID=14","3.1")</f>
        <v>3.1</v>
      </c>
      <c r="G10905" s="4" t="str">
        <f>HYPERLINK("http://141.218.60.56/~jnz1568/getInfo.php?workbook=12_05.xlsx&amp;sheet=U0&amp;row=10905&amp;col=7&amp;number=0.0345&amp;sourceID=14","0.0345")</f>
        <v>0.0345</v>
      </c>
    </row>
    <row r="10906" spans="1:7">
      <c r="A10906" s="3"/>
      <c r="B10906" s="3"/>
      <c r="C10906" s="3"/>
      <c r="D10906" s="3"/>
      <c r="E10906" s="3">
        <v>3</v>
      </c>
      <c r="F10906" s="4" t="str">
        <f>HYPERLINK("http://141.218.60.56/~jnz1568/getInfo.php?workbook=12_05.xlsx&amp;sheet=U0&amp;row=10906&amp;col=6&amp;number=3.2&amp;sourceID=14","3.2")</f>
        <v>3.2</v>
      </c>
      <c r="G10906" s="4" t="str">
        <f>HYPERLINK("http://141.218.60.56/~jnz1568/getInfo.php?workbook=12_05.xlsx&amp;sheet=U0&amp;row=10906&amp;col=7&amp;number=0.0345&amp;sourceID=14","0.0345")</f>
        <v>0.0345</v>
      </c>
    </row>
    <row r="10907" spans="1:7">
      <c r="A10907" s="3"/>
      <c r="B10907" s="3"/>
      <c r="C10907" s="3"/>
      <c r="D10907" s="3"/>
      <c r="E10907" s="3">
        <v>4</v>
      </c>
      <c r="F10907" s="4" t="str">
        <f>HYPERLINK("http://141.218.60.56/~jnz1568/getInfo.php?workbook=12_05.xlsx&amp;sheet=U0&amp;row=10907&amp;col=6&amp;number=3.3&amp;sourceID=14","3.3")</f>
        <v>3.3</v>
      </c>
      <c r="G10907" s="4" t="str">
        <f>HYPERLINK("http://141.218.60.56/~jnz1568/getInfo.php?workbook=12_05.xlsx&amp;sheet=U0&amp;row=10907&amp;col=7&amp;number=0.0345&amp;sourceID=14","0.0345")</f>
        <v>0.0345</v>
      </c>
    </row>
    <row r="10908" spans="1:7">
      <c r="A10908" s="3"/>
      <c r="B10908" s="3"/>
      <c r="C10908" s="3"/>
      <c r="D10908" s="3"/>
      <c r="E10908" s="3">
        <v>5</v>
      </c>
      <c r="F10908" s="4" t="str">
        <f>HYPERLINK("http://141.218.60.56/~jnz1568/getInfo.php?workbook=12_05.xlsx&amp;sheet=U0&amp;row=10908&amp;col=6&amp;number=3.4&amp;sourceID=14","3.4")</f>
        <v>3.4</v>
      </c>
      <c r="G10908" s="4" t="str">
        <f>HYPERLINK("http://141.218.60.56/~jnz1568/getInfo.php?workbook=12_05.xlsx&amp;sheet=U0&amp;row=10908&amp;col=7&amp;number=0.0345&amp;sourceID=14","0.0345")</f>
        <v>0.0345</v>
      </c>
    </row>
    <row r="10909" spans="1:7">
      <c r="A10909" s="3"/>
      <c r="B10909" s="3"/>
      <c r="C10909" s="3"/>
      <c r="D10909" s="3"/>
      <c r="E10909" s="3">
        <v>6</v>
      </c>
      <c r="F10909" s="4" t="str">
        <f>HYPERLINK("http://141.218.60.56/~jnz1568/getInfo.php?workbook=12_05.xlsx&amp;sheet=U0&amp;row=10909&amp;col=6&amp;number=3.5&amp;sourceID=14","3.5")</f>
        <v>3.5</v>
      </c>
      <c r="G10909" s="4" t="str">
        <f>HYPERLINK("http://141.218.60.56/~jnz1568/getInfo.php?workbook=12_05.xlsx&amp;sheet=U0&amp;row=10909&amp;col=7&amp;number=0.0344&amp;sourceID=14","0.0344")</f>
        <v>0.0344</v>
      </c>
    </row>
    <row r="10910" spans="1:7">
      <c r="A10910" s="3"/>
      <c r="B10910" s="3"/>
      <c r="C10910" s="3"/>
      <c r="D10910" s="3"/>
      <c r="E10910" s="3">
        <v>7</v>
      </c>
      <c r="F10910" s="4" t="str">
        <f>HYPERLINK("http://141.218.60.56/~jnz1568/getInfo.php?workbook=12_05.xlsx&amp;sheet=U0&amp;row=10910&amp;col=6&amp;number=3.6&amp;sourceID=14","3.6")</f>
        <v>3.6</v>
      </c>
      <c r="G10910" s="4" t="str">
        <f>HYPERLINK("http://141.218.60.56/~jnz1568/getInfo.php?workbook=12_05.xlsx&amp;sheet=U0&amp;row=10910&amp;col=7&amp;number=0.0344&amp;sourceID=14","0.0344")</f>
        <v>0.0344</v>
      </c>
    </row>
    <row r="10911" spans="1:7">
      <c r="A10911" s="3"/>
      <c r="B10911" s="3"/>
      <c r="C10911" s="3"/>
      <c r="D10911" s="3"/>
      <c r="E10911" s="3">
        <v>8</v>
      </c>
      <c r="F10911" s="4" t="str">
        <f>HYPERLINK("http://141.218.60.56/~jnz1568/getInfo.php?workbook=12_05.xlsx&amp;sheet=U0&amp;row=10911&amp;col=6&amp;number=3.7&amp;sourceID=14","3.7")</f>
        <v>3.7</v>
      </c>
      <c r="G10911" s="4" t="str">
        <f>HYPERLINK("http://141.218.60.56/~jnz1568/getInfo.php?workbook=12_05.xlsx&amp;sheet=U0&amp;row=10911&amp;col=7&amp;number=0.0344&amp;sourceID=14","0.0344")</f>
        <v>0.0344</v>
      </c>
    </row>
    <row r="10912" spans="1:7">
      <c r="A10912" s="3"/>
      <c r="B10912" s="3"/>
      <c r="C10912" s="3"/>
      <c r="D10912" s="3"/>
      <c r="E10912" s="3">
        <v>9</v>
      </c>
      <c r="F10912" s="4" t="str">
        <f>HYPERLINK("http://141.218.60.56/~jnz1568/getInfo.php?workbook=12_05.xlsx&amp;sheet=U0&amp;row=10912&amp;col=6&amp;number=3.8&amp;sourceID=14","3.8")</f>
        <v>3.8</v>
      </c>
      <c r="G10912" s="4" t="str">
        <f>HYPERLINK("http://141.218.60.56/~jnz1568/getInfo.php?workbook=12_05.xlsx&amp;sheet=U0&amp;row=10912&amp;col=7&amp;number=0.0343&amp;sourceID=14","0.0343")</f>
        <v>0.0343</v>
      </c>
    </row>
    <row r="10913" spans="1:7">
      <c r="A10913" s="3"/>
      <c r="B10913" s="3"/>
      <c r="C10913" s="3"/>
      <c r="D10913" s="3"/>
      <c r="E10913" s="3">
        <v>10</v>
      </c>
      <c r="F10913" s="4" t="str">
        <f>HYPERLINK("http://141.218.60.56/~jnz1568/getInfo.php?workbook=12_05.xlsx&amp;sheet=U0&amp;row=10913&amp;col=6&amp;number=3.9&amp;sourceID=14","3.9")</f>
        <v>3.9</v>
      </c>
      <c r="G10913" s="4" t="str">
        <f>HYPERLINK("http://141.218.60.56/~jnz1568/getInfo.php?workbook=12_05.xlsx&amp;sheet=U0&amp;row=10913&amp;col=7&amp;number=0.0343&amp;sourceID=14","0.0343")</f>
        <v>0.0343</v>
      </c>
    </row>
    <row r="10914" spans="1:7">
      <c r="A10914" s="3"/>
      <c r="B10914" s="3"/>
      <c r="C10914" s="3"/>
      <c r="D10914" s="3"/>
      <c r="E10914" s="3">
        <v>11</v>
      </c>
      <c r="F10914" s="4" t="str">
        <f>HYPERLINK("http://141.218.60.56/~jnz1568/getInfo.php?workbook=12_05.xlsx&amp;sheet=U0&amp;row=10914&amp;col=6&amp;number=4&amp;sourceID=14","4")</f>
        <v>4</v>
      </c>
      <c r="G10914" s="4" t="str">
        <f>HYPERLINK("http://141.218.60.56/~jnz1568/getInfo.php?workbook=12_05.xlsx&amp;sheet=U0&amp;row=10914&amp;col=7&amp;number=0.0342&amp;sourceID=14","0.0342")</f>
        <v>0.0342</v>
      </c>
    </row>
    <row r="10915" spans="1:7">
      <c r="A10915" s="3"/>
      <c r="B10915" s="3"/>
      <c r="C10915" s="3"/>
      <c r="D10915" s="3"/>
      <c r="E10915" s="3">
        <v>12</v>
      </c>
      <c r="F10915" s="4" t="str">
        <f>HYPERLINK("http://141.218.60.56/~jnz1568/getInfo.php?workbook=12_05.xlsx&amp;sheet=U0&amp;row=10915&amp;col=6&amp;number=4.1&amp;sourceID=14","4.1")</f>
        <v>4.1</v>
      </c>
      <c r="G10915" s="4" t="str">
        <f>HYPERLINK("http://141.218.60.56/~jnz1568/getInfo.php?workbook=12_05.xlsx&amp;sheet=U0&amp;row=10915&amp;col=7&amp;number=0.0341&amp;sourceID=14","0.0341")</f>
        <v>0.0341</v>
      </c>
    </row>
    <row r="10916" spans="1:7">
      <c r="A10916" s="3"/>
      <c r="B10916" s="3"/>
      <c r="C10916" s="3"/>
      <c r="D10916" s="3"/>
      <c r="E10916" s="3">
        <v>13</v>
      </c>
      <c r="F10916" s="4" t="str">
        <f>HYPERLINK("http://141.218.60.56/~jnz1568/getInfo.php?workbook=12_05.xlsx&amp;sheet=U0&amp;row=10916&amp;col=6&amp;number=4.2&amp;sourceID=14","4.2")</f>
        <v>4.2</v>
      </c>
      <c r="G10916" s="4" t="str">
        <f>HYPERLINK("http://141.218.60.56/~jnz1568/getInfo.php?workbook=12_05.xlsx&amp;sheet=U0&amp;row=10916&amp;col=7&amp;number=0.034&amp;sourceID=14","0.034")</f>
        <v>0.034</v>
      </c>
    </row>
    <row r="10917" spans="1:7">
      <c r="A10917" s="3"/>
      <c r="B10917" s="3"/>
      <c r="C10917" s="3"/>
      <c r="D10917" s="3"/>
      <c r="E10917" s="3">
        <v>14</v>
      </c>
      <c r="F10917" s="4" t="str">
        <f>HYPERLINK("http://141.218.60.56/~jnz1568/getInfo.php?workbook=12_05.xlsx&amp;sheet=U0&amp;row=10917&amp;col=6&amp;number=4.3&amp;sourceID=14","4.3")</f>
        <v>4.3</v>
      </c>
      <c r="G10917" s="4" t="str">
        <f>HYPERLINK("http://141.218.60.56/~jnz1568/getInfo.php?workbook=12_05.xlsx&amp;sheet=U0&amp;row=10917&amp;col=7&amp;number=0.0339&amp;sourceID=14","0.0339")</f>
        <v>0.0339</v>
      </c>
    </row>
    <row r="10918" spans="1:7">
      <c r="A10918" s="3"/>
      <c r="B10918" s="3"/>
      <c r="C10918" s="3"/>
      <c r="D10918" s="3"/>
      <c r="E10918" s="3">
        <v>15</v>
      </c>
      <c r="F10918" s="4" t="str">
        <f>HYPERLINK("http://141.218.60.56/~jnz1568/getInfo.php?workbook=12_05.xlsx&amp;sheet=U0&amp;row=10918&amp;col=6&amp;number=4.4&amp;sourceID=14","4.4")</f>
        <v>4.4</v>
      </c>
      <c r="G10918" s="4" t="str">
        <f>HYPERLINK("http://141.218.60.56/~jnz1568/getInfo.php?workbook=12_05.xlsx&amp;sheet=U0&amp;row=10918&amp;col=7&amp;number=0.0337&amp;sourceID=14","0.0337")</f>
        <v>0.0337</v>
      </c>
    </row>
    <row r="10919" spans="1:7">
      <c r="A10919" s="3"/>
      <c r="B10919" s="3"/>
      <c r="C10919" s="3"/>
      <c r="D10919" s="3"/>
      <c r="E10919" s="3">
        <v>16</v>
      </c>
      <c r="F10919" s="4" t="str">
        <f>HYPERLINK("http://141.218.60.56/~jnz1568/getInfo.php?workbook=12_05.xlsx&amp;sheet=U0&amp;row=10919&amp;col=6&amp;number=4.5&amp;sourceID=14","4.5")</f>
        <v>4.5</v>
      </c>
      <c r="G10919" s="4" t="str">
        <f>HYPERLINK("http://141.218.60.56/~jnz1568/getInfo.php?workbook=12_05.xlsx&amp;sheet=U0&amp;row=10919&amp;col=7&amp;number=0.0335&amp;sourceID=14","0.0335")</f>
        <v>0.0335</v>
      </c>
    </row>
    <row r="10920" spans="1:7">
      <c r="A10920" s="3"/>
      <c r="B10920" s="3"/>
      <c r="C10920" s="3"/>
      <c r="D10920" s="3"/>
      <c r="E10920" s="3">
        <v>17</v>
      </c>
      <c r="F10920" s="4" t="str">
        <f>HYPERLINK("http://141.218.60.56/~jnz1568/getInfo.php?workbook=12_05.xlsx&amp;sheet=U0&amp;row=10920&amp;col=6&amp;number=4.6&amp;sourceID=14","4.6")</f>
        <v>4.6</v>
      </c>
      <c r="G10920" s="4" t="str">
        <f>HYPERLINK("http://141.218.60.56/~jnz1568/getInfo.php?workbook=12_05.xlsx&amp;sheet=U0&amp;row=10920&amp;col=7&amp;number=0.0333&amp;sourceID=14","0.0333")</f>
        <v>0.0333</v>
      </c>
    </row>
    <row r="10921" spans="1:7">
      <c r="A10921" s="3"/>
      <c r="B10921" s="3"/>
      <c r="C10921" s="3"/>
      <c r="D10921" s="3"/>
      <c r="E10921" s="3">
        <v>18</v>
      </c>
      <c r="F10921" s="4" t="str">
        <f>HYPERLINK("http://141.218.60.56/~jnz1568/getInfo.php?workbook=12_05.xlsx&amp;sheet=U0&amp;row=10921&amp;col=6&amp;number=4.7&amp;sourceID=14","4.7")</f>
        <v>4.7</v>
      </c>
      <c r="G10921" s="4" t="str">
        <f>HYPERLINK("http://141.218.60.56/~jnz1568/getInfo.php?workbook=12_05.xlsx&amp;sheet=U0&amp;row=10921&amp;col=7&amp;number=0.033&amp;sourceID=14","0.033")</f>
        <v>0.033</v>
      </c>
    </row>
    <row r="10922" spans="1:7">
      <c r="A10922" s="3"/>
      <c r="B10922" s="3"/>
      <c r="C10922" s="3"/>
      <c r="D10922" s="3"/>
      <c r="E10922" s="3">
        <v>19</v>
      </c>
      <c r="F10922" s="4" t="str">
        <f>HYPERLINK("http://141.218.60.56/~jnz1568/getInfo.php?workbook=12_05.xlsx&amp;sheet=U0&amp;row=10922&amp;col=6&amp;number=4.8&amp;sourceID=14","4.8")</f>
        <v>4.8</v>
      </c>
      <c r="G10922" s="4" t="str">
        <f>HYPERLINK("http://141.218.60.56/~jnz1568/getInfo.php?workbook=12_05.xlsx&amp;sheet=U0&amp;row=10922&amp;col=7&amp;number=0.0326&amp;sourceID=14","0.0326")</f>
        <v>0.0326</v>
      </c>
    </row>
    <row r="10923" spans="1:7">
      <c r="A10923" s="3"/>
      <c r="B10923" s="3"/>
      <c r="C10923" s="3"/>
      <c r="D10923" s="3"/>
      <c r="E10923" s="3">
        <v>20</v>
      </c>
      <c r="F10923" s="4" t="str">
        <f>HYPERLINK("http://141.218.60.56/~jnz1568/getInfo.php?workbook=12_05.xlsx&amp;sheet=U0&amp;row=10923&amp;col=6&amp;number=4.9&amp;sourceID=14","4.9")</f>
        <v>4.9</v>
      </c>
      <c r="G10923" s="4" t="str">
        <f>HYPERLINK("http://141.218.60.56/~jnz1568/getInfo.php?workbook=12_05.xlsx&amp;sheet=U0&amp;row=10923&amp;col=7&amp;number=0.0321&amp;sourceID=14","0.0321")</f>
        <v>0.0321</v>
      </c>
    </row>
    <row r="10924" spans="1:7">
      <c r="A10924" s="3">
        <v>12</v>
      </c>
      <c r="B10924" s="3">
        <v>5</v>
      </c>
      <c r="C10924" s="3">
        <v>3</v>
      </c>
      <c r="D10924" s="3">
        <v>125</v>
      </c>
      <c r="E10924" s="3">
        <v>1</v>
      </c>
      <c r="F10924" s="4" t="str">
        <f>HYPERLINK("http://141.218.60.56/~jnz1568/getInfo.php?workbook=12_05.xlsx&amp;sheet=U0&amp;row=10924&amp;col=6&amp;number=3&amp;sourceID=14","3")</f>
        <v>3</v>
      </c>
      <c r="G10924" s="4" t="str">
        <f>HYPERLINK("http://141.218.60.56/~jnz1568/getInfo.php?workbook=12_05.xlsx&amp;sheet=U0&amp;row=10924&amp;col=7&amp;number=0.00513&amp;sourceID=14","0.00513")</f>
        <v>0.00513</v>
      </c>
    </row>
    <row r="10925" spans="1:7">
      <c r="A10925" s="3"/>
      <c r="B10925" s="3"/>
      <c r="C10925" s="3"/>
      <c r="D10925" s="3"/>
      <c r="E10925" s="3">
        <v>2</v>
      </c>
      <c r="F10925" s="4" t="str">
        <f>HYPERLINK("http://141.218.60.56/~jnz1568/getInfo.php?workbook=12_05.xlsx&amp;sheet=U0&amp;row=10925&amp;col=6&amp;number=3.1&amp;sourceID=14","3.1")</f>
        <v>3.1</v>
      </c>
      <c r="G10925" s="4" t="str">
        <f>HYPERLINK("http://141.218.60.56/~jnz1568/getInfo.php?workbook=12_05.xlsx&amp;sheet=U0&amp;row=10925&amp;col=7&amp;number=0.00512&amp;sourceID=14","0.00512")</f>
        <v>0.00512</v>
      </c>
    </row>
    <row r="10926" spans="1:7">
      <c r="A10926" s="3"/>
      <c r="B10926" s="3"/>
      <c r="C10926" s="3"/>
      <c r="D10926" s="3"/>
      <c r="E10926" s="3">
        <v>3</v>
      </c>
      <c r="F10926" s="4" t="str">
        <f>HYPERLINK("http://141.218.60.56/~jnz1568/getInfo.php?workbook=12_05.xlsx&amp;sheet=U0&amp;row=10926&amp;col=6&amp;number=3.2&amp;sourceID=14","3.2")</f>
        <v>3.2</v>
      </c>
      <c r="G10926" s="4" t="str">
        <f>HYPERLINK("http://141.218.60.56/~jnz1568/getInfo.php?workbook=12_05.xlsx&amp;sheet=U0&amp;row=10926&amp;col=7&amp;number=0.00512&amp;sourceID=14","0.00512")</f>
        <v>0.00512</v>
      </c>
    </row>
    <row r="10927" spans="1:7">
      <c r="A10927" s="3"/>
      <c r="B10927" s="3"/>
      <c r="C10927" s="3"/>
      <c r="D10927" s="3"/>
      <c r="E10927" s="3">
        <v>4</v>
      </c>
      <c r="F10927" s="4" t="str">
        <f>HYPERLINK("http://141.218.60.56/~jnz1568/getInfo.php?workbook=12_05.xlsx&amp;sheet=U0&amp;row=10927&amp;col=6&amp;number=3.3&amp;sourceID=14","3.3")</f>
        <v>3.3</v>
      </c>
      <c r="G10927" s="4" t="str">
        <f>HYPERLINK("http://141.218.60.56/~jnz1568/getInfo.php?workbook=12_05.xlsx&amp;sheet=U0&amp;row=10927&amp;col=7&amp;number=0.00512&amp;sourceID=14","0.00512")</f>
        <v>0.00512</v>
      </c>
    </row>
    <row r="10928" spans="1:7">
      <c r="A10928" s="3"/>
      <c r="B10928" s="3"/>
      <c r="C10928" s="3"/>
      <c r="D10928" s="3"/>
      <c r="E10928" s="3">
        <v>5</v>
      </c>
      <c r="F10928" s="4" t="str">
        <f>HYPERLINK("http://141.218.60.56/~jnz1568/getInfo.php?workbook=12_05.xlsx&amp;sheet=U0&amp;row=10928&amp;col=6&amp;number=3.4&amp;sourceID=14","3.4")</f>
        <v>3.4</v>
      </c>
      <c r="G10928" s="4" t="str">
        <f>HYPERLINK("http://141.218.60.56/~jnz1568/getInfo.php?workbook=12_05.xlsx&amp;sheet=U0&amp;row=10928&amp;col=7&amp;number=0.00512&amp;sourceID=14","0.00512")</f>
        <v>0.00512</v>
      </c>
    </row>
    <row r="10929" spans="1:7">
      <c r="A10929" s="3"/>
      <c r="B10929" s="3"/>
      <c r="C10929" s="3"/>
      <c r="D10929" s="3"/>
      <c r="E10929" s="3">
        <v>6</v>
      </c>
      <c r="F10929" s="4" t="str">
        <f>HYPERLINK("http://141.218.60.56/~jnz1568/getInfo.php?workbook=12_05.xlsx&amp;sheet=U0&amp;row=10929&amp;col=6&amp;number=3.5&amp;sourceID=14","3.5")</f>
        <v>3.5</v>
      </c>
      <c r="G10929" s="4" t="str">
        <f>HYPERLINK("http://141.218.60.56/~jnz1568/getInfo.php?workbook=12_05.xlsx&amp;sheet=U0&amp;row=10929&amp;col=7&amp;number=0.00511&amp;sourceID=14","0.00511")</f>
        <v>0.00511</v>
      </c>
    </row>
    <row r="10930" spans="1:7">
      <c r="A10930" s="3"/>
      <c r="B10930" s="3"/>
      <c r="C10930" s="3"/>
      <c r="D10930" s="3"/>
      <c r="E10930" s="3">
        <v>7</v>
      </c>
      <c r="F10930" s="4" t="str">
        <f>HYPERLINK("http://141.218.60.56/~jnz1568/getInfo.php?workbook=12_05.xlsx&amp;sheet=U0&amp;row=10930&amp;col=6&amp;number=3.6&amp;sourceID=14","3.6")</f>
        <v>3.6</v>
      </c>
      <c r="G10930" s="4" t="str">
        <f>HYPERLINK("http://141.218.60.56/~jnz1568/getInfo.php?workbook=12_05.xlsx&amp;sheet=U0&amp;row=10930&amp;col=7&amp;number=0.00511&amp;sourceID=14","0.00511")</f>
        <v>0.00511</v>
      </c>
    </row>
    <row r="10931" spans="1:7">
      <c r="A10931" s="3"/>
      <c r="B10931" s="3"/>
      <c r="C10931" s="3"/>
      <c r="D10931" s="3"/>
      <c r="E10931" s="3">
        <v>8</v>
      </c>
      <c r="F10931" s="4" t="str">
        <f>HYPERLINK("http://141.218.60.56/~jnz1568/getInfo.php?workbook=12_05.xlsx&amp;sheet=U0&amp;row=10931&amp;col=6&amp;number=3.7&amp;sourceID=14","3.7")</f>
        <v>3.7</v>
      </c>
      <c r="G10931" s="4" t="str">
        <f>HYPERLINK("http://141.218.60.56/~jnz1568/getInfo.php?workbook=12_05.xlsx&amp;sheet=U0&amp;row=10931&amp;col=7&amp;number=0.0051&amp;sourceID=14","0.0051")</f>
        <v>0.0051</v>
      </c>
    </row>
    <row r="10932" spans="1:7">
      <c r="A10932" s="3"/>
      <c r="B10932" s="3"/>
      <c r="C10932" s="3"/>
      <c r="D10932" s="3"/>
      <c r="E10932" s="3">
        <v>9</v>
      </c>
      <c r="F10932" s="4" t="str">
        <f>HYPERLINK("http://141.218.60.56/~jnz1568/getInfo.php?workbook=12_05.xlsx&amp;sheet=U0&amp;row=10932&amp;col=6&amp;number=3.8&amp;sourceID=14","3.8")</f>
        <v>3.8</v>
      </c>
      <c r="G10932" s="4" t="str">
        <f>HYPERLINK("http://141.218.60.56/~jnz1568/getInfo.php?workbook=12_05.xlsx&amp;sheet=U0&amp;row=10932&amp;col=7&amp;number=0.00509&amp;sourceID=14","0.00509")</f>
        <v>0.00509</v>
      </c>
    </row>
    <row r="10933" spans="1:7">
      <c r="A10933" s="3"/>
      <c r="B10933" s="3"/>
      <c r="C10933" s="3"/>
      <c r="D10933" s="3"/>
      <c r="E10933" s="3">
        <v>10</v>
      </c>
      <c r="F10933" s="4" t="str">
        <f>HYPERLINK("http://141.218.60.56/~jnz1568/getInfo.php?workbook=12_05.xlsx&amp;sheet=U0&amp;row=10933&amp;col=6&amp;number=3.9&amp;sourceID=14","3.9")</f>
        <v>3.9</v>
      </c>
      <c r="G10933" s="4" t="str">
        <f>HYPERLINK("http://141.218.60.56/~jnz1568/getInfo.php?workbook=12_05.xlsx&amp;sheet=U0&amp;row=10933&amp;col=7&amp;number=0.00508&amp;sourceID=14","0.00508")</f>
        <v>0.00508</v>
      </c>
    </row>
    <row r="10934" spans="1:7">
      <c r="A10934" s="3"/>
      <c r="B10934" s="3"/>
      <c r="C10934" s="3"/>
      <c r="D10934" s="3"/>
      <c r="E10934" s="3">
        <v>11</v>
      </c>
      <c r="F10934" s="4" t="str">
        <f>HYPERLINK("http://141.218.60.56/~jnz1568/getInfo.php?workbook=12_05.xlsx&amp;sheet=U0&amp;row=10934&amp;col=6&amp;number=4&amp;sourceID=14","4")</f>
        <v>4</v>
      </c>
      <c r="G10934" s="4" t="str">
        <f>HYPERLINK("http://141.218.60.56/~jnz1568/getInfo.php?workbook=12_05.xlsx&amp;sheet=U0&amp;row=10934&amp;col=7&amp;number=0.00507&amp;sourceID=14","0.00507")</f>
        <v>0.00507</v>
      </c>
    </row>
    <row r="10935" spans="1:7">
      <c r="A10935" s="3"/>
      <c r="B10935" s="3"/>
      <c r="C10935" s="3"/>
      <c r="D10935" s="3"/>
      <c r="E10935" s="3">
        <v>12</v>
      </c>
      <c r="F10935" s="4" t="str">
        <f>HYPERLINK("http://141.218.60.56/~jnz1568/getInfo.php?workbook=12_05.xlsx&amp;sheet=U0&amp;row=10935&amp;col=6&amp;number=4.1&amp;sourceID=14","4.1")</f>
        <v>4.1</v>
      </c>
      <c r="G10935" s="4" t="str">
        <f>HYPERLINK("http://141.218.60.56/~jnz1568/getInfo.php?workbook=12_05.xlsx&amp;sheet=U0&amp;row=10935&amp;col=7&amp;number=0.00505&amp;sourceID=14","0.00505")</f>
        <v>0.00505</v>
      </c>
    </row>
    <row r="10936" spans="1:7">
      <c r="A10936" s="3"/>
      <c r="B10936" s="3"/>
      <c r="C10936" s="3"/>
      <c r="D10936" s="3"/>
      <c r="E10936" s="3">
        <v>13</v>
      </c>
      <c r="F10936" s="4" t="str">
        <f>HYPERLINK("http://141.218.60.56/~jnz1568/getInfo.php?workbook=12_05.xlsx&amp;sheet=U0&amp;row=10936&amp;col=6&amp;number=4.2&amp;sourceID=14","4.2")</f>
        <v>4.2</v>
      </c>
      <c r="G10936" s="4" t="str">
        <f>HYPERLINK("http://141.218.60.56/~jnz1568/getInfo.php?workbook=12_05.xlsx&amp;sheet=U0&amp;row=10936&amp;col=7&amp;number=0.00503&amp;sourceID=14","0.00503")</f>
        <v>0.00503</v>
      </c>
    </row>
    <row r="10937" spans="1:7">
      <c r="A10937" s="3"/>
      <c r="B10937" s="3"/>
      <c r="C10937" s="3"/>
      <c r="D10937" s="3"/>
      <c r="E10937" s="3">
        <v>14</v>
      </c>
      <c r="F10937" s="4" t="str">
        <f>HYPERLINK("http://141.218.60.56/~jnz1568/getInfo.php?workbook=12_05.xlsx&amp;sheet=U0&amp;row=10937&amp;col=6&amp;number=4.3&amp;sourceID=14","4.3")</f>
        <v>4.3</v>
      </c>
      <c r="G10937" s="4" t="str">
        <f>HYPERLINK("http://141.218.60.56/~jnz1568/getInfo.php?workbook=12_05.xlsx&amp;sheet=U0&amp;row=10937&amp;col=7&amp;number=0.005&amp;sourceID=14","0.005")</f>
        <v>0.005</v>
      </c>
    </row>
    <row r="10938" spans="1:7">
      <c r="A10938" s="3"/>
      <c r="B10938" s="3"/>
      <c r="C10938" s="3"/>
      <c r="D10938" s="3"/>
      <c r="E10938" s="3">
        <v>15</v>
      </c>
      <c r="F10938" s="4" t="str">
        <f>HYPERLINK("http://141.218.60.56/~jnz1568/getInfo.php?workbook=12_05.xlsx&amp;sheet=U0&amp;row=10938&amp;col=6&amp;number=4.4&amp;sourceID=14","4.4")</f>
        <v>4.4</v>
      </c>
      <c r="G10938" s="4" t="str">
        <f>HYPERLINK("http://141.218.60.56/~jnz1568/getInfo.php?workbook=12_05.xlsx&amp;sheet=U0&amp;row=10938&amp;col=7&amp;number=0.00497&amp;sourceID=14","0.00497")</f>
        <v>0.00497</v>
      </c>
    </row>
    <row r="10939" spans="1:7">
      <c r="A10939" s="3"/>
      <c r="B10939" s="3"/>
      <c r="C10939" s="3"/>
      <c r="D10939" s="3"/>
      <c r="E10939" s="3">
        <v>16</v>
      </c>
      <c r="F10939" s="4" t="str">
        <f>HYPERLINK("http://141.218.60.56/~jnz1568/getInfo.php?workbook=12_05.xlsx&amp;sheet=U0&amp;row=10939&amp;col=6&amp;number=4.5&amp;sourceID=14","4.5")</f>
        <v>4.5</v>
      </c>
      <c r="G10939" s="4" t="str">
        <f>HYPERLINK("http://141.218.60.56/~jnz1568/getInfo.php?workbook=12_05.xlsx&amp;sheet=U0&amp;row=10939&amp;col=7&amp;number=0.00493&amp;sourceID=14","0.00493")</f>
        <v>0.00493</v>
      </c>
    </row>
    <row r="10940" spans="1:7">
      <c r="A10940" s="3"/>
      <c r="B10940" s="3"/>
      <c r="C10940" s="3"/>
      <c r="D10940" s="3"/>
      <c r="E10940" s="3">
        <v>17</v>
      </c>
      <c r="F10940" s="4" t="str">
        <f>HYPERLINK("http://141.218.60.56/~jnz1568/getInfo.php?workbook=12_05.xlsx&amp;sheet=U0&amp;row=10940&amp;col=6&amp;number=4.6&amp;sourceID=14","4.6")</f>
        <v>4.6</v>
      </c>
      <c r="G10940" s="4" t="str">
        <f>HYPERLINK("http://141.218.60.56/~jnz1568/getInfo.php?workbook=12_05.xlsx&amp;sheet=U0&amp;row=10940&amp;col=7&amp;number=0.00488&amp;sourceID=14","0.00488")</f>
        <v>0.00488</v>
      </c>
    </row>
    <row r="10941" spans="1:7">
      <c r="A10941" s="3"/>
      <c r="B10941" s="3"/>
      <c r="C10941" s="3"/>
      <c r="D10941" s="3"/>
      <c r="E10941" s="3">
        <v>18</v>
      </c>
      <c r="F10941" s="4" t="str">
        <f>HYPERLINK("http://141.218.60.56/~jnz1568/getInfo.php?workbook=12_05.xlsx&amp;sheet=U0&amp;row=10941&amp;col=6&amp;number=4.7&amp;sourceID=14","4.7")</f>
        <v>4.7</v>
      </c>
      <c r="G10941" s="4" t="str">
        <f>HYPERLINK("http://141.218.60.56/~jnz1568/getInfo.php?workbook=12_05.xlsx&amp;sheet=U0&amp;row=10941&amp;col=7&amp;number=0.00482&amp;sourceID=14","0.00482")</f>
        <v>0.00482</v>
      </c>
    </row>
    <row r="10942" spans="1:7">
      <c r="A10942" s="3"/>
      <c r="B10942" s="3"/>
      <c r="C10942" s="3"/>
      <c r="D10942" s="3"/>
      <c r="E10942" s="3">
        <v>19</v>
      </c>
      <c r="F10942" s="4" t="str">
        <f>HYPERLINK("http://141.218.60.56/~jnz1568/getInfo.php?workbook=12_05.xlsx&amp;sheet=U0&amp;row=10942&amp;col=6&amp;number=4.8&amp;sourceID=14","4.8")</f>
        <v>4.8</v>
      </c>
      <c r="G10942" s="4" t="str">
        <f>HYPERLINK("http://141.218.60.56/~jnz1568/getInfo.php?workbook=12_05.xlsx&amp;sheet=U0&amp;row=10942&amp;col=7&amp;number=0.00475&amp;sourceID=14","0.00475")</f>
        <v>0.00475</v>
      </c>
    </row>
    <row r="10943" spans="1:7">
      <c r="A10943" s="3"/>
      <c r="B10943" s="3"/>
      <c r="C10943" s="3"/>
      <c r="D10943" s="3"/>
      <c r="E10943" s="3">
        <v>20</v>
      </c>
      <c r="F10943" s="4" t="str">
        <f>HYPERLINK("http://141.218.60.56/~jnz1568/getInfo.php?workbook=12_05.xlsx&amp;sheet=U0&amp;row=10943&amp;col=6&amp;number=4.9&amp;sourceID=14","4.9")</f>
        <v>4.9</v>
      </c>
      <c r="G10943" s="4" t="str">
        <f>HYPERLINK("http://141.218.60.56/~jnz1568/getInfo.php?workbook=12_05.xlsx&amp;sheet=U0&amp;row=10943&amp;col=7&amp;number=0.00465&amp;sourceID=14","0.00465")</f>
        <v>0.00465</v>
      </c>
    </row>
    <row r="10944" spans="1:7">
      <c r="A10944" s="3">
        <v>12</v>
      </c>
      <c r="B10944" s="3">
        <v>5</v>
      </c>
      <c r="C10944" s="3">
        <v>4</v>
      </c>
      <c r="D10944" s="3">
        <v>125</v>
      </c>
      <c r="E10944" s="3">
        <v>1</v>
      </c>
      <c r="F10944" s="4" t="str">
        <f>HYPERLINK("http://141.218.60.56/~jnz1568/getInfo.php?workbook=12_05.xlsx&amp;sheet=U0&amp;row=10944&amp;col=6&amp;number=3&amp;sourceID=14","3")</f>
        <v>3</v>
      </c>
      <c r="G10944" s="4" t="str">
        <f>HYPERLINK("http://141.218.60.56/~jnz1568/getInfo.php?workbook=12_05.xlsx&amp;sheet=U0&amp;row=10944&amp;col=7&amp;number=0.0277&amp;sourceID=14","0.0277")</f>
        <v>0.0277</v>
      </c>
    </row>
    <row r="10945" spans="1:7">
      <c r="A10945" s="3"/>
      <c r="B10945" s="3"/>
      <c r="C10945" s="3"/>
      <c r="D10945" s="3"/>
      <c r="E10945" s="3">
        <v>2</v>
      </c>
      <c r="F10945" s="4" t="str">
        <f>HYPERLINK("http://141.218.60.56/~jnz1568/getInfo.php?workbook=12_05.xlsx&amp;sheet=U0&amp;row=10945&amp;col=6&amp;number=3.1&amp;sourceID=14","3.1")</f>
        <v>3.1</v>
      </c>
      <c r="G10945" s="4" t="str">
        <f>HYPERLINK("http://141.218.60.56/~jnz1568/getInfo.php?workbook=12_05.xlsx&amp;sheet=U0&amp;row=10945&amp;col=7&amp;number=0.0277&amp;sourceID=14","0.0277")</f>
        <v>0.0277</v>
      </c>
    </row>
    <row r="10946" spans="1:7">
      <c r="A10946" s="3"/>
      <c r="B10946" s="3"/>
      <c r="C10946" s="3"/>
      <c r="D10946" s="3"/>
      <c r="E10946" s="3">
        <v>3</v>
      </c>
      <c r="F10946" s="4" t="str">
        <f>HYPERLINK("http://141.218.60.56/~jnz1568/getInfo.php?workbook=12_05.xlsx&amp;sheet=U0&amp;row=10946&amp;col=6&amp;number=3.2&amp;sourceID=14","3.2")</f>
        <v>3.2</v>
      </c>
      <c r="G10946" s="4" t="str">
        <f>HYPERLINK("http://141.218.60.56/~jnz1568/getInfo.php?workbook=12_05.xlsx&amp;sheet=U0&amp;row=10946&amp;col=7&amp;number=0.0277&amp;sourceID=14","0.0277")</f>
        <v>0.0277</v>
      </c>
    </row>
    <row r="10947" spans="1:7">
      <c r="A10947" s="3"/>
      <c r="B10947" s="3"/>
      <c r="C10947" s="3"/>
      <c r="D10947" s="3"/>
      <c r="E10947" s="3">
        <v>4</v>
      </c>
      <c r="F10947" s="4" t="str">
        <f>HYPERLINK("http://141.218.60.56/~jnz1568/getInfo.php?workbook=12_05.xlsx&amp;sheet=U0&amp;row=10947&amp;col=6&amp;number=3.3&amp;sourceID=14","3.3")</f>
        <v>3.3</v>
      </c>
      <c r="G10947" s="4" t="str">
        <f>HYPERLINK("http://141.218.60.56/~jnz1568/getInfo.php?workbook=12_05.xlsx&amp;sheet=U0&amp;row=10947&amp;col=7&amp;number=0.0277&amp;sourceID=14","0.0277")</f>
        <v>0.0277</v>
      </c>
    </row>
    <row r="10948" spans="1:7">
      <c r="A10948" s="3"/>
      <c r="B10948" s="3"/>
      <c r="C10948" s="3"/>
      <c r="D10948" s="3"/>
      <c r="E10948" s="3">
        <v>5</v>
      </c>
      <c r="F10948" s="4" t="str">
        <f>HYPERLINK("http://141.218.60.56/~jnz1568/getInfo.php?workbook=12_05.xlsx&amp;sheet=U0&amp;row=10948&amp;col=6&amp;number=3.4&amp;sourceID=14","3.4")</f>
        <v>3.4</v>
      </c>
      <c r="G10948" s="4" t="str">
        <f>HYPERLINK("http://141.218.60.56/~jnz1568/getInfo.php?workbook=12_05.xlsx&amp;sheet=U0&amp;row=10948&amp;col=7&amp;number=0.0277&amp;sourceID=14","0.0277")</f>
        <v>0.0277</v>
      </c>
    </row>
    <row r="10949" spans="1:7">
      <c r="A10949" s="3"/>
      <c r="B10949" s="3"/>
      <c r="C10949" s="3"/>
      <c r="D10949" s="3"/>
      <c r="E10949" s="3">
        <v>6</v>
      </c>
      <c r="F10949" s="4" t="str">
        <f>HYPERLINK("http://141.218.60.56/~jnz1568/getInfo.php?workbook=12_05.xlsx&amp;sheet=U0&amp;row=10949&amp;col=6&amp;number=3.5&amp;sourceID=14","3.5")</f>
        <v>3.5</v>
      </c>
      <c r="G10949" s="4" t="str">
        <f>HYPERLINK("http://141.218.60.56/~jnz1568/getInfo.php?workbook=12_05.xlsx&amp;sheet=U0&amp;row=10949&amp;col=7&amp;number=0.0277&amp;sourceID=14","0.0277")</f>
        <v>0.0277</v>
      </c>
    </row>
    <row r="10950" spans="1:7">
      <c r="A10950" s="3"/>
      <c r="B10950" s="3"/>
      <c r="C10950" s="3"/>
      <c r="D10950" s="3"/>
      <c r="E10950" s="3">
        <v>7</v>
      </c>
      <c r="F10950" s="4" t="str">
        <f>HYPERLINK("http://141.218.60.56/~jnz1568/getInfo.php?workbook=12_05.xlsx&amp;sheet=U0&amp;row=10950&amp;col=6&amp;number=3.6&amp;sourceID=14","3.6")</f>
        <v>3.6</v>
      </c>
      <c r="G10950" s="4" t="str">
        <f>HYPERLINK("http://141.218.60.56/~jnz1568/getInfo.php?workbook=12_05.xlsx&amp;sheet=U0&amp;row=10950&amp;col=7&amp;number=0.0276&amp;sourceID=14","0.0276")</f>
        <v>0.0276</v>
      </c>
    </row>
    <row r="10951" spans="1:7">
      <c r="A10951" s="3"/>
      <c r="B10951" s="3"/>
      <c r="C10951" s="3"/>
      <c r="D10951" s="3"/>
      <c r="E10951" s="3">
        <v>8</v>
      </c>
      <c r="F10951" s="4" t="str">
        <f>HYPERLINK("http://141.218.60.56/~jnz1568/getInfo.php?workbook=12_05.xlsx&amp;sheet=U0&amp;row=10951&amp;col=6&amp;number=3.7&amp;sourceID=14","3.7")</f>
        <v>3.7</v>
      </c>
      <c r="G10951" s="4" t="str">
        <f>HYPERLINK("http://141.218.60.56/~jnz1568/getInfo.php?workbook=12_05.xlsx&amp;sheet=U0&amp;row=10951&amp;col=7&amp;number=0.0276&amp;sourceID=14","0.0276")</f>
        <v>0.0276</v>
      </c>
    </row>
    <row r="10952" spans="1:7">
      <c r="A10952" s="3"/>
      <c r="B10952" s="3"/>
      <c r="C10952" s="3"/>
      <c r="D10952" s="3"/>
      <c r="E10952" s="3">
        <v>9</v>
      </c>
      <c r="F10952" s="4" t="str">
        <f>HYPERLINK("http://141.218.60.56/~jnz1568/getInfo.php?workbook=12_05.xlsx&amp;sheet=U0&amp;row=10952&amp;col=6&amp;number=3.8&amp;sourceID=14","3.8")</f>
        <v>3.8</v>
      </c>
      <c r="G10952" s="4" t="str">
        <f>HYPERLINK("http://141.218.60.56/~jnz1568/getInfo.php?workbook=12_05.xlsx&amp;sheet=U0&amp;row=10952&amp;col=7&amp;number=0.0276&amp;sourceID=14","0.0276")</f>
        <v>0.0276</v>
      </c>
    </row>
    <row r="10953" spans="1:7">
      <c r="A10953" s="3"/>
      <c r="B10953" s="3"/>
      <c r="C10953" s="3"/>
      <c r="D10953" s="3"/>
      <c r="E10953" s="3">
        <v>10</v>
      </c>
      <c r="F10953" s="4" t="str">
        <f>HYPERLINK("http://141.218.60.56/~jnz1568/getInfo.php?workbook=12_05.xlsx&amp;sheet=U0&amp;row=10953&amp;col=6&amp;number=3.9&amp;sourceID=14","3.9")</f>
        <v>3.9</v>
      </c>
      <c r="G10953" s="4" t="str">
        <f>HYPERLINK("http://141.218.60.56/~jnz1568/getInfo.php?workbook=12_05.xlsx&amp;sheet=U0&amp;row=10953&amp;col=7&amp;number=0.0276&amp;sourceID=14","0.0276")</f>
        <v>0.0276</v>
      </c>
    </row>
    <row r="10954" spans="1:7">
      <c r="A10954" s="3"/>
      <c r="B10954" s="3"/>
      <c r="C10954" s="3"/>
      <c r="D10954" s="3"/>
      <c r="E10954" s="3">
        <v>11</v>
      </c>
      <c r="F10954" s="4" t="str">
        <f>HYPERLINK("http://141.218.60.56/~jnz1568/getInfo.php?workbook=12_05.xlsx&amp;sheet=U0&amp;row=10954&amp;col=6&amp;number=4&amp;sourceID=14","4")</f>
        <v>4</v>
      </c>
      <c r="G10954" s="4" t="str">
        <f>HYPERLINK("http://141.218.60.56/~jnz1568/getInfo.php?workbook=12_05.xlsx&amp;sheet=U0&amp;row=10954&amp;col=7&amp;number=0.0275&amp;sourceID=14","0.0275")</f>
        <v>0.0275</v>
      </c>
    </row>
    <row r="10955" spans="1:7">
      <c r="A10955" s="3"/>
      <c r="B10955" s="3"/>
      <c r="C10955" s="3"/>
      <c r="D10955" s="3"/>
      <c r="E10955" s="3">
        <v>12</v>
      </c>
      <c r="F10955" s="4" t="str">
        <f>HYPERLINK("http://141.218.60.56/~jnz1568/getInfo.php?workbook=12_05.xlsx&amp;sheet=U0&amp;row=10955&amp;col=6&amp;number=4.1&amp;sourceID=14","4.1")</f>
        <v>4.1</v>
      </c>
      <c r="G10955" s="4" t="str">
        <f>HYPERLINK("http://141.218.60.56/~jnz1568/getInfo.php?workbook=12_05.xlsx&amp;sheet=U0&amp;row=10955&amp;col=7&amp;number=0.0275&amp;sourceID=14","0.0275")</f>
        <v>0.0275</v>
      </c>
    </row>
    <row r="10956" spans="1:7">
      <c r="A10956" s="3"/>
      <c r="B10956" s="3"/>
      <c r="C10956" s="3"/>
      <c r="D10956" s="3"/>
      <c r="E10956" s="3">
        <v>13</v>
      </c>
      <c r="F10956" s="4" t="str">
        <f>HYPERLINK("http://141.218.60.56/~jnz1568/getInfo.php?workbook=12_05.xlsx&amp;sheet=U0&amp;row=10956&amp;col=6&amp;number=4.2&amp;sourceID=14","4.2")</f>
        <v>4.2</v>
      </c>
      <c r="G10956" s="4" t="str">
        <f>HYPERLINK("http://141.218.60.56/~jnz1568/getInfo.php?workbook=12_05.xlsx&amp;sheet=U0&amp;row=10956&amp;col=7&amp;number=0.0275&amp;sourceID=14","0.0275")</f>
        <v>0.0275</v>
      </c>
    </row>
    <row r="10957" spans="1:7">
      <c r="A10957" s="3"/>
      <c r="B10957" s="3"/>
      <c r="C10957" s="3"/>
      <c r="D10957" s="3"/>
      <c r="E10957" s="3">
        <v>14</v>
      </c>
      <c r="F10957" s="4" t="str">
        <f>HYPERLINK("http://141.218.60.56/~jnz1568/getInfo.php?workbook=12_05.xlsx&amp;sheet=U0&amp;row=10957&amp;col=6&amp;number=4.3&amp;sourceID=14","4.3")</f>
        <v>4.3</v>
      </c>
      <c r="G10957" s="4" t="str">
        <f>HYPERLINK("http://141.218.60.56/~jnz1568/getInfo.php?workbook=12_05.xlsx&amp;sheet=U0&amp;row=10957&amp;col=7&amp;number=0.0274&amp;sourceID=14","0.0274")</f>
        <v>0.0274</v>
      </c>
    </row>
    <row r="10958" spans="1:7">
      <c r="A10958" s="3"/>
      <c r="B10958" s="3"/>
      <c r="C10958" s="3"/>
      <c r="D10958" s="3"/>
      <c r="E10958" s="3">
        <v>15</v>
      </c>
      <c r="F10958" s="4" t="str">
        <f>HYPERLINK("http://141.218.60.56/~jnz1568/getInfo.php?workbook=12_05.xlsx&amp;sheet=U0&amp;row=10958&amp;col=6&amp;number=4.4&amp;sourceID=14","4.4")</f>
        <v>4.4</v>
      </c>
      <c r="G10958" s="4" t="str">
        <f>HYPERLINK("http://141.218.60.56/~jnz1568/getInfo.php?workbook=12_05.xlsx&amp;sheet=U0&amp;row=10958&amp;col=7&amp;number=0.0273&amp;sourceID=14","0.0273")</f>
        <v>0.0273</v>
      </c>
    </row>
    <row r="10959" spans="1:7">
      <c r="A10959" s="3"/>
      <c r="B10959" s="3"/>
      <c r="C10959" s="3"/>
      <c r="D10959" s="3"/>
      <c r="E10959" s="3">
        <v>16</v>
      </c>
      <c r="F10959" s="4" t="str">
        <f>HYPERLINK("http://141.218.60.56/~jnz1568/getInfo.php?workbook=12_05.xlsx&amp;sheet=U0&amp;row=10959&amp;col=6&amp;number=4.5&amp;sourceID=14","4.5")</f>
        <v>4.5</v>
      </c>
      <c r="G10959" s="4" t="str">
        <f>HYPERLINK("http://141.218.60.56/~jnz1568/getInfo.php?workbook=12_05.xlsx&amp;sheet=U0&amp;row=10959&amp;col=7&amp;number=0.0272&amp;sourceID=14","0.0272")</f>
        <v>0.0272</v>
      </c>
    </row>
    <row r="10960" spans="1:7">
      <c r="A10960" s="3"/>
      <c r="B10960" s="3"/>
      <c r="C10960" s="3"/>
      <c r="D10960" s="3"/>
      <c r="E10960" s="3">
        <v>17</v>
      </c>
      <c r="F10960" s="4" t="str">
        <f>HYPERLINK("http://141.218.60.56/~jnz1568/getInfo.php?workbook=12_05.xlsx&amp;sheet=U0&amp;row=10960&amp;col=6&amp;number=4.6&amp;sourceID=14","4.6")</f>
        <v>4.6</v>
      </c>
      <c r="G10960" s="4" t="str">
        <f>HYPERLINK("http://141.218.60.56/~jnz1568/getInfo.php?workbook=12_05.xlsx&amp;sheet=U0&amp;row=10960&amp;col=7&amp;number=0.0271&amp;sourceID=14","0.0271")</f>
        <v>0.0271</v>
      </c>
    </row>
    <row r="10961" spans="1:7">
      <c r="A10961" s="3"/>
      <c r="B10961" s="3"/>
      <c r="C10961" s="3"/>
      <c r="D10961" s="3"/>
      <c r="E10961" s="3">
        <v>18</v>
      </c>
      <c r="F10961" s="4" t="str">
        <f>HYPERLINK("http://141.218.60.56/~jnz1568/getInfo.php?workbook=12_05.xlsx&amp;sheet=U0&amp;row=10961&amp;col=6&amp;number=4.7&amp;sourceID=14","4.7")</f>
        <v>4.7</v>
      </c>
      <c r="G10961" s="4" t="str">
        <f>HYPERLINK("http://141.218.60.56/~jnz1568/getInfo.php?workbook=12_05.xlsx&amp;sheet=U0&amp;row=10961&amp;col=7&amp;number=0.027&amp;sourceID=14","0.027")</f>
        <v>0.027</v>
      </c>
    </row>
    <row r="10962" spans="1:7">
      <c r="A10962" s="3"/>
      <c r="B10962" s="3"/>
      <c r="C10962" s="3"/>
      <c r="D10962" s="3"/>
      <c r="E10962" s="3">
        <v>19</v>
      </c>
      <c r="F10962" s="4" t="str">
        <f>HYPERLINK("http://141.218.60.56/~jnz1568/getInfo.php?workbook=12_05.xlsx&amp;sheet=U0&amp;row=10962&amp;col=6&amp;number=4.8&amp;sourceID=14","4.8")</f>
        <v>4.8</v>
      </c>
      <c r="G10962" s="4" t="str">
        <f>HYPERLINK("http://141.218.60.56/~jnz1568/getInfo.php?workbook=12_05.xlsx&amp;sheet=U0&amp;row=10962&amp;col=7&amp;number=0.0268&amp;sourceID=14","0.0268")</f>
        <v>0.0268</v>
      </c>
    </row>
    <row r="10963" spans="1:7">
      <c r="A10963" s="3"/>
      <c r="B10963" s="3"/>
      <c r="C10963" s="3"/>
      <c r="D10963" s="3"/>
      <c r="E10963" s="3">
        <v>20</v>
      </c>
      <c r="F10963" s="4" t="str">
        <f>HYPERLINK("http://141.218.60.56/~jnz1568/getInfo.php?workbook=12_05.xlsx&amp;sheet=U0&amp;row=10963&amp;col=6&amp;number=4.9&amp;sourceID=14","4.9")</f>
        <v>4.9</v>
      </c>
      <c r="G10963" s="4" t="str">
        <f>HYPERLINK("http://141.218.60.56/~jnz1568/getInfo.php?workbook=12_05.xlsx&amp;sheet=U0&amp;row=10963&amp;col=7&amp;number=0.0265&amp;sourceID=14","0.0265")</f>
        <v>0.0265</v>
      </c>
    </row>
    <row r="10964" spans="1:7">
      <c r="A10964" s="3">
        <v>12</v>
      </c>
      <c r="B10964" s="3">
        <v>5</v>
      </c>
      <c r="C10964" s="3">
        <v>5</v>
      </c>
      <c r="D10964" s="3">
        <v>125</v>
      </c>
      <c r="E10964" s="3">
        <v>1</v>
      </c>
      <c r="F10964" s="4" t="str">
        <f>HYPERLINK("http://141.218.60.56/~jnz1568/getInfo.php?workbook=12_05.xlsx&amp;sheet=U0&amp;row=10964&amp;col=6&amp;number=3&amp;sourceID=14","3")</f>
        <v>3</v>
      </c>
      <c r="G10964" s="4" t="str">
        <f>HYPERLINK("http://141.218.60.56/~jnz1568/getInfo.php?workbook=12_05.xlsx&amp;sheet=U0&amp;row=10964&amp;col=7&amp;number=0.0628&amp;sourceID=14","0.0628")</f>
        <v>0.0628</v>
      </c>
    </row>
    <row r="10965" spans="1:7">
      <c r="A10965" s="3"/>
      <c r="B10965" s="3"/>
      <c r="C10965" s="3"/>
      <c r="D10965" s="3"/>
      <c r="E10965" s="3">
        <v>2</v>
      </c>
      <c r="F10965" s="4" t="str">
        <f>HYPERLINK("http://141.218.60.56/~jnz1568/getInfo.php?workbook=12_05.xlsx&amp;sheet=U0&amp;row=10965&amp;col=6&amp;number=3.1&amp;sourceID=14","3.1")</f>
        <v>3.1</v>
      </c>
      <c r="G10965" s="4" t="str">
        <f>HYPERLINK("http://141.218.60.56/~jnz1568/getInfo.php?workbook=12_05.xlsx&amp;sheet=U0&amp;row=10965&amp;col=7&amp;number=0.0628&amp;sourceID=14","0.0628")</f>
        <v>0.0628</v>
      </c>
    </row>
    <row r="10966" spans="1:7">
      <c r="A10966" s="3"/>
      <c r="B10966" s="3"/>
      <c r="C10966" s="3"/>
      <c r="D10966" s="3"/>
      <c r="E10966" s="3">
        <v>3</v>
      </c>
      <c r="F10966" s="4" t="str">
        <f>HYPERLINK("http://141.218.60.56/~jnz1568/getInfo.php?workbook=12_05.xlsx&amp;sheet=U0&amp;row=10966&amp;col=6&amp;number=3.2&amp;sourceID=14","3.2")</f>
        <v>3.2</v>
      </c>
      <c r="G10966" s="4" t="str">
        <f>HYPERLINK("http://141.218.60.56/~jnz1568/getInfo.php?workbook=12_05.xlsx&amp;sheet=U0&amp;row=10966&amp;col=7&amp;number=0.0628&amp;sourceID=14","0.0628")</f>
        <v>0.0628</v>
      </c>
    </row>
    <row r="10967" spans="1:7">
      <c r="A10967" s="3"/>
      <c r="B10967" s="3"/>
      <c r="C10967" s="3"/>
      <c r="D10967" s="3"/>
      <c r="E10967" s="3">
        <v>4</v>
      </c>
      <c r="F10967" s="4" t="str">
        <f>HYPERLINK("http://141.218.60.56/~jnz1568/getInfo.php?workbook=12_05.xlsx&amp;sheet=U0&amp;row=10967&amp;col=6&amp;number=3.3&amp;sourceID=14","3.3")</f>
        <v>3.3</v>
      </c>
      <c r="G10967" s="4" t="str">
        <f>HYPERLINK("http://141.218.60.56/~jnz1568/getInfo.php?workbook=12_05.xlsx&amp;sheet=U0&amp;row=10967&amp;col=7&amp;number=0.0628&amp;sourceID=14","0.0628")</f>
        <v>0.0628</v>
      </c>
    </row>
    <row r="10968" spans="1:7">
      <c r="A10968" s="3"/>
      <c r="B10968" s="3"/>
      <c r="C10968" s="3"/>
      <c r="D10968" s="3"/>
      <c r="E10968" s="3">
        <v>5</v>
      </c>
      <c r="F10968" s="4" t="str">
        <f>HYPERLINK("http://141.218.60.56/~jnz1568/getInfo.php?workbook=12_05.xlsx&amp;sheet=U0&amp;row=10968&amp;col=6&amp;number=3.4&amp;sourceID=14","3.4")</f>
        <v>3.4</v>
      </c>
      <c r="G10968" s="4" t="str">
        <f>HYPERLINK("http://141.218.60.56/~jnz1568/getInfo.php?workbook=12_05.xlsx&amp;sheet=U0&amp;row=10968&amp;col=7&amp;number=0.0627&amp;sourceID=14","0.0627")</f>
        <v>0.0627</v>
      </c>
    </row>
    <row r="10969" spans="1:7">
      <c r="A10969" s="3"/>
      <c r="B10969" s="3"/>
      <c r="C10969" s="3"/>
      <c r="D10969" s="3"/>
      <c r="E10969" s="3">
        <v>6</v>
      </c>
      <c r="F10969" s="4" t="str">
        <f>HYPERLINK("http://141.218.60.56/~jnz1568/getInfo.php?workbook=12_05.xlsx&amp;sheet=U0&amp;row=10969&amp;col=6&amp;number=3.5&amp;sourceID=14","3.5")</f>
        <v>3.5</v>
      </c>
      <c r="G10969" s="4" t="str">
        <f>HYPERLINK("http://141.218.60.56/~jnz1568/getInfo.php?workbook=12_05.xlsx&amp;sheet=U0&amp;row=10969&amp;col=7&amp;number=0.0627&amp;sourceID=14","0.0627")</f>
        <v>0.0627</v>
      </c>
    </row>
    <row r="10970" spans="1:7">
      <c r="A10970" s="3"/>
      <c r="B10970" s="3"/>
      <c r="C10970" s="3"/>
      <c r="D10970" s="3"/>
      <c r="E10970" s="3">
        <v>7</v>
      </c>
      <c r="F10970" s="4" t="str">
        <f>HYPERLINK("http://141.218.60.56/~jnz1568/getInfo.php?workbook=12_05.xlsx&amp;sheet=U0&amp;row=10970&amp;col=6&amp;number=3.6&amp;sourceID=14","3.6")</f>
        <v>3.6</v>
      </c>
      <c r="G10970" s="4" t="str">
        <f>HYPERLINK("http://141.218.60.56/~jnz1568/getInfo.php?workbook=12_05.xlsx&amp;sheet=U0&amp;row=10970&amp;col=7&amp;number=0.0626&amp;sourceID=14","0.0626")</f>
        <v>0.0626</v>
      </c>
    </row>
    <row r="10971" spans="1:7">
      <c r="A10971" s="3"/>
      <c r="B10971" s="3"/>
      <c r="C10971" s="3"/>
      <c r="D10971" s="3"/>
      <c r="E10971" s="3">
        <v>8</v>
      </c>
      <c r="F10971" s="4" t="str">
        <f>HYPERLINK("http://141.218.60.56/~jnz1568/getInfo.php?workbook=12_05.xlsx&amp;sheet=U0&amp;row=10971&amp;col=6&amp;number=3.7&amp;sourceID=14","3.7")</f>
        <v>3.7</v>
      </c>
      <c r="G10971" s="4" t="str">
        <f>HYPERLINK("http://141.218.60.56/~jnz1568/getInfo.php?workbook=12_05.xlsx&amp;sheet=U0&amp;row=10971&amp;col=7&amp;number=0.0626&amp;sourceID=14","0.0626")</f>
        <v>0.0626</v>
      </c>
    </row>
    <row r="10972" spans="1:7">
      <c r="A10972" s="3"/>
      <c r="B10972" s="3"/>
      <c r="C10972" s="3"/>
      <c r="D10972" s="3"/>
      <c r="E10972" s="3">
        <v>9</v>
      </c>
      <c r="F10972" s="4" t="str">
        <f>HYPERLINK("http://141.218.60.56/~jnz1568/getInfo.php?workbook=12_05.xlsx&amp;sheet=U0&amp;row=10972&amp;col=6&amp;number=3.8&amp;sourceID=14","3.8")</f>
        <v>3.8</v>
      </c>
      <c r="G10972" s="4" t="str">
        <f>HYPERLINK("http://141.218.60.56/~jnz1568/getInfo.php?workbook=12_05.xlsx&amp;sheet=U0&amp;row=10972&amp;col=7&amp;number=0.0625&amp;sourceID=14","0.0625")</f>
        <v>0.0625</v>
      </c>
    </row>
    <row r="10973" spans="1:7">
      <c r="A10973" s="3"/>
      <c r="B10973" s="3"/>
      <c r="C10973" s="3"/>
      <c r="D10973" s="3"/>
      <c r="E10973" s="3">
        <v>10</v>
      </c>
      <c r="F10973" s="4" t="str">
        <f>HYPERLINK("http://141.218.60.56/~jnz1568/getInfo.php?workbook=12_05.xlsx&amp;sheet=U0&amp;row=10973&amp;col=6&amp;number=3.9&amp;sourceID=14","3.9")</f>
        <v>3.9</v>
      </c>
      <c r="G10973" s="4" t="str">
        <f>HYPERLINK("http://141.218.60.56/~jnz1568/getInfo.php?workbook=12_05.xlsx&amp;sheet=U0&amp;row=10973&amp;col=7&amp;number=0.0624&amp;sourceID=14","0.0624")</f>
        <v>0.0624</v>
      </c>
    </row>
    <row r="10974" spans="1:7">
      <c r="A10974" s="3"/>
      <c r="B10974" s="3"/>
      <c r="C10974" s="3"/>
      <c r="D10974" s="3"/>
      <c r="E10974" s="3">
        <v>11</v>
      </c>
      <c r="F10974" s="4" t="str">
        <f>HYPERLINK("http://141.218.60.56/~jnz1568/getInfo.php?workbook=12_05.xlsx&amp;sheet=U0&amp;row=10974&amp;col=6&amp;number=4&amp;sourceID=14","4")</f>
        <v>4</v>
      </c>
      <c r="G10974" s="4" t="str">
        <f>HYPERLINK("http://141.218.60.56/~jnz1568/getInfo.php?workbook=12_05.xlsx&amp;sheet=U0&amp;row=10974&amp;col=7&amp;number=0.0622&amp;sourceID=14","0.0622")</f>
        <v>0.0622</v>
      </c>
    </row>
    <row r="10975" spans="1:7">
      <c r="A10975" s="3"/>
      <c r="B10975" s="3"/>
      <c r="C10975" s="3"/>
      <c r="D10975" s="3"/>
      <c r="E10975" s="3">
        <v>12</v>
      </c>
      <c r="F10975" s="4" t="str">
        <f>HYPERLINK("http://141.218.60.56/~jnz1568/getInfo.php?workbook=12_05.xlsx&amp;sheet=U0&amp;row=10975&amp;col=6&amp;number=4.1&amp;sourceID=14","4.1")</f>
        <v>4.1</v>
      </c>
      <c r="G10975" s="4" t="str">
        <f>HYPERLINK("http://141.218.60.56/~jnz1568/getInfo.php?workbook=12_05.xlsx&amp;sheet=U0&amp;row=10975&amp;col=7&amp;number=0.0621&amp;sourceID=14","0.0621")</f>
        <v>0.0621</v>
      </c>
    </row>
    <row r="10976" spans="1:7">
      <c r="A10976" s="3"/>
      <c r="B10976" s="3"/>
      <c r="C10976" s="3"/>
      <c r="D10976" s="3"/>
      <c r="E10976" s="3">
        <v>13</v>
      </c>
      <c r="F10976" s="4" t="str">
        <f>HYPERLINK("http://141.218.60.56/~jnz1568/getInfo.php?workbook=12_05.xlsx&amp;sheet=U0&amp;row=10976&amp;col=6&amp;number=4.2&amp;sourceID=14","4.2")</f>
        <v>4.2</v>
      </c>
      <c r="G10976" s="4" t="str">
        <f>HYPERLINK("http://141.218.60.56/~jnz1568/getInfo.php?workbook=12_05.xlsx&amp;sheet=U0&amp;row=10976&amp;col=7&amp;number=0.0619&amp;sourceID=14","0.0619")</f>
        <v>0.0619</v>
      </c>
    </row>
    <row r="10977" spans="1:7">
      <c r="A10977" s="3"/>
      <c r="B10977" s="3"/>
      <c r="C10977" s="3"/>
      <c r="D10977" s="3"/>
      <c r="E10977" s="3">
        <v>14</v>
      </c>
      <c r="F10977" s="4" t="str">
        <f>HYPERLINK("http://141.218.60.56/~jnz1568/getInfo.php?workbook=12_05.xlsx&amp;sheet=U0&amp;row=10977&amp;col=6&amp;number=4.3&amp;sourceID=14","4.3")</f>
        <v>4.3</v>
      </c>
      <c r="G10977" s="4" t="str">
        <f>HYPERLINK("http://141.218.60.56/~jnz1568/getInfo.php?workbook=12_05.xlsx&amp;sheet=U0&amp;row=10977&amp;col=7&amp;number=0.0616&amp;sourceID=14","0.0616")</f>
        <v>0.0616</v>
      </c>
    </row>
    <row r="10978" spans="1:7">
      <c r="A10978" s="3"/>
      <c r="B10978" s="3"/>
      <c r="C10978" s="3"/>
      <c r="D10978" s="3"/>
      <c r="E10978" s="3">
        <v>15</v>
      </c>
      <c r="F10978" s="4" t="str">
        <f>HYPERLINK("http://141.218.60.56/~jnz1568/getInfo.php?workbook=12_05.xlsx&amp;sheet=U0&amp;row=10978&amp;col=6&amp;number=4.4&amp;sourceID=14","4.4")</f>
        <v>4.4</v>
      </c>
      <c r="G10978" s="4" t="str">
        <f>HYPERLINK("http://141.218.60.56/~jnz1568/getInfo.php?workbook=12_05.xlsx&amp;sheet=U0&amp;row=10978&amp;col=7&amp;number=0.0613&amp;sourceID=14","0.0613")</f>
        <v>0.0613</v>
      </c>
    </row>
    <row r="10979" spans="1:7">
      <c r="A10979" s="3"/>
      <c r="B10979" s="3"/>
      <c r="C10979" s="3"/>
      <c r="D10979" s="3"/>
      <c r="E10979" s="3">
        <v>16</v>
      </c>
      <c r="F10979" s="4" t="str">
        <f>HYPERLINK("http://141.218.60.56/~jnz1568/getInfo.php?workbook=12_05.xlsx&amp;sheet=U0&amp;row=10979&amp;col=6&amp;number=4.5&amp;sourceID=14","4.5")</f>
        <v>4.5</v>
      </c>
      <c r="G10979" s="4" t="str">
        <f>HYPERLINK("http://141.218.60.56/~jnz1568/getInfo.php?workbook=12_05.xlsx&amp;sheet=U0&amp;row=10979&amp;col=7&amp;number=0.0609&amp;sourceID=14","0.0609")</f>
        <v>0.0609</v>
      </c>
    </row>
    <row r="10980" spans="1:7">
      <c r="A10980" s="3"/>
      <c r="B10980" s="3"/>
      <c r="C10980" s="3"/>
      <c r="D10980" s="3"/>
      <c r="E10980" s="3">
        <v>17</v>
      </c>
      <c r="F10980" s="4" t="str">
        <f>HYPERLINK("http://141.218.60.56/~jnz1568/getInfo.php?workbook=12_05.xlsx&amp;sheet=U0&amp;row=10980&amp;col=6&amp;number=4.6&amp;sourceID=14","4.6")</f>
        <v>4.6</v>
      </c>
      <c r="G10980" s="4" t="str">
        <f>HYPERLINK("http://141.218.60.56/~jnz1568/getInfo.php?workbook=12_05.xlsx&amp;sheet=U0&amp;row=10980&amp;col=7&amp;number=0.0604&amp;sourceID=14","0.0604")</f>
        <v>0.0604</v>
      </c>
    </row>
    <row r="10981" spans="1:7">
      <c r="A10981" s="3"/>
      <c r="B10981" s="3"/>
      <c r="C10981" s="3"/>
      <c r="D10981" s="3"/>
      <c r="E10981" s="3">
        <v>18</v>
      </c>
      <c r="F10981" s="4" t="str">
        <f>HYPERLINK("http://141.218.60.56/~jnz1568/getInfo.php?workbook=12_05.xlsx&amp;sheet=U0&amp;row=10981&amp;col=6&amp;number=4.7&amp;sourceID=14","4.7")</f>
        <v>4.7</v>
      </c>
      <c r="G10981" s="4" t="str">
        <f>HYPERLINK("http://141.218.60.56/~jnz1568/getInfo.php?workbook=12_05.xlsx&amp;sheet=U0&amp;row=10981&amp;col=7&amp;number=0.0598&amp;sourceID=14","0.0598")</f>
        <v>0.0598</v>
      </c>
    </row>
    <row r="10982" spans="1:7">
      <c r="A10982" s="3"/>
      <c r="B10982" s="3"/>
      <c r="C10982" s="3"/>
      <c r="D10982" s="3"/>
      <c r="E10982" s="3">
        <v>19</v>
      </c>
      <c r="F10982" s="4" t="str">
        <f>HYPERLINK("http://141.218.60.56/~jnz1568/getInfo.php?workbook=12_05.xlsx&amp;sheet=U0&amp;row=10982&amp;col=6&amp;number=4.8&amp;sourceID=14","4.8")</f>
        <v>4.8</v>
      </c>
      <c r="G10982" s="4" t="str">
        <f>HYPERLINK("http://141.218.60.56/~jnz1568/getInfo.php?workbook=12_05.xlsx&amp;sheet=U0&amp;row=10982&amp;col=7&amp;number=0.059&amp;sourceID=14","0.059")</f>
        <v>0.059</v>
      </c>
    </row>
    <row r="10983" spans="1:7">
      <c r="A10983" s="3"/>
      <c r="B10983" s="3"/>
      <c r="C10983" s="3"/>
      <c r="D10983" s="3"/>
      <c r="E10983" s="3">
        <v>20</v>
      </c>
      <c r="F10983" s="4" t="str">
        <f>HYPERLINK("http://141.218.60.56/~jnz1568/getInfo.php?workbook=12_05.xlsx&amp;sheet=U0&amp;row=10983&amp;col=6&amp;number=4.9&amp;sourceID=14","4.9")</f>
        <v>4.9</v>
      </c>
      <c r="G10983" s="4" t="str">
        <f>HYPERLINK("http://141.218.60.56/~jnz1568/getInfo.php?workbook=12_05.xlsx&amp;sheet=U0&amp;row=10983&amp;col=7&amp;number=0.0581&amp;sourceID=14","0.0581")</f>
        <v>0.0581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2015-05-03T23:20:29Z</dcterms:created>
  <dcterms:modified xsi:type="dcterms:W3CDTF">2015-05-03T23:20:29Z</dcterms:modified>
</cp:coreProperties>
</file>