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0" r:id="rId3" sheetId="1"/>
    <sheet name="A0" r:id="rId4" sheetId="2"/>
    <sheet name="U0" r:id="rId5" sheetId="3"/>
    <sheet name="O0" r:id="rId6" sheetId="4"/>
  </sheets>
</workbook>
</file>

<file path=xl/sharedStrings.xml><?xml version="1.0" encoding="utf-8"?>
<sst xmlns="http://schemas.openxmlformats.org/spreadsheetml/2006/main" count="11074" uniqueCount="2424">
  <si>
    <t>Fine-Structure Energy Levels for O III</t>
  </si>
  <si>
    <t/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</si>
  <si>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</si>
  <si>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</si>
  <si>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</si>
  <si>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</si>
  <si>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</si>
  <si>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</si>
  <si>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</si>
  <si>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</si>
  <si>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</si>
  <si>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</si>
  <si>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</si>
  <si>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</si>
  <si>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</si>
  <si>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8.0</t>
  </si>
  <si>
    <t>6.0</t>
  </si>
  <si>
    <t>1.0</t>
  </si>
  <si>
    <t>2s2.2p2</t>
  </si>
  <si>
    <t>3Pe</t>
  </si>
  <si>
    <t>3.0</t>
  </si>
  <si>
    <t>0.0</t>
  </si>
  <si>
    <t>0</t>
  </si>
  <si>
    <t>2.0</t>
  </si>
  <si>
    <t>113.177580532</t>
  </si>
  <si>
    <t>113.369995543</t>
  </si>
  <si>
    <t>306.173695001</t>
  </si>
  <si>
    <t>305.599987985</t>
  </si>
  <si>
    <t>4.0</t>
  </si>
  <si>
    <t>1De</t>
  </si>
  <si>
    <t>20273.2667541</t>
  </si>
  <si>
    <t>20369.3491991</t>
  </si>
  <si>
    <t>23132.6261465</t>
  </si>
  <si>
    <t>5.0</t>
  </si>
  <si>
    <t>1Se</t>
  </si>
  <si>
    <t>43185.7378978</t>
  </si>
  <si>
    <t>43278.1382984</t>
  </si>
  <si>
    <t>50138.9795367</t>
  </si>
  <si>
    <t>2s.2p3</t>
  </si>
  <si>
    <t>5So</t>
  </si>
  <si>
    <t>60324.7862048</t>
  </si>
  <si>
    <t>60531.58762</t>
  </si>
  <si>
    <t>58522.910455</t>
  </si>
  <si>
    <t>7.0</t>
  </si>
  <si>
    <t>3Do</t>
  </si>
  <si>
    <t>120025.189031</t>
  </si>
  <si>
    <t>120464.395264</t>
  </si>
  <si>
    <t>122708.266399</t>
  </si>
  <si>
    <t>120053.391521</t>
  </si>
  <si>
    <t>120492.195263</t>
  </si>
  <si>
    <t>9.0</t>
  </si>
  <si>
    <t>120058.219963</t>
  </si>
  <si>
    <t>120497.695262</t>
  </si>
  <si>
    <t>10.0</t>
  </si>
  <si>
    <t>3Po</t>
  </si>
  <si>
    <t>142380.98472</t>
  </si>
  <si>
    <t>142903.294381</t>
  </si>
  <si>
    <t>148694.062754</t>
  </si>
  <si>
    <t>11.0</t>
  </si>
  <si>
    <t>142381.752881</t>
  </si>
  <si>
    <t>142905.294381</t>
  </si>
  <si>
    <t>12.0</t>
  </si>
  <si>
    <t>142393.494774</t>
  </si>
  <si>
    <t>142919.294381</t>
  </si>
  <si>
    <t>13.0</t>
  </si>
  <si>
    <t>1Do</t>
  </si>
  <si>
    <t>187053.948562</t>
  </si>
  <si>
    <t>187666.292621</t>
  </si>
  <si>
    <t>192490.225444</t>
  </si>
  <si>
    <t>14.0</t>
  </si>
  <si>
    <t>3So</t>
  </si>
  <si>
    <t>197087.670284</t>
  </si>
  <si>
    <t>197581.192232</t>
  </si>
  <si>
    <t>201554.527719</t>
  </si>
  <si>
    <t>15.0</t>
  </si>
  <si>
    <t>1Po</t>
  </si>
  <si>
    <t>210461.795896</t>
  </si>
  <si>
    <t>211184.391697</t>
  </si>
  <si>
    <t>220813.426622</t>
  </si>
  <si>
    <t>16.0</t>
  </si>
  <si>
    <t>2s2.2p.3s</t>
  </si>
  <si>
    <t>267258.713955</t>
  </si>
  <si>
    <t>267841.989469</t>
  </si>
  <si>
    <t>273970.18234</t>
  </si>
  <si>
    <t>17.0</t>
  </si>
  <si>
    <t>267377.109545</t>
  </si>
  <si>
    <t>267960.089464</t>
  </si>
  <si>
    <t>18.0</t>
  </si>
  <si>
    <t>267634.004601</t>
  </si>
  <si>
    <t>268215.989454</t>
  </si>
  <si>
    <t>19.0</t>
  </si>
  <si>
    <t>273081.332031</t>
  </si>
  <si>
    <t>273720.189238</t>
  </si>
  <si>
    <t>281651.794438</t>
  </si>
  <si>
    <t>20.0</t>
  </si>
  <si>
    <t>2p4</t>
  </si>
  <si>
    <t>283759.69464</t>
  </si>
  <si>
    <t>284695.488806</t>
  </si>
  <si>
    <t>291264.783292</t>
  </si>
  <si>
    <t>21.0</t>
  </si>
  <si>
    <t>283977.402501</t>
  </si>
  <si>
    <t>284911.488798</t>
  </si>
  <si>
    <t>22.0</t>
  </si>
  <si>
    <t>284071.897303</t>
  </si>
  <si>
    <t>285005.588794</t>
  </si>
  <si>
    <t>23.0</t>
  </si>
  <si>
    <t>2s2.2p.3p</t>
  </si>
  <si>
    <t>1Pe</t>
  </si>
  <si>
    <t>290958.254048</t>
  </si>
  <si>
    <t>291672.588532</t>
  </si>
  <si>
    <t>298090.444328</t>
  </si>
  <si>
    <t>24.0</t>
  </si>
  <si>
    <t>3De</t>
  </si>
  <si>
    <t>293866.490441</t>
  </si>
  <si>
    <t>294577.388418</t>
  </si>
  <si>
    <t>301909.302914</t>
  </si>
  <si>
    <t>25.0</t>
  </si>
  <si>
    <t>294002.861003</t>
  </si>
  <si>
    <t>294712.788413</t>
  </si>
  <si>
    <t>26.0</t>
  </si>
  <si>
    <t>294223.070875</t>
  </si>
  <si>
    <t>294931.588404</t>
  </si>
  <si>
    <t>27.0</t>
  </si>
  <si>
    <t>3Se</t>
  </si>
  <si>
    <t>297558.657296</t>
  </si>
  <si>
    <t>298229.388274</t>
  </si>
  <si>
    <t>304905.131632</t>
  </si>
  <si>
    <t>28.0</t>
  </si>
  <si>
    <t>298294.007048</t>
  </si>
  <si>
    <t>299391.588229</t>
  </si>
  <si>
    <t>306496.322709</t>
  </si>
  <si>
    <t>29.0</t>
  </si>
  <si>
    <t>300229.926929</t>
  </si>
  <si>
    <t>300907.188169</t>
  </si>
  <si>
    <t>308910.543654</t>
  </si>
  <si>
    <t>30.0</t>
  </si>
  <si>
    <t>300311.955573</t>
  </si>
  <si>
    <t>300988.688166</t>
  </si>
  <si>
    <t>31.0</t>
  </si>
  <si>
    <t>300442.553952</t>
  </si>
  <si>
    <t>301118.088161</t>
  </si>
  <si>
    <t>32.0</t>
  </si>
  <si>
    <t>306586.07686</t>
  </si>
  <si>
    <t>307321.987917</t>
  </si>
  <si>
    <t>316734.814263</t>
  </si>
  <si>
    <t>33.0</t>
  </si>
  <si>
    <t>313802.764872</t>
  </si>
  <si>
    <t>314671.387628</t>
  </si>
  <si>
    <t>324361.557703</t>
  </si>
  <si>
    <t>34.0</t>
  </si>
  <si>
    <t>2s2.2p.3d</t>
  </si>
  <si>
    <t>3Fo</t>
  </si>
  <si>
    <t>324464.875386</t>
  </si>
  <si>
    <t>325112.587217</t>
  </si>
  <si>
    <t>329420.447956</t>
  </si>
  <si>
    <t>35.0</t>
  </si>
  <si>
    <t>324660.800389</t>
  </si>
  <si>
    <t>325312.787209</t>
  </si>
  <si>
    <t>36.0</t>
  </si>
  <si>
    <t>324839.024763</t>
  </si>
  <si>
    <t>325490.687202</t>
  </si>
  <si>
    <t>37.0</t>
  </si>
  <si>
    <t>324735.652212</t>
  </si>
  <si>
    <t>325374.587207</t>
  </si>
  <si>
    <t>329596.027661</t>
  </si>
  <si>
    <t>38.0</t>
  </si>
  <si>
    <t>327229.246158</t>
  </si>
  <si>
    <t>327828.087111</t>
  </si>
  <si>
    <t>332910.094595</t>
  </si>
  <si>
    <t>39.0</t>
  </si>
  <si>
    <t>327278.298738</t>
  </si>
  <si>
    <t>327876.987109</t>
  </si>
  <si>
    <t>40.0</t>
  </si>
  <si>
    <t>327352.173899</t>
  </si>
  <si>
    <t>327950.387106</t>
  </si>
  <si>
    <t>41.0</t>
  </si>
  <si>
    <t>329469.796827</t>
  </si>
  <si>
    <t>330077.887022</t>
  </si>
  <si>
    <t>335807.159729</t>
  </si>
  <si>
    <t>42.0</t>
  </si>
  <si>
    <t>329583.890714</t>
  </si>
  <si>
    <t>330192.187018</t>
  </si>
  <si>
    <t>43.0</t>
  </si>
  <si>
    <t>329645.13511</t>
  </si>
  <si>
    <t>330253.787015</t>
  </si>
  <si>
    <t>44.0</t>
  </si>
  <si>
    <t>1Fo</t>
  </si>
  <si>
    <t>331821.434581</t>
  </si>
  <si>
    <t>332452.586929</t>
  </si>
  <si>
    <t>339823.545483</t>
  </si>
  <si>
    <t>45.0</t>
  </si>
  <si>
    <t>332778.936555</t>
  </si>
  <si>
    <t>333420.686891</t>
  </si>
  <si>
    <t>341272.07805</t>
  </si>
  <si>
    <t>46.0</t>
  </si>
  <si>
    <t>1S</t>
  </si>
  <si>
    <t>343306.278671</t>
  </si>
  <si>
    <t>344761.686445</t>
  </si>
  <si>
    <t>358566.679002</t>
  </si>
  <si>
    <t>A-values for  fine-structure transitions in O III</t>
  </si>
  <si>
    <t>S7</t>
  </si>
  <si>
    <t>S5</t>
  </si>
  <si>
    <t>S6</t>
  </si>
  <si>
    <t>k</t>
  </si>
  <si>
    <t>WL Vac (A)</t>
  </si>
  <si>
    <t>AE1 (s-1)</t>
  </si>
  <si>
    <t>AE2 (s-1)</t>
  </si>
  <si>
    <t>AM1 (s-1)</t>
  </si>
  <si>
    <t>AM2 (s-1)</t>
  </si>
  <si>
    <t>883567.218259502</t>
  </si>
  <si>
    <t>2.5965e-05</t>
  </si>
  <si>
    <t>2.6204e-05</t>
  </si>
  <si>
    <t>2.66e-05</t>
  </si>
  <si>
    <t>326611.9906207925</t>
  </si>
  <si>
    <t>3.0315e-11</t>
  </si>
  <si>
    <t>3.0304e-11</t>
  </si>
  <si>
    <t>3.09e-11</t>
  </si>
  <si>
    <t>518145.14647165337</t>
  </si>
  <si>
    <t>6.772e-12</t>
  </si>
  <si>
    <t>9.6318e-05</t>
  </si>
  <si>
    <t>6.714e-12</t>
  </si>
  <si>
    <t>9.5795e-05</t>
  </si>
  <si>
    <t>6.84e-12</t>
  </si>
  <si>
    <t>9.7e-05</t>
  </si>
  <si>
    <t>4932.60416354835</t>
  </si>
  <si>
    <t>2.3225e-06</t>
  </si>
  <si>
    <t>2.0168e-06</t>
  </si>
  <si>
    <t>1.69e-06</t>
  </si>
  <si>
    <t>4960.295519481656</t>
  </si>
  <si>
    <t>4.6752e-06</t>
  </si>
  <si>
    <t>0.006946</t>
  </si>
  <si>
    <t>5.5568e-06</t>
  </si>
  <si>
    <t>0.006957</t>
  </si>
  <si>
    <t>5.51e-06</t>
  </si>
  <si>
    <t>0.00699</t>
  </si>
  <si>
    <t>0.006785</t>
  </si>
  <si>
    <t>5008.240293367593</t>
  </si>
  <si>
    <t>3.8897e-05</t>
  </si>
  <si>
    <t>0.020246</t>
  </si>
  <si>
    <t>3.7418e-05</t>
  </si>
  <si>
    <t>0.020282</t>
  </si>
  <si>
    <t>3.58e-05</t>
  </si>
  <si>
    <t>0.0204</t>
  </si>
  <si>
    <t>0.02042</t>
  </si>
  <si>
    <t>2321.6637056959325</t>
  </si>
  <si>
    <t>0.22553</t>
  </si>
  <si>
    <t>0.22579</t>
  </si>
  <si>
    <t>0.227</t>
  </si>
  <si>
    <t>2332.113253927903</t>
  </si>
  <si>
    <t>0.00069978</t>
  </si>
  <si>
    <t>0.0006943</t>
  </si>
  <si>
    <t>0.000609</t>
  </si>
  <si>
    <t>4364.435392971393</t>
  </si>
  <si>
    <t>1.6854</t>
  </si>
  <si>
    <t>1.6842</t>
  </si>
  <si>
    <t>1.56</t>
  </si>
  <si>
    <t>1657.69340086021</t>
  </si>
  <si>
    <t>0.0021905</t>
  </si>
  <si>
    <t>0.0022284</t>
  </si>
  <si>
    <t>1660.8093071224719</t>
  </si>
  <si>
    <t>230.78</t>
  </si>
  <si>
    <t>0.0048712</t>
  </si>
  <si>
    <t>231.08</t>
  </si>
  <si>
    <t>0.0049554</t>
  </si>
  <si>
    <t>166.8</t>
  </si>
  <si>
    <t>1666.1498128380326</t>
  </si>
  <si>
    <t>576.46</t>
  </si>
  <si>
    <t>0.0037148</t>
  </si>
  <si>
    <t>577.14</t>
  </si>
  <si>
    <t>0.0037794</t>
  </si>
  <si>
    <t>414.8</t>
  </si>
  <si>
    <t>2496.7841762680555</t>
  </si>
  <si>
    <t>0.0057774</t>
  </si>
  <si>
    <t>2.3165e-08</t>
  </si>
  <si>
    <t>0.0056004</t>
  </si>
  <si>
    <t>2.3177e-08</t>
  </si>
  <si>
    <t>0.0009213</t>
  </si>
  <si>
    <t>5834.629683560525</t>
  </si>
  <si>
    <t>3.763e-11</t>
  </si>
  <si>
    <t>3.8902e-11</t>
  </si>
  <si>
    <t>833.9448132875909</t>
  </si>
  <si>
    <t>0.058321</t>
  </si>
  <si>
    <t>0.059398</t>
  </si>
  <si>
    <t>835.2891954493917</t>
  </si>
  <si>
    <t>613750000</t>
  </si>
  <si>
    <t>0.13887</t>
  </si>
  <si>
    <t>620560000</t>
  </si>
  <si>
    <t>0.14143</t>
  </si>
  <si>
    <t>618200000</t>
  </si>
  <si>
    <t>1002.4869467919762</t>
  </si>
  <si>
    <t>21080</t>
  </si>
  <si>
    <t>0.080834</t>
  </si>
  <si>
    <t>20926</t>
  </si>
  <si>
    <t>0.082241</t>
  </si>
  <si>
    <t>13290</t>
  </si>
  <si>
    <t>1675.0305737654787</t>
  </si>
  <si>
    <t>0.00036425</t>
  </si>
  <si>
    <t>6.8405e-05</t>
  </si>
  <si>
    <t>832.9627237770103</t>
  </si>
  <si>
    <t>0.059021</t>
  </si>
  <si>
    <t>0.06011</t>
  </si>
  <si>
    <t>833.7487212556978</t>
  </si>
  <si>
    <t>469270000</t>
  </si>
  <si>
    <t>0.066221</t>
  </si>
  <si>
    <t>474430000</t>
  </si>
  <si>
    <t>0.067438</t>
  </si>
  <si>
    <t>471600000</t>
  </si>
  <si>
    <t>835.0924707520714</t>
  </si>
  <si>
    <t>147820000</t>
  </si>
  <si>
    <t>5.7093e-05</t>
  </si>
  <si>
    <t>149450000</t>
  </si>
  <si>
    <t>5.8843e-05</t>
  </si>
  <si>
    <t>149700000</t>
  </si>
  <si>
    <t>1002.2035974961311</t>
  </si>
  <si>
    <t>4092.8</t>
  </si>
  <si>
    <t>0.071317</t>
  </si>
  <si>
    <t>4186.4</t>
  </si>
  <si>
    <t>0.072551</t>
  </si>
  <si>
    <t>2425</t>
  </si>
  <si>
    <t>1300.9373291162651</t>
  </si>
  <si>
    <t>3.3573e-07</t>
  </si>
  <si>
    <t>3.3926e-07</t>
  </si>
  <si>
    <t>1674.2396623963582</t>
  </si>
  <si>
    <t>0.00032055</t>
  </si>
  <si>
    <t>0.00051536</t>
  </si>
  <si>
    <t>3545786.2054029293</t>
  </si>
  <si>
    <t>5.3963e-07</t>
  </si>
  <si>
    <t>832.9292240949297</t>
  </si>
  <si>
    <t>348910000</t>
  </si>
  <si>
    <t>352730000</t>
  </si>
  <si>
    <t>350500000</t>
  </si>
  <si>
    <t>833.7151583233482</t>
  </si>
  <si>
    <t>254240000</t>
  </si>
  <si>
    <t>0.0236</t>
  </si>
  <si>
    <t>257030000</t>
  </si>
  <si>
    <t>0.024035</t>
  </si>
  <si>
    <t>256400000</t>
  </si>
  <si>
    <t>835.0587995482355</t>
  </si>
  <si>
    <t>16034000</t>
  </si>
  <si>
    <t>0.017831</t>
  </si>
  <si>
    <t>16211000</t>
  </si>
  <si>
    <t>0.018163</t>
  </si>
  <si>
    <t>16290000</t>
  </si>
  <si>
    <t>1002.1551023895337</t>
  </si>
  <si>
    <t>2357.8</t>
  </si>
  <si>
    <t>0.030664</t>
  </si>
  <si>
    <t>2322.3</t>
  </si>
  <si>
    <t>0.031195</t>
  </si>
  <si>
    <t>2239</t>
  </si>
  <si>
    <t>1300.8556158650404</t>
  </si>
  <si>
    <t>1699.2</t>
  </si>
  <si>
    <t>1715.5</t>
  </si>
  <si>
    <t>830.7</t>
  </si>
  <si>
    <t>1674.1043283196882</t>
  </si>
  <si>
    <t>0.0001375</t>
  </si>
  <si>
    <t>0.00018308</t>
  </si>
  <si>
    <t>3027465.28617532</t>
  </si>
  <si>
    <t>2.0710614314107485E7</t>
  </si>
  <si>
    <t>6.7324e-09</t>
  </si>
  <si>
    <t>702.3409776007342</t>
  </si>
  <si>
    <t>0.020658</t>
  </si>
  <si>
    <t>0.021045</t>
  </si>
  <si>
    <t>702.8997073242858</t>
  </si>
  <si>
    <t>450610000</t>
  </si>
  <si>
    <t>0.001538</t>
  </si>
  <si>
    <t>455780000</t>
  </si>
  <si>
    <t>0.0015651</t>
  </si>
  <si>
    <t>487100000</t>
  </si>
  <si>
    <t>703.8545346536082</t>
  </si>
  <si>
    <t>1387000000</t>
  </si>
  <si>
    <t>0.22671</t>
  </si>
  <si>
    <t>1402400000</t>
  </si>
  <si>
    <t>0.23097</t>
  </si>
  <si>
    <t>1493000000</t>
  </si>
  <si>
    <t>818.9490530641655</t>
  </si>
  <si>
    <t>7087.9</t>
  </si>
  <si>
    <t>0.034214</t>
  </si>
  <si>
    <t>6744.6</t>
  </si>
  <si>
    <t>0.034814</t>
  </si>
  <si>
    <t>2524</t>
  </si>
  <si>
    <t>1008.1128199543919</t>
  </si>
  <si>
    <t>0.06772</t>
  </si>
  <si>
    <t>0.069214</t>
  </si>
  <si>
    <t>1218.6769776018336</t>
  </si>
  <si>
    <t>1.9424e-05</t>
  </si>
  <si>
    <t>0.14971</t>
  </si>
  <si>
    <t>4473.11298560508</t>
  </si>
  <si>
    <t>0.65252</t>
  </si>
  <si>
    <t>0.01959</t>
  </si>
  <si>
    <t>4478.763076195723</t>
  </si>
  <si>
    <t>0.40542</t>
  </si>
  <si>
    <t>0.013943</t>
  </si>
  <si>
    <t>4479.731838263529</t>
  </si>
  <si>
    <t>0.10418</t>
  </si>
  <si>
    <t>0.003735</t>
  </si>
  <si>
    <t>702.337188414713</t>
  </si>
  <si>
    <t>611220000</t>
  </si>
  <si>
    <t>618020000</t>
  </si>
  <si>
    <t>659500000</t>
  </si>
  <si>
    <t>702.8959121070994</t>
  </si>
  <si>
    <t>470630000</t>
  </si>
  <si>
    <t>0.11892</t>
  </si>
  <si>
    <t>475740000</t>
  </si>
  <si>
    <t>0.12117</t>
  </si>
  <si>
    <t>506000000</t>
  </si>
  <si>
    <t>703.85072911851</t>
  </si>
  <si>
    <t>760800000</t>
  </si>
  <si>
    <t>0.0028408</t>
  </si>
  <si>
    <t>769080000</t>
  </si>
  <si>
    <t>0.0028961</t>
  </si>
  <si>
    <t>819200000</t>
  </si>
  <si>
    <t>818.9439012131885</t>
  </si>
  <si>
    <t>27461</t>
  </si>
  <si>
    <t>0.069408</t>
  </si>
  <si>
    <t>28442</t>
  </si>
  <si>
    <t>0.070657</t>
  </si>
  <si>
    <t>20240</t>
  </si>
  <si>
    <t>1008.1050132602218</t>
  </si>
  <si>
    <t>9578.2</t>
  </si>
  <si>
    <t>9650.5</t>
  </si>
  <si>
    <t>6108</t>
  </si>
  <si>
    <t>1218.6655691844417</t>
  </si>
  <si>
    <t>7.1559e-06</t>
  </si>
  <si>
    <t>0.08322</t>
  </si>
  <si>
    <t>4472.959291550523</t>
  </si>
  <si>
    <t>0.54443</t>
  </si>
  <si>
    <t>4478.608993633737</t>
  </si>
  <si>
    <t>0.096426</t>
  </si>
  <si>
    <t>8.1768e-08</t>
  </si>
  <si>
    <t>4479.577689038979</t>
  </si>
  <si>
    <t>0.52073</t>
  </si>
  <si>
    <t>0.023122</t>
  </si>
  <si>
    <t>1.3018104277866113E8</t>
  </si>
  <si>
    <t>1.6543e-10</t>
  </si>
  <si>
    <t>702.8379045853783</t>
  </si>
  <si>
    <t>1845500000</t>
  </si>
  <si>
    <t>1865400000</t>
  </si>
  <si>
    <t>1987000000</t>
  </si>
  <si>
    <t>703.7925639009063</t>
  </si>
  <si>
    <t>0.10237</t>
  </si>
  <si>
    <t>0.1043</t>
  </si>
  <si>
    <t>818.8651595352785</t>
  </si>
  <si>
    <t>0.090528</t>
  </si>
  <si>
    <t>0.092166</t>
  </si>
  <si>
    <t>1218.4912099071285</t>
  </si>
  <si>
    <t>8.2254e-07</t>
  </si>
  <si>
    <t>4476.255049831574</t>
  </si>
  <si>
    <t>1.1625</t>
  </si>
  <si>
    <t>4477.222727107462</t>
  </si>
  <si>
    <t>0.023165</t>
  </si>
  <si>
    <t>7993570.611296194</t>
  </si>
  <si>
    <t>8516514.33035649</t>
  </si>
  <si>
    <t>1.464e-07</t>
  </si>
  <si>
    <t>534.6051273911199</t>
  </si>
  <si>
    <t>0.3657</t>
  </si>
  <si>
    <t>0.37177</t>
  </si>
  <si>
    <t>534.9287877384078</t>
  </si>
  <si>
    <t>13246</t>
  </si>
  <si>
    <t>0.82476</t>
  </si>
  <si>
    <t>12672</t>
  </si>
  <si>
    <t>0.83843</t>
  </si>
  <si>
    <t>11750</t>
  </si>
  <si>
    <t>535.48161455321</t>
  </si>
  <si>
    <t>281050</t>
  </si>
  <si>
    <t>0.64114</t>
  </si>
  <si>
    <t>279670</t>
  </si>
  <si>
    <t>0.6518</t>
  </si>
  <si>
    <t>188500</t>
  </si>
  <si>
    <t>599.5898260877792</t>
  </si>
  <si>
    <t>5462600000</t>
  </si>
  <si>
    <t>0.023303</t>
  </si>
  <si>
    <t>5514100000</t>
  </si>
  <si>
    <t>0.02366</t>
  </si>
  <si>
    <t>5561000000</t>
  </si>
  <si>
    <t>695.0805847819158</t>
  </si>
  <si>
    <t>0.0038817</t>
  </si>
  <si>
    <t>0.0039532</t>
  </si>
  <si>
    <t>789.0843602212021</t>
  </si>
  <si>
    <t>8.5099e-08</t>
  </si>
  <si>
    <t>9.148e-07</t>
  </si>
  <si>
    <t>1491.8969215557568</t>
  </si>
  <si>
    <t>0.002024</t>
  </si>
  <si>
    <t>0.00011331</t>
  </si>
  <si>
    <t>1492.52490451395</t>
  </si>
  <si>
    <t>0.0010376</t>
  </si>
  <si>
    <t>1.8699e-06</t>
  </si>
  <si>
    <t>1492.6324721169256</t>
  </si>
  <si>
    <t>9.2243e-05</t>
  </si>
  <si>
    <t>8.2751e-05</t>
  </si>
  <si>
    <t>2238.490384333609</t>
  </si>
  <si>
    <t>6.1128e-06</t>
  </si>
  <si>
    <t>0.041886</t>
  </si>
  <si>
    <t>2238.528876307999</t>
  </si>
  <si>
    <t>6.1196e-07</t>
  </si>
  <si>
    <t>0.013966</t>
  </si>
  <si>
    <t>2239.117418615871</t>
  </si>
  <si>
    <t>3.5778e-07</t>
  </si>
  <si>
    <t>507.38841174540084</t>
  </si>
  <si>
    <t>1588100000</t>
  </si>
  <si>
    <t>1600400000</t>
  </si>
  <si>
    <t>1718000000</t>
  </si>
  <si>
    <t>507.67994691852493</t>
  </si>
  <si>
    <t>4764600000</t>
  </si>
  <si>
    <t>0.23386</t>
  </si>
  <si>
    <t>4801400000</t>
  </si>
  <si>
    <t>0.23669</t>
  </si>
  <si>
    <t>5157000000</t>
  </si>
  <si>
    <t>508.1778608934031</t>
  </si>
  <si>
    <t>7947800000</t>
  </si>
  <si>
    <t>0.6556</t>
  </si>
  <si>
    <t>8009100000</t>
  </si>
  <si>
    <t>0.66414</t>
  </si>
  <si>
    <t>8603000000</t>
  </si>
  <si>
    <t>565.5647843366427</t>
  </si>
  <si>
    <t>309330</t>
  </si>
  <si>
    <t>4.1232e-05</t>
  </si>
  <si>
    <t>293600</t>
  </si>
  <si>
    <t>4.1252e-05</t>
  </si>
  <si>
    <t>103000</t>
  </si>
  <si>
    <t>649.7644210799184</t>
  </si>
  <si>
    <t>69749</t>
  </si>
  <si>
    <t>66417</t>
  </si>
  <si>
    <t>21680</t>
  </si>
  <si>
    <t>731.1925357035434</t>
  </si>
  <si>
    <t>2.0116e-07</t>
  </si>
  <si>
    <t>1.9526e-06</t>
  </si>
  <si>
    <t>1297.648328655484</t>
  </si>
  <si>
    <t>0.60119</t>
  </si>
  <si>
    <t>1298.1234017606014</t>
  </si>
  <si>
    <t>0.49205</t>
  </si>
  <si>
    <t>0.00013853</t>
  </si>
  <si>
    <t>1298.2047721134745</t>
  </si>
  <si>
    <t>0.32145</t>
  </si>
  <si>
    <t>0.00018559</t>
  </si>
  <si>
    <t>1827.930150932147</t>
  </si>
  <si>
    <t>8.8775e-07</t>
  </si>
  <si>
    <t>0.018806</t>
  </si>
  <si>
    <t>1827.955818076019</t>
  </si>
  <si>
    <t>5.6773e-08</t>
  </si>
  <si>
    <t>0.01129</t>
  </si>
  <si>
    <t>1828.3482485574084</t>
  </si>
  <si>
    <t>0.015043</t>
  </si>
  <si>
    <t>9966.39161127416</t>
  </si>
  <si>
    <t>3.2974e-06</t>
  </si>
  <si>
    <t>1.3838e-09</t>
  </si>
  <si>
    <t>475.1456176370135</t>
  </si>
  <si>
    <t>62791</t>
  </si>
  <si>
    <t>58810</t>
  </si>
  <si>
    <t>24000</t>
  </si>
  <si>
    <t>475.4012686217226</t>
  </si>
  <si>
    <t>895910</t>
  </si>
  <si>
    <t>0.32269</t>
  </si>
  <si>
    <t>866830</t>
  </si>
  <si>
    <t>0.32856</t>
  </si>
  <si>
    <t>493700</t>
  </si>
  <si>
    <t>475.83785269545194</t>
  </si>
  <si>
    <t>194680</t>
  </si>
  <si>
    <t>1.0123</t>
  </si>
  <si>
    <t>181760</t>
  </si>
  <si>
    <t>1.0295</t>
  </si>
  <si>
    <t>38940</t>
  </si>
  <si>
    <t>525.7940657682349</t>
  </si>
  <si>
    <t>9380000000</t>
  </si>
  <si>
    <t>0.00025536</t>
  </si>
  <si>
    <t>9474300000</t>
  </si>
  <si>
    <t>0.00025603</t>
  </si>
  <si>
    <t>10710000000</t>
  </si>
  <si>
    <t>597.8141833129285</t>
  </si>
  <si>
    <t>1507800000</t>
  </si>
  <si>
    <t>1525000000</t>
  </si>
  <si>
    <t>1500000000</t>
  </si>
  <si>
    <t>666.0582903954115</t>
  </si>
  <si>
    <t>1.0276e-07</t>
  </si>
  <si>
    <t>3.4035e-09</t>
  </si>
  <si>
    <t>1105.7469255704812</t>
  </si>
  <si>
    <t>0.00033977</t>
  </si>
  <si>
    <t>1106.0918582880365</t>
  </si>
  <si>
    <t>0.00022287</t>
  </si>
  <si>
    <t>0.1424</t>
  </si>
  <si>
    <t>1106.1509344952472</t>
  </si>
  <si>
    <t>0.00013669</t>
  </si>
  <si>
    <t>0.04743</t>
  </si>
  <si>
    <t>1468.8426631915959</t>
  </si>
  <si>
    <t>0.0018197</t>
  </si>
  <si>
    <t>5.9395e-05</t>
  </si>
  <si>
    <t>1468.8592364427136</t>
  </si>
  <si>
    <t>0.0006171</t>
  </si>
  <si>
    <t>1.8561e-07</t>
  </si>
  <si>
    <t>1469.112617057509</t>
  </si>
  <si>
    <t>2.522e-05</t>
  </si>
  <si>
    <t>4272.071608000861</t>
  </si>
  <si>
    <t>1.2786</t>
  </si>
  <si>
    <t>9.2534e-11</t>
  </si>
  <si>
    <t>7477.124329554262</t>
  </si>
  <si>
    <t>1.6781e-10</t>
  </si>
  <si>
    <t>0.022596</t>
  </si>
  <si>
    <t>374.32779659034327</t>
  </si>
  <si>
    <t>3921900000</t>
  </si>
  <si>
    <t>3939700000</t>
  </si>
  <si>
    <t>4204000000</t>
  </si>
  <si>
    <t>374.00359428737795</t>
  </si>
  <si>
    <t>1307200000</t>
  </si>
  <si>
    <t>1316500000</t>
  </si>
  <si>
    <t>1401000000</t>
  </si>
  <si>
    <t>374.16197264243914</t>
  </si>
  <si>
    <t>979080000</t>
  </si>
  <si>
    <t>985270000</t>
  </si>
  <si>
    <t>1050000000</t>
  </si>
  <si>
    <t>374.43235701306423</t>
  </si>
  <si>
    <t>1635000000</t>
  </si>
  <si>
    <t>1642300000</t>
  </si>
  <si>
    <t>1754000000</t>
  </si>
  <si>
    <t>404.6881621530277</t>
  </si>
  <si>
    <t>1889600</t>
  </si>
  <si>
    <t>1670500</t>
  </si>
  <si>
    <t>574500</t>
  </si>
  <si>
    <t>446.0474962317709</t>
  </si>
  <si>
    <t>1028700</t>
  </si>
  <si>
    <t>1013100</t>
  </si>
  <si>
    <t>332400</t>
  </si>
  <si>
    <t>373.80267216484424</t>
  </si>
  <si>
    <t>982200000</t>
  </si>
  <si>
    <t>991760000</t>
  </si>
  <si>
    <t>1052000000</t>
  </si>
  <si>
    <t>374.0725373078091</t>
  </si>
  <si>
    <t>2944800000</t>
  </si>
  <si>
    <t>2968600000</t>
  </si>
  <si>
    <t>3156000000</t>
  </si>
  <si>
    <t>404.2678756153025</t>
  </si>
  <si>
    <t>189050</t>
  </si>
  <si>
    <t>160570</t>
  </si>
  <si>
    <t>144700</t>
  </si>
  <si>
    <t>366.19127077001394</t>
  </si>
  <si>
    <t>701190</t>
  </si>
  <si>
    <t>689320</t>
  </si>
  <si>
    <t>266200</t>
  </si>
  <si>
    <t>366.34310035658643</t>
  </si>
  <si>
    <t>931880</t>
  </si>
  <si>
    <t>1000400</t>
  </si>
  <si>
    <t>395900</t>
  </si>
  <si>
    <t>366.60229842785753</t>
  </si>
  <si>
    <t>743820</t>
  </si>
  <si>
    <t>730080</t>
  </si>
  <si>
    <t>207500</t>
  </si>
  <si>
    <t>395.5570004875844</t>
  </si>
  <si>
    <t>3022700000</t>
  </si>
  <si>
    <t>3044300000</t>
  </si>
  <si>
    <t>2912000000</t>
  </si>
  <si>
    <t>434.9800629152582</t>
  </si>
  <si>
    <t>1647100000</t>
  </si>
  <si>
    <t>1659700000</t>
  </si>
  <si>
    <t>1646000000</t>
  </si>
  <si>
    <t>447.5576385997077</t>
  </si>
  <si>
    <t>19939</t>
  </si>
  <si>
    <t>19969</t>
  </si>
  <si>
    <t>17050</t>
  </si>
  <si>
    <t>610.7448129400484</t>
  </si>
  <si>
    <t>4079500000</t>
  </si>
  <si>
    <t>4121100000</t>
  </si>
  <si>
    <t>4555000000</t>
  </si>
  <si>
    <t>610.8500289528183</t>
  </si>
  <si>
    <t>741900000</t>
  </si>
  <si>
    <t>749360000</t>
  </si>
  <si>
    <t>825000000</t>
  </si>
  <si>
    <t>610.8680462244482</t>
  </si>
  <si>
    <t>50127000</t>
  </si>
  <si>
    <t>50625000</t>
  </si>
  <si>
    <t>55580000</t>
  </si>
  <si>
    <t>707.3200770935426</t>
  </si>
  <si>
    <t>557020000</t>
  </si>
  <si>
    <t>560540000</t>
  </si>
  <si>
    <t>529700000</t>
  </si>
  <si>
    <t>707.3239202368999</t>
  </si>
  <si>
    <t>190340000</t>
  </si>
  <si>
    <t>191560000</t>
  </si>
  <si>
    <t>181000000</t>
  </si>
  <si>
    <t>1034.0647175126796</t>
  </si>
  <si>
    <t>98629</t>
  </si>
  <si>
    <t>97053</t>
  </si>
  <si>
    <t>79550</t>
  </si>
  <si>
    <t>1153.7748280720448</t>
  </si>
  <si>
    <t>431290000</t>
  </si>
  <si>
    <t>437630000</t>
  </si>
  <si>
    <t>448400000</t>
  </si>
  <si>
    <t>1364.295589826656</t>
  </si>
  <si>
    <t>14647</t>
  </si>
  <si>
    <t>14191</t>
  </si>
  <si>
    <t>4272</t>
  </si>
  <si>
    <t>6104.042763710124</t>
  </si>
  <si>
    <t>19030</t>
  </si>
  <si>
    <t>23480</t>
  </si>
  <si>
    <t>69800</t>
  </si>
  <si>
    <t>6201.285015286157</t>
  </si>
  <si>
    <t>52813</t>
  </si>
  <si>
    <t>64675</t>
  </si>
  <si>
    <t>188600</t>
  </si>
  <si>
    <t>9364.731622404111</t>
  </si>
  <si>
    <t>3.6896</t>
  </si>
  <si>
    <t>4.0483</t>
  </si>
  <si>
    <t>2.143</t>
  </si>
  <si>
    <t>447.12197718072963</t>
  </si>
  <si>
    <t>7840.9</t>
  </si>
  <si>
    <t>7851</t>
  </si>
  <si>
    <t>6406</t>
  </si>
  <si>
    <t>610.038757605808</t>
  </si>
  <si>
    <t>3634800000</t>
  </si>
  <si>
    <t>3672200000</t>
  </si>
  <si>
    <t>4063000000</t>
  </si>
  <si>
    <t>610.056727050953</t>
  </si>
  <si>
    <t>1226700000</t>
  </si>
  <si>
    <t>1239200000</t>
  </si>
  <si>
    <t>1367000000</t>
  </si>
  <si>
    <t>706.2325556474526</t>
  </si>
  <si>
    <t>329300000</t>
  </si>
  <si>
    <t>331250000</t>
  </si>
  <si>
    <t>310800000</t>
  </si>
  <si>
    <t>706.2363869820142</t>
  </si>
  <si>
    <t>181860000</t>
  </si>
  <si>
    <t>183010000</t>
  </si>
  <si>
    <t>173100000</t>
  </si>
  <si>
    <t>706.2949568592112</t>
  </si>
  <si>
    <t>252280000</t>
  </si>
  <si>
    <t>253870000</t>
  </si>
  <si>
    <t>239600000</t>
  </si>
  <si>
    <t>1031.742018427617</t>
  </si>
  <si>
    <t>1552.1</t>
  </si>
  <si>
    <t>1640.3</t>
  </si>
  <si>
    <t>5612</t>
  </si>
  <si>
    <t>1150.883970389714</t>
  </si>
  <si>
    <t>435700000</t>
  </si>
  <si>
    <t>442080000</t>
  </si>
  <si>
    <t>452500000</t>
  </si>
  <si>
    <t>1360.2553881830956</t>
  </si>
  <si>
    <t>35898</t>
  </si>
  <si>
    <t>34511</t>
  </si>
  <si>
    <t>9579</t>
  </si>
  <si>
    <t>5981.330397109728</t>
  </si>
  <si>
    <t>27874</t>
  </si>
  <si>
    <t>34551</t>
  </si>
  <si>
    <t>102300</t>
  </si>
  <si>
    <t>6023.990074455662</t>
  </si>
  <si>
    <t>20098</t>
  </si>
  <si>
    <t>24802</t>
  </si>
  <si>
    <t>72630</t>
  </si>
  <si>
    <t>6118.678662287241</t>
  </si>
  <si>
    <t>31282</t>
  </si>
  <si>
    <t>38439</t>
  </si>
  <si>
    <t>112900</t>
  </si>
  <si>
    <t>9177.620526163888</t>
  </si>
  <si>
    <t>1.8097</t>
  </si>
  <si>
    <t>1.1063</t>
  </si>
  <si>
    <t>81.08</t>
  </si>
  <si>
    <t>609.7052491098058</t>
  </si>
  <si>
    <t>4857000000</t>
  </si>
  <si>
    <t>4907000000</t>
  </si>
  <si>
    <t>5429000000</t>
  </si>
  <si>
    <t>705.7653897378142</t>
  </si>
  <si>
    <t>771060000</t>
  </si>
  <si>
    <t>775750000</t>
  </si>
  <si>
    <t>729700000</t>
  </si>
  <si>
    <t>1149.633714376251</t>
  </si>
  <si>
    <t>437700000</t>
  </si>
  <si>
    <t>444090000</t>
  </si>
  <si>
    <t>454200000</t>
  </si>
  <si>
    <t>1358.5092003485606</t>
  </si>
  <si>
    <t>8458.3</t>
  </si>
  <si>
    <t>8008</t>
  </si>
  <si>
    <t>1662</t>
  </si>
  <si>
    <t>5989.893459536859</t>
  </si>
  <si>
    <t>82882</t>
  </si>
  <si>
    <t>102500</t>
  </si>
  <si>
    <t>301800</t>
  </si>
  <si>
    <t>9098.713080278425</t>
  </si>
  <si>
    <t>15.912</t>
  </si>
  <si>
    <t>18.228</t>
  </si>
  <si>
    <t>10.75</t>
  </si>
  <si>
    <t>433.5884160055499</t>
  </si>
  <si>
    <t>0.0004494</t>
  </si>
  <si>
    <t>0.0006838</t>
  </si>
  <si>
    <t>0.02006</t>
  </si>
  <si>
    <t>585.1208591809478</t>
  </si>
  <si>
    <t>8368.8</t>
  </si>
  <si>
    <t>8575</t>
  </si>
  <si>
    <t>114200</t>
  </si>
  <si>
    <t>585.1373906120074</t>
  </si>
  <si>
    <t>52011</t>
  </si>
  <si>
    <t>52343</t>
  </si>
  <si>
    <t>1081</t>
  </si>
  <si>
    <t>673.0504635890128</t>
  </si>
  <si>
    <t>51750</t>
  </si>
  <si>
    <t>52675</t>
  </si>
  <si>
    <t>72720</t>
  </si>
  <si>
    <t>673.0539433527244</t>
  </si>
  <si>
    <t>139060</t>
  </si>
  <si>
    <t>140550</t>
  </si>
  <si>
    <t>55120</t>
  </si>
  <si>
    <t>673.1071385211122</t>
  </si>
  <si>
    <t>32334</t>
  </si>
  <si>
    <t>32525</t>
  </si>
  <si>
    <t>35550</t>
  </si>
  <si>
    <t>962.4240259560174</t>
  </si>
  <si>
    <t>56819000</t>
  </si>
  <si>
    <t>57030000</t>
  </si>
  <si>
    <t>77160000</t>
  </si>
  <si>
    <t>1065.2964538007984</t>
  </si>
  <si>
    <t>3000</t>
  </si>
  <si>
    <t>2828</t>
  </si>
  <si>
    <t>2238</t>
  </si>
  <si>
    <t>1242.2906832890937</t>
  </si>
  <si>
    <t>26121000</t>
  </si>
  <si>
    <t>26152000</t>
  </si>
  <si>
    <t>25700000</t>
  </si>
  <si>
    <t>4219.49116343977</t>
  </si>
  <si>
    <t>37203</t>
  </si>
  <si>
    <t>37853</t>
  </si>
  <si>
    <t>11970</t>
  </si>
  <si>
    <t>4240.67627367612</t>
  </si>
  <si>
    <t>377060</t>
  </si>
  <si>
    <t>381760</t>
  </si>
  <si>
    <t>103800</t>
  </si>
  <si>
    <t>4287.383404436288</t>
  </si>
  <si>
    <t>1.5517</t>
  </si>
  <si>
    <t>0.91352</t>
  </si>
  <si>
    <t>19.05</t>
  </si>
  <si>
    <t>5593.804118231621</t>
  </si>
  <si>
    <t>30926000</t>
  </si>
  <si>
    <t>31330000</t>
  </si>
  <si>
    <t>9267000</t>
  </si>
  <si>
    <t>428.18904797775116</t>
  </si>
  <si>
    <t>26.029</t>
  </si>
  <si>
    <t>25.943</t>
  </si>
  <si>
    <t>20.46</t>
  </si>
  <si>
    <t>575.3306317035775</t>
  </si>
  <si>
    <t>8683700</t>
  </si>
  <si>
    <t>8725900</t>
  </si>
  <si>
    <t>9711000</t>
  </si>
  <si>
    <t>575.3466145482279</t>
  </si>
  <si>
    <t>24391000</t>
  </si>
  <si>
    <t>24514000</t>
  </si>
  <si>
    <t>29690000</t>
  </si>
  <si>
    <t>660.1291623515194</t>
  </si>
  <si>
    <t>1685900</t>
  </si>
  <si>
    <t>1694300</t>
  </si>
  <si>
    <t>1637000</t>
  </si>
  <si>
    <t>660.1325097876086</t>
  </si>
  <si>
    <t>23797000</t>
  </si>
  <si>
    <t>23890000</t>
  </si>
  <si>
    <t>22990000</t>
  </si>
  <si>
    <t>660.1836819801279</t>
  </si>
  <si>
    <t>31780000</t>
  </si>
  <si>
    <t>31901000</t>
  </si>
  <si>
    <t>30290000</t>
  </si>
  <si>
    <t>936.2196446301466</t>
  </si>
  <si>
    <t>121360</t>
  </si>
  <si>
    <t>122260</t>
  </si>
  <si>
    <t>92980</t>
  </si>
  <si>
    <t>1033.2839337964076</t>
  </si>
  <si>
    <t>547.93</t>
  </si>
  <si>
    <t>571.58</t>
  </si>
  <si>
    <t>2057</t>
  </si>
  <si>
    <t>1198.973277769709</t>
  </si>
  <si>
    <t>53331</t>
  </si>
  <si>
    <t>53585</t>
  </si>
  <si>
    <t>29970</t>
  </si>
  <si>
    <t>3758.299760696511</t>
  </si>
  <si>
    <t>54437000</t>
  </si>
  <si>
    <t>55224000</t>
  </si>
  <si>
    <t>34090000</t>
  </si>
  <si>
    <t>3775.097666216146</t>
  </si>
  <si>
    <t>38465000</t>
  </si>
  <si>
    <t>39014000</t>
  </si>
  <si>
    <t>24480000</t>
  </si>
  <si>
    <t>3812.067244024483</t>
  </si>
  <si>
    <t>2367700</t>
  </si>
  <si>
    <t>2401000</t>
  </si>
  <si>
    <t>1527000</t>
  </si>
  <si>
    <t>4811.125228272924</t>
  </si>
  <si>
    <t>202830</t>
  </si>
  <si>
    <t>204260</t>
  </si>
  <si>
    <t>41410</t>
  </si>
  <si>
    <t>427.9391641101037</t>
  </si>
  <si>
    <t>200.52</t>
  </si>
  <si>
    <t>199.69</t>
  </si>
  <si>
    <t>157.8</t>
  </si>
  <si>
    <t>574.7864014187638</t>
  </si>
  <si>
    <t>5601700</t>
  </si>
  <si>
    <t>5628800</t>
  </si>
  <si>
    <t>6011000</t>
  </si>
  <si>
    <t>574.879591744589</t>
  </si>
  <si>
    <t>22656000</t>
  </si>
  <si>
    <t>22769000</t>
  </si>
  <si>
    <t>27530000</t>
  </si>
  <si>
    <t>574.8955495386843</t>
  </si>
  <si>
    <t>4660500</t>
  </si>
  <si>
    <t>4685100</t>
  </si>
  <si>
    <t>5680000</t>
  </si>
  <si>
    <t>659.5354341437609</t>
  </si>
  <si>
    <t>14584000</t>
  </si>
  <si>
    <t>14646000</t>
  </si>
  <si>
    <t>14160000</t>
  </si>
  <si>
    <t>659.5387755610932</t>
  </si>
  <si>
    <t>43078000</t>
  </si>
  <si>
    <t>43240000</t>
  </si>
  <si>
    <t>41090000</t>
  </si>
  <si>
    <t>935.0258709284822</t>
  </si>
  <si>
    <t>4490.7</t>
  </si>
  <si>
    <t>4358.1</t>
  </si>
  <si>
    <t>1149</t>
  </si>
  <si>
    <t>1031.8299872095822</t>
  </si>
  <si>
    <t>1190.5</t>
  </si>
  <si>
    <t>1227.4</t>
  </si>
  <si>
    <t>3430</t>
  </si>
  <si>
    <t>1197.0161006676092</t>
  </si>
  <si>
    <t>8715.2</t>
  </si>
  <si>
    <t>8644.3</t>
  </si>
  <si>
    <t>4147</t>
  </si>
  <si>
    <t>3755.762542805302</t>
  </si>
  <si>
    <t>73600000</t>
  </si>
  <si>
    <t>74661000</t>
  </si>
  <si>
    <t>46130000</t>
  </si>
  <si>
    <t>3792.3525569510584</t>
  </si>
  <si>
    <t>22217000</t>
  </si>
  <si>
    <t>22531000</t>
  </si>
  <si>
    <t>14230000</t>
  </si>
  <si>
    <t>4779.765385877554</t>
  </si>
  <si>
    <t>12001</t>
  </si>
  <si>
    <t>11772</t>
  </si>
  <si>
    <t>1435</t>
  </si>
  <si>
    <t>427.5362691992439</t>
  </si>
  <si>
    <t>655.86</t>
  </si>
  <si>
    <t>652.73</t>
  </si>
  <si>
    <t>504.6</t>
  </si>
  <si>
    <t>574.0597930435994</t>
  </si>
  <si>
    <t>29227000</t>
  </si>
  <si>
    <t>29374000</t>
  </si>
  <si>
    <t>34840000</t>
  </si>
  <si>
    <t>574.152747888741</t>
  </si>
  <si>
    <t>3380100</t>
  </si>
  <si>
    <t>3398400</t>
  </si>
  <si>
    <t>4097000</t>
  </si>
  <si>
    <t>658.5789390295935</t>
  </si>
  <si>
    <t>58127000</t>
  </si>
  <si>
    <t>58350000</t>
  </si>
  <si>
    <t>55670000</t>
  </si>
  <si>
    <t>933.1045905922258</t>
  </si>
  <si>
    <t>280.7</t>
  </si>
  <si>
    <t>280.23</t>
  </si>
  <si>
    <t>247.4</t>
  </si>
  <si>
    <t>3760.944403594369</t>
  </si>
  <si>
    <t>96090000</t>
  </si>
  <si>
    <t>97466000</t>
  </si>
  <si>
    <t>60580000</t>
  </si>
  <si>
    <t>421.52496833623275</t>
  </si>
  <si>
    <t>2220.1</t>
  </si>
  <si>
    <t>2209.9</t>
  </si>
  <si>
    <t>1780</t>
  </si>
  <si>
    <t>563.3635687560774</t>
  </si>
  <si>
    <t>256960</t>
  </si>
  <si>
    <t>255370</t>
  </si>
  <si>
    <t>56610</t>
  </si>
  <si>
    <t>563.378893610244</t>
  </si>
  <si>
    <t>90464</t>
  </si>
  <si>
    <t>90006</t>
  </si>
  <si>
    <t>20070</t>
  </si>
  <si>
    <t>644.4226050047496</t>
  </si>
  <si>
    <t>166570000</t>
  </si>
  <si>
    <t>167080000</t>
  </si>
  <si>
    <t>176300000</t>
  </si>
  <si>
    <t>644.4257950433351</t>
  </si>
  <si>
    <t>96668000</t>
  </si>
  <si>
    <t>96950000</t>
  </si>
  <si>
    <t>102400000</t>
  </si>
  <si>
    <t>644.4745610073496</t>
  </si>
  <si>
    <t>31506000</t>
  </si>
  <si>
    <t>31593000</t>
  </si>
  <si>
    <t>33450000</t>
  </si>
  <si>
    <t>904.938813428428</t>
  </si>
  <si>
    <t>31300</t>
  </si>
  <si>
    <t>31702</t>
  </si>
  <si>
    <t>27530</t>
  </si>
  <si>
    <t>995.3122087678531</t>
  </si>
  <si>
    <t>2249.2</t>
  </si>
  <si>
    <t>2336.5</t>
  </si>
  <si>
    <t>4502</t>
  </si>
  <si>
    <t>1148.146998555335</t>
  </si>
  <si>
    <t>9757.8</t>
  </si>
  <si>
    <t>9884</t>
  </si>
  <si>
    <t>6181</t>
  </si>
  <si>
    <t>3300.336204414158</t>
  </si>
  <si>
    <t>16760000</t>
  </si>
  <si>
    <t>16907000</t>
  </si>
  <si>
    <t>10540000</t>
  </si>
  <si>
    <t>3313.282699250796</t>
  </si>
  <si>
    <t>46183000</t>
  </si>
  <si>
    <t>46594000</t>
  </si>
  <si>
    <t>29860000</t>
  </si>
  <si>
    <t>3341.7263357816228</t>
  </si>
  <si>
    <t>63264000</t>
  </si>
  <si>
    <t>63822000</t>
  </si>
  <si>
    <t>43730000</t>
  </si>
  <si>
    <t>4085.413700940172</t>
  </si>
  <si>
    <t>100830</t>
  </si>
  <si>
    <t>100970</t>
  </si>
  <si>
    <t>23300</t>
  </si>
  <si>
    <t>420.22241214922025</t>
  </si>
  <si>
    <t>0.75358</t>
  </si>
  <si>
    <t>0.65972</t>
  </si>
  <si>
    <t>0.4794</t>
  </si>
  <si>
    <t>560.9505975995412</t>
  </si>
  <si>
    <t>539800</t>
  </si>
  <si>
    <t>605050</t>
  </si>
  <si>
    <t>371000</t>
  </si>
  <si>
    <t>561.0393551679131</t>
  </si>
  <si>
    <t>105190</t>
  </si>
  <si>
    <t>114850</t>
  </si>
  <si>
    <t>71580</t>
  </si>
  <si>
    <t>561.0545538327292</t>
  </si>
  <si>
    <t>99.069</t>
  </si>
  <si>
    <t>52.168</t>
  </si>
  <si>
    <t>426.5</t>
  </si>
  <si>
    <t>641.3832437269178</t>
  </si>
  <si>
    <t>308.27</t>
  </si>
  <si>
    <t>1357</t>
  </si>
  <si>
    <t>107.5</t>
  </si>
  <si>
    <t>641.3864037453302</t>
  </si>
  <si>
    <t>18483</t>
  </si>
  <si>
    <t>16894</t>
  </si>
  <si>
    <t>20490</t>
  </si>
  <si>
    <t>898.9567369976293</t>
  </si>
  <si>
    <t>2164000000</t>
  </si>
  <si>
    <t>2196000000</t>
  </si>
  <si>
    <t>2298000000</t>
  </si>
  <si>
    <t>988.0804226042385</t>
  </si>
  <si>
    <t>563.33</t>
  </si>
  <si>
    <t>361.95</t>
  </si>
  <si>
    <t>5015</t>
  </si>
  <si>
    <t>1138.5344703088797</t>
  </si>
  <si>
    <t>185100000</t>
  </si>
  <si>
    <t>189240000</t>
  </si>
  <si>
    <t>180000000</t>
  </si>
  <si>
    <t>3234.4771977943974</t>
  </si>
  <si>
    <t>65.46</t>
  </si>
  <si>
    <t>2314.1</t>
  </si>
  <si>
    <t>1293</t>
  </si>
  <si>
    <t>3261.5783437350874</t>
  </si>
  <si>
    <t>1743.6</t>
  </si>
  <si>
    <t>8936.8</t>
  </si>
  <si>
    <t>4280</t>
  </si>
  <si>
    <t>3966.2590317201007</t>
  </si>
  <si>
    <t>32268</t>
  </si>
  <si>
    <t>72164</t>
  </si>
  <si>
    <t>124900</t>
  </si>
  <si>
    <t>555.0261008454056</t>
  </si>
  <si>
    <t>128860000</t>
  </si>
  <si>
    <t>128420000</t>
  </si>
  <si>
    <t>89870000</t>
  </si>
  <si>
    <t>633.5201569679926</t>
  </si>
  <si>
    <t>13032000</t>
  </si>
  <si>
    <t>13158000</t>
  </si>
  <si>
    <t>29430000</t>
  </si>
  <si>
    <t>969.5347305051198</t>
  </si>
  <si>
    <t>990490</t>
  </si>
  <si>
    <t>1022100</t>
  </si>
  <si>
    <t>4262000</t>
  </si>
  <si>
    <t>1113.9810849268836</t>
  </si>
  <si>
    <t>31768</t>
  </si>
  <si>
    <t>30830</t>
  </si>
  <si>
    <t>17700</t>
  </si>
  <si>
    <t>3043.8789718139083</t>
  </si>
  <si>
    <t>196070000</t>
  </si>
  <si>
    <t>197600000</t>
  </si>
  <si>
    <t>158800000</t>
  </si>
  <si>
    <t>3683.431882044357</t>
  </si>
  <si>
    <t>31712</t>
  </si>
  <si>
    <t>31486</t>
  </si>
  <si>
    <t>6772</t>
  </si>
  <si>
    <t>416.6889432600254</t>
  </si>
  <si>
    <t>45.066</t>
  </si>
  <si>
    <t>45.344</t>
  </si>
  <si>
    <t>87.98</t>
  </si>
  <si>
    <t>554.7586630677505</t>
  </si>
  <si>
    <t>96644000</t>
  </si>
  <si>
    <t>96320000</t>
  </si>
  <si>
    <t>68390000</t>
  </si>
  <si>
    <t>554.7735233424602</t>
  </si>
  <si>
    <t>32752000</t>
  </si>
  <si>
    <t>32650000</t>
  </si>
  <si>
    <t>23010000</t>
  </si>
  <si>
    <t>633.1880280345939</t>
  </si>
  <si>
    <t>2848800</t>
  </si>
  <si>
    <t>2882800</t>
  </si>
  <si>
    <t>9539000</t>
  </si>
  <si>
    <t>633.1911078150317</t>
  </si>
  <si>
    <t>5059600</t>
  </si>
  <si>
    <t>5098400</t>
  </si>
  <si>
    <t>8850000</t>
  </si>
  <si>
    <t>633.2381882019536</t>
  </si>
  <si>
    <t>5932300</t>
  </si>
  <si>
    <t>5984400</t>
  </si>
  <si>
    <t>11200000</t>
  </si>
  <si>
    <t>882.9397818229987</t>
  </si>
  <si>
    <t>4000.8</t>
  </si>
  <si>
    <t>4049.9</t>
  </si>
  <si>
    <t>2948</t>
  </si>
  <si>
    <t>968.7642759649739</t>
  </si>
  <si>
    <t>952690</t>
  </si>
  <si>
    <t>982890</t>
  </si>
  <si>
    <t>4111000</t>
  </si>
  <si>
    <t>1112.9640766303296</t>
  </si>
  <si>
    <t>516.28</t>
  </si>
  <si>
    <t>528.39</t>
  </si>
  <si>
    <t>47.21</t>
  </si>
  <si>
    <t>3025.421868018607</t>
  </si>
  <si>
    <t>61582000</t>
  </si>
  <si>
    <t>62046000</t>
  </si>
  <si>
    <t>51340000</t>
  </si>
  <si>
    <t>3036.2977836600076</t>
  </si>
  <si>
    <t>45889000</t>
  </si>
  <si>
    <t>46252000</t>
  </si>
  <si>
    <t>38440000</t>
  </si>
  <si>
    <t>3060.1673919421883</t>
  </si>
  <si>
    <t>88529000</t>
  </si>
  <si>
    <t>89230000</t>
  </si>
  <si>
    <t>69080000</t>
  </si>
  <si>
    <t>3672.336031738745</t>
  </si>
  <si>
    <t>55952</t>
  </si>
  <si>
    <t>55591</t>
  </si>
  <si>
    <t>14430</t>
  </si>
  <si>
    <t>416.4623090502893</t>
  </si>
  <si>
    <t>55.517</t>
  </si>
  <si>
    <t>56.036</t>
  </si>
  <si>
    <t>112.6</t>
  </si>
  <si>
    <t>554.2703721661569</t>
  </si>
  <si>
    <t>109900000</t>
  </si>
  <si>
    <t>109550000</t>
  </si>
  <si>
    <t>79500000</t>
  </si>
  <si>
    <t>554.3570281737443</t>
  </si>
  <si>
    <t>20099000</t>
  </si>
  <si>
    <t>20043000</t>
  </si>
  <si>
    <t>14380000</t>
  </si>
  <si>
    <t>554.3718669388334</t>
  </si>
  <si>
    <t>1360300</t>
  </si>
  <si>
    <t>1356900</t>
  </si>
  <si>
    <t>964500</t>
  </si>
  <si>
    <t>632.6648563966979</t>
  </si>
  <si>
    <t>9668600</t>
  </si>
  <si>
    <t>9751900</t>
  </si>
  <si>
    <t>21490000</t>
  </si>
  <si>
    <t>632.6679310898885</t>
  </si>
  <si>
    <t>3713600</t>
  </si>
  <si>
    <t>3748100</t>
  </si>
  <si>
    <t>7676000</t>
  </si>
  <si>
    <t>881.9228321580472</t>
  </si>
  <si>
    <t>76847</t>
  </si>
  <si>
    <t>98714</t>
  </si>
  <si>
    <t>90810</t>
  </si>
  <si>
    <t>967.5401534118439</t>
  </si>
  <si>
    <t>880790</t>
  </si>
  <si>
    <t>908710</t>
  </si>
  <si>
    <t>3825000</t>
  </si>
  <si>
    <t>1111.348716775252</t>
  </si>
  <si>
    <t>731.47</t>
  </si>
  <si>
    <t>225.42</t>
  </si>
  <si>
    <t>27280</t>
  </si>
  <si>
    <t>3024.305337291337</t>
  </si>
  <si>
    <t>47613000</t>
  </si>
  <si>
    <t>47966000</t>
  </si>
  <si>
    <t>39110000</t>
  </si>
  <si>
    <t>3047.986027366127</t>
  </si>
  <si>
    <t>148830000</t>
  </si>
  <si>
    <t>150000000</t>
  </si>
  <si>
    <t>120000000</t>
  </si>
  <si>
    <t>3654.8075334036557</t>
  </si>
  <si>
    <t>128.19</t>
  </si>
  <si>
    <t>112.82</t>
  </si>
  <si>
    <t>242.4</t>
  </si>
  <si>
    <t>406.0727519698332</t>
  </si>
  <si>
    <t>0.23324</t>
  </si>
  <si>
    <t>0.23093</t>
  </si>
  <si>
    <t>0.06791</t>
  </si>
  <si>
    <t>536.0180323094255</t>
  </si>
  <si>
    <t>65149</t>
  </si>
  <si>
    <t>64304</t>
  </si>
  <si>
    <t>32240</t>
  </si>
  <si>
    <t>536.099074638112</t>
  </si>
  <si>
    <t>1079.9</t>
  </si>
  <si>
    <t>1033.4</t>
  </si>
  <si>
    <t>542.9</t>
  </si>
  <si>
    <t>536.1129520467264</t>
  </si>
  <si>
    <t>339.99</t>
  </si>
  <si>
    <t>328.88</t>
  </si>
  <si>
    <t>314.3</t>
  </si>
  <si>
    <t>608.9945122696975</t>
  </si>
  <si>
    <t>6800.7</t>
  </si>
  <si>
    <t>6733.3</t>
  </si>
  <si>
    <t>4495</t>
  </si>
  <si>
    <t>608.9973611948792</t>
  </si>
  <si>
    <t>1484.1</t>
  </si>
  <si>
    <t>1506.3</t>
  </si>
  <si>
    <t>314.6</t>
  </si>
  <si>
    <t>836.5951600116638</t>
  </si>
  <si>
    <t>7015900</t>
  </si>
  <si>
    <t>6895400</t>
  </si>
  <si>
    <t>6208000</t>
  </si>
  <si>
    <t>913.2552986567217</t>
  </si>
  <si>
    <t>12277</t>
  </si>
  <si>
    <t>11878</t>
  </si>
  <si>
    <t>7887</t>
  </si>
  <si>
    <t>1040.319875448031</t>
  </si>
  <si>
    <t>68366000</t>
  </si>
  <si>
    <t>68345000</t>
  </si>
  <si>
    <t>89140000</t>
  </si>
  <si>
    <t>2550.436975210606</t>
  </si>
  <si>
    <t>75024</t>
  </si>
  <si>
    <t>73979</t>
  </si>
  <si>
    <t>22080</t>
  </si>
  <si>
    <t>2567.257509050619</t>
  </si>
  <si>
    <t>27700</t>
  </si>
  <si>
    <t>27100</t>
  </si>
  <si>
    <t>12130</t>
  </si>
  <si>
    <t>2984.651890661324</t>
  </si>
  <si>
    <t>214420000</t>
  </si>
  <si>
    <t>216300000</t>
  </si>
  <si>
    <t>163800000</t>
  </si>
  <si>
    <t>516.1435644392932</t>
  </si>
  <si>
    <t>53401</t>
  </si>
  <si>
    <t>52335</t>
  </si>
  <si>
    <t>29250</t>
  </si>
  <si>
    <t>583.3590575538675</t>
  </si>
  <si>
    <t>4821.1</t>
  </si>
  <si>
    <t>4766.8</t>
  </si>
  <si>
    <t>5862</t>
  </si>
  <si>
    <t>856.7872077985825</t>
  </si>
  <si>
    <t>42624</t>
  </si>
  <si>
    <t>41331</t>
  </si>
  <si>
    <t>24450</t>
  </si>
  <si>
    <t>967.6704311067962</t>
  </si>
  <si>
    <t>228860000</t>
  </si>
  <si>
    <t>229890000</t>
  </si>
  <si>
    <t>258600000</t>
  </si>
  <si>
    <t>2153.98144184822</t>
  </si>
  <si>
    <t>146860</t>
  </si>
  <si>
    <t>148160</t>
  </si>
  <si>
    <t>33210</t>
  </si>
  <si>
    <t>2455.7092671679234</t>
  </si>
  <si>
    <t>357740000</t>
  </si>
  <si>
    <t>363850000</t>
  </si>
  <si>
    <t>266000000</t>
  </si>
  <si>
    <t>308.3073117131504</t>
  </si>
  <si>
    <t>3404900</t>
  </si>
  <si>
    <t>3117200</t>
  </si>
  <si>
    <t>2225000</t>
  </si>
  <si>
    <t>308.49087030007905</t>
  </si>
  <si>
    <t>9165100</t>
  </si>
  <si>
    <t>9299600</t>
  </si>
  <si>
    <t>4926000</t>
  </si>
  <si>
    <t>328.74016627134915</t>
  </si>
  <si>
    <t>2723000000</t>
  </si>
  <si>
    <t>2915300000</t>
  </si>
  <si>
    <t>2253000000</t>
  </si>
  <si>
    <t>2456.6897423696296</t>
  </si>
  <si>
    <t>401.55</t>
  </si>
  <si>
    <t>523.49</t>
  </si>
  <si>
    <t>489.6</t>
  </si>
  <si>
    <t>2469.899770826358</t>
  </si>
  <si>
    <t>156.41</t>
  </si>
  <si>
    <t>166.01</t>
  </si>
  <si>
    <t>0.7145</t>
  </si>
  <si>
    <t>2984.484737844619</t>
  </si>
  <si>
    <t>60616000</t>
  </si>
  <si>
    <t>63844000</t>
  </si>
  <si>
    <t>33140000</t>
  </si>
  <si>
    <t>3268.1463475849414</t>
  </si>
  <si>
    <t>111880000</t>
  </si>
  <si>
    <t>108050000</t>
  </si>
  <si>
    <t>97330000</t>
  </si>
  <si>
    <t>3282.776993756759</t>
  </si>
  <si>
    <t>20851000</t>
  </si>
  <si>
    <t>20221000</t>
  </si>
  <si>
    <t>16090000</t>
  </si>
  <si>
    <t>3306.6809873606035</t>
  </si>
  <si>
    <t>462850</t>
  </si>
  <si>
    <t>445690</t>
  </si>
  <si>
    <t>389700</t>
  </si>
  <si>
    <t>3716.613002448159</t>
  </si>
  <si>
    <t>613.17</t>
  </si>
  <si>
    <t>682.57</t>
  </si>
  <si>
    <t>44.57</t>
  </si>
  <si>
    <t>3821.042493068534</t>
  </si>
  <si>
    <t>215.51</t>
  </si>
  <si>
    <t>2069.8</t>
  </si>
  <si>
    <t>2169</t>
  </si>
  <si>
    <t>4140.286175511427</t>
  </si>
  <si>
    <t>4862</t>
  </si>
  <si>
    <t>4557.8</t>
  </si>
  <si>
    <t>1273</t>
  </si>
  <si>
    <t>4162.795018572385</t>
  </si>
  <si>
    <t>20602</t>
  </si>
  <si>
    <t>21221</t>
  </si>
  <si>
    <t>4480</t>
  </si>
  <si>
    <t>5593.2170080990645</t>
  </si>
  <si>
    <t>2834400</t>
  </si>
  <si>
    <t>2980800</t>
  </si>
  <si>
    <t>644300</t>
  </si>
  <si>
    <t>308.3045277302041</t>
  </si>
  <si>
    <t>40766000</t>
  </si>
  <si>
    <t>41820000</t>
  </si>
  <si>
    <t>17090000</t>
  </si>
  <si>
    <t>328.5285662189628</t>
  </si>
  <si>
    <t>8133500</t>
  </si>
  <si>
    <t>7711500</t>
  </si>
  <si>
    <t>3081000</t>
  </si>
  <si>
    <t>2444.9216755575117</t>
  </si>
  <si>
    <t>2382.3</t>
  </si>
  <si>
    <t>3166.8</t>
  </si>
  <si>
    <t>2629</t>
  </si>
  <si>
    <t>3261.797824731339</t>
  </si>
  <si>
    <t>176480000</t>
  </si>
  <si>
    <t>175580000</t>
  </si>
  <si>
    <t>121700000</t>
  </si>
  <si>
    <t>3285.39617102532</t>
  </si>
  <si>
    <t>18594000</t>
  </si>
  <si>
    <t>18440000</t>
  </si>
  <si>
    <t>13660000</t>
  </si>
  <si>
    <t>3792.6492883190863</t>
  </si>
  <si>
    <t>54.37</t>
  </si>
  <si>
    <t>2.0786</t>
  </si>
  <si>
    <t>0.9763</t>
  </si>
  <si>
    <t>4129.118111839123</t>
  </si>
  <si>
    <t>63406</t>
  </si>
  <si>
    <t>66871</t>
  </si>
  <si>
    <t>10580</t>
  </si>
  <si>
    <t>5532.588082996395</t>
  </si>
  <si>
    <t>5957.7</t>
  </si>
  <si>
    <t>5971</t>
  </si>
  <si>
    <t>388.5</t>
  </si>
  <si>
    <t>3266.270924166603</t>
  </si>
  <si>
    <t>194840000</t>
  </si>
  <si>
    <t>193790000</t>
  </si>
  <si>
    <t>135100000</t>
  </si>
  <si>
    <t>308.05014382792297</t>
  </si>
  <si>
    <t>34485000</t>
  </si>
  <si>
    <t>35497000</t>
  </si>
  <si>
    <t>13990000</t>
  </si>
  <si>
    <t>308.233396228698</t>
  </si>
  <si>
    <t>20682</t>
  </si>
  <si>
    <t>3069.3</t>
  </si>
  <si>
    <t>515900</t>
  </si>
  <si>
    <t>328.4477977455368</t>
  </si>
  <si>
    <t>6916500000</t>
  </si>
  <si>
    <t>6777100000</t>
  </si>
  <si>
    <t>8532000000</t>
  </si>
  <si>
    <t>2440.4554750010966</t>
  </si>
  <si>
    <t>14.805</t>
  </si>
  <si>
    <t>26.149</t>
  </si>
  <si>
    <t>3.034</t>
  </si>
  <si>
    <t>2453.491028419004</t>
  </si>
  <si>
    <t>2313</t>
  </si>
  <si>
    <t>3203</t>
  </si>
  <si>
    <t>7033</t>
  </si>
  <si>
    <t>2960.5595882331786</t>
  </si>
  <si>
    <t>127380000</t>
  </si>
  <si>
    <t>122920000</t>
  </si>
  <si>
    <t>107600000</t>
  </si>
  <si>
    <t>3239.4789577326596</t>
  </si>
  <si>
    <t>55375000</t>
  </si>
  <si>
    <t>58347000</t>
  </si>
  <si>
    <t>27990000</t>
  </si>
  <si>
    <t>3253.8534921850946</t>
  </si>
  <si>
    <t>6864400</t>
  </si>
  <si>
    <t>7296800</t>
  </si>
  <si>
    <t>3802000</t>
  </si>
  <si>
    <t>3277.3366138884653</t>
  </si>
  <si>
    <t>209940</t>
  </si>
  <si>
    <t>220160</t>
  </si>
  <si>
    <t>123500</t>
  </si>
  <si>
    <t>3679.582687824204</t>
  </si>
  <si>
    <t>4922.3</t>
  </si>
  <si>
    <t>4960.4</t>
  </si>
  <si>
    <t>450.5</t>
  </si>
  <si>
    <t>3781.9129399765534</t>
  </si>
  <si>
    <t>1341.1</t>
  </si>
  <si>
    <t>6081.4</t>
  </si>
  <si>
    <t>9224</t>
  </si>
  <si>
    <t>4094.3842972696907</t>
  </si>
  <si>
    <t>56034</t>
  </si>
  <si>
    <t>59155</t>
  </si>
  <si>
    <t>9430</t>
  </si>
  <si>
    <t>4116.395485241824</t>
  </si>
  <si>
    <t>2416</t>
  </si>
  <si>
    <t>1852.6</t>
  </si>
  <si>
    <t>1870</t>
  </si>
  <si>
    <t>5509.770783093301</t>
  </si>
  <si>
    <t>7788500</t>
  </si>
  <si>
    <t>7473900</t>
  </si>
  <si>
    <t>2660000</t>
  </si>
  <si>
    <t>305.5961567436298</t>
  </si>
  <si>
    <t>11935000000</t>
  </si>
  <si>
    <t>12001000000</t>
  </si>
  <si>
    <t>13670000000</t>
  </si>
  <si>
    <t>305.7018887359178</t>
  </si>
  <si>
    <t>8001800000</t>
  </si>
  <si>
    <t>8053700000</t>
  </si>
  <si>
    <t>9309000000</t>
  </si>
  <si>
    <t>305.8823571142044</t>
  </si>
  <si>
    <t>417840000</t>
  </si>
  <si>
    <t>421550000</t>
  </si>
  <si>
    <t>503900000</t>
  </si>
  <si>
    <t>325.7796124193352</t>
  </si>
  <si>
    <t>476840</t>
  </si>
  <si>
    <t>442590</t>
  </si>
  <si>
    <t>425900</t>
  </si>
  <si>
    <t>352.0587413263263</t>
  </si>
  <si>
    <t>5905200</t>
  </si>
  <si>
    <t>2107000</t>
  </si>
  <si>
    <t>2300.460817006397</t>
  </si>
  <si>
    <t>19453</t>
  </si>
  <si>
    <t>22875</t>
  </si>
  <si>
    <t>35930</t>
  </si>
  <si>
    <t>2312.0401708891222</t>
  </si>
  <si>
    <t>390260</t>
  </si>
  <si>
    <t>463810</t>
  </si>
  <si>
    <t>715500</t>
  </si>
  <si>
    <t>2317.102478560019</t>
  </si>
  <si>
    <t>593620</t>
  </si>
  <si>
    <t>708510</t>
  </si>
  <si>
    <t>1083000</t>
  </si>
  <si>
    <t>2757.024117143728</t>
  </si>
  <si>
    <t>601170</t>
  </si>
  <si>
    <t>593210</t>
  </si>
  <si>
    <t>200300</t>
  </si>
  <si>
    <t>2997.3543207357066</t>
  </si>
  <si>
    <t>47960000</t>
  </si>
  <si>
    <t>47480000</t>
  </si>
  <si>
    <t>36440000</t>
  </si>
  <si>
    <t>3009.656317817999</t>
  </si>
  <si>
    <t>14474000</t>
  </si>
  <si>
    <t>14337000</t>
  </si>
  <si>
    <t>11020000</t>
  </si>
  <si>
    <t>3370.3409280182113</t>
  </si>
  <si>
    <t>706800</t>
  </si>
  <si>
    <t>698510</t>
  </si>
  <si>
    <t>292600</t>
  </si>
  <si>
    <t>3455.9935592666307</t>
  </si>
  <si>
    <t>33.156</t>
  </si>
  <si>
    <t>126.03</t>
  </si>
  <si>
    <t>57.41</t>
  </si>
  <si>
    <t>3703.797090283292</t>
  </si>
  <si>
    <t>59490000</t>
  </si>
  <si>
    <t>59027000</t>
  </si>
  <si>
    <t>38190000</t>
  </si>
  <si>
    <t>3715.0841643670565</t>
  </si>
  <si>
    <t>40299000</t>
  </si>
  <si>
    <t>40008000</t>
  </si>
  <si>
    <t>26300000</t>
  </si>
  <si>
    <t>3733.197037953073</t>
  </si>
  <si>
    <t>2227400</t>
  </si>
  <si>
    <t>2214000</t>
  </si>
  <si>
    <t>1483000</t>
  </si>
  <si>
    <t>4844.217404625374</t>
  </si>
  <si>
    <t>2697.7</t>
  </si>
  <si>
    <t>2583.6</t>
  </si>
  <si>
    <t>841.9</t>
  </si>
  <si>
    <t>7447.967778741225</t>
  </si>
  <si>
    <t>4131.7</t>
  </si>
  <si>
    <t>3859</t>
  </si>
  <si>
    <t>211.2</t>
  </si>
  <si>
    <t>305.6560541851555</t>
  </si>
  <si>
    <t>16077000000</t>
  </si>
  <si>
    <t>16162000000</t>
  </si>
  <si>
    <t>18440000000</t>
  </si>
  <si>
    <t>305.83646843549536</t>
  </si>
  <si>
    <t>4230700000</t>
  </si>
  <si>
    <t>4262800000</t>
  </si>
  <si>
    <t>5009000000</t>
  </si>
  <si>
    <t>325.7275600787033</t>
  </si>
  <si>
    <t>3043900</t>
  </si>
  <si>
    <t>3356100</t>
  </si>
  <si>
    <t>818000</t>
  </si>
  <si>
    <t>2297.8678216518388</t>
  </si>
  <si>
    <t>235950</t>
  </si>
  <si>
    <t>366000</t>
  </si>
  <si>
    <t>2309.421021049246</t>
  </si>
  <si>
    <t>796480</t>
  </si>
  <si>
    <t>947770</t>
  </si>
  <si>
    <t>1447000</t>
  </si>
  <si>
    <t>2753.3005769547685</t>
  </si>
  <si>
    <t>126190</t>
  </si>
  <si>
    <t>128640</t>
  </si>
  <si>
    <t>41020</t>
  </si>
  <si>
    <t>2992.9538416805426</t>
  </si>
  <si>
    <t>7388800</t>
  </si>
  <si>
    <t>7259100</t>
  </si>
  <si>
    <t>6274000</t>
  </si>
  <si>
    <t>3005.21966972706</t>
  </si>
  <si>
    <t>47460000</t>
  </si>
  <si>
    <t>47044000</t>
  </si>
  <si>
    <t>35060000</t>
  </si>
  <si>
    <t>3025.2400744129754</t>
  </si>
  <si>
    <t>8585000</t>
  </si>
  <si>
    <t>8511400</t>
  </si>
  <si>
    <t>6487000</t>
  </si>
  <si>
    <t>3364.778144957003</t>
  </si>
  <si>
    <t>1366300</t>
  </si>
  <si>
    <t>1349100</t>
  </si>
  <si>
    <t>565100</t>
  </si>
  <si>
    <t>3450.1446876654745</t>
  </si>
  <si>
    <t>589.02</t>
  </si>
  <si>
    <t>2304.6</t>
  </si>
  <si>
    <t>186.3</t>
  </si>
  <si>
    <t>3708.326315812503</t>
  </si>
  <si>
    <t>78851000</t>
  </si>
  <si>
    <t>78234000</t>
  </si>
  <si>
    <t>51010000</t>
  </si>
  <si>
    <t>3726.3731935686483</t>
  </si>
  <si>
    <t>21904000</t>
  </si>
  <si>
    <t>21758000</t>
  </si>
  <si>
    <t>14410000</t>
  </si>
  <si>
    <t>4832.733796766412</t>
  </si>
  <si>
    <t>5513.1</t>
  </si>
  <si>
    <t>5708.4</t>
  </si>
  <si>
    <t>691</t>
  </si>
  <si>
    <t>305.7673842139141</t>
  </si>
  <si>
    <t>20331000000</t>
  </si>
  <si>
    <t>20445000000</t>
  </si>
  <si>
    <t>23470000000</t>
  </si>
  <si>
    <t>325.649198539102</t>
  </si>
  <si>
    <t>4106900</t>
  </si>
  <si>
    <t>4003800</t>
  </si>
  <si>
    <t>922500</t>
  </si>
  <si>
    <t>2293.9736784838697</t>
  </si>
  <si>
    <t>989710</t>
  </si>
  <si>
    <t>1169000</t>
  </si>
  <si>
    <t>1784000</t>
  </si>
  <si>
    <t>2998.5625284649955</t>
  </si>
  <si>
    <t>4868500</t>
  </si>
  <si>
    <t>4766000</t>
  </si>
  <si>
    <t>4344000</t>
  </si>
  <si>
    <t>3018.4940391400305</t>
  </si>
  <si>
    <t>59768000</t>
  </si>
  <si>
    <t>59250000</t>
  </si>
  <si>
    <t>43970000</t>
  </si>
  <si>
    <t>3441.3733155558184</t>
  </si>
  <si>
    <t>1453.1</t>
  </si>
  <si>
    <t>9025.6</t>
  </si>
  <si>
    <t>997.5</t>
  </si>
  <si>
    <t>3716.143156126158</t>
  </si>
  <si>
    <t>100540000</t>
  </si>
  <si>
    <t>99770000</t>
  </si>
  <si>
    <t>65200000</t>
  </si>
  <si>
    <t>4815.541399628145</t>
  </si>
  <si>
    <t>4456.4</t>
  </si>
  <si>
    <t>4340.3</t>
  </si>
  <si>
    <t>195.2</t>
  </si>
  <si>
    <t>303.62225671610634</t>
  </si>
  <si>
    <t>2091100000</t>
  </si>
  <si>
    <t>2100400000</t>
  </si>
  <si>
    <t>2668000000</t>
  </si>
  <si>
    <t>303.8002773468643</t>
  </si>
  <si>
    <t>9637800000</t>
  </si>
  <si>
    <t>9688900000</t>
  </si>
  <si>
    <t>11390000000</t>
  </si>
  <si>
    <t>323.4188946959488</t>
  </si>
  <si>
    <t>10223000</t>
  </si>
  <si>
    <t>10391000</t>
  </si>
  <si>
    <t>6325000</t>
  </si>
  <si>
    <t>2187.700206639226</t>
  </si>
  <si>
    <t>535950</t>
  </si>
  <si>
    <t>621230</t>
  </si>
  <si>
    <t>929800</t>
  </si>
  <si>
    <t>2198.169638717995</t>
  </si>
  <si>
    <t>124410</t>
  </si>
  <si>
    <t>146660</t>
  </si>
  <si>
    <t>237500</t>
  </si>
  <si>
    <t>2596.6240971922084</t>
  </si>
  <si>
    <t>9795.5</t>
  </si>
  <si>
    <t>9873.4</t>
  </si>
  <si>
    <t>2447</t>
  </si>
  <si>
    <t>2808.727900600888</t>
  </si>
  <si>
    <t>67046</t>
  </si>
  <si>
    <t>67259</t>
  </si>
  <si>
    <t>72550</t>
  </si>
  <si>
    <t>2819.527474722848</t>
  </si>
  <si>
    <t>1573600</t>
  </si>
  <si>
    <t>1568000</t>
  </si>
  <si>
    <t>1544000</t>
  </si>
  <si>
    <t>2837.1429487148066</t>
  </si>
  <si>
    <t>16080000</t>
  </si>
  <si>
    <t>15937000</t>
  </si>
  <si>
    <t>14020000</t>
  </si>
  <si>
    <t>3133.701944515496</t>
  </si>
  <si>
    <t>145660000</t>
  </si>
  <si>
    <t>144850000</t>
  </si>
  <si>
    <t>106500000</t>
  </si>
  <si>
    <t>3207.617215438116</t>
  </si>
  <si>
    <t>351.14</t>
  </si>
  <si>
    <t>2987.7</t>
  </si>
  <si>
    <t>847.5</t>
  </si>
  <si>
    <t>3429.6091788441868</t>
  </si>
  <si>
    <t>7435300</t>
  </si>
  <si>
    <t>7405900</t>
  </si>
  <si>
    <t>6064000</t>
  </si>
  <si>
    <t>3445.0395592385385</t>
  </si>
  <si>
    <t>48615000</t>
  </si>
  <si>
    <t>48299000</t>
  </si>
  <si>
    <t>31870000</t>
  </si>
  <si>
    <t>4369.9188831277115</t>
  </si>
  <si>
    <t>39712</t>
  </si>
  <si>
    <t>38991</t>
  </si>
  <si>
    <t>9222</t>
  </si>
  <si>
    <t>303.41288763647765</t>
  </si>
  <si>
    <t>3277300000</t>
  </si>
  <si>
    <t>3299200000</t>
  </si>
  <si>
    <t>4062000000</t>
  </si>
  <si>
    <t>303.5171140067014</t>
  </si>
  <si>
    <t>3424200000</t>
  </si>
  <si>
    <t>3449600000</t>
  </si>
  <si>
    <t>3998000000</t>
  </si>
  <si>
    <t>303.6950113275661</t>
  </si>
  <si>
    <t>5027700000</t>
  </si>
  <si>
    <t>5058400000</t>
  </si>
  <si>
    <t>6001000000</t>
  </si>
  <si>
    <t>323.29959676058303</t>
  </si>
  <si>
    <t>7505.9</t>
  </si>
  <si>
    <t>4677.1</t>
  </si>
  <si>
    <t>18420</t>
  </si>
  <si>
    <t>349.16426316539963</t>
  </si>
  <si>
    <t>6389100</t>
  </si>
  <si>
    <t>6283800</t>
  </si>
  <si>
    <t>1540000</t>
  </si>
  <si>
    <t>2182.253232299227</t>
  </si>
  <si>
    <t>277480</t>
  </si>
  <si>
    <t>320700</t>
  </si>
  <si>
    <t>480100</t>
  </si>
  <si>
    <t>2192.6704712049122</t>
  </si>
  <si>
    <t>187370</t>
  </si>
  <si>
    <t>216710</t>
  </si>
  <si>
    <t>320600</t>
  </si>
  <si>
    <t>2197.223028596909</t>
  </si>
  <si>
    <t>188140</t>
  </si>
  <si>
    <t>220070</t>
  </si>
  <si>
    <t>346700</t>
  </si>
  <si>
    <t>2588.9540893451326</t>
  </si>
  <si>
    <t>413320</t>
  </si>
  <si>
    <t>408230</t>
  </si>
  <si>
    <t>131400</t>
  </si>
  <si>
    <t>2799.7558398894275</t>
  </si>
  <si>
    <t>3078200</t>
  </si>
  <si>
    <t>3059200</t>
  </si>
  <si>
    <t>3003000</t>
  </si>
  <si>
    <t>2810.486397168115</t>
  </si>
  <si>
    <t>13966000</t>
  </si>
  <si>
    <t>13839000</t>
  </si>
  <si>
    <t>12350000</t>
  </si>
  <si>
    <t>3122.537740624065</t>
  </si>
  <si>
    <t>138210000</t>
  </si>
  <si>
    <t>137430000</t>
  </si>
  <si>
    <t>103500000</t>
  </si>
  <si>
    <t>3195.9211183856646</t>
  </si>
  <si>
    <t>573.88</t>
  </si>
  <si>
    <t>2538</t>
  </si>
  <si>
    <t>245.9</t>
  </si>
  <si>
    <t>3406.6949435667193</t>
  </si>
  <si>
    <t>16642000</t>
  </si>
  <si>
    <t>16558000</t>
  </si>
  <si>
    <t>11410000</t>
  </si>
  <si>
    <t>3416.241513186951</t>
  </si>
  <si>
    <t>21886000</t>
  </si>
  <si>
    <t>21742000</t>
  </si>
  <si>
    <t>13050000</t>
  </si>
  <si>
    <t>3431.551572829665</t>
  </si>
  <si>
    <t>25989000</t>
  </si>
  <si>
    <t>25832000</t>
  </si>
  <si>
    <t>17120000</t>
  </si>
  <si>
    <t>4348.239386353978</t>
  </si>
  <si>
    <t>444.69</t>
  </si>
  <si>
    <t>438.11</t>
  </si>
  <si>
    <t>124</t>
  </si>
  <si>
    <t>6336.683516828666</t>
  </si>
  <si>
    <t>9166.6</t>
  </si>
  <si>
    <t>8563.9</t>
  </si>
  <si>
    <t>422.9</t>
  </si>
  <si>
    <t>303.46070453897516</t>
  </si>
  <si>
    <t>11719000000</t>
  </si>
  <si>
    <t>11805000000</t>
  </si>
  <si>
    <t>14050000000</t>
  </si>
  <si>
    <t>2189.729909653812</t>
  </si>
  <si>
    <t>649670</t>
  </si>
  <si>
    <t>752950</t>
  </si>
  <si>
    <t>1139000</t>
  </si>
  <si>
    <t>2584.8555700248608</t>
  </si>
  <si>
    <t>441.08</t>
  </si>
  <si>
    <t>395.61</t>
  </si>
  <si>
    <t>57.15</t>
  </si>
  <si>
    <t>2794.963334277552</t>
  </si>
  <si>
    <t>17026000</t>
  </si>
  <si>
    <t>16881000</t>
  </si>
  <si>
    <t>15360000</t>
  </si>
  <si>
    <t>3116.5776617702786</t>
  </si>
  <si>
    <t>135130000</t>
  </si>
  <si>
    <t>134360000</t>
  </si>
  <si>
    <t>102300000</t>
  </si>
  <si>
    <t>3409.108783241964</t>
  </si>
  <si>
    <t>68456000</t>
  </si>
  <si>
    <t>68055000</t>
  </si>
  <si>
    <t>43290000</t>
  </si>
  <si>
    <t>301.64523869200656</t>
  </si>
  <si>
    <t>4854200</t>
  </si>
  <si>
    <t>4803200</t>
  </si>
  <si>
    <t>789400</t>
  </si>
  <si>
    <t>320.97765394518774</t>
  </si>
  <si>
    <t>19706000000</t>
  </si>
  <si>
    <t>19812000000</t>
  </si>
  <si>
    <t>24640000000</t>
  </si>
  <si>
    <t>2080.6570907078844</t>
  </si>
  <si>
    <t>815.12</t>
  </si>
  <si>
    <t>848.64</t>
  </si>
  <si>
    <t>327.9</t>
  </si>
  <si>
    <t>2644.2033778389896</t>
  </si>
  <si>
    <t>46595</t>
  </si>
  <si>
    <t>46813</t>
  </si>
  <si>
    <t>9271</t>
  </si>
  <si>
    <t>2659.690213700491</t>
  </si>
  <si>
    <t>7547.3</t>
  </si>
  <si>
    <t>7175.2</t>
  </si>
  <si>
    <t>1800</t>
  </si>
  <si>
    <t>2982.6326490922424</t>
  </si>
  <si>
    <t>311650</t>
  </si>
  <si>
    <t>508170</t>
  </si>
  <si>
    <t>505300</t>
  </si>
  <si>
    <t>3186.856828397539</t>
  </si>
  <si>
    <t>1686.6</t>
  </si>
  <si>
    <t>1795.1</t>
  </si>
  <si>
    <t>200.1</t>
  </si>
  <si>
    <t>3962.6939750801826</t>
  </si>
  <si>
    <t>127720000</t>
  </si>
  <si>
    <t>126120000</t>
  </si>
  <si>
    <t>88490000</t>
  </si>
  <si>
    <t>300.49978834364265</t>
  </si>
  <si>
    <t>15678000</t>
  </si>
  <si>
    <t>15462000</t>
  </si>
  <si>
    <t>3993000</t>
  </si>
  <si>
    <t>300.60202260754755</t>
  </si>
  <si>
    <t>1169900</t>
  </si>
  <si>
    <t>1241500</t>
  </si>
  <si>
    <t>681100</t>
  </si>
  <si>
    <t>300.77651817183295</t>
  </si>
  <si>
    <t>1371000</t>
  </si>
  <si>
    <t>1345800</t>
  </si>
  <si>
    <t>170800</t>
  </si>
  <si>
    <t>319.9941942292146</t>
  </si>
  <si>
    <t>286240000</t>
  </si>
  <si>
    <t>287860000</t>
  </si>
  <si>
    <t>775400000</t>
  </si>
  <si>
    <t>345.3119771585967</t>
  </si>
  <si>
    <t>11803000000</t>
  </si>
  <si>
    <t>11874000000</t>
  </si>
  <si>
    <t>15620000000</t>
  </si>
  <si>
    <t>2040.0152285790393</t>
  </si>
  <si>
    <t>109.6</t>
  </si>
  <si>
    <t>123.4</t>
  </si>
  <si>
    <t>45.57</t>
  </si>
  <si>
    <t>2049.115912818389</t>
  </si>
  <si>
    <t>0.38351</t>
  </si>
  <si>
    <t>2.7565</t>
  </si>
  <si>
    <t>2063</t>
  </si>
  <si>
    <t>2053.091330035909</t>
  </si>
  <si>
    <t>816.04</t>
  </si>
  <si>
    <t>879.79</t>
  </si>
  <si>
    <t>316.2</t>
  </si>
  <si>
    <t>2391.1613585756704</t>
  </si>
  <si>
    <t>184420000</t>
  </si>
  <si>
    <t>183480000</t>
  </si>
  <si>
    <t>151900000</t>
  </si>
  <si>
    <t>2569.871853006477</t>
  </si>
  <si>
    <t>746780</t>
  </si>
  <si>
    <t>740450</t>
  </si>
  <si>
    <t>295100</t>
  </si>
  <si>
    <t>2578.9097678514845</t>
  </si>
  <si>
    <t>437.43</t>
  </si>
  <si>
    <t>426.38</t>
  </si>
  <si>
    <t>335.1</t>
  </si>
  <si>
    <t>2839.2733420603545</t>
  </si>
  <si>
    <t>345270</t>
  </si>
  <si>
    <t>341320</t>
  </si>
  <si>
    <t>99500</t>
  </si>
  <si>
    <t>2899.817439954494</t>
  </si>
  <si>
    <t>20186</t>
  </si>
  <si>
    <t>37528</t>
  </si>
  <si>
    <t>63040</t>
  </si>
  <si>
    <t>3072.2900988090405</t>
  </si>
  <si>
    <t>57294</t>
  </si>
  <si>
    <t>56787</t>
  </si>
  <si>
    <t>8865</t>
  </si>
  <si>
    <t>3080.0523170121955</t>
  </si>
  <si>
    <t>29198</t>
  </si>
  <si>
    <t>29108</t>
  </si>
  <si>
    <t>12790</t>
  </si>
  <si>
    <t>3092.4918605683006</t>
  </si>
  <si>
    <t>1896.7</t>
  </si>
  <si>
    <t>1861.8</t>
  </si>
  <si>
    <t>169.6</t>
  </si>
  <si>
    <t>3817.8343702993598</t>
  </si>
  <si>
    <t>7108900</t>
  </si>
  <si>
    <t>7032800</t>
  </si>
  <si>
    <t>9622000</t>
  </si>
  <si>
    <t>5269.7668249695525</t>
  </si>
  <si>
    <t>34466000</t>
  </si>
  <si>
    <t>33248000</t>
  </si>
  <si>
    <t>19220000</t>
  </si>
  <si>
    <t>447.93222650502963</t>
  </si>
  <si>
    <t>12054</t>
  </si>
  <si>
    <t>9295.3</t>
  </si>
  <si>
    <t>33300</t>
  </si>
  <si>
    <t>497.6993207116829</t>
  </si>
  <si>
    <t>79126</t>
  </si>
  <si>
    <t>83420</t>
  </si>
  <si>
    <t>20290</t>
  </si>
  <si>
    <t>683.9074800611412</t>
  </si>
  <si>
    <t>934160</t>
  </si>
  <si>
    <t>931670</t>
  </si>
  <si>
    <t>507000</t>
  </si>
  <si>
    <t>752.7599032424326</t>
  </si>
  <si>
    <t>5920600000</t>
  </si>
  <si>
    <t>6082800000</t>
  </si>
  <si>
    <t>6676000000</t>
  </si>
  <si>
    <t>1317.0169139353536</t>
  </si>
  <si>
    <t>16111</t>
  </si>
  <si>
    <t>13666</t>
  </si>
  <si>
    <t>4151</t>
  </si>
  <si>
    <t>1423.9953860362239</t>
  </si>
  <si>
    <t>13752000</t>
  </si>
  <si>
    <t>10628000</t>
  </si>
  <si>
    <t>13580000</t>
  </si>
  <si>
    <t>6220.0533536981775</t>
  </si>
  <si>
    <t>41.607</t>
  </si>
  <si>
    <t>36.526</t>
  </si>
  <si>
    <t>59.5</t>
  </si>
  <si>
    <t>7287.361377141978</t>
  </si>
  <si>
    <t>28.222</t>
  </si>
  <si>
    <t>22.646</t>
  </si>
  <si>
    <t>4.476</t>
  </si>
  <si>
    <t>9499.0738306125</t>
  </si>
  <si>
    <t>18304</t>
  </si>
  <si>
    <t>13228</t>
  </si>
  <si>
    <t>1416</t>
  </si>
  <si>
    <t>Effective Collision Strengths for O III</t>
  </si>
  <si>
    <t>S8</t>
  </si>
  <si>
    <t>S9</t>
  </si>
  <si>
    <t>S10</t>
  </si>
  <si>
    <t>np</t>
  </si>
  <si>
    <t>Log_T(K)</t>
  </si>
  <si>
    <t>EColSt</t>
  </si>
  <si>
    <t>3.4</t>
  </si>
  <si>
    <t>0.501</t>
  </si>
  <si>
    <t>2</t>
  </si>
  <si>
    <t>0.5814</t>
  </si>
  <si>
    <t>3</t>
  </si>
  <si>
    <t>0.4975</t>
  </si>
  <si>
    <t>3.69897000434</t>
  </si>
  <si>
    <t>0.40377452992</t>
  </si>
  <si>
    <t>3.7</t>
  </si>
  <si>
    <t>0.508</t>
  </si>
  <si>
    <t>2.69897000434</t>
  </si>
  <si>
    <t>0.5005</t>
  </si>
  <si>
    <t>3.2</t>
  </si>
  <si>
    <t>0.5066</t>
  </si>
  <si>
    <t>3.77815125038</t>
  </si>
  <si>
    <t>0.41117328557</t>
  </si>
  <si>
    <t>3.88</t>
  </si>
  <si>
    <t>0.516</t>
  </si>
  <si>
    <t>0.4866</t>
  </si>
  <si>
    <t>0.5115</t>
  </si>
  <si>
    <t>3.84509804001</t>
  </si>
  <si>
    <t>0.418658990285</t>
  </si>
  <si>
    <t>4</t>
  </si>
  <si>
    <t>0.522</t>
  </si>
  <si>
    <t>0.524</t>
  </si>
  <si>
    <t>3.6</t>
  </si>
  <si>
    <t>0.518</t>
  </si>
  <si>
    <t>3.90308998699</t>
  </si>
  <si>
    <t>0.425739368525</t>
  </si>
  <si>
    <t>4.1</t>
  </si>
  <si>
    <t>0.527</t>
  </si>
  <si>
    <t>0.5648</t>
  </si>
  <si>
    <t>3.8</t>
  </si>
  <si>
    <t>0.5296</t>
  </si>
  <si>
    <t>3.95424250944</t>
  </si>
  <si>
    <t>0.432162058688</t>
  </si>
  <si>
    <t>4.18</t>
  </si>
  <si>
    <t>0.529</t>
  </si>
  <si>
    <t>4.30102999566</t>
  </si>
  <si>
    <t>0.6007</t>
  </si>
  <si>
    <t>0.5454</t>
  </si>
  <si>
    <t>0.43783099528</t>
  </si>
  <si>
    <t>4.24</t>
  </si>
  <si>
    <t>0.531</t>
  </si>
  <si>
    <t>4.47712125472</t>
  </si>
  <si>
    <t>0.6116</t>
  </si>
  <si>
    <t>4.2</t>
  </si>
  <si>
    <t>0.559</t>
  </si>
  <si>
    <t>4.04139268516</t>
  </si>
  <si>
    <t>0.44274546324</t>
  </si>
  <si>
    <t>4.3</t>
  </si>
  <si>
    <t>0.532</t>
  </si>
  <si>
    <t>4.4</t>
  </si>
  <si>
    <t>0.5678</t>
  </si>
  <si>
    <t>4.07918124605</t>
  </si>
  <si>
    <t>0.44695776055</t>
  </si>
  <si>
    <t>0.535</t>
  </si>
  <si>
    <t>4.6</t>
  </si>
  <si>
    <t>0.5788</t>
  </si>
  <si>
    <t>4.11394335231</t>
  </si>
  <si>
    <t>0.45054567744</t>
  </si>
  <si>
    <t>4.48</t>
  </si>
  <si>
    <t>0.538</t>
  </si>
  <si>
    <t>4.8</t>
  </si>
  <si>
    <t>0.5918</t>
  </si>
  <si>
    <t>4.14612803568</t>
  </si>
  <si>
    <t>0.45359564233</t>
  </si>
  <si>
    <t>0.547</t>
  </si>
  <si>
    <t>5</t>
  </si>
  <si>
    <t>0.5938</t>
  </si>
  <si>
    <t>4.17609125906</t>
  </si>
  <si>
    <t>0.45619300606</t>
  </si>
  <si>
    <t>4.7</t>
  </si>
  <si>
    <t>0.558</t>
  </si>
  <si>
    <t>4.20411998266</t>
  </si>
  <si>
    <t>0.45841687251</t>
  </si>
  <si>
    <t>4.78</t>
  </si>
  <si>
    <t>0.567</t>
  </si>
  <si>
    <t>4.23044892138</t>
  </si>
  <si>
    <t>0.460337717883</t>
  </si>
  <si>
    <t>4.9</t>
  </si>
  <si>
    <t>0.58</t>
  </si>
  <si>
    <t>4.2552725051</t>
  </si>
  <si>
    <t>0.462016658791</t>
  </si>
  <si>
    <t>0.586</t>
  </si>
  <si>
    <t>4.27875360095</t>
  </si>
  <si>
    <t>0.463505651392</t>
  </si>
  <si>
    <t>5.08</t>
  </si>
  <si>
    <t>0.585</t>
  </si>
  <si>
    <t>0.46484817864</t>
  </si>
  <si>
    <t>5.15</t>
  </si>
  <si>
    <t>0.581</t>
  </si>
  <si>
    <t>5.2</t>
  </si>
  <si>
    <t>0.575</t>
  </si>
  <si>
    <t>5.26</t>
  </si>
  <si>
    <t>5.3</t>
  </si>
  <si>
    <t>0.241</t>
  </si>
  <si>
    <t>0.2142</t>
  </si>
  <si>
    <t>0.2455</t>
  </si>
  <si>
    <t>0.19001836121</t>
  </si>
  <si>
    <t>0.245</t>
  </si>
  <si>
    <t>0.2153</t>
  </si>
  <si>
    <t>0.2493</t>
  </si>
  <si>
    <t>0.19605424182</t>
  </si>
  <si>
    <t>0.251</t>
  </si>
  <si>
    <t>0.2234</t>
  </si>
  <si>
    <t>0.2509</t>
  </si>
  <si>
    <t>0.202274794421</t>
  </si>
  <si>
    <t>0.257</t>
  </si>
  <si>
    <t>0.2469</t>
  </si>
  <si>
    <t>0.2541</t>
  </si>
  <si>
    <t>0.208354404922</t>
  </si>
  <si>
    <t>0.263</t>
  </si>
  <si>
    <t>0.2766</t>
  </si>
  <si>
    <t>0.2609</t>
  </si>
  <si>
    <t>0.214106280102</t>
  </si>
  <si>
    <t>0.267</t>
  </si>
  <si>
    <t>0.3106</t>
  </si>
  <si>
    <t>0.2713</t>
  </si>
  <si>
    <t>0.21944319033</t>
  </si>
  <si>
    <t>0.271</t>
  </si>
  <si>
    <t>0.3264</t>
  </si>
  <si>
    <t>0.2832</t>
  </si>
  <si>
    <t>0.22434072311</t>
  </si>
  <si>
    <t>0.274</t>
  </si>
  <si>
    <t>0.2955</t>
  </si>
  <si>
    <t>0.22881046142</t>
  </si>
  <si>
    <t>0.28</t>
  </si>
  <si>
    <t>0.3101</t>
  </si>
  <si>
    <t>0.23288264869</t>
  </si>
  <si>
    <t>0.285</t>
  </si>
  <si>
    <t>0.3254</t>
  </si>
  <si>
    <t>0.23659574895</t>
  </si>
  <si>
    <t>0.296</t>
  </si>
  <si>
    <t>0.3314</t>
  </si>
  <si>
    <t>0.23999046174</t>
  </si>
  <si>
    <t>0.307</t>
  </si>
  <si>
    <t>0.24310644572</t>
  </si>
  <si>
    <t>0.315</t>
  </si>
  <si>
    <t>0.245980635753</t>
  </si>
  <si>
    <t>0.327</t>
  </si>
  <si>
    <t>0.248646479181</t>
  </si>
  <si>
    <t>0.333</t>
  </si>
  <si>
    <t>0.251133694882</t>
  </si>
  <si>
    <t>0.335</t>
  </si>
  <si>
    <t>0.253468324024</t>
  </si>
  <si>
    <t>0.334</t>
  </si>
  <si>
    <t>0.331</t>
  </si>
  <si>
    <t>0.326</t>
  </si>
  <si>
    <t>0.322</t>
  </si>
  <si>
    <t>1.17</t>
  </si>
  <si>
    <t>1.036</t>
  </si>
  <si>
    <t>1.173</t>
  </si>
  <si>
    <t>0.93197106763</t>
  </si>
  <si>
    <t>1.19</t>
  </si>
  <si>
    <t>1.032</t>
  </si>
  <si>
    <t>1.193</t>
  </si>
  <si>
    <t>0.95479652762</t>
  </si>
  <si>
    <t>1.21</t>
  </si>
  <si>
    <t>1.072</t>
  </si>
  <si>
    <t>1.203</t>
  </si>
  <si>
    <t>0.978146489128</t>
  </si>
  <si>
    <t>1.23</t>
  </si>
  <si>
    <t>1.218</t>
  </si>
  <si>
    <t>1.00067287574</t>
  </si>
  <si>
    <t>1.25</t>
  </si>
  <si>
    <t>1.33</t>
  </si>
  <si>
    <t>1.248</t>
  </si>
  <si>
    <t>1.02163988653</t>
  </si>
  <si>
    <t>1.26</t>
  </si>
  <si>
    <t>1.451</t>
  </si>
  <si>
    <t>1.291</t>
  </si>
  <si>
    <t>1.04073113017</t>
  </si>
  <si>
    <t>1.27</t>
  </si>
  <si>
    <t>1.499</t>
  </si>
  <si>
    <t>1.335</t>
  </si>
  <si>
    <t>1.0578907552</t>
  </si>
  <si>
    <t>1.28</t>
  </si>
  <si>
    <t>1.373</t>
  </si>
  <si>
    <t>1.07321017406</t>
  </si>
  <si>
    <t>1.3</t>
  </si>
  <si>
    <t>1.419</t>
  </si>
  <si>
    <t>1.08685465401</t>
  </si>
  <si>
    <t>1.32</t>
  </si>
  <si>
    <t>1.468</t>
  </si>
  <si>
    <t>1.09901875699</t>
  </si>
  <si>
    <t>1.35</t>
  </si>
  <si>
    <t>1.482</t>
  </si>
  <si>
    <t>1.10990072641</t>
  </si>
  <si>
    <t>1.39</t>
  </si>
  <si>
    <t>1.1196886528</t>
  </si>
  <si>
    <t>1.42</t>
  </si>
  <si>
    <t>1.12855371109</t>
  </si>
  <si>
    <t>1.46</t>
  </si>
  <si>
    <t>1.13664752801</t>
  </si>
  <si>
    <t>1.48</t>
  </si>
  <si>
    <t>1.14410188972</t>
  </si>
  <si>
    <t>1.49</t>
  </si>
  <si>
    <t>1.15102971614</t>
  </si>
  <si>
    <t>1.44</t>
  </si>
  <si>
    <t>0.226</t>
  </si>
  <si>
    <t>0.1959</t>
  </si>
  <si>
    <t>0.247033333333</t>
  </si>
  <si>
    <t>0.18545807849</t>
  </si>
  <si>
    <t>0.2088</t>
  </si>
  <si>
    <t>0.2432</t>
  </si>
  <si>
    <t>0.19222478992</t>
  </si>
  <si>
    <t>0.234</t>
  </si>
  <si>
    <t>0.2154</t>
  </si>
  <si>
    <t>0.237955555556</t>
  </si>
  <si>
    <t>0.199550205382</t>
  </si>
  <si>
    <t>0.243</t>
  </si>
  <si>
    <t>0.2347</t>
  </si>
  <si>
    <t>0.234633333333</t>
  </si>
  <si>
    <t>0.206763403134</t>
  </si>
  <si>
    <t>0.252</t>
  </si>
  <si>
    <t>0.2693</t>
  </si>
  <si>
    <t>0.239755555556</t>
  </si>
  <si>
    <t>0.213546587081</t>
  </si>
  <si>
    <t>0.258</t>
  </si>
  <si>
    <t>0.3094</t>
  </si>
  <si>
    <t>0.254355555556</t>
  </si>
  <si>
    <t>0.21977592991</t>
  </si>
  <si>
    <t>0.264</t>
  </si>
  <si>
    <t>0.3256</t>
  </si>
  <si>
    <t>0.272188888889</t>
  </si>
  <si>
    <t>0.22542796992</t>
  </si>
  <si>
    <t>0.268</t>
  </si>
  <si>
    <t>0.287233333333</t>
  </si>
  <si>
    <t>0.23052795932</t>
  </si>
  <si>
    <t>0.275</t>
  </si>
  <si>
    <t>0.297</t>
  </si>
  <si>
    <t>0.23512224622</t>
  </si>
  <si>
    <t>0.300211111111</t>
  </si>
  <si>
    <t>0.23926390188</t>
  </si>
  <si>
    <t>0.286</t>
  </si>
  <si>
    <t>0.295488888889</t>
  </si>
  <si>
    <t>0.24300553311</t>
  </si>
  <si>
    <t>0.289</t>
  </si>
  <si>
    <t>0.24639595104</t>
  </si>
  <si>
    <t>0.29</t>
  </si>
  <si>
    <t>0.249478878901</t>
  </si>
  <si>
    <t>0.252292708481</t>
  </si>
  <si>
    <t>0.254870767418</t>
  </si>
  <si>
    <t>0.282</t>
  </si>
  <si>
    <t>0.257241807832</t>
  </si>
  <si>
    <t>0.278</t>
  </si>
  <si>
    <t>0.273</t>
  </si>
  <si>
    <t>0.262</t>
  </si>
  <si>
    <t>=G64*3</t>
  </si>
  <si>
    <t>0.5903</t>
  </si>
  <si>
    <t>0.7411</t>
  </si>
  <si>
    <t>0.55637415847</t>
  </si>
  <si>
    <t>=</t>
  </si>
  <si>
    <t>0.6285</t>
  </si>
  <si>
    <t>0.7296</t>
  </si>
  <si>
    <t>0.57667444351</t>
  </si>
  <si>
    <t>0.6483</t>
  </si>
  <si>
    <t>0.713866666667</t>
  </si>
  <si>
    <t>0.598651090701</t>
  </si>
  <si>
    <t>0.7067</t>
  </si>
  <si>
    <t>0.7039</t>
  </si>
  <si>
    <t>0.620291168795</t>
  </si>
  <si>
    <t>0.8108</t>
  </si>
  <si>
    <t>0.719266666667</t>
  </si>
  <si>
    <t>0.640641205811</t>
  </si>
  <si>
    <t>0.9313</t>
  </si>
  <si>
    <t>0.763066666667</t>
  </si>
  <si>
    <t>0.65932968167</t>
  </si>
  <si>
    <t>0.9802</t>
  </si>
  <si>
    <t>0.816566666667</t>
  </si>
  <si>
    <t>0.67628619734</t>
  </si>
  <si>
    <t>0.8617</t>
  </si>
  <si>
    <t>0.69158650779</t>
  </si>
  <si>
    <t>0.891</t>
  </si>
  <si>
    <t>0.70536966134</t>
  </si>
  <si>
    <t>0.900633333333</t>
  </si>
  <si>
    <t>0.71779487801</t>
  </si>
  <si>
    <t>0.886466666667</t>
  </si>
  <si>
    <t>0.72901998495</t>
  </si>
  <si>
    <t>0.73919142176</t>
  </si>
  <si>
    <t>0.748440363621</t>
  </si>
  <si>
    <t>0.756881990541</t>
  </si>
  <si>
    <t>0.764616289232</t>
  </si>
  <si>
    <t>0.771729519146</t>
  </si>
  <si>
    <t>=G64*5</t>
  </si>
  <si>
    <t>0.9934</t>
  </si>
  <si>
    <t>1.23516666667</t>
  </si>
  <si>
    <t>0.92728078468</t>
  </si>
  <si>
    <t>1.056</t>
  </si>
  <si>
    <t>1.216</t>
  </si>
  <si>
    <t>0.96111393806</t>
  </si>
  <si>
    <t>1.089</t>
  </si>
  <si>
    <t>1.18977777778</t>
  </si>
  <si>
    <t>0.997740928066</t>
  </si>
  <si>
    <t>1.188</t>
  </si>
  <si>
    <t>1.17316666667</t>
  </si>
  <si>
    <t>1.03380701973</t>
  </si>
  <si>
    <t>1.363</t>
  </si>
  <si>
    <t>1.19877777778</t>
  </si>
  <si>
    <t>1.06772316689</t>
  </si>
  <si>
    <t>1.564</t>
  </si>
  <si>
    <t>1.27177777778</t>
  </si>
  <si>
    <t>1.09887019628</t>
  </si>
  <si>
    <t>1.645</t>
  </si>
  <si>
    <t>1.36094444444</t>
  </si>
  <si>
    <t>1.12713077641</t>
  </si>
  <si>
    <t>1.43616666667</t>
  </si>
  <si>
    <t>1.15263115211</t>
  </si>
  <si>
    <t>1.485</t>
  </si>
  <si>
    <t>1.17560305116</t>
  </si>
  <si>
    <t>1.50105555556</t>
  </si>
  <si>
    <t>1.19631181931</t>
  </si>
  <si>
    <t>1.47744444444</t>
  </si>
  <si>
    <t>1.21502048165</t>
  </si>
  <si>
    <t>1.23197308612</t>
  </si>
  <si>
    <t>1.24738824234</t>
  </si>
  <si>
    <t>1.26145790389</t>
  </si>
  <si>
    <t>1.27434870449</t>
  </si>
  <si>
    <t>1.28620440119</t>
  </si>
  <si>
    <t>0.0307</t>
  </si>
  <si>
    <t>0.05965</t>
  </si>
  <si>
    <t>0.0306</t>
  </si>
  <si>
    <t>0.02233114589</t>
  </si>
  <si>
    <t>0.0304</t>
  </si>
  <si>
    <t>0.05354</t>
  </si>
  <si>
    <t>0.0304222222222</t>
  </si>
  <si>
    <t>0.02356946836</t>
  </si>
  <si>
    <t>0.031</t>
  </si>
  <si>
    <t>0.04959</t>
  </si>
  <si>
    <t>0.0301444444444</t>
  </si>
  <si>
    <t>0.024863860646</t>
  </si>
  <si>
    <t>0.0321</t>
  </si>
  <si>
    <t>0.04094</t>
  </si>
  <si>
    <t>0.0299222222222</t>
  </si>
  <si>
    <t>0.02611417062</t>
  </si>
  <si>
    <t>0.0332</t>
  </si>
  <si>
    <t>0.04069</t>
  </si>
  <si>
    <t>0.0305222222222</t>
  </si>
  <si>
    <t>0.027275069916</t>
  </si>
  <si>
    <t>0.0342</t>
  </si>
  <si>
    <t>0.04299</t>
  </si>
  <si>
    <t>0.0325</t>
  </si>
  <si>
    <t>0.02833093128</t>
  </si>
  <si>
    <t>0.0351</t>
  </si>
  <si>
    <t>0.04424</t>
  </si>
  <si>
    <t>0.0352666666667</t>
  </si>
  <si>
    <t>0.02928115089</t>
  </si>
  <si>
    <t>0.0358</t>
  </si>
  <si>
    <t>0.0378333333333</t>
  </si>
  <si>
    <t>0.03013216201</t>
  </si>
  <si>
    <t>0.037</t>
  </si>
  <si>
    <t>0.0395888888889</t>
  </si>
  <si>
    <t>0.03089323139</t>
  </si>
  <si>
    <t>0.0378</t>
  </si>
  <si>
    <t>0.0402333333333</t>
  </si>
  <si>
    <t>0.03157431088</t>
  </si>
  <si>
    <t>0.0389</t>
  </si>
  <si>
    <t>0.0396777777778</t>
  </si>
  <si>
    <t>0.03218499037</t>
  </si>
  <si>
    <t>0.0394</t>
  </si>
  <si>
    <t>0.03273403544</t>
  </si>
  <si>
    <t>0.0397</t>
  </si>
  <si>
    <t>0.033229230415</t>
  </si>
  <si>
    <t>0.033677375574</t>
  </si>
  <si>
    <t>0.0393</t>
  </si>
  <si>
    <t>0.034084357067</t>
  </si>
  <si>
    <t>0.0388</t>
  </si>
  <si>
    <t>0.03445524583</t>
  </si>
  <si>
    <t>0.0382</t>
  </si>
  <si>
    <t>0.0375</t>
  </si>
  <si>
    <t>0.0367</t>
  </si>
  <si>
    <t>0.036</t>
  </si>
  <si>
    <t>=G124*3</t>
  </si>
  <si>
    <t>0.1765</t>
  </si>
  <si>
    <t>0.0918</t>
  </si>
  <si>
    <t>0.06699284875</t>
  </si>
  <si>
    <t>0.159</t>
  </si>
  <si>
    <t>0.0912666666667</t>
  </si>
  <si>
    <t>0.0707079728</t>
  </si>
  <si>
    <t>0.1477</t>
  </si>
  <si>
    <t>0.0904333333333</t>
  </si>
  <si>
    <t>0.074591290377</t>
  </si>
  <si>
    <t>0.1228</t>
  </si>
  <si>
    <t>0.0897666666667</t>
  </si>
  <si>
    <t>0.078342349117</t>
  </si>
  <si>
    <t>0.1223</t>
  </si>
  <si>
    <t>0.0915666666667</t>
  </si>
  <si>
    <t>0.081825165728</t>
  </si>
  <si>
    <t>0.1294</t>
  </si>
  <si>
    <t>0.0975</t>
  </si>
  <si>
    <t>0.08499285933</t>
  </si>
  <si>
    <t>0.1332</t>
  </si>
  <si>
    <t>0.1058</t>
  </si>
  <si>
    <t>0.08784361889</t>
  </si>
  <si>
    <t>0.1135</t>
  </si>
  <si>
    <t>0.09039674466</t>
  </si>
  <si>
    <t>0.118766666667</t>
  </si>
  <si>
    <t>0.09268003726</t>
  </si>
  <si>
    <t>0.1207</t>
  </si>
  <si>
    <t>0.09472335263</t>
  </si>
  <si>
    <t>0.119033333333</t>
  </si>
  <si>
    <t>0.0965554609</t>
  </si>
  <si>
    <t>0.09820265936</t>
  </si>
  <si>
    <t>0.099688301443</t>
  </si>
  <si>
    <t>0.101032788499</t>
  </si>
  <si>
    <t>0.102253779453</t>
  </si>
  <si>
    <t>0.103366487564</t>
  </si>
  <si>
    <t>=G124*5</t>
  </si>
  <si>
    <t>0.153</t>
  </si>
  <si>
    <t>0.11165177667</t>
  </si>
  <si>
    <t>0.2587</t>
  </si>
  <si>
    <t>0.152111111111</t>
  </si>
  <si>
    <t>0.11784383018</t>
  </si>
  <si>
    <t>0.2421</t>
  </si>
  <si>
    <t>0.150722222222</t>
  </si>
  <si>
    <t>0.124316126029</t>
  </si>
  <si>
    <t>0.2045</t>
  </si>
  <si>
    <t>0.149611111111</t>
  </si>
  <si>
    <t>0.130567936904</t>
  </si>
  <si>
    <t>0.2046</t>
  </si>
  <si>
    <t>0.152611111111</t>
  </si>
  <si>
    <t>0.136372642958</t>
  </si>
  <si>
    <t>0.217</t>
  </si>
  <si>
    <t>0.1625</t>
  </si>
  <si>
    <t>0.14165212264</t>
  </si>
  <si>
    <t>0.2235</t>
  </si>
  <si>
    <t>0.176333333333</t>
  </si>
  <si>
    <t>0.14640336661</t>
  </si>
  <si>
    <t>0.189166666667</t>
  </si>
  <si>
    <t>0.15065854803</t>
  </si>
  <si>
    <t>0.197944444444</t>
  </si>
  <si>
    <t>0.15446400527</t>
  </si>
  <si>
    <t>0.201166666667</t>
  </si>
  <si>
    <t>0.15786950077</t>
  </si>
  <si>
    <t>0.198388888889</t>
  </si>
  <si>
    <t>0.16092298636</t>
  </si>
  <si>
    <t>0.16366829178</t>
  </si>
  <si>
    <t>0.166144339897</t>
  </si>
  <si>
    <t>0.168385133184</t>
  </si>
  <si>
    <t>0.170420103191</t>
  </si>
  <si>
    <t>0.172274605248</t>
  </si>
  <si>
    <t>0.391</t>
  </si>
  <si>
    <t>0.39</t>
  </si>
  <si>
    <t>0.4241</t>
  </si>
  <si>
    <t>0.49285397318</t>
  </si>
  <si>
    <t>0.431</t>
  </si>
  <si>
    <t>0.3899</t>
  </si>
  <si>
    <t>0.4268</t>
  </si>
  <si>
    <t>0.53733881227</t>
  </si>
  <si>
    <t>0.484</t>
  </si>
  <si>
    <t>0.4357</t>
  </si>
  <si>
    <t>0.571084796305</t>
  </si>
  <si>
    <t>0.523</t>
  </si>
  <si>
    <t>0.4544</t>
  </si>
  <si>
    <t>0.4652</t>
  </si>
  <si>
    <t>0.595591920104</t>
  </si>
  <si>
    <t>0.548</t>
  </si>
  <si>
    <t>0.5661</t>
  </si>
  <si>
    <t>0.5232</t>
  </si>
  <si>
    <t>0.612759568671</t>
  </si>
  <si>
    <t>0.563</t>
  </si>
  <si>
    <t>0.623</t>
  </si>
  <si>
    <t>0.5815</t>
  </si>
  <si>
    <t>0.62430933935</t>
  </si>
  <si>
    <t>0.572</t>
  </si>
  <si>
    <t>0.6219</t>
  </si>
  <si>
    <t>0.61</t>
  </si>
  <si>
    <t>0.63163933874</t>
  </si>
  <si>
    <t>0.577</t>
  </si>
  <si>
    <t>0.609</t>
  </si>
  <si>
    <t>0.63583320804</t>
  </si>
  <si>
    <t>0.5971</t>
  </si>
  <si>
    <t>0.63771328463</t>
  </si>
  <si>
    <t>0.5865</t>
  </si>
  <si>
    <t>0.63789791005</t>
  </si>
  <si>
    <t>0.579</t>
  </si>
  <si>
    <t>0.5725</t>
  </si>
  <si>
    <t>0.63685055376</t>
  </si>
  <si>
    <t>0.578</t>
  </si>
  <si>
    <t>0.63491854162</t>
  </si>
  <si>
    <t>0.632362476588</t>
  </si>
  <si>
    <t>0.576</t>
  </si>
  <si>
    <t>0.629378209519</t>
  </si>
  <si>
    <t>0.574</t>
  </si>
  <si>
    <t>0.626113129606</t>
  </si>
  <si>
    <t>0.622678221987</t>
  </si>
  <si>
    <t>0.568</t>
  </si>
  <si>
    <t>0.564</t>
  </si>
  <si>
    <t>0.56</t>
  </si>
  <si>
    <t>0.556</t>
  </si>
  <si>
    <t>0.111</t>
  </si>
  <si>
    <t>0.108444444444</t>
  </si>
  <si>
    <t>0.113</t>
  </si>
  <si>
    <t>0.107477777778</t>
  </si>
  <si>
    <t>0.119</t>
  </si>
  <si>
    <t>0.107911111111</t>
  </si>
  <si>
    <t>0.124</t>
  </si>
  <si>
    <t>0.1136</t>
  </si>
  <si>
    <t>0.128</t>
  </si>
  <si>
    <t>0.1244</t>
  </si>
  <si>
    <t>0.131</t>
  </si>
  <si>
    <t>0.134155555556</t>
  </si>
  <si>
    <t>0.133</t>
  </si>
  <si>
    <t>0.139711111111</t>
  </si>
  <si>
    <t>0.135</t>
  </si>
  <si>
    <t>0.141333333333</t>
  </si>
  <si>
    <t>0.137</t>
  </si>
  <si>
    <t>0.138344444444</t>
  </si>
  <si>
    <t>0.130044444444</t>
  </si>
  <si>
    <t>0.117777777778</t>
  </si>
  <si>
    <t>0.134</t>
  </si>
  <si>
    <t>0.125</t>
  </si>
  <si>
    <t>0.114</t>
  </si>
  <si>
    <t>0.109</t>
  </si>
  <si>
    <t>0.105</t>
  </si>
  <si>
    <t>0.101</t>
  </si>
  <si>
    <t>0.0981</t>
  </si>
  <si>
    <t>0.325333333333</t>
  </si>
  <si>
    <t>0.339</t>
  </si>
  <si>
    <t>0.322433333333</t>
  </si>
  <si>
    <t>0.357</t>
  </si>
  <si>
    <t>0.323733333333</t>
  </si>
  <si>
    <t>0.372</t>
  </si>
  <si>
    <t>0.3408</t>
  </si>
  <si>
    <t>0.384</t>
  </si>
  <si>
    <t>0.3732</t>
  </si>
  <si>
    <t>0.393</t>
  </si>
  <si>
    <t>0.402466666667</t>
  </si>
  <si>
    <t>0.399</t>
  </si>
  <si>
    <t>0.419133333333</t>
  </si>
  <si>
    <t>0.405</t>
  </si>
  <si>
    <t>0.424</t>
  </si>
  <si>
    <t>0.411</t>
  </si>
  <si>
    <t>0.415033333333</t>
  </si>
  <si>
    <t>0.390133333333</t>
  </si>
  <si>
    <t>0.353333333333</t>
  </si>
  <si>
    <t>0.402</t>
  </si>
  <si>
    <t>0.375</t>
  </si>
  <si>
    <t>0.342</t>
  </si>
  <si>
    <t>0.303</t>
  </si>
  <si>
    <t>0.2943</t>
  </si>
  <si>
    <t>0.555</t>
  </si>
  <si>
    <t>0.542222222222</t>
  </si>
  <si>
    <t>0.565</t>
  </si>
  <si>
    <t>0.537388888889</t>
  </si>
  <si>
    <t>0.595</t>
  </si>
  <si>
    <t>0.539555555556</t>
  </si>
  <si>
    <t>0.62</t>
  </si>
  <si>
    <t>0.64</t>
  </si>
  <si>
    <t>0.622</t>
  </si>
  <si>
    <t>0.655</t>
  </si>
  <si>
    <t>0.670777777778</t>
  </si>
  <si>
    <t>0.665</t>
  </si>
  <si>
    <t>0.698555555556</t>
  </si>
  <si>
    <t>0.675</t>
  </si>
  <si>
    <t>0.706666666667</t>
  </si>
  <si>
    <t>0.685</t>
  </si>
  <si>
    <t>0.691722222222</t>
  </si>
  <si>
    <t>0.650222222222</t>
  </si>
  <si>
    <t>0.588888888889</t>
  </si>
  <si>
    <t>0.67</t>
  </si>
  <si>
    <t>0.625</t>
  </si>
  <si>
    <t>0.57</t>
  </si>
  <si>
    <t>0.545</t>
  </si>
  <si>
    <t>0.525</t>
  </si>
  <si>
    <t>0.505</t>
  </si>
  <si>
    <t>0.4905</t>
  </si>
  <si>
    <t>Collision Strengths for O III</t>
  </si>
  <si>
    <t>Link</t>
  </si>
  <si>
    <t>http://bit.ly/1gJ1SY5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</si>
</sst>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true"/>
    <xf numFmtId="0" fontId="2" fillId="0" borderId="0" xfId="0" applyFont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3" fillId="0" borderId="0" xfId="0" applyFont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" fillId="0" borderId="0" xfId="0" applyFont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5" fillId="0" borderId="0" xfId="0" applyFont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.90625" customWidth="true" bestFit="true"/>
    <col min="2" max="2" width="3.70703125" customWidth="true" bestFit="true"/>
    <col min="3" max="3" width="4.8828125" customWidth="true" bestFit="true"/>
    <col min="4" max="4" width="9.65625" customWidth="true" bestFit="true"/>
    <col min="5" max="5" width="5.7109375" customWidth="true" bestFit="true"/>
    <col min="6" max="6" width="5.25" customWidth="true" bestFit="true"/>
    <col min="7" max="7" width="3.7421875" customWidth="true" bestFit="true"/>
    <col min="8" max="8" width="3.7421875" customWidth="true" bestFit="true"/>
    <col min="9" max="9" width="3.76953125" customWidth="true" bestFit="true"/>
    <col min="10" max="10" width="14.91796875" customWidth="true" bestFit="true"/>
    <col min="11" max="11" width="14.91796875" customWidth="true" bestFit="true"/>
    <col min="12" max="12" width="14.86328125" customWidth="true" bestFit="true"/>
  </cols>
  <sheetData>
    <row r="1">
      <c r="A1" t="s" s="2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>
      <c r="A2" t="s" s="3">
        <v>1</v>
      </c>
      <c r="B2" t="s" s="4">
        <v>1</v>
      </c>
      <c r="C2" t="s" s="5">
        <v>1</v>
      </c>
      <c r="D2" t="s" s="6">
        <v>1</v>
      </c>
      <c r="E2" t="s" s="7">
        <v>1</v>
      </c>
      <c r="F2" t="s" s="8">
        <v>1</v>
      </c>
      <c r="G2" t="s" s="9">
        <v>1</v>
      </c>
      <c r="H2" t="s" s="10">
        <v>1</v>
      </c>
      <c r="I2" t="s" s="11">
        <v>1</v>
      </c>
      <c r="J2" t="s" s="12">
        <v>2</v>
      </c>
      <c r="K2" t="s" s="13">
        <v>3</v>
      </c>
      <c r="L2" t="s" s="14">
        <v>4</v>
      </c>
    </row>
    <row r="3">
      <c r="A3" t="s" s="15">
        <v>5</v>
      </c>
      <c r="B3" t="s" s="16">
        <v>6</v>
      </c>
      <c r="C3" t="s" s="17">
        <v>7</v>
      </c>
      <c r="D3" t="s" s="18">
        <v>8</v>
      </c>
      <c r="E3" t="s" s="19">
        <v>9</v>
      </c>
      <c r="F3" t="s" s="20">
        <v>10</v>
      </c>
      <c r="G3" t="s" s="21">
        <v>11</v>
      </c>
      <c r="H3" t="s" s="22">
        <v>12</v>
      </c>
      <c r="I3" t="s" s="23">
        <v>13</v>
      </c>
      <c r="J3" t="s" s="24">
        <v>14</v>
      </c>
      <c r="K3" t="s" s="25">
        <v>14</v>
      </c>
      <c r="L3" t="s" s="26">
        <v>14</v>
      </c>
    </row>
    <row r="4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17</v>
      </c>
      <c r="H4" t="s">
        <v>21</v>
      </c>
      <c r="I4" t="s">
        <v>21</v>
      </c>
      <c r="J4" t="s" s="1">
        <f>HYPERLINK("http://141.218.60.56/~jnz1568/discussion.php?&amp;Z=8&amp;N=6&amp;Sheet=0&amp;Row=3&amp;Col=9","0")</f>
      </c>
      <c r="K4" t="s" s="1">
        <f>HYPERLINK("http://141.218.60.56/~jnz1568/discussion.php?&amp;Z=8&amp;N=6&amp;Sheet=0&amp;Row=3&amp;Col=10","0")</f>
      </c>
      <c r="L4" t="s" s="1">
        <f>HYPERLINK("http://141.218.60.56/~jnz1568/discussion.php?&amp;Z=8&amp;N=6&amp;Sheet=0&amp;Row=3&amp;Col=11","0")</f>
      </c>
    </row>
    <row r="5">
      <c r="A5" t="s">
        <v>15</v>
      </c>
      <c r="B5" t="s">
        <v>16</v>
      </c>
      <c r="C5" t="s">
        <v>23</v>
      </c>
      <c r="D5" t="s">
        <v>18</v>
      </c>
      <c r="E5" t="s">
        <v>19</v>
      </c>
      <c r="F5" t="s">
        <v>20</v>
      </c>
      <c r="G5" t="s">
        <v>17</v>
      </c>
      <c r="H5" t="s">
        <v>21</v>
      </c>
      <c r="I5" t="s">
        <v>17</v>
      </c>
      <c r="J5" t="s" s="1">
        <f>HYPERLINK("http://141.218.60.56/~jnz1568/discussion.php?&amp;Z=8&amp;N=6&amp;Sheet=0&amp;Row=4&amp;Col=9","113.177580532")</f>
      </c>
      <c r="K5" t="s" s="1">
        <f>HYPERLINK("http://141.218.60.56/~jnz1568/discussion.php?&amp;Z=8&amp;N=6&amp;Sheet=0&amp;Row=4&amp;Col=10","113.369995543")</f>
      </c>
      <c r="L5" t="s" s="1">
        <f>HYPERLINK("http://141.218.60.56/~jnz1568/discussion.php?&amp;Z=8&amp;N=6&amp;Sheet=0&amp;Row=4&amp;Col=11","0")</f>
      </c>
    </row>
    <row r="6">
      <c r="A6" t="s">
        <v>15</v>
      </c>
      <c r="B6" t="s">
        <v>16</v>
      </c>
      <c r="C6" t="s">
        <v>20</v>
      </c>
      <c r="D6" t="s">
        <v>18</v>
      </c>
      <c r="E6" t="s">
        <v>19</v>
      </c>
      <c r="F6" t="s">
        <v>20</v>
      </c>
      <c r="G6" t="s">
        <v>17</v>
      </c>
      <c r="H6" t="s">
        <v>21</v>
      </c>
      <c r="I6" t="s">
        <v>23</v>
      </c>
      <c r="J6" t="s" s="1">
        <f>HYPERLINK("http://141.218.60.56/~jnz1568/discussion.php?&amp;Z=8&amp;N=6&amp;Sheet=0&amp;Row=5&amp;Col=9","306.173695001")</f>
      </c>
      <c r="K6" t="s" s="1">
        <f>HYPERLINK("http://141.218.60.56/~jnz1568/discussion.php?&amp;Z=8&amp;N=6&amp;Sheet=0&amp;Row=5&amp;Col=10","305.599987985")</f>
      </c>
      <c r="L6" t="s" s="1">
        <f>HYPERLINK("http://141.218.60.56/~jnz1568/discussion.php?&amp;Z=8&amp;N=6&amp;Sheet=0&amp;Row=5&amp;Col=11","0")</f>
      </c>
    </row>
    <row r="7">
      <c r="A7" t="s">
        <v>15</v>
      </c>
      <c r="B7" t="s">
        <v>16</v>
      </c>
      <c r="C7" t="s">
        <v>28</v>
      </c>
      <c r="D7" t="s">
        <v>18</v>
      </c>
      <c r="E7" t="s">
        <v>29</v>
      </c>
      <c r="F7" t="s">
        <v>17</v>
      </c>
      <c r="G7" t="s">
        <v>23</v>
      </c>
      <c r="H7" t="s">
        <v>21</v>
      </c>
      <c r="I7" t="s">
        <v>23</v>
      </c>
      <c r="J7" t="s" s="1">
        <f>HYPERLINK("http://141.218.60.56/~jnz1568/discussion.php?&amp;Z=8&amp;N=6&amp;Sheet=0&amp;Row=6&amp;Col=9","20273.2667541")</f>
      </c>
      <c r="K7" t="s" s="1">
        <f>HYPERLINK("http://141.218.60.56/~jnz1568/discussion.php?&amp;Z=8&amp;N=6&amp;Sheet=0&amp;Row=6&amp;Col=10","20369.3491991")</f>
      </c>
      <c r="L7" t="s" s="1">
        <f>HYPERLINK("http://141.218.60.56/~jnz1568/discussion.php?&amp;Z=8&amp;N=6&amp;Sheet=0&amp;Row=6&amp;Col=11","23132.6261465")</f>
      </c>
    </row>
    <row r="8">
      <c r="A8" t="s">
        <v>15</v>
      </c>
      <c r="B8" t="s">
        <v>16</v>
      </c>
      <c r="C8" t="s">
        <v>33</v>
      </c>
      <c r="D8" t="s">
        <v>18</v>
      </c>
      <c r="E8" t="s">
        <v>34</v>
      </c>
      <c r="F8" t="s">
        <v>17</v>
      </c>
      <c r="G8" t="s">
        <v>21</v>
      </c>
      <c r="H8" t="s">
        <v>21</v>
      </c>
      <c r="I8" t="s">
        <v>21</v>
      </c>
      <c r="J8" t="s" s="1">
        <f>HYPERLINK("http://141.218.60.56/~jnz1568/discussion.php?&amp;Z=8&amp;N=6&amp;Sheet=0&amp;Row=7&amp;Col=9","43185.7378978")</f>
      </c>
      <c r="K8" t="s" s="1">
        <f>HYPERLINK("http://141.218.60.56/~jnz1568/discussion.php?&amp;Z=8&amp;N=6&amp;Sheet=0&amp;Row=7&amp;Col=10","43278.1382984")</f>
      </c>
      <c r="L8" t="s" s="1">
        <f>HYPERLINK("http://141.218.60.56/~jnz1568/discussion.php?&amp;Z=8&amp;N=6&amp;Sheet=0&amp;Row=7&amp;Col=11","50138.9795367")</f>
      </c>
    </row>
    <row r="9">
      <c r="A9" t="s">
        <v>15</v>
      </c>
      <c r="B9" t="s">
        <v>16</v>
      </c>
      <c r="C9" t="s">
        <v>16</v>
      </c>
      <c r="D9" t="s">
        <v>38</v>
      </c>
      <c r="E9" t="s">
        <v>39</v>
      </c>
      <c r="F9" t="s">
        <v>33</v>
      </c>
      <c r="G9" t="s">
        <v>21</v>
      </c>
      <c r="H9" t="s">
        <v>17</v>
      </c>
      <c r="I9" t="s">
        <v>23</v>
      </c>
      <c r="J9" t="s" s="1">
        <f>HYPERLINK("http://141.218.60.56/~jnz1568/discussion.php?&amp;Z=8&amp;N=6&amp;Sheet=0&amp;Row=8&amp;Col=9","60324.7862048")</f>
      </c>
      <c r="K9" t="s" s="1">
        <f>HYPERLINK("http://141.218.60.56/~jnz1568/discussion.php?&amp;Z=8&amp;N=6&amp;Sheet=0&amp;Row=8&amp;Col=10","60531.58762")</f>
      </c>
      <c r="L9" t="s" s="1">
        <f>HYPERLINK("http://141.218.60.56/~jnz1568/discussion.php?&amp;Z=8&amp;N=6&amp;Sheet=0&amp;Row=8&amp;Col=11","58522.910455")</f>
      </c>
    </row>
    <row r="10">
      <c r="A10" t="s">
        <v>15</v>
      </c>
      <c r="B10" t="s">
        <v>16</v>
      </c>
      <c r="C10" t="s">
        <v>43</v>
      </c>
      <c r="D10" t="s">
        <v>38</v>
      </c>
      <c r="E10" t="s">
        <v>44</v>
      </c>
      <c r="F10" t="s">
        <v>20</v>
      </c>
      <c r="G10" t="s">
        <v>23</v>
      </c>
      <c r="H10" t="s">
        <v>17</v>
      </c>
      <c r="I10" t="s">
        <v>20</v>
      </c>
      <c r="J10" t="s" s="1">
        <f>HYPERLINK("http://141.218.60.56/~jnz1568/discussion.php?&amp;Z=8&amp;N=6&amp;Sheet=0&amp;Row=9&amp;Col=9","120025.189031")</f>
      </c>
      <c r="K10" t="s" s="1">
        <f>HYPERLINK("http://141.218.60.56/~jnz1568/discussion.php?&amp;Z=8&amp;N=6&amp;Sheet=0&amp;Row=9&amp;Col=10","120464.395264")</f>
      </c>
      <c r="L10" t="s" s="1">
        <f>HYPERLINK("http://141.218.60.56/~jnz1568/discussion.php?&amp;Z=8&amp;N=6&amp;Sheet=0&amp;Row=9&amp;Col=11","122708.266399")</f>
      </c>
    </row>
    <row r="11">
      <c r="A11" t="s">
        <v>15</v>
      </c>
      <c r="B11" t="s">
        <v>16</v>
      </c>
      <c r="C11" t="s">
        <v>15</v>
      </c>
      <c r="D11" t="s">
        <v>38</v>
      </c>
      <c r="E11" t="s">
        <v>44</v>
      </c>
      <c r="F11" t="s">
        <v>20</v>
      </c>
      <c r="G11" t="s">
        <v>23</v>
      </c>
      <c r="H11" t="s">
        <v>17</v>
      </c>
      <c r="I11" t="s">
        <v>23</v>
      </c>
      <c r="J11" t="s" s="1">
        <f>HYPERLINK("http://141.218.60.56/~jnz1568/discussion.php?&amp;Z=8&amp;N=6&amp;Sheet=0&amp;Row=10&amp;Col=9","120053.391521")</f>
      </c>
      <c r="K11" t="s" s="1">
        <f>HYPERLINK("http://141.218.60.56/~jnz1568/discussion.php?&amp;Z=8&amp;N=6&amp;Sheet=0&amp;Row=10&amp;Col=10","120492.195263")</f>
      </c>
      <c r="L11" t="s" s="1">
        <f>HYPERLINK("http://141.218.60.56/~jnz1568/discussion.php?&amp;Z=8&amp;N=6&amp;Sheet=0&amp;Row=10&amp;Col=11","122708.266399")</f>
      </c>
    </row>
    <row r="12">
      <c r="A12" t="s">
        <v>15</v>
      </c>
      <c r="B12" t="s">
        <v>16</v>
      </c>
      <c r="C12" t="s">
        <v>50</v>
      </c>
      <c r="D12" t="s">
        <v>38</v>
      </c>
      <c r="E12" t="s">
        <v>44</v>
      </c>
      <c r="F12" t="s">
        <v>20</v>
      </c>
      <c r="G12" t="s">
        <v>23</v>
      </c>
      <c r="H12" t="s">
        <v>17</v>
      </c>
      <c r="I12" t="s">
        <v>17</v>
      </c>
      <c r="J12" t="s" s="1">
        <f>HYPERLINK("http://141.218.60.56/~jnz1568/discussion.php?&amp;Z=8&amp;N=6&amp;Sheet=0&amp;Row=11&amp;Col=9","120058.219963")</f>
      </c>
      <c r="K12" t="s" s="1">
        <f>HYPERLINK("http://141.218.60.56/~jnz1568/discussion.php?&amp;Z=8&amp;N=6&amp;Sheet=0&amp;Row=11&amp;Col=10","120497.695262")</f>
      </c>
      <c r="L12" t="s" s="1">
        <f>HYPERLINK("http://141.218.60.56/~jnz1568/discussion.php?&amp;Z=8&amp;N=6&amp;Sheet=0&amp;Row=11&amp;Col=11","122708.266399")</f>
      </c>
    </row>
    <row r="13">
      <c r="A13" t="s">
        <v>15</v>
      </c>
      <c r="B13" t="s">
        <v>16</v>
      </c>
      <c r="C13" t="s">
        <v>53</v>
      </c>
      <c r="D13" t="s">
        <v>38</v>
      </c>
      <c r="E13" t="s">
        <v>54</v>
      </c>
      <c r="F13" t="s">
        <v>20</v>
      </c>
      <c r="G13" t="s">
        <v>17</v>
      </c>
      <c r="H13" t="s">
        <v>17</v>
      </c>
      <c r="I13" t="s">
        <v>23</v>
      </c>
      <c r="J13" t="s" s="1">
        <f>HYPERLINK("http://141.218.60.56/~jnz1568/discussion.php?&amp;Z=8&amp;N=6&amp;Sheet=0&amp;Row=12&amp;Col=9","142380.98472")</f>
      </c>
      <c r="K13" t="s" s="1">
        <f>HYPERLINK("http://141.218.60.56/~jnz1568/discussion.php?&amp;Z=8&amp;N=6&amp;Sheet=0&amp;Row=12&amp;Col=10","142903.294381")</f>
      </c>
      <c r="L13" t="s" s="1">
        <f>HYPERLINK("http://141.218.60.56/~jnz1568/discussion.php?&amp;Z=8&amp;N=6&amp;Sheet=0&amp;Row=12&amp;Col=11","148694.062754")</f>
      </c>
    </row>
    <row r="14">
      <c r="A14" t="s">
        <v>15</v>
      </c>
      <c r="B14" t="s">
        <v>16</v>
      </c>
      <c r="C14" t="s">
        <v>58</v>
      </c>
      <c r="D14" t="s">
        <v>38</v>
      </c>
      <c r="E14" t="s">
        <v>54</v>
      </c>
      <c r="F14" t="s">
        <v>20</v>
      </c>
      <c r="G14" t="s">
        <v>17</v>
      </c>
      <c r="H14" t="s">
        <v>17</v>
      </c>
      <c r="I14" t="s">
        <v>17</v>
      </c>
      <c r="J14" t="s" s="1">
        <f>HYPERLINK("http://141.218.60.56/~jnz1568/discussion.php?&amp;Z=8&amp;N=6&amp;Sheet=0&amp;Row=13&amp;Col=9","142381.752881")</f>
      </c>
      <c r="K14" t="s" s="1">
        <f>HYPERLINK("http://141.218.60.56/~jnz1568/discussion.php?&amp;Z=8&amp;N=6&amp;Sheet=0&amp;Row=13&amp;Col=10","142905.294381")</f>
      </c>
      <c r="L14" t="s" s="1">
        <f>HYPERLINK("http://141.218.60.56/~jnz1568/discussion.php?&amp;Z=8&amp;N=6&amp;Sheet=0&amp;Row=13&amp;Col=11","148694.062754")</f>
      </c>
    </row>
    <row r="15">
      <c r="A15" t="s">
        <v>15</v>
      </c>
      <c r="B15" t="s">
        <v>16</v>
      </c>
      <c r="C15" t="s">
        <v>61</v>
      </c>
      <c r="D15" t="s">
        <v>38</v>
      </c>
      <c r="E15" t="s">
        <v>54</v>
      </c>
      <c r="F15" t="s">
        <v>20</v>
      </c>
      <c r="G15" t="s">
        <v>17</v>
      </c>
      <c r="H15" t="s">
        <v>17</v>
      </c>
      <c r="I15" t="s">
        <v>21</v>
      </c>
      <c r="J15" t="s" s="1">
        <f>HYPERLINK("http://141.218.60.56/~jnz1568/discussion.php?&amp;Z=8&amp;N=6&amp;Sheet=0&amp;Row=14&amp;Col=9","142393.494774")</f>
      </c>
      <c r="K15" t="s" s="1">
        <f>HYPERLINK("http://141.218.60.56/~jnz1568/discussion.php?&amp;Z=8&amp;N=6&amp;Sheet=0&amp;Row=14&amp;Col=10","142919.294381")</f>
      </c>
      <c r="L15" t="s" s="1">
        <f>HYPERLINK("http://141.218.60.56/~jnz1568/discussion.php?&amp;Z=8&amp;N=6&amp;Sheet=0&amp;Row=14&amp;Col=11","148694.062754")</f>
      </c>
    </row>
    <row r="16">
      <c r="A16" t="s">
        <v>15</v>
      </c>
      <c r="B16" t="s">
        <v>16</v>
      </c>
      <c r="C16" t="s">
        <v>64</v>
      </c>
      <c r="D16" t="s">
        <v>38</v>
      </c>
      <c r="E16" t="s">
        <v>65</v>
      </c>
      <c r="F16" t="s">
        <v>17</v>
      </c>
      <c r="G16" t="s">
        <v>23</v>
      </c>
      <c r="H16" t="s">
        <v>17</v>
      </c>
      <c r="I16" t="s">
        <v>23</v>
      </c>
      <c r="J16" t="s" s="1">
        <f>HYPERLINK("http://141.218.60.56/~jnz1568/discussion.php?&amp;Z=8&amp;N=6&amp;Sheet=0&amp;Row=15&amp;Col=9","187053.948562")</f>
      </c>
      <c r="K16" t="s" s="1">
        <f>HYPERLINK("http://141.218.60.56/~jnz1568/discussion.php?&amp;Z=8&amp;N=6&amp;Sheet=0&amp;Row=15&amp;Col=10","187666.292621")</f>
      </c>
      <c r="L16" t="s" s="1">
        <f>HYPERLINK("http://141.218.60.56/~jnz1568/discussion.php?&amp;Z=8&amp;N=6&amp;Sheet=0&amp;Row=15&amp;Col=11","192490.225444")</f>
      </c>
    </row>
    <row r="17">
      <c r="A17" t="s">
        <v>15</v>
      </c>
      <c r="B17" t="s">
        <v>16</v>
      </c>
      <c r="C17" t="s">
        <v>69</v>
      </c>
      <c r="D17" t="s">
        <v>38</v>
      </c>
      <c r="E17" t="s">
        <v>70</v>
      </c>
      <c r="F17" t="s">
        <v>20</v>
      </c>
      <c r="G17" t="s">
        <v>21</v>
      </c>
      <c r="H17" t="s">
        <v>17</v>
      </c>
      <c r="I17" t="s">
        <v>17</v>
      </c>
      <c r="J17" t="s" s="1">
        <f>HYPERLINK("http://141.218.60.56/~jnz1568/discussion.php?&amp;Z=8&amp;N=6&amp;Sheet=0&amp;Row=16&amp;Col=9","197087.670284")</f>
      </c>
      <c r="K17" t="s" s="1">
        <f>HYPERLINK("http://141.218.60.56/~jnz1568/discussion.php?&amp;Z=8&amp;N=6&amp;Sheet=0&amp;Row=16&amp;Col=10","197581.192232")</f>
      </c>
      <c r="L17" t="s" s="1">
        <f>HYPERLINK("http://141.218.60.56/~jnz1568/discussion.php?&amp;Z=8&amp;N=6&amp;Sheet=0&amp;Row=16&amp;Col=11","201554.527719")</f>
      </c>
    </row>
    <row r="18">
      <c r="A18" t="s">
        <v>15</v>
      </c>
      <c r="B18" t="s">
        <v>16</v>
      </c>
      <c r="C18" t="s">
        <v>74</v>
      </c>
      <c r="D18" t="s">
        <v>38</v>
      </c>
      <c r="E18" t="s">
        <v>75</v>
      </c>
      <c r="F18" t="s">
        <v>17</v>
      </c>
      <c r="G18" t="s">
        <v>17</v>
      </c>
      <c r="H18" t="s">
        <v>17</v>
      </c>
      <c r="I18" t="s">
        <v>17</v>
      </c>
      <c r="J18" t="s" s="1">
        <f>HYPERLINK("http://141.218.60.56/~jnz1568/discussion.php?&amp;Z=8&amp;N=6&amp;Sheet=0&amp;Row=17&amp;Col=9","210461.795896")</f>
      </c>
      <c r="K18" t="s" s="1">
        <f>HYPERLINK("http://141.218.60.56/~jnz1568/discussion.php?&amp;Z=8&amp;N=6&amp;Sheet=0&amp;Row=17&amp;Col=10","211184.391697")</f>
      </c>
      <c r="L18" t="s" s="1">
        <f>HYPERLINK("http://141.218.60.56/~jnz1568/discussion.php?&amp;Z=8&amp;N=6&amp;Sheet=0&amp;Row=17&amp;Col=11","220813.426622")</f>
      </c>
    </row>
    <row r="19">
      <c r="A19" t="s">
        <v>15</v>
      </c>
      <c r="B19" t="s">
        <v>16</v>
      </c>
      <c r="C19" t="s">
        <v>79</v>
      </c>
      <c r="D19" t="s">
        <v>80</v>
      </c>
      <c r="E19" t="s">
        <v>54</v>
      </c>
      <c r="F19" t="s">
        <v>20</v>
      </c>
      <c r="G19" t="s">
        <v>17</v>
      </c>
      <c r="H19" t="s">
        <v>17</v>
      </c>
      <c r="I19" t="s">
        <v>21</v>
      </c>
      <c r="J19" t="s" s="1">
        <f>HYPERLINK("http://141.218.60.56/~jnz1568/discussion.php?&amp;Z=8&amp;N=6&amp;Sheet=0&amp;Row=18&amp;Col=9","267258.713955")</f>
      </c>
      <c r="K19" t="s" s="1">
        <f>HYPERLINK("http://141.218.60.56/~jnz1568/discussion.php?&amp;Z=8&amp;N=6&amp;Sheet=0&amp;Row=18&amp;Col=10","267841.989469")</f>
      </c>
      <c r="L19" t="s" s="1">
        <f>HYPERLINK("http://141.218.60.56/~jnz1568/discussion.php?&amp;Z=8&amp;N=6&amp;Sheet=0&amp;Row=18&amp;Col=11","273970.18234")</f>
      </c>
    </row>
    <row r="20">
      <c r="A20" t="s">
        <v>15</v>
      </c>
      <c r="B20" t="s">
        <v>16</v>
      </c>
      <c r="C20" t="s">
        <v>84</v>
      </c>
      <c r="D20" t="s">
        <v>80</v>
      </c>
      <c r="E20" t="s">
        <v>54</v>
      </c>
      <c r="F20" t="s">
        <v>20</v>
      </c>
      <c r="G20" t="s">
        <v>17</v>
      </c>
      <c r="H20" t="s">
        <v>17</v>
      </c>
      <c r="I20" t="s">
        <v>17</v>
      </c>
      <c r="J20" t="s" s="1">
        <f>HYPERLINK("http://141.218.60.56/~jnz1568/discussion.php?&amp;Z=8&amp;N=6&amp;Sheet=0&amp;Row=19&amp;Col=9","267377.109545")</f>
      </c>
      <c r="K20" t="s" s="1">
        <f>HYPERLINK("http://141.218.60.56/~jnz1568/discussion.php?&amp;Z=8&amp;N=6&amp;Sheet=0&amp;Row=19&amp;Col=10","267960.089464")</f>
      </c>
      <c r="L20" t="s" s="1">
        <f>HYPERLINK("http://141.218.60.56/~jnz1568/discussion.php?&amp;Z=8&amp;N=6&amp;Sheet=0&amp;Row=19&amp;Col=11","273970.18234")</f>
      </c>
    </row>
    <row r="21">
      <c r="A21" t="s">
        <v>15</v>
      </c>
      <c r="B21" t="s">
        <v>16</v>
      </c>
      <c r="C21" t="s">
        <v>87</v>
      </c>
      <c r="D21" t="s">
        <v>80</v>
      </c>
      <c r="E21" t="s">
        <v>54</v>
      </c>
      <c r="F21" t="s">
        <v>20</v>
      </c>
      <c r="G21" t="s">
        <v>17</v>
      </c>
      <c r="H21" t="s">
        <v>17</v>
      </c>
      <c r="I21" t="s">
        <v>23</v>
      </c>
      <c r="J21" t="s" s="1">
        <f>HYPERLINK("http://141.218.60.56/~jnz1568/discussion.php?&amp;Z=8&amp;N=6&amp;Sheet=0&amp;Row=20&amp;Col=9","267634.004601")</f>
      </c>
      <c r="K21" t="s" s="1">
        <f>HYPERLINK("http://141.218.60.56/~jnz1568/discussion.php?&amp;Z=8&amp;N=6&amp;Sheet=0&amp;Row=20&amp;Col=10","268215.989454")</f>
      </c>
      <c r="L21" t="s" s="1">
        <f>HYPERLINK("http://141.218.60.56/~jnz1568/discussion.php?&amp;Z=8&amp;N=6&amp;Sheet=0&amp;Row=20&amp;Col=11","273970.18234")</f>
      </c>
    </row>
    <row r="22">
      <c r="A22" t="s">
        <v>15</v>
      </c>
      <c r="B22" t="s">
        <v>16</v>
      </c>
      <c r="C22" t="s">
        <v>90</v>
      </c>
      <c r="D22" t="s">
        <v>80</v>
      </c>
      <c r="E22" t="s">
        <v>75</v>
      </c>
      <c r="F22" t="s">
        <v>17</v>
      </c>
      <c r="G22" t="s">
        <v>17</v>
      </c>
      <c r="H22" t="s">
        <v>17</v>
      </c>
      <c r="I22" t="s">
        <v>17</v>
      </c>
      <c r="J22" t="s" s="1">
        <f>HYPERLINK("http://141.218.60.56/~jnz1568/discussion.php?&amp;Z=8&amp;N=6&amp;Sheet=0&amp;Row=21&amp;Col=9","273081.332031")</f>
      </c>
      <c r="K22" t="s" s="1">
        <f>HYPERLINK("http://141.218.60.56/~jnz1568/discussion.php?&amp;Z=8&amp;N=6&amp;Sheet=0&amp;Row=21&amp;Col=10","273720.189238")</f>
      </c>
      <c r="L22" t="s" s="1">
        <f>HYPERLINK("http://141.218.60.56/~jnz1568/discussion.php?&amp;Z=8&amp;N=6&amp;Sheet=0&amp;Row=21&amp;Col=11","281651.794438")</f>
      </c>
    </row>
    <row r="23">
      <c r="A23" t="s">
        <v>15</v>
      </c>
      <c r="B23" t="s">
        <v>16</v>
      </c>
      <c r="C23" t="s">
        <v>94</v>
      </c>
      <c r="D23" t="s">
        <v>95</v>
      </c>
      <c r="E23" t="s">
        <v>19</v>
      </c>
      <c r="F23" t="s">
        <v>20</v>
      </c>
      <c r="G23" t="s">
        <v>17</v>
      </c>
      <c r="H23" t="s">
        <v>21</v>
      </c>
      <c r="I23" t="s">
        <v>23</v>
      </c>
      <c r="J23" t="s" s="1">
        <f>HYPERLINK("http://141.218.60.56/~jnz1568/discussion.php?&amp;Z=8&amp;N=6&amp;Sheet=0&amp;Row=22&amp;Col=9","283759.69464")</f>
      </c>
      <c r="K23" t="s" s="1">
        <f>HYPERLINK("http://141.218.60.56/~jnz1568/discussion.php?&amp;Z=8&amp;N=6&amp;Sheet=0&amp;Row=22&amp;Col=10","284695.488806")</f>
      </c>
      <c r="L23" t="s" s="1">
        <f>HYPERLINK("http://141.218.60.56/~jnz1568/discussion.php?&amp;Z=8&amp;N=6&amp;Sheet=0&amp;Row=22&amp;Col=11","291264.783292")</f>
      </c>
    </row>
    <row r="24">
      <c r="A24" t="s">
        <v>15</v>
      </c>
      <c r="B24" t="s">
        <v>16</v>
      </c>
      <c r="C24" t="s">
        <v>99</v>
      </c>
      <c r="D24" t="s">
        <v>95</v>
      </c>
      <c r="E24" t="s">
        <v>19</v>
      </c>
      <c r="F24" t="s">
        <v>20</v>
      </c>
      <c r="G24" t="s">
        <v>17</v>
      </c>
      <c r="H24" t="s">
        <v>21</v>
      </c>
      <c r="I24" t="s">
        <v>17</v>
      </c>
      <c r="J24" t="s" s="1">
        <f>HYPERLINK("http://141.218.60.56/~jnz1568/discussion.php?&amp;Z=8&amp;N=6&amp;Sheet=0&amp;Row=23&amp;Col=9","283977.402501")</f>
      </c>
      <c r="K24" t="s" s="1">
        <f>HYPERLINK("http://141.218.60.56/~jnz1568/discussion.php?&amp;Z=8&amp;N=6&amp;Sheet=0&amp;Row=23&amp;Col=10","284911.488798")</f>
      </c>
      <c r="L24" t="s" s="1">
        <f>HYPERLINK("http://141.218.60.56/~jnz1568/discussion.php?&amp;Z=8&amp;N=6&amp;Sheet=0&amp;Row=23&amp;Col=11","291264.783292")</f>
      </c>
    </row>
    <row r="25">
      <c r="A25" t="s">
        <v>15</v>
      </c>
      <c r="B25" t="s">
        <v>16</v>
      </c>
      <c r="C25" t="s">
        <v>102</v>
      </c>
      <c r="D25" t="s">
        <v>95</v>
      </c>
      <c r="E25" t="s">
        <v>19</v>
      </c>
      <c r="F25" t="s">
        <v>20</v>
      </c>
      <c r="G25" t="s">
        <v>17</v>
      </c>
      <c r="H25" t="s">
        <v>21</v>
      </c>
      <c r="I25" t="s">
        <v>21</v>
      </c>
      <c r="J25" t="s" s="1">
        <f>HYPERLINK("http://141.218.60.56/~jnz1568/discussion.php?&amp;Z=8&amp;N=6&amp;Sheet=0&amp;Row=24&amp;Col=9","284071.897303")</f>
      </c>
      <c r="K25" t="s" s="1">
        <f>HYPERLINK("http://141.218.60.56/~jnz1568/discussion.php?&amp;Z=8&amp;N=6&amp;Sheet=0&amp;Row=24&amp;Col=10","285005.588794")</f>
      </c>
      <c r="L25" t="s" s="1">
        <f>HYPERLINK("http://141.218.60.56/~jnz1568/discussion.php?&amp;Z=8&amp;N=6&amp;Sheet=0&amp;Row=24&amp;Col=11","291264.783292")</f>
      </c>
    </row>
    <row r="26">
      <c r="A26" t="s">
        <v>15</v>
      </c>
      <c r="B26" t="s">
        <v>16</v>
      </c>
      <c r="C26" t="s">
        <v>105</v>
      </c>
      <c r="D26" t="s">
        <v>106</v>
      </c>
      <c r="E26" t="s">
        <v>107</v>
      </c>
      <c r="F26" t="s">
        <v>17</v>
      </c>
      <c r="G26" t="s">
        <v>17</v>
      </c>
      <c r="H26" t="s">
        <v>21</v>
      </c>
      <c r="I26" t="s">
        <v>17</v>
      </c>
      <c r="J26" t="s" s="1">
        <f>HYPERLINK("http://141.218.60.56/~jnz1568/discussion.php?&amp;Z=8&amp;N=6&amp;Sheet=0&amp;Row=25&amp;Col=9","290958.254048")</f>
      </c>
      <c r="K26" t="s" s="1">
        <f>HYPERLINK("http://141.218.60.56/~jnz1568/discussion.php?&amp;Z=8&amp;N=6&amp;Sheet=0&amp;Row=25&amp;Col=10","291672.588532")</f>
      </c>
      <c r="L26" t="s" s="1">
        <f>HYPERLINK("http://141.218.60.56/~jnz1568/discussion.php?&amp;Z=8&amp;N=6&amp;Sheet=0&amp;Row=25&amp;Col=11","298090.444328")</f>
      </c>
    </row>
    <row r="27">
      <c r="A27" t="s">
        <v>15</v>
      </c>
      <c r="B27" t="s">
        <v>16</v>
      </c>
      <c r="C27" t="s">
        <v>111</v>
      </c>
      <c r="D27" t="s">
        <v>106</v>
      </c>
      <c r="E27" t="s">
        <v>112</v>
      </c>
      <c r="F27" t="s">
        <v>20</v>
      </c>
      <c r="G27" t="s">
        <v>23</v>
      </c>
      <c r="H27" t="s">
        <v>21</v>
      </c>
      <c r="I27" t="s">
        <v>17</v>
      </c>
      <c r="J27" t="s" s="1">
        <f>HYPERLINK("http://141.218.60.56/~jnz1568/discussion.php?&amp;Z=8&amp;N=6&amp;Sheet=0&amp;Row=26&amp;Col=9","293866.490441")</f>
      </c>
      <c r="K27" t="s" s="1">
        <f>HYPERLINK("http://141.218.60.56/~jnz1568/discussion.php?&amp;Z=8&amp;N=6&amp;Sheet=0&amp;Row=26&amp;Col=10","294577.388418")</f>
      </c>
      <c r="L27" t="s" s="1">
        <f>HYPERLINK("http://141.218.60.56/~jnz1568/discussion.php?&amp;Z=8&amp;N=6&amp;Sheet=0&amp;Row=26&amp;Col=11","301909.302914")</f>
      </c>
    </row>
    <row r="28">
      <c r="A28" t="s">
        <v>15</v>
      </c>
      <c r="B28" t="s">
        <v>16</v>
      </c>
      <c r="C28" t="s">
        <v>116</v>
      </c>
      <c r="D28" t="s">
        <v>106</v>
      </c>
      <c r="E28" t="s">
        <v>112</v>
      </c>
      <c r="F28" t="s">
        <v>20</v>
      </c>
      <c r="G28" t="s">
        <v>23</v>
      </c>
      <c r="H28" t="s">
        <v>21</v>
      </c>
      <c r="I28" t="s">
        <v>23</v>
      </c>
      <c r="J28" t="s" s="1">
        <f>HYPERLINK("http://141.218.60.56/~jnz1568/discussion.php?&amp;Z=8&amp;N=6&amp;Sheet=0&amp;Row=27&amp;Col=9","294002.861003")</f>
      </c>
      <c r="K28" t="s" s="1">
        <f>HYPERLINK("http://141.218.60.56/~jnz1568/discussion.php?&amp;Z=8&amp;N=6&amp;Sheet=0&amp;Row=27&amp;Col=10","294712.788413")</f>
      </c>
      <c r="L28" t="s" s="1">
        <f>HYPERLINK("http://141.218.60.56/~jnz1568/discussion.php?&amp;Z=8&amp;N=6&amp;Sheet=0&amp;Row=27&amp;Col=11","301909.302914")</f>
      </c>
    </row>
    <row r="29">
      <c r="A29" t="s">
        <v>15</v>
      </c>
      <c r="B29" t="s">
        <v>16</v>
      </c>
      <c r="C29" t="s">
        <v>119</v>
      </c>
      <c r="D29" t="s">
        <v>106</v>
      </c>
      <c r="E29" t="s">
        <v>112</v>
      </c>
      <c r="F29" t="s">
        <v>20</v>
      </c>
      <c r="G29" t="s">
        <v>23</v>
      </c>
      <c r="H29" t="s">
        <v>21</v>
      </c>
      <c r="I29" t="s">
        <v>20</v>
      </c>
      <c r="J29" t="s" s="1">
        <f>HYPERLINK("http://141.218.60.56/~jnz1568/discussion.php?&amp;Z=8&amp;N=6&amp;Sheet=0&amp;Row=28&amp;Col=9","294223.070875")</f>
      </c>
      <c r="K29" t="s" s="1">
        <f>HYPERLINK("http://141.218.60.56/~jnz1568/discussion.php?&amp;Z=8&amp;N=6&amp;Sheet=0&amp;Row=28&amp;Col=10","294931.588404")</f>
      </c>
      <c r="L29" t="s" s="1">
        <f>HYPERLINK("http://141.218.60.56/~jnz1568/discussion.php?&amp;Z=8&amp;N=6&amp;Sheet=0&amp;Row=28&amp;Col=11","301909.302914")</f>
      </c>
    </row>
    <row r="30">
      <c r="A30" t="s">
        <v>15</v>
      </c>
      <c r="B30" t="s">
        <v>16</v>
      </c>
      <c r="C30" t="s">
        <v>122</v>
      </c>
      <c r="D30" t="s">
        <v>106</v>
      </c>
      <c r="E30" t="s">
        <v>123</v>
      </c>
      <c r="F30" t="s">
        <v>20</v>
      </c>
      <c r="G30" t="s">
        <v>21</v>
      </c>
      <c r="H30" t="s">
        <v>21</v>
      </c>
      <c r="I30" t="s">
        <v>17</v>
      </c>
      <c r="J30" t="s" s="1">
        <f>HYPERLINK("http://141.218.60.56/~jnz1568/discussion.php?&amp;Z=8&amp;N=6&amp;Sheet=0&amp;Row=29&amp;Col=9","297558.657296")</f>
      </c>
      <c r="K30" t="s" s="1">
        <f>HYPERLINK("http://141.218.60.56/~jnz1568/discussion.php?&amp;Z=8&amp;N=6&amp;Sheet=0&amp;Row=29&amp;Col=10","298229.388274")</f>
      </c>
      <c r="L30" t="s" s="1">
        <f>HYPERLINK("http://141.218.60.56/~jnz1568/discussion.php?&amp;Z=8&amp;N=6&amp;Sheet=0&amp;Row=29&amp;Col=11","304905.131632")</f>
      </c>
    </row>
    <row r="31">
      <c r="A31" t="s">
        <v>15</v>
      </c>
      <c r="B31" t="s">
        <v>16</v>
      </c>
      <c r="C31" t="s">
        <v>127</v>
      </c>
      <c r="D31" t="s">
        <v>95</v>
      </c>
      <c r="E31" t="s">
        <v>29</v>
      </c>
      <c r="F31" t="s">
        <v>17</v>
      </c>
      <c r="G31" t="s">
        <v>23</v>
      </c>
      <c r="H31" t="s">
        <v>21</v>
      </c>
      <c r="I31" t="s">
        <v>23</v>
      </c>
      <c r="J31" t="s" s="1">
        <f>HYPERLINK("http://141.218.60.56/~jnz1568/discussion.php?&amp;Z=8&amp;N=6&amp;Sheet=0&amp;Row=30&amp;Col=9","298294.007048")</f>
      </c>
      <c r="K31" t="s" s="1">
        <f>HYPERLINK("http://141.218.60.56/~jnz1568/discussion.php?&amp;Z=8&amp;N=6&amp;Sheet=0&amp;Row=30&amp;Col=10","299391.588229")</f>
      </c>
      <c r="L31" t="s" s="1">
        <f>HYPERLINK("http://141.218.60.56/~jnz1568/discussion.php?&amp;Z=8&amp;N=6&amp;Sheet=0&amp;Row=30&amp;Col=11","306496.322709")</f>
      </c>
    </row>
    <row r="32">
      <c r="A32" t="s">
        <v>15</v>
      </c>
      <c r="B32" t="s">
        <v>16</v>
      </c>
      <c r="C32" t="s">
        <v>131</v>
      </c>
      <c r="D32" t="s">
        <v>106</v>
      </c>
      <c r="E32" t="s">
        <v>19</v>
      </c>
      <c r="F32" t="s">
        <v>20</v>
      </c>
      <c r="G32" t="s">
        <v>17</v>
      </c>
      <c r="H32" t="s">
        <v>21</v>
      </c>
      <c r="I32" t="s">
        <v>21</v>
      </c>
      <c r="J32" t="s" s="1">
        <f>HYPERLINK("http://141.218.60.56/~jnz1568/discussion.php?&amp;Z=8&amp;N=6&amp;Sheet=0&amp;Row=31&amp;Col=9","300229.926929")</f>
      </c>
      <c r="K32" t="s" s="1">
        <f>HYPERLINK("http://141.218.60.56/~jnz1568/discussion.php?&amp;Z=8&amp;N=6&amp;Sheet=0&amp;Row=31&amp;Col=10","300907.188169")</f>
      </c>
      <c r="L32" t="s" s="1">
        <f>HYPERLINK("http://141.218.60.56/~jnz1568/discussion.php?&amp;Z=8&amp;N=6&amp;Sheet=0&amp;Row=31&amp;Col=11","308910.543654")</f>
      </c>
    </row>
    <row r="33">
      <c r="A33" t="s">
        <v>15</v>
      </c>
      <c r="B33" t="s">
        <v>16</v>
      </c>
      <c r="C33" t="s">
        <v>135</v>
      </c>
      <c r="D33" t="s">
        <v>106</v>
      </c>
      <c r="E33" t="s">
        <v>19</v>
      </c>
      <c r="F33" t="s">
        <v>20</v>
      </c>
      <c r="G33" t="s">
        <v>17</v>
      </c>
      <c r="H33" t="s">
        <v>21</v>
      </c>
      <c r="I33" t="s">
        <v>17</v>
      </c>
      <c r="J33" t="s" s="1">
        <f>HYPERLINK("http://141.218.60.56/~jnz1568/discussion.php?&amp;Z=8&amp;N=6&amp;Sheet=0&amp;Row=32&amp;Col=9","300311.955573")</f>
      </c>
      <c r="K33" t="s" s="1">
        <f>HYPERLINK("http://141.218.60.56/~jnz1568/discussion.php?&amp;Z=8&amp;N=6&amp;Sheet=0&amp;Row=32&amp;Col=10","300988.688166")</f>
      </c>
      <c r="L33" t="s" s="1">
        <f>HYPERLINK("http://141.218.60.56/~jnz1568/discussion.php?&amp;Z=8&amp;N=6&amp;Sheet=0&amp;Row=32&amp;Col=11","308910.543654")</f>
      </c>
    </row>
    <row r="34">
      <c r="A34" t="s">
        <v>15</v>
      </c>
      <c r="B34" t="s">
        <v>16</v>
      </c>
      <c r="C34" t="s">
        <v>138</v>
      </c>
      <c r="D34" t="s">
        <v>106</v>
      </c>
      <c r="E34" t="s">
        <v>19</v>
      </c>
      <c r="F34" t="s">
        <v>20</v>
      </c>
      <c r="G34" t="s">
        <v>17</v>
      </c>
      <c r="H34" t="s">
        <v>21</v>
      </c>
      <c r="I34" t="s">
        <v>23</v>
      </c>
      <c r="J34" t="s" s="1">
        <f>HYPERLINK("http://141.218.60.56/~jnz1568/discussion.php?&amp;Z=8&amp;N=6&amp;Sheet=0&amp;Row=33&amp;Col=9","300442.553952")</f>
      </c>
      <c r="K34" t="s" s="1">
        <f>HYPERLINK("http://141.218.60.56/~jnz1568/discussion.php?&amp;Z=8&amp;N=6&amp;Sheet=0&amp;Row=33&amp;Col=10","301118.088161")</f>
      </c>
      <c r="L34" t="s" s="1">
        <f>HYPERLINK("http://141.218.60.56/~jnz1568/discussion.php?&amp;Z=8&amp;N=6&amp;Sheet=0&amp;Row=33&amp;Col=11","308910.543654")</f>
      </c>
    </row>
    <row r="35">
      <c r="A35" t="s">
        <v>15</v>
      </c>
      <c r="B35" t="s">
        <v>16</v>
      </c>
      <c r="C35" t="s">
        <v>141</v>
      </c>
      <c r="D35" t="s">
        <v>106</v>
      </c>
      <c r="E35" t="s">
        <v>29</v>
      </c>
      <c r="F35" t="s">
        <v>17</v>
      </c>
      <c r="G35" t="s">
        <v>23</v>
      </c>
      <c r="H35" t="s">
        <v>21</v>
      </c>
      <c r="I35" t="s">
        <v>23</v>
      </c>
      <c r="J35" t="s" s="1">
        <f>HYPERLINK("http://141.218.60.56/~jnz1568/discussion.php?&amp;Z=8&amp;N=6&amp;Sheet=0&amp;Row=34&amp;Col=9","306586.07686")</f>
      </c>
      <c r="K35" t="s" s="1">
        <f>HYPERLINK("http://141.218.60.56/~jnz1568/discussion.php?&amp;Z=8&amp;N=6&amp;Sheet=0&amp;Row=34&amp;Col=10","307321.987917")</f>
      </c>
      <c r="L35" t="s" s="1">
        <f>HYPERLINK("http://141.218.60.56/~jnz1568/discussion.php?&amp;Z=8&amp;N=6&amp;Sheet=0&amp;Row=34&amp;Col=11","316734.814263")</f>
      </c>
    </row>
    <row r="36">
      <c r="A36" t="s">
        <v>15</v>
      </c>
      <c r="B36" t="s">
        <v>16</v>
      </c>
      <c r="C36" t="s">
        <v>145</v>
      </c>
      <c r="D36" t="s">
        <v>106</v>
      </c>
      <c r="E36" t="s">
        <v>34</v>
      </c>
      <c r="F36" t="s">
        <v>17</v>
      </c>
      <c r="G36" t="s">
        <v>21</v>
      </c>
      <c r="H36" t="s">
        <v>21</v>
      </c>
      <c r="I36" t="s">
        <v>21</v>
      </c>
      <c r="J36" t="s" s="1">
        <f>HYPERLINK("http://141.218.60.56/~jnz1568/discussion.php?&amp;Z=8&amp;N=6&amp;Sheet=0&amp;Row=35&amp;Col=9","313802.764872")</f>
      </c>
      <c r="K36" t="s" s="1">
        <f>HYPERLINK("http://141.218.60.56/~jnz1568/discussion.php?&amp;Z=8&amp;N=6&amp;Sheet=0&amp;Row=35&amp;Col=10","314671.387628")</f>
      </c>
      <c r="L36" t="s" s="1">
        <f>HYPERLINK("http://141.218.60.56/~jnz1568/discussion.php?&amp;Z=8&amp;N=6&amp;Sheet=0&amp;Row=35&amp;Col=11","324361.557703")</f>
      </c>
    </row>
    <row r="37">
      <c r="A37" t="s">
        <v>15</v>
      </c>
      <c r="B37" t="s">
        <v>16</v>
      </c>
      <c r="C37" t="s">
        <v>149</v>
      </c>
      <c r="D37" t="s">
        <v>150</v>
      </c>
      <c r="E37" t="s">
        <v>151</v>
      </c>
      <c r="F37" t="s">
        <v>20</v>
      </c>
      <c r="G37" t="s">
        <v>20</v>
      </c>
      <c r="H37" t="s">
        <v>17</v>
      </c>
      <c r="I37" t="s">
        <v>23</v>
      </c>
      <c r="J37" t="s" s="1">
        <f>HYPERLINK("http://141.218.60.56/~jnz1568/discussion.php?&amp;Z=8&amp;N=6&amp;Sheet=0&amp;Row=36&amp;Col=9","324464.875386")</f>
      </c>
      <c r="K37" t="s" s="1">
        <f>HYPERLINK("http://141.218.60.56/~jnz1568/discussion.php?&amp;Z=8&amp;N=6&amp;Sheet=0&amp;Row=36&amp;Col=10","325112.587217")</f>
      </c>
      <c r="L37" t="s" s="1">
        <f>HYPERLINK("http://141.218.60.56/~jnz1568/discussion.php?&amp;Z=8&amp;N=6&amp;Sheet=0&amp;Row=36&amp;Col=11","329420.447956")</f>
      </c>
    </row>
    <row r="38">
      <c r="A38" t="s">
        <v>15</v>
      </c>
      <c r="B38" t="s">
        <v>16</v>
      </c>
      <c r="C38" t="s">
        <v>155</v>
      </c>
      <c r="D38" t="s">
        <v>150</v>
      </c>
      <c r="E38" t="s">
        <v>151</v>
      </c>
      <c r="F38" t="s">
        <v>20</v>
      </c>
      <c r="G38" t="s">
        <v>20</v>
      </c>
      <c r="H38" t="s">
        <v>17</v>
      </c>
      <c r="I38" t="s">
        <v>20</v>
      </c>
      <c r="J38" t="s" s="1">
        <f>HYPERLINK("http://141.218.60.56/~jnz1568/discussion.php?&amp;Z=8&amp;N=6&amp;Sheet=0&amp;Row=37&amp;Col=9","324660.800389")</f>
      </c>
      <c r="K38" t="s" s="1">
        <f>HYPERLINK("http://141.218.60.56/~jnz1568/discussion.php?&amp;Z=8&amp;N=6&amp;Sheet=0&amp;Row=37&amp;Col=10","325312.787209")</f>
      </c>
      <c r="L38" t="s" s="1">
        <f>HYPERLINK("http://141.218.60.56/~jnz1568/discussion.php?&amp;Z=8&amp;N=6&amp;Sheet=0&amp;Row=37&amp;Col=11","329420.447956")</f>
      </c>
    </row>
    <row r="39">
      <c r="A39" t="s">
        <v>15</v>
      </c>
      <c r="B39" t="s">
        <v>16</v>
      </c>
      <c r="C39" t="s">
        <v>158</v>
      </c>
      <c r="D39" t="s">
        <v>150</v>
      </c>
      <c r="E39" t="s">
        <v>151</v>
      </c>
      <c r="F39" t="s">
        <v>20</v>
      </c>
      <c r="G39" t="s">
        <v>20</v>
      </c>
      <c r="H39" t="s">
        <v>17</v>
      </c>
      <c r="I39" t="s">
        <v>28</v>
      </c>
      <c r="J39" t="s" s="1">
        <f>HYPERLINK("http://141.218.60.56/~jnz1568/discussion.php?&amp;Z=8&amp;N=6&amp;Sheet=0&amp;Row=38&amp;Col=9","324839.024763")</f>
      </c>
      <c r="K39" t="s" s="1">
        <f>HYPERLINK("http://141.218.60.56/~jnz1568/discussion.php?&amp;Z=8&amp;N=6&amp;Sheet=0&amp;Row=38&amp;Col=10","325490.687202")</f>
      </c>
      <c r="L39" t="s" s="1">
        <f>HYPERLINK("http://141.218.60.56/~jnz1568/discussion.php?&amp;Z=8&amp;N=6&amp;Sheet=0&amp;Row=38&amp;Col=11","329420.447956")</f>
      </c>
    </row>
    <row r="40">
      <c r="A40" t="s">
        <v>15</v>
      </c>
      <c r="B40" t="s">
        <v>16</v>
      </c>
      <c r="C40" t="s">
        <v>161</v>
      </c>
      <c r="D40" t="s">
        <v>150</v>
      </c>
      <c r="E40" t="s">
        <v>65</v>
      </c>
      <c r="F40" t="s">
        <v>17</v>
      </c>
      <c r="G40" t="s">
        <v>23</v>
      </c>
      <c r="H40" t="s">
        <v>17</v>
      </c>
      <c r="I40" t="s">
        <v>23</v>
      </c>
      <c r="J40" t="s" s="1">
        <f>HYPERLINK("http://141.218.60.56/~jnz1568/discussion.php?&amp;Z=8&amp;N=6&amp;Sheet=0&amp;Row=39&amp;Col=9","324735.652212")</f>
      </c>
      <c r="K40" t="s" s="1">
        <f>HYPERLINK("http://141.218.60.56/~jnz1568/discussion.php?&amp;Z=8&amp;N=6&amp;Sheet=0&amp;Row=39&amp;Col=10","325374.587207")</f>
      </c>
      <c r="L40" t="s" s="1">
        <f>HYPERLINK("http://141.218.60.56/~jnz1568/discussion.php?&amp;Z=8&amp;N=6&amp;Sheet=0&amp;Row=39&amp;Col=11","329596.027661")</f>
      </c>
    </row>
    <row r="41">
      <c r="A41" t="s">
        <v>15</v>
      </c>
      <c r="B41" t="s">
        <v>16</v>
      </c>
      <c r="C41" t="s">
        <v>165</v>
      </c>
      <c r="D41" t="s">
        <v>150</v>
      </c>
      <c r="E41" t="s">
        <v>44</v>
      </c>
      <c r="F41" t="s">
        <v>20</v>
      </c>
      <c r="G41" t="s">
        <v>23</v>
      </c>
      <c r="H41" t="s">
        <v>17</v>
      </c>
      <c r="I41" t="s">
        <v>17</v>
      </c>
      <c r="J41" t="s" s="1">
        <f>HYPERLINK("http://141.218.60.56/~jnz1568/discussion.php?&amp;Z=8&amp;N=6&amp;Sheet=0&amp;Row=40&amp;Col=9","327229.246158")</f>
      </c>
      <c r="K41" t="s" s="1">
        <f>HYPERLINK("http://141.218.60.56/~jnz1568/discussion.php?&amp;Z=8&amp;N=6&amp;Sheet=0&amp;Row=40&amp;Col=10","327828.087111")</f>
      </c>
      <c r="L41" t="s" s="1">
        <f>HYPERLINK("http://141.218.60.56/~jnz1568/discussion.php?&amp;Z=8&amp;N=6&amp;Sheet=0&amp;Row=40&amp;Col=11","332910.094595")</f>
      </c>
    </row>
    <row r="42">
      <c r="A42" t="s">
        <v>15</v>
      </c>
      <c r="B42" t="s">
        <v>16</v>
      </c>
      <c r="C42" t="s">
        <v>169</v>
      </c>
      <c r="D42" t="s">
        <v>150</v>
      </c>
      <c r="E42" t="s">
        <v>44</v>
      </c>
      <c r="F42" t="s">
        <v>20</v>
      </c>
      <c r="G42" t="s">
        <v>23</v>
      </c>
      <c r="H42" t="s">
        <v>17</v>
      </c>
      <c r="I42" t="s">
        <v>23</v>
      </c>
      <c r="J42" t="s" s="1">
        <f>HYPERLINK("http://141.218.60.56/~jnz1568/discussion.php?&amp;Z=8&amp;N=6&amp;Sheet=0&amp;Row=41&amp;Col=9","327278.298738")</f>
      </c>
      <c r="K42" t="s" s="1">
        <f>HYPERLINK("http://141.218.60.56/~jnz1568/discussion.php?&amp;Z=8&amp;N=6&amp;Sheet=0&amp;Row=41&amp;Col=10","327876.987109")</f>
      </c>
      <c r="L42" t="s" s="1">
        <f>HYPERLINK("http://141.218.60.56/~jnz1568/discussion.php?&amp;Z=8&amp;N=6&amp;Sheet=0&amp;Row=41&amp;Col=11","332910.094595")</f>
      </c>
    </row>
    <row r="43">
      <c r="A43" t="s">
        <v>15</v>
      </c>
      <c r="B43" t="s">
        <v>16</v>
      </c>
      <c r="C43" t="s">
        <v>172</v>
      </c>
      <c r="D43" t="s">
        <v>150</v>
      </c>
      <c r="E43" t="s">
        <v>44</v>
      </c>
      <c r="F43" t="s">
        <v>20</v>
      </c>
      <c r="G43" t="s">
        <v>23</v>
      </c>
      <c r="H43" t="s">
        <v>17</v>
      </c>
      <c r="I43" t="s">
        <v>20</v>
      </c>
      <c r="J43" t="s" s="1">
        <f>HYPERLINK("http://141.218.60.56/~jnz1568/discussion.php?&amp;Z=8&amp;N=6&amp;Sheet=0&amp;Row=42&amp;Col=9","327352.173899")</f>
      </c>
      <c r="K43" t="s" s="1">
        <f>HYPERLINK("http://141.218.60.56/~jnz1568/discussion.php?&amp;Z=8&amp;N=6&amp;Sheet=0&amp;Row=42&amp;Col=10","327950.387106")</f>
      </c>
      <c r="L43" t="s" s="1">
        <f>HYPERLINK("http://141.218.60.56/~jnz1568/discussion.php?&amp;Z=8&amp;N=6&amp;Sheet=0&amp;Row=42&amp;Col=11","332910.094595")</f>
      </c>
    </row>
    <row r="44">
      <c r="A44" t="s">
        <v>15</v>
      </c>
      <c r="B44" t="s">
        <v>16</v>
      </c>
      <c r="C44" t="s">
        <v>175</v>
      </c>
      <c r="D44" t="s">
        <v>150</v>
      </c>
      <c r="E44" t="s">
        <v>54</v>
      </c>
      <c r="F44" t="s">
        <v>20</v>
      </c>
      <c r="G44" t="s">
        <v>17</v>
      </c>
      <c r="H44" t="s">
        <v>17</v>
      </c>
      <c r="I44" t="s">
        <v>23</v>
      </c>
      <c r="J44" t="s" s="1">
        <f>HYPERLINK("http://141.218.60.56/~jnz1568/discussion.php?&amp;Z=8&amp;N=6&amp;Sheet=0&amp;Row=43&amp;Col=9","329469.796827")</f>
      </c>
      <c r="K44" t="s" s="1">
        <f>HYPERLINK("http://141.218.60.56/~jnz1568/discussion.php?&amp;Z=8&amp;N=6&amp;Sheet=0&amp;Row=43&amp;Col=10","330077.887022")</f>
      </c>
      <c r="L44" t="s" s="1">
        <f>HYPERLINK("http://141.218.60.56/~jnz1568/discussion.php?&amp;Z=8&amp;N=6&amp;Sheet=0&amp;Row=43&amp;Col=11","335807.159729")</f>
      </c>
    </row>
    <row r="45">
      <c r="A45" t="s">
        <v>15</v>
      </c>
      <c r="B45" t="s">
        <v>16</v>
      </c>
      <c r="C45" t="s">
        <v>179</v>
      </c>
      <c r="D45" t="s">
        <v>150</v>
      </c>
      <c r="E45" t="s">
        <v>54</v>
      </c>
      <c r="F45" t="s">
        <v>20</v>
      </c>
      <c r="G45" t="s">
        <v>17</v>
      </c>
      <c r="H45" t="s">
        <v>17</v>
      </c>
      <c r="I45" t="s">
        <v>17</v>
      </c>
      <c r="J45" t="s" s="1">
        <f>HYPERLINK("http://141.218.60.56/~jnz1568/discussion.php?&amp;Z=8&amp;N=6&amp;Sheet=0&amp;Row=44&amp;Col=9","329583.890714")</f>
      </c>
      <c r="K45" t="s" s="1">
        <f>HYPERLINK("http://141.218.60.56/~jnz1568/discussion.php?&amp;Z=8&amp;N=6&amp;Sheet=0&amp;Row=44&amp;Col=10","330192.187018")</f>
      </c>
      <c r="L45" t="s" s="1">
        <f>HYPERLINK("http://141.218.60.56/~jnz1568/discussion.php?&amp;Z=8&amp;N=6&amp;Sheet=0&amp;Row=44&amp;Col=11","335807.159729")</f>
      </c>
    </row>
    <row r="46">
      <c r="A46" t="s">
        <v>15</v>
      </c>
      <c r="B46" t="s">
        <v>16</v>
      </c>
      <c r="C46" t="s">
        <v>182</v>
      </c>
      <c r="D46" t="s">
        <v>150</v>
      </c>
      <c r="E46" t="s">
        <v>54</v>
      </c>
      <c r="F46" t="s">
        <v>20</v>
      </c>
      <c r="G46" t="s">
        <v>17</v>
      </c>
      <c r="H46" t="s">
        <v>17</v>
      </c>
      <c r="I46" t="s">
        <v>21</v>
      </c>
      <c r="J46" t="s" s="1">
        <f>HYPERLINK("http://141.218.60.56/~jnz1568/discussion.php?&amp;Z=8&amp;N=6&amp;Sheet=0&amp;Row=45&amp;Col=9","329645.13511")</f>
      </c>
      <c r="K46" t="s" s="1">
        <f>HYPERLINK("http://141.218.60.56/~jnz1568/discussion.php?&amp;Z=8&amp;N=6&amp;Sheet=0&amp;Row=45&amp;Col=10","330253.787015")</f>
      </c>
      <c r="L46" t="s" s="1">
        <f>HYPERLINK("http://141.218.60.56/~jnz1568/discussion.php?&amp;Z=8&amp;N=6&amp;Sheet=0&amp;Row=45&amp;Col=11","335807.159729")</f>
      </c>
    </row>
    <row r="47">
      <c r="A47" t="s">
        <v>15</v>
      </c>
      <c r="B47" t="s">
        <v>16</v>
      </c>
      <c r="C47" t="s">
        <v>185</v>
      </c>
      <c r="D47" t="s">
        <v>150</v>
      </c>
      <c r="E47" t="s">
        <v>186</v>
      </c>
      <c r="F47" t="s">
        <v>17</v>
      </c>
      <c r="G47" t="s">
        <v>20</v>
      </c>
      <c r="H47" t="s">
        <v>17</v>
      </c>
      <c r="I47" t="s">
        <v>20</v>
      </c>
      <c r="J47" t="s" s="1">
        <f>HYPERLINK("http://141.218.60.56/~jnz1568/discussion.php?&amp;Z=8&amp;N=6&amp;Sheet=0&amp;Row=46&amp;Col=9","331821.434581")</f>
      </c>
      <c r="K47" t="s" s="1">
        <f>HYPERLINK("http://141.218.60.56/~jnz1568/discussion.php?&amp;Z=8&amp;N=6&amp;Sheet=0&amp;Row=46&amp;Col=10","332452.586929")</f>
      </c>
      <c r="L47" t="s" s="1">
        <f>HYPERLINK("http://141.218.60.56/~jnz1568/discussion.php?&amp;Z=8&amp;N=6&amp;Sheet=0&amp;Row=46&amp;Col=11","339823.545483")</f>
      </c>
    </row>
    <row r="48">
      <c r="A48" t="s">
        <v>15</v>
      </c>
      <c r="B48" t="s">
        <v>16</v>
      </c>
      <c r="C48" t="s">
        <v>190</v>
      </c>
      <c r="D48" t="s">
        <v>150</v>
      </c>
      <c r="E48" t="s">
        <v>75</v>
      </c>
      <c r="F48" t="s">
        <v>17</v>
      </c>
      <c r="G48" t="s">
        <v>17</v>
      </c>
      <c r="H48" t="s">
        <v>17</v>
      </c>
      <c r="I48" t="s">
        <v>17</v>
      </c>
      <c r="J48" t="s" s="1">
        <f>HYPERLINK("http://141.218.60.56/~jnz1568/discussion.php?&amp;Z=8&amp;N=6&amp;Sheet=0&amp;Row=47&amp;Col=9","332778.936555")</f>
      </c>
      <c r="K48" t="s" s="1">
        <f>HYPERLINK("http://141.218.60.56/~jnz1568/discussion.php?&amp;Z=8&amp;N=6&amp;Sheet=0&amp;Row=47&amp;Col=10","333420.686891")</f>
      </c>
      <c r="L48" t="s" s="1">
        <f>HYPERLINK("http://141.218.60.56/~jnz1568/discussion.php?&amp;Z=8&amp;N=6&amp;Sheet=0&amp;Row=47&amp;Col=11","341272.07805")</f>
      </c>
    </row>
    <row r="49">
      <c r="A49" t="s">
        <v>15</v>
      </c>
      <c r="B49" t="s">
        <v>16</v>
      </c>
      <c r="C49" t="s">
        <v>194</v>
      </c>
      <c r="D49" t="s">
        <v>95</v>
      </c>
      <c r="E49" t="s">
        <v>195</v>
      </c>
      <c r="F49" t="s">
        <v>17</v>
      </c>
      <c r="G49" t="s">
        <v>21</v>
      </c>
      <c r="H49" t="s">
        <v>21</v>
      </c>
      <c r="I49" t="s">
        <v>21</v>
      </c>
      <c r="J49" t="s" s="1">
        <f>HYPERLINK("http://141.218.60.56/~jnz1568/discussion.php?&amp;Z=8&amp;N=6&amp;Sheet=0&amp;Row=48&amp;Col=9","343306.278671")</f>
      </c>
      <c r="K49" t="s" s="1">
        <f>HYPERLINK("http://141.218.60.56/~jnz1568/discussion.php?&amp;Z=8&amp;N=6&amp;Sheet=0&amp;Row=48&amp;Col=10","344761.686445")</f>
      </c>
      <c r="L49" t="s" s="1">
        <f>HYPERLINK("http://141.218.60.56/~jnz1568/discussion.php?&amp;Z=8&amp;N=6&amp;Sheet=0&amp;Row=48&amp;Col=11","358566.679002")</f>
      </c>
    </row>
  </sheetData>
  <mergeCells>
    <mergeCell ref="A1:L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.90625" customWidth="true" bestFit="true"/>
    <col min="2" max="2" width="3.70703125" customWidth="true" bestFit="true"/>
    <col min="3" max="3" width="4.8828125" customWidth="true" bestFit="true"/>
    <col min="4" max="4" width="4.8828125" customWidth="true" bestFit="true"/>
    <col min="5" max="5" width="22.61328125" customWidth="true" bestFit="true"/>
    <col min="6" max="6" width="13.1796875" customWidth="true" bestFit="true"/>
    <col min="7" max="7" width="11.546875" customWidth="true" bestFit="true"/>
    <col min="8" max="8" width="11.546875" customWidth="true" bestFit="true"/>
    <col min="9" max="9" width="11.546875" customWidth="true" bestFit="true"/>
    <col min="10" max="10" width="13.1796875" customWidth="true" bestFit="true"/>
    <col min="11" max="11" width="11.0546875" customWidth="true" bestFit="true"/>
    <col min="12" max="12" width="11.078125" customWidth="true" bestFit="true"/>
    <col min="13" max="13" width="11.546875" customWidth="true" bestFit="true"/>
    <col min="14" max="14" width="13.1796875" customWidth="true" bestFit="true"/>
    <col min="15" max="15" width="9.31640625" customWidth="true" bestFit="true"/>
    <col min="16" max="16" width="9.74609375" customWidth="true" bestFit="true"/>
    <col min="17" max="17" width="9.74609375" customWidth="true" bestFit="true"/>
  </cols>
  <sheetData>
    <row r="1">
      <c r="A1" t="s" s="27">
        <v>199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</row>
    <row r="2">
      <c r="A2" t="s" s="28">
        <v>1</v>
      </c>
      <c r="B2" t="s" s="29">
        <v>1</v>
      </c>
      <c r="C2" t="s" s="30">
        <v>1</v>
      </c>
      <c r="D2" t="s" s="31">
        <v>1</v>
      </c>
      <c r="E2" t="s" s="32">
        <v>1</v>
      </c>
      <c r="F2" t="s" s="33">
        <v>3</v>
      </c>
      <c r="G2" t="s" s="34">
        <v>3</v>
      </c>
      <c r="H2" t="s" s="35">
        <v>3</v>
      </c>
      <c r="I2" t="s" s="36">
        <v>3</v>
      </c>
      <c r="J2" t="s" s="37">
        <v>3</v>
      </c>
      <c r="K2" t="s" s="38">
        <v>3</v>
      </c>
      <c r="L2" t="s" s="39">
        <v>3</v>
      </c>
      <c r="M2" t="s" s="40">
        <v>3</v>
      </c>
      <c r="N2" t="s" s="41">
        <v>200</v>
      </c>
      <c r="O2" t="s" s="42">
        <v>201</v>
      </c>
      <c r="P2" t="s" s="43">
        <v>201</v>
      </c>
      <c r="Q2" t="s" s="44">
        <v>202</v>
      </c>
    </row>
    <row r="3">
      <c r="A3" t="s" s="45">
        <v>5</v>
      </c>
      <c r="B3" t="s" s="46">
        <v>6</v>
      </c>
      <c r="C3" t="s" s="47">
        <v>203</v>
      </c>
      <c r="D3" t="s" s="48">
        <v>7</v>
      </c>
      <c r="E3" t="s" s="49">
        <v>204</v>
      </c>
      <c r="F3" t="s" s="50">
        <v>205</v>
      </c>
      <c r="G3" t="s" s="51">
        <v>206</v>
      </c>
      <c r="H3" t="s" s="52">
        <v>207</v>
      </c>
      <c r="I3" t="s" s="53">
        <v>208</v>
      </c>
      <c r="J3" t="s" s="54">
        <v>205</v>
      </c>
      <c r="K3" t="s" s="55">
        <v>206</v>
      </c>
      <c r="L3" t="s" s="56">
        <v>207</v>
      </c>
      <c r="M3" t="s" s="57">
        <v>208</v>
      </c>
      <c r="N3" t="s" s="58">
        <v>205</v>
      </c>
      <c r="O3" t="s" s="59">
        <v>206</v>
      </c>
      <c r="P3" t="s" s="60">
        <v>207</v>
      </c>
      <c r="Q3" t="s" s="61">
        <v>207</v>
      </c>
    </row>
    <row r="4">
      <c r="A4" t="s">
        <v>15</v>
      </c>
      <c r="B4" t="s">
        <v>16</v>
      </c>
      <c r="C4" t="s">
        <v>23</v>
      </c>
      <c r="D4" t="s">
        <v>17</v>
      </c>
      <c r="E4" t="s">
        <v>209</v>
      </c>
      <c r="F4" t="s" s="1">
        <f>HYPERLINK("http://141.218.60.56/~jnz1568/discussion.php?&amp;Z=8&amp;N=6&amp;Sheet=1&amp;Row=3&amp;Col=5","")</f>
      </c>
      <c r="G4" t="s" s="1">
        <f>HYPERLINK("http://141.218.60.56/~jnz1568/discussion.php?&amp;Z=8&amp;N=6&amp;Sheet=1&amp;Row=3&amp;Col=6","")</f>
      </c>
      <c r="H4" t="s" s="1">
        <f>HYPERLINK("http://141.218.60.56/~jnz1568/discussion.php?&amp;Z=8&amp;N=6&amp;Sheet=1&amp;Row=3&amp;Col=7","2.5965e-05")</f>
      </c>
      <c r="I4" t="s" s="1">
        <f>HYPERLINK("http://141.218.60.56/~jnz1568/discussion.php?&amp;Z=8&amp;N=6&amp;Sheet=1&amp;Row=3&amp;Col=8","")</f>
      </c>
      <c r="J4" t="s" s="1">
        <f>HYPERLINK("http://141.218.60.56/~jnz1568/discussion.php?&amp;Z=8&amp;N=6&amp;Sheet=1&amp;Row=3&amp;Col=9","")</f>
      </c>
      <c r="K4" t="s" s="1">
        <f>HYPERLINK("http://141.218.60.56/~jnz1568/discussion.php?&amp;Z=8&amp;N=6&amp;Sheet=1&amp;Row=3&amp;Col=10","")</f>
      </c>
      <c r="L4" t="s" s="1">
        <f>HYPERLINK("http://141.218.60.56/~jnz1568/discussion.php?&amp;Z=8&amp;N=6&amp;Sheet=1&amp;Row=3&amp;Col=11","2.6204e-05")</f>
      </c>
      <c r="M4" t="s" s="1">
        <f>HYPERLINK("http://141.218.60.56/~jnz1568/discussion.php?&amp;Z=8&amp;N=6&amp;Sheet=1&amp;Row=3&amp;Col=12","")</f>
      </c>
      <c r="N4" t="s" s="1">
        <f>HYPERLINK("http://141.218.60.56/~jnz1568/discussion.php?&amp;Z=8&amp;N=6&amp;Sheet=1&amp;Row=3&amp;Col=13","")</f>
      </c>
      <c r="O4" t="s" s="1">
        <f>HYPERLINK("http://141.218.60.56/~jnz1568/discussion.php?&amp;Z=8&amp;N=6&amp;Sheet=1&amp;Row=3&amp;Col=14","0")</f>
      </c>
      <c r="P4" t="s" s="1">
        <f>HYPERLINK("http://141.218.60.56/~jnz1568/discussion.php?&amp;Z=8&amp;N=6&amp;Sheet=1&amp;Row=3&amp;Col=15","2.66e-05")</f>
      </c>
      <c r="Q4" t="s" s="1">
        <f>HYPERLINK("http://141.218.60.56/~jnz1568/discussion.php?&amp;Z=8&amp;N=6&amp;Sheet=1&amp;Row=3&amp;Col=16","")</f>
      </c>
    </row>
    <row r="5">
      <c r="A5" t="s">
        <v>15</v>
      </c>
      <c r="B5" t="s">
        <v>16</v>
      </c>
      <c r="C5" t="s">
        <v>20</v>
      </c>
      <c r="D5" t="s">
        <v>17</v>
      </c>
      <c r="E5" t="s">
        <v>213</v>
      </c>
      <c r="F5" t="s" s="1">
        <f>HYPERLINK("http://141.218.60.56/~jnz1568/discussion.php?&amp;Z=8&amp;N=6&amp;Sheet=1&amp;Row=4&amp;Col=5","")</f>
      </c>
      <c r="G5" t="s" s="1">
        <f>HYPERLINK("http://141.218.60.56/~jnz1568/discussion.php?&amp;Z=8&amp;N=6&amp;Sheet=1&amp;Row=4&amp;Col=6","3.0315e-11")</f>
      </c>
      <c r="H5" t="s" s="1">
        <f>HYPERLINK("http://141.218.60.56/~jnz1568/discussion.php?&amp;Z=8&amp;N=6&amp;Sheet=1&amp;Row=4&amp;Col=7","")</f>
      </c>
      <c r="I5" t="s" s="1">
        <f>HYPERLINK("http://141.218.60.56/~jnz1568/discussion.php?&amp;Z=8&amp;N=6&amp;Sheet=1&amp;Row=4&amp;Col=8","")</f>
      </c>
      <c r="J5" t="s" s="1">
        <f>HYPERLINK("http://141.218.60.56/~jnz1568/discussion.php?&amp;Z=8&amp;N=6&amp;Sheet=1&amp;Row=4&amp;Col=9","")</f>
      </c>
      <c r="K5" t="s" s="1">
        <f>HYPERLINK("http://141.218.60.56/~jnz1568/discussion.php?&amp;Z=8&amp;N=6&amp;Sheet=1&amp;Row=4&amp;Col=10","3.0304e-11")</f>
      </c>
      <c r="L5" t="s" s="1">
        <f>HYPERLINK("http://141.218.60.56/~jnz1568/discussion.php?&amp;Z=8&amp;N=6&amp;Sheet=1&amp;Row=4&amp;Col=11","")</f>
      </c>
      <c r="M5" t="s" s="1">
        <f>HYPERLINK("http://141.218.60.56/~jnz1568/discussion.php?&amp;Z=8&amp;N=6&amp;Sheet=1&amp;Row=4&amp;Col=12","")</f>
      </c>
      <c r="N5" t="s" s="1">
        <f>HYPERLINK("http://141.218.60.56/~jnz1568/discussion.php?&amp;Z=8&amp;N=6&amp;Sheet=1&amp;Row=4&amp;Col=13","")</f>
      </c>
      <c r="O5" t="s" s="1">
        <f>HYPERLINK("http://141.218.60.56/~jnz1568/discussion.php?&amp;Z=8&amp;N=6&amp;Sheet=1&amp;Row=4&amp;Col=14","3.09e-11")</f>
      </c>
      <c r="P5" t="s" s="1">
        <f>HYPERLINK("http://141.218.60.56/~jnz1568/discussion.php?&amp;Z=8&amp;N=6&amp;Sheet=1&amp;Row=4&amp;Col=15","0")</f>
      </c>
      <c r="Q5" t="s" s="1">
        <f>HYPERLINK("http://141.218.60.56/~jnz1568/discussion.php?&amp;Z=8&amp;N=6&amp;Sheet=1&amp;Row=4&amp;Col=16","")</f>
      </c>
    </row>
    <row r="6">
      <c r="A6" t="s">
        <v>15</v>
      </c>
      <c r="B6" t="s">
        <v>16</v>
      </c>
      <c r="C6" t="s">
        <v>20</v>
      </c>
      <c r="D6" t="s">
        <v>23</v>
      </c>
      <c r="E6" t="s">
        <v>217</v>
      </c>
      <c r="F6" t="s" s="1">
        <f>HYPERLINK("http://141.218.60.56/~jnz1568/discussion.php?&amp;Z=8&amp;N=6&amp;Sheet=1&amp;Row=5&amp;Col=5","")</f>
      </c>
      <c r="G6" t="s" s="1">
        <f>HYPERLINK("http://141.218.60.56/~jnz1568/discussion.php?&amp;Z=8&amp;N=6&amp;Sheet=1&amp;Row=5&amp;Col=6","6.772e-12")</f>
      </c>
      <c r="H6" t="s" s="1">
        <f>HYPERLINK("http://141.218.60.56/~jnz1568/discussion.php?&amp;Z=8&amp;N=6&amp;Sheet=1&amp;Row=5&amp;Col=7","9.6318e-05")</f>
      </c>
      <c r="I6" t="s" s="1">
        <f>HYPERLINK("http://141.218.60.56/~jnz1568/discussion.php?&amp;Z=8&amp;N=6&amp;Sheet=1&amp;Row=5&amp;Col=8","")</f>
      </c>
      <c r="J6" t="s" s="1">
        <f>HYPERLINK("http://141.218.60.56/~jnz1568/discussion.php?&amp;Z=8&amp;N=6&amp;Sheet=1&amp;Row=5&amp;Col=9","")</f>
      </c>
      <c r="K6" t="s" s="1">
        <f>HYPERLINK("http://141.218.60.56/~jnz1568/discussion.php?&amp;Z=8&amp;N=6&amp;Sheet=1&amp;Row=5&amp;Col=10","6.714e-12")</f>
      </c>
      <c r="L6" t="s" s="1">
        <f>HYPERLINK("http://141.218.60.56/~jnz1568/discussion.php?&amp;Z=8&amp;N=6&amp;Sheet=1&amp;Row=5&amp;Col=11","9.5795e-05")</f>
      </c>
      <c r="M6" t="s" s="1">
        <f>HYPERLINK("http://141.218.60.56/~jnz1568/discussion.php?&amp;Z=8&amp;N=6&amp;Sheet=1&amp;Row=5&amp;Col=12","")</f>
      </c>
      <c r="N6" t="s" s="1">
        <f>HYPERLINK("http://141.218.60.56/~jnz1568/discussion.php?&amp;Z=8&amp;N=6&amp;Sheet=1&amp;Row=5&amp;Col=13","")</f>
      </c>
      <c r="O6" t="s" s="1">
        <f>HYPERLINK("http://141.218.60.56/~jnz1568/discussion.php?&amp;Z=8&amp;N=6&amp;Sheet=1&amp;Row=5&amp;Col=14","6.84e-12")</f>
      </c>
      <c r="P6" t="s" s="1">
        <f>HYPERLINK("http://141.218.60.56/~jnz1568/discussion.php?&amp;Z=8&amp;N=6&amp;Sheet=1&amp;Row=5&amp;Col=15","9.7e-05")</f>
      </c>
      <c r="Q6" t="s" s="1">
        <f>HYPERLINK("http://141.218.60.56/~jnz1568/discussion.php?&amp;Z=8&amp;N=6&amp;Sheet=1&amp;Row=5&amp;Col=16","")</f>
      </c>
    </row>
    <row r="7">
      <c r="A7" t="s">
        <v>15</v>
      </c>
      <c r="B7" t="s">
        <v>16</v>
      </c>
      <c r="C7" t="s">
        <v>28</v>
      </c>
      <c r="D7" t="s">
        <v>17</v>
      </c>
      <c r="E7" t="s">
        <v>224</v>
      </c>
      <c r="F7" t="s" s="1">
        <f>HYPERLINK("http://141.218.60.56/~jnz1568/discussion.php?&amp;Z=8&amp;N=6&amp;Sheet=1&amp;Row=6&amp;Col=5","")</f>
      </c>
      <c r="G7" t="s" s="1">
        <f>HYPERLINK("http://141.218.60.56/~jnz1568/discussion.php?&amp;Z=8&amp;N=6&amp;Sheet=1&amp;Row=6&amp;Col=6","2.3225e-06")</f>
      </c>
      <c r="H7" t="s" s="1">
        <f>HYPERLINK("http://141.218.60.56/~jnz1568/discussion.php?&amp;Z=8&amp;N=6&amp;Sheet=1&amp;Row=6&amp;Col=7","")</f>
      </c>
      <c r="I7" t="s" s="1">
        <f>HYPERLINK("http://141.218.60.56/~jnz1568/discussion.php?&amp;Z=8&amp;N=6&amp;Sheet=1&amp;Row=6&amp;Col=8","")</f>
      </c>
      <c r="J7" t="s" s="1">
        <f>HYPERLINK("http://141.218.60.56/~jnz1568/discussion.php?&amp;Z=8&amp;N=6&amp;Sheet=1&amp;Row=6&amp;Col=9","")</f>
      </c>
      <c r="K7" t="s" s="1">
        <f>HYPERLINK("http://141.218.60.56/~jnz1568/discussion.php?&amp;Z=8&amp;N=6&amp;Sheet=1&amp;Row=6&amp;Col=10","2.0168e-06")</f>
      </c>
      <c r="L7" t="s" s="1">
        <f>HYPERLINK("http://141.218.60.56/~jnz1568/discussion.php?&amp;Z=8&amp;N=6&amp;Sheet=1&amp;Row=6&amp;Col=11","")</f>
      </c>
      <c r="M7" t="s" s="1">
        <f>HYPERLINK("http://141.218.60.56/~jnz1568/discussion.php?&amp;Z=8&amp;N=6&amp;Sheet=1&amp;Row=6&amp;Col=12","")</f>
      </c>
      <c r="N7" t="s" s="1">
        <f>HYPERLINK("http://141.218.60.56/~jnz1568/discussion.php?&amp;Z=8&amp;N=6&amp;Sheet=1&amp;Row=6&amp;Col=13","")</f>
      </c>
      <c r="O7" t="s" s="1">
        <f>HYPERLINK("http://141.218.60.56/~jnz1568/discussion.php?&amp;Z=8&amp;N=6&amp;Sheet=1&amp;Row=6&amp;Col=14","1.69e-06")</f>
      </c>
      <c r="P7" t="s" s="1">
        <f>HYPERLINK("http://141.218.60.56/~jnz1568/discussion.php?&amp;Z=8&amp;N=6&amp;Sheet=1&amp;Row=6&amp;Col=15","0")</f>
      </c>
      <c r="Q7" t="s" s="1">
        <f>HYPERLINK("http://141.218.60.56/~jnz1568/discussion.php?&amp;Z=8&amp;N=6&amp;Sheet=1&amp;Row=6&amp;Col=16","")</f>
      </c>
    </row>
    <row r="8">
      <c r="A8" t="s">
        <v>15</v>
      </c>
      <c r="B8" t="s">
        <v>16</v>
      </c>
      <c r="C8" t="s">
        <v>28</v>
      </c>
      <c r="D8" t="s">
        <v>23</v>
      </c>
      <c r="E8" t="s">
        <v>228</v>
      </c>
      <c r="F8" t="s" s="1">
        <f>HYPERLINK("http://141.218.60.56/~jnz1568/discussion.php?&amp;Z=8&amp;N=6&amp;Sheet=1&amp;Row=7&amp;Col=5","")</f>
      </c>
      <c r="G8" t="s" s="1">
        <f>HYPERLINK("http://141.218.60.56/~jnz1568/discussion.php?&amp;Z=8&amp;N=6&amp;Sheet=1&amp;Row=7&amp;Col=6","4.6752e-06")</f>
      </c>
      <c r="H8" t="s" s="1">
        <f>HYPERLINK("http://141.218.60.56/~jnz1568/discussion.php?&amp;Z=8&amp;N=6&amp;Sheet=1&amp;Row=7&amp;Col=7","0.006946")</f>
      </c>
      <c r="I8" t="s" s="1">
        <f>HYPERLINK("http://141.218.60.56/~jnz1568/discussion.php?&amp;Z=8&amp;N=6&amp;Sheet=1&amp;Row=7&amp;Col=8","")</f>
      </c>
      <c r="J8" t="s" s="1">
        <f>HYPERLINK("http://141.218.60.56/~jnz1568/discussion.php?&amp;Z=8&amp;N=6&amp;Sheet=1&amp;Row=7&amp;Col=9","")</f>
      </c>
      <c r="K8" t="s" s="1">
        <f>HYPERLINK("http://141.218.60.56/~jnz1568/discussion.php?&amp;Z=8&amp;N=6&amp;Sheet=1&amp;Row=7&amp;Col=10","5.5568e-06")</f>
      </c>
      <c r="L8" t="s" s="1">
        <f>HYPERLINK("http://141.218.60.56/~jnz1568/discussion.php?&amp;Z=8&amp;N=6&amp;Sheet=1&amp;Row=7&amp;Col=11","0.006957")</f>
      </c>
      <c r="M8" t="s" s="1">
        <f>HYPERLINK("http://141.218.60.56/~jnz1568/discussion.php?&amp;Z=8&amp;N=6&amp;Sheet=1&amp;Row=7&amp;Col=12","")</f>
      </c>
      <c r="N8" t="s" s="1">
        <f>HYPERLINK("http://141.218.60.56/~jnz1568/discussion.php?&amp;Z=8&amp;N=6&amp;Sheet=1&amp;Row=7&amp;Col=13","")</f>
      </c>
      <c r="O8" t="s" s="1">
        <f>HYPERLINK("http://141.218.60.56/~jnz1568/discussion.php?&amp;Z=8&amp;N=6&amp;Sheet=1&amp;Row=7&amp;Col=14","5.51e-06")</f>
      </c>
      <c r="P8" t="s" s="1">
        <f>HYPERLINK("http://141.218.60.56/~jnz1568/discussion.php?&amp;Z=8&amp;N=6&amp;Sheet=1&amp;Row=7&amp;Col=15","0.00699")</f>
      </c>
      <c r="Q8" t="s" s="1">
        <f>HYPERLINK("http://141.218.60.56/~jnz1568/discussion.php?&amp;Z=8&amp;N=6&amp;Sheet=1&amp;Row=7&amp;Col=16","0.006785")</f>
      </c>
    </row>
    <row r="9">
      <c r="A9" t="s">
        <v>15</v>
      </c>
      <c r="B9" t="s">
        <v>16</v>
      </c>
      <c r="C9" t="s">
        <v>28</v>
      </c>
      <c r="D9" t="s">
        <v>20</v>
      </c>
      <c r="E9" t="s">
        <v>236</v>
      </c>
      <c r="F9" t="s" s="1">
        <f>HYPERLINK("http://141.218.60.56/~jnz1568/discussion.php?&amp;Z=8&amp;N=6&amp;Sheet=1&amp;Row=8&amp;Col=5","")</f>
      </c>
      <c r="G9" t="s" s="1">
        <f>HYPERLINK("http://141.218.60.56/~jnz1568/discussion.php?&amp;Z=8&amp;N=6&amp;Sheet=1&amp;Row=8&amp;Col=6","3.8897e-05")</f>
      </c>
      <c r="H9" t="s" s="1">
        <f>HYPERLINK("http://141.218.60.56/~jnz1568/discussion.php?&amp;Z=8&amp;N=6&amp;Sheet=1&amp;Row=8&amp;Col=7","0.020246")</f>
      </c>
      <c r="I9" t="s" s="1">
        <f>HYPERLINK("http://141.218.60.56/~jnz1568/discussion.php?&amp;Z=8&amp;N=6&amp;Sheet=1&amp;Row=8&amp;Col=8","")</f>
      </c>
      <c r="J9" t="s" s="1">
        <f>HYPERLINK("http://141.218.60.56/~jnz1568/discussion.php?&amp;Z=8&amp;N=6&amp;Sheet=1&amp;Row=8&amp;Col=9","")</f>
      </c>
      <c r="K9" t="s" s="1">
        <f>HYPERLINK("http://141.218.60.56/~jnz1568/discussion.php?&amp;Z=8&amp;N=6&amp;Sheet=1&amp;Row=8&amp;Col=10","3.7418e-05")</f>
      </c>
      <c r="L9" t="s" s="1">
        <f>HYPERLINK("http://141.218.60.56/~jnz1568/discussion.php?&amp;Z=8&amp;N=6&amp;Sheet=1&amp;Row=8&amp;Col=11","0.020282")</f>
      </c>
      <c r="M9" t="s" s="1">
        <f>HYPERLINK("http://141.218.60.56/~jnz1568/discussion.php?&amp;Z=8&amp;N=6&amp;Sheet=1&amp;Row=8&amp;Col=12","")</f>
      </c>
      <c r="N9" t="s" s="1">
        <f>HYPERLINK("http://141.218.60.56/~jnz1568/discussion.php?&amp;Z=8&amp;N=6&amp;Sheet=1&amp;Row=8&amp;Col=13","")</f>
      </c>
      <c r="O9" t="s" s="1">
        <f>HYPERLINK("http://141.218.60.56/~jnz1568/discussion.php?&amp;Z=8&amp;N=6&amp;Sheet=1&amp;Row=8&amp;Col=14","3.58e-05")</f>
      </c>
      <c r="P9" t="s" s="1">
        <f>HYPERLINK("http://141.218.60.56/~jnz1568/discussion.php?&amp;Z=8&amp;N=6&amp;Sheet=1&amp;Row=8&amp;Col=15","0.0204")</f>
      </c>
      <c r="Q9" t="s" s="1">
        <f>HYPERLINK("http://141.218.60.56/~jnz1568/discussion.php?&amp;Z=8&amp;N=6&amp;Sheet=1&amp;Row=8&amp;Col=16","0.02042")</f>
      </c>
    </row>
    <row r="10">
      <c r="A10" t="s">
        <v>15</v>
      </c>
      <c r="B10" t="s">
        <v>16</v>
      </c>
      <c r="C10" t="s">
        <v>33</v>
      </c>
      <c r="D10" t="s">
        <v>23</v>
      </c>
      <c r="E10" t="s">
        <v>244</v>
      </c>
      <c r="F10" t="s" s="1">
        <f>HYPERLINK("http://141.218.60.56/~jnz1568/discussion.php?&amp;Z=8&amp;N=6&amp;Sheet=1&amp;Row=9&amp;Col=5","")</f>
      </c>
      <c r="G10" t="s" s="1">
        <f>HYPERLINK("http://141.218.60.56/~jnz1568/discussion.php?&amp;Z=8&amp;N=6&amp;Sheet=1&amp;Row=9&amp;Col=6","")</f>
      </c>
      <c r="H10" t="s" s="1">
        <f>HYPERLINK("http://141.218.60.56/~jnz1568/discussion.php?&amp;Z=8&amp;N=6&amp;Sheet=1&amp;Row=9&amp;Col=7","0.22553")</f>
      </c>
      <c r="I10" t="s" s="1">
        <f>HYPERLINK("http://141.218.60.56/~jnz1568/discussion.php?&amp;Z=8&amp;N=6&amp;Sheet=1&amp;Row=9&amp;Col=8","")</f>
      </c>
      <c r="J10" t="s" s="1">
        <f>HYPERLINK("http://141.218.60.56/~jnz1568/discussion.php?&amp;Z=8&amp;N=6&amp;Sheet=1&amp;Row=9&amp;Col=9","")</f>
      </c>
      <c r="K10" t="s" s="1">
        <f>HYPERLINK("http://141.218.60.56/~jnz1568/discussion.php?&amp;Z=8&amp;N=6&amp;Sheet=1&amp;Row=9&amp;Col=10","")</f>
      </c>
      <c r="L10" t="s" s="1">
        <f>HYPERLINK("http://141.218.60.56/~jnz1568/discussion.php?&amp;Z=8&amp;N=6&amp;Sheet=1&amp;Row=9&amp;Col=11","0.22579")</f>
      </c>
      <c r="M10" t="s" s="1">
        <f>HYPERLINK("http://141.218.60.56/~jnz1568/discussion.php?&amp;Z=8&amp;N=6&amp;Sheet=1&amp;Row=9&amp;Col=12","")</f>
      </c>
      <c r="N10" t="s" s="1">
        <f>HYPERLINK("http://141.218.60.56/~jnz1568/discussion.php?&amp;Z=8&amp;N=6&amp;Sheet=1&amp;Row=9&amp;Col=13","")</f>
      </c>
      <c r="O10" t="s" s="1">
        <f>HYPERLINK("http://141.218.60.56/~jnz1568/discussion.php?&amp;Z=8&amp;N=6&amp;Sheet=1&amp;Row=9&amp;Col=14","0")</f>
      </c>
      <c r="P10" t="s" s="1">
        <f>HYPERLINK("http://141.218.60.56/~jnz1568/discussion.php?&amp;Z=8&amp;N=6&amp;Sheet=1&amp;Row=9&amp;Col=15","0.227")</f>
      </c>
      <c r="Q10" t="s" s="1">
        <f>HYPERLINK("http://141.218.60.56/~jnz1568/discussion.php?&amp;Z=8&amp;N=6&amp;Sheet=1&amp;Row=9&amp;Col=16","")</f>
      </c>
    </row>
    <row r="11">
      <c r="A11" t="s">
        <v>15</v>
      </c>
      <c r="B11" t="s">
        <v>16</v>
      </c>
      <c r="C11" t="s">
        <v>33</v>
      </c>
      <c r="D11" t="s">
        <v>20</v>
      </c>
      <c r="E11" t="s">
        <v>248</v>
      </c>
      <c r="F11" t="s" s="1">
        <f>HYPERLINK("http://141.218.60.56/~jnz1568/discussion.php?&amp;Z=8&amp;N=6&amp;Sheet=1&amp;Row=10&amp;Col=5","")</f>
      </c>
      <c r="G11" t="s" s="1">
        <f>HYPERLINK("http://141.218.60.56/~jnz1568/discussion.php?&amp;Z=8&amp;N=6&amp;Sheet=1&amp;Row=10&amp;Col=6","0.00069978")</f>
      </c>
      <c r="H11" t="s" s="1">
        <f>HYPERLINK("http://141.218.60.56/~jnz1568/discussion.php?&amp;Z=8&amp;N=6&amp;Sheet=1&amp;Row=10&amp;Col=7","")</f>
      </c>
      <c r="I11" t="s" s="1">
        <f>HYPERLINK("http://141.218.60.56/~jnz1568/discussion.php?&amp;Z=8&amp;N=6&amp;Sheet=1&amp;Row=10&amp;Col=8","")</f>
      </c>
      <c r="J11" t="s" s="1">
        <f>HYPERLINK("http://141.218.60.56/~jnz1568/discussion.php?&amp;Z=8&amp;N=6&amp;Sheet=1&amp;Row=10&amp;Col=9","")</f>
      </c>
      <c r="K11" t="s" s="1">
        <f>HYPERLINK("http://141.218.60.56/~jnz1568/discussion.php?&amp;Z=8&amp;N=6&amp;Sheet=1&amp;Row=10&amp;Col=10","0.0006943")</f>
      </c>
      <c r="L11" t="s" s="1">
        <f>HYPERLINK("http://141.218.60.56/~jnz1568/discussion.php?&amp;Z=8&amp;N=6&amp;Sheet=1&amp;Row=10&amp;Col=11","")</f>
      </c>
      <c r="M11" t="s" s="1">
        <f>HYPERLINK("http://141.218.60.56/~jnz1568/discussion.php?&amp;Z=8&amp;N=6&amp;Sheet=1&amp;Row=10&amp;Col=12","")</f>
      </c>
      <c r="N11" t="s" s="1">
        <f>HYPERLINK("http://141.218.60.56/~jnz1568/discussion.php?&amp;Z=8&amp;N=6&amp;Sheet=1&amp;Row=10&amp;Col=13","")</f>
      </c>
      <c r="O11" t="s" s="1">
        <f>HYPERLINK("http://141.218.60.56/~jnz1568/discussion.php?&amp;Z=8&amp;N=6&amp;Sheet=1&amp;Row=10&amp;Col=14","0.000609")</f>
      </c>
      <c r="P11" t="s" s="1">
        <f>HYPERLINK("http://141.218.60.56/~jnz1568/discussion.php?&amp;Z=8&amp;N=6&amp;Sheet=1&amp;Row=10&amp;Col=15","0")</f>
      </c>
      <c r="Q11" t="s" s="1">
        <f>HYPERLINK("http://141.218.60.56/~jnz1568/discussion.php?&amp;Z=8&amp;N=6&amp;Sheet=1&amp;Row=10&amp;Col=16","")</f>
      </c>
    </row>
    <row r="12">
      <c r="A12" t="s">
        <v>15</v>
      </c>
      <c r="B12" t="s">
        <v>16</v>
      </c>
      <c r="C12" t="s">
        <v>33</v>
      </c>
      <c r="D12" t="s">
        <v>28</v>
      </c>
      <c r="E12" t="s">
        <v>252</v>
      </c>
      <c r="F12" t="s" s="1">
        <f>HYPERLINK("http://141.218.60.56/~jnz1568/discussion.php?&amp;Z=8&amp;N=6&amp;Sheet=1&amp;Row=11&amp;Col=5","")</f>
      </c>
      <c r="G12" t="s" s="1">
        <f>HYPERLINK("http://141.218.60.56/~jnz1568/discussion.php?&amp;Z=8&amp;N=6&amp;Sheet=1&amp;Row=11&amp;Col=6","1.6854")</f>
      </c>
      <c r="H12" t="s" s="1">
        <f>HYPERLINK("http://141.218.60.56/~jnz1568/discussion.php?&amp;Z=8&amp;N=6&amp;Sheet=1&amp;Row=11&amp;Col=7","")</f>
      </c>
      <c r="I12" t="s" s="1">
        <f>HYPERLINK("http://141.218.60.56/~jnz1568/discussion.php?&amp;Z=8&amp;N=6&amp;Sheet=1&amp;Row=11&amp;Col=8","")</f>
      </c>
      <c r="J12" t="s" s="1">
        <f>HYPERLINK("http://141.218.60.56/~jnz1568/discussion.php?&amp;Z=8&amp;N=6&amp;Sheet=1&amp;Row=11&amp;Col=9","")</f>
      </c>
      <c r="K12" t="s" s="1">
        <f>HYPERLINK("http://141.218.60.56/~jnz1568/discussion.php?&amp;Z=8&amp;N=6&amp;Sheet=1&amp;Row=11&amp;Col=10","1.6842")</f>
      </c>
      <c r="L12" t="s" s="1">
        <f>HYPERLINK("http://141.218.60.56/~jnz1568/discussion.php?&amp;Z=8&amp;N=6&amp;Sheet=1&amp;Row=11&amp;Col=11","")</f>
      </c>
      <c r="M12" t="s" s="1">
        <f>HYPERLINK("http://141.218.60.56/~jnz1568/discussion.php?&amp;Z=8&amp;N=6&amp;Sheet=1&amp;Row=11&amp;Col=12","")</f>
      </c>
      <c r="N12" t="s" s="1">
        <f>HYPERLINK("http://141.218.60.56/~jnz1568/discussion.php?&amp;Z=8&amp;N=6&amp;Sheet=1&amp;Row=11&amp;Col=13","")</f>
      </c>
      <c r="O12" t="s" s="1">
        <f>HYPERLINK("http://141.218.60.56/~jnz1568/discussion.php?&amp;Z=8&amp;N=6&amp;Sheet=1&amp;Row=11&amp;Col=14","1.56")</f>
      </c>
      <c r="P12" t="s" s="1">
        <f>HYPERLINK("http://141.218.60.56/~jnz1568/discussion.php?&amp;Z=8&amp;N=6&amp;Sheet=1&amp;Row=11&amp;Col=15","0")</f>
      </c>
      <c r="Q12" t="s" s="1">
        <f>HYPERLINK("http://141.218.60.56/~jnz1568/discussion.php?&amp;Z=8&amp;N=6&amp;Sheet=1&amp;Row=11&amp;Col=16","")</f>
      </c>
    </row>
    <row r="13">
      <c r="A13" t="s">
        <v>15</v>
      </c>
      <c r="B13" t="s">
        <v>16</v>
      </c>
      <c r="C13" t="s">
        <v>16</v>
      </c>
      <c r="D13" t="s">
        <v>17</v>
      </c>
      <c r="E13" t="s">
        <v>256</v>
      </c>
      <c r="F13" t="s" s="1">
        <f>HYPERLINK("http://141.218.60.56/~jnz1568/discussion.php?&amp;Z=8&amp;N=6&amp;Sheet=1&amp;Row=12&amp;Col=5","")</f>
      </c>
      <c r="G13" t="s" s="1">
        <f>HYPERLINK("http://141.218.60.56/~jnz1568/discussion.php?&amp;Z=8&amp;N=6&amp;Sheet=1&amp;Row=12&amp;Col=6","")</f>
      </c>
      <c r="H13" t="s" s="1">
        <f>HYPERLINK("http://141.218.60.56/~jnz1568/discussion.php?&amp;Z=8&amp;N=6&amp;Sheet=1&amp;Row=12&amp;Col=7","")</f>
      </c>
      <c r="I13" t="s" s="1">
        <f>HYPERLINK("http://141.218.60.56/~jnz1568/discussion.php?&amp;Z=8&amp;N=6&amp;Sheet=1&amp;Row=12&amp;Col=8","0.0021905")</f>
      </c>
      <c r="J13" t="s" s="1">
        <f>HYPERLINK("http://141.218.60.56/~jnz1568/discussion.php?&amp;Z=8&amp;N=6&amp;Sheet=1&amp;Row=12&amp;Col=9","")</f>
      </c>
      <c r="K13" t="s" s="1">
        <f>HYPERLINK("http://141.218.60.56/~jnz1568/discussion.php?&amp;Z=8&amp;N=6&amp;Sheet=1&amp;Row=12&amp;Col=10","")</f>
      </c>
      <c r="L13" t="s" s="1">
        <f>HYPERLINK("http://141.218.60.56/~jnz1568/discussion.php?&amp;Z=8&amp;N=6&amp;Sheet=1&amp;Row=12&amp;Col=11","")</f>
      </c>
      <c r="M13" t="s" s="1">
        <f>HYPERLINK("http://141.218.60.56/~jnz1568/discussion.php?&amp;Z=8&amp;N=6&amp;Sheet=1&amp;Row=12&amp;Col=12","0.0022284")</f>
      </c>
      <c r="N13" t="s" s="1">
        <f>HYPERLINK("http://141.218.60.56/~jnz1568/discussion.php?&amp;Z=8&amp;N=6&amp;Sheet=1&amp;Row=12&amp;Col=13","")</f>
      </c>
      <c r="O13" t="s" s="1">
        <f>HYPERLINK("http://141.218.60.56/~jnz1568/discussion.php?&amp;Z=8&amp;N=6&amp;Sheet=1&amp;Row=12&amp;Col=14","")</f>
      </c>
      <c r="P13" t="s" s="1">
        <f>HYPERLINK("http://141.218.60.56/~jnz1568/discussion.php?&amp;Z=8&amp;N=6&amp;Sheet=1&amp;Row=12&amp;Col=15","")</f>
      </c>
      <c r="Q13" t="s" s="1">
        <f>HYPERLINK("http://141.218.60.56/~jnz1568/discussion.php?&amp;Z=8&amp;N=6&amp;Sheet=1&amp;Row=12&amp;Col=16","")</f>
      </c>
    </row>
    <row r="14">
      <c r="A14" t="s">
        <v>15</v>
      </c>
      <c r="B14" t="s">
        <v>16</v>
      </c>
      <c r="C14" t="s">
        <v>16</v>
      </c>
      <c r="D14" t="s">
        <v>23</v>
      </c>
      <c r="E14" t="s">
        <v>259</v>
      </c>
      <c r="F14" t="s" s="1">
        <f>HYPERLINK("http://141.218.60.56/~jnz1568/discussion.php?&amp;Z=8&amp;N=6&amp;Sheet=1&amp;Row=13&amp;Col=5","230.78")</f>
      </c>
      <c r="G14" t="s" s="1">
        <f>HYPERLINK("http://141.218.60.56/~jnz1568/discussion.php?&amp;Z=8&amp;N=6&amp;Sheet=1&amp;Row=13&amp;Col=6","")</f>
      </c>
      <c r="H14" t="s" s="1">
        <f>HYPERLINK("http://141.218.60.56/~jnz1568/discussion.php?&amp;Z=8&amp;N=6&amp;Sheet=1&amp;Row=13&amp;Col=7","")</f>
      </c>
      <c r="I14" t="s" s="1">
        <f>HYPERLINK("http://141.218.60.56/~jnz1568/discussion.php?&amp;Z=8&amp;N=6&amp;Sheet=1&amp;Row=13&amp;Col=8","0.0048712")</f>
      </c>
      <c r="J14" t="s" s="1">
        <f>HYPERLINK("http://141.218.60.56/~jnz1568/discussion.php?&amp;Z=8&amp;N=6&amp;Sheet=1&amp;Row=13&amp;Col=9","231.08")</f>
      </c>
      <c r="K14" t="s" s="1">
        <f>HYPERLINK("http://141.218.60.56/~jnz1568/discussion.php?&amp;Z=8&amp;N=6&amp;Sheet=1&amp;Row=13&amp;Col=10","")</f>
      </c>
      <c r="L14" t="s" s="1">
        <f>HYPERLINK("http://141.218.60.56/~jnz1568/discussion.php?&amp;Z=8&amp;N=6&amp;Sheet=1&amp;Row=13&amp;Col=11","")</f>
      </c>
      <c r="M14" t="s" s="1">
        <f>HYPERLINK("http://141.218.60.56/~jnz1568/discussion.php?&amp;Z=8&amp;N=6&amp;Sheet=1&amp;Row=13&amp;Col=12","0.0049554")</f>
      </c>
      <c r="N14" t="s" s="1">
        <f>HYPERLINK("http://141.218.60.56/~jnz1568/discussion.php?&amp;Z=8&amp;N=6&amp;Sheet=1&amp;Row=13&amp;Col=13","166.8")</f>
      </c>
      <c r="O14" t="s" s="1">
        <f>HYPERLINK("http://141.218.60.56/~jnz1568/discussion.php?&amp;Z=8&amp;N=6&amp;Sheet=1&amp;Row=13&amp;Col=14","")</f>
      </c>
      <c r="P14" t="s" s="1">
        <f>HYPERLINK("http://141.218.60.56/~jnz1568/discussion.php?&amp;Z=8&amp;N=6&amp;Sheet=1&amp;Row=13&amp;Col=15","")</f>
      </c>
      <c r="Q14" t="s" s="1">
        <f>HYPERLINK("http://141.218.60.56/~jnz1568/discussion.php?&amp;Z=8&amp;N=6&amp;Sheet=1&amp;Row=13&amp;Col=16","")</f>
      </c>
    </row>
    <row r="15">
      <c r="A15" t="s">
        <v>15</v>
      </c>
      <c r="B15" t="s">
        <v>16</v>
      </c>
      <c r="C15" t="s">
        <v>16</v>
      </c>
      <c r="D15" t="s">
        <v>20</v>
      </c>
      <c r="E15" t="s">
        <v>265</v>
      </c>
      <c r="F15" t="s" s="1">
        <f>HYPERLINK("http://141.218.60.56/~jnz1568/discussion.php?&amp;Z=8&amp;N=6&amp;Sheet=1&amp;Row=14&amp;Col=5","576.46")</f>
      </c>
      <c r="G15" t="s" s="1">
        <f>HYPERLINK("http://141.218.60.56/~jnz1568/discussion.php?&amp;Z=8&amp;N=6&amp;Sheet=1&amp;Row=14&amp;Col=6","")</f>
      </c>
      <c r="H15" t="s" s="1">
        <f>HYPERLINK("http://141.218.60.56/~jnz1568/discussion.php?&amp;Z=8&amp;N=6&amp;Sheet=1&amp;Row=14&amp;Col=7","")</f>
      </c>
      <c r="I15" t="s" s="1">
        <f>HYPERLINK("http://141.218.60.56/~jnz1568/discussion.php?&amp;Z=8&amp;N=6&amp;Sheet=1&amp;Row=14&amp;Col=8","0.0037148")</f>
      </c>
      <c r="J15" t="s" s="1">
        <f>HYPERLINK("http://141.218.60.56/~jnz1568/discussion.php?&amp;Z=8&amp;N=6&amp;Sheet=1&amp;Row=14&amp;Col=9","577.14")</f>
      </c>
      <c r="K15" t="s" s="1">
        <f>HYPERLINK("http://141.218.60.56/~jnz1568/discussion.php?&amp;Z=8&amp;N=6&amp;Sheet=1&amp;Row=14&amp;Col=10","")</f>
      </c>
      <c r="L15" t="s" s="1">
        <f>HYPERLINK("http://141.218.60.56/~jnz1568/discussion.php?&amp;Z=8&amp;N=6&amp;Sheet=1&amp;Row=14&amp;Col=11","")</f>
      </c>
      <c r="M15" t="s" s="1">
        <f>HYPERLINK("http://141.218.60.56/~jnz1568/discussion.php?&amp;Z=8&amp;N=6&amp;Sheet=1&amp;Row=14&amp;Col=12","0.0037794")</f>
      </c>
      <c r="N15" t="s" s="1">
        <f>HYPERLINK("http://141.218.60.56/~jnz1568/discussion.php?&amp;Z=8&amp;N=6&amp;Sheet=1&amp;Row=14&amp;Col=13","414.8")</f>
      </c>
      <c r="O15" t="s" s="1">
        <f>HYPERLINK("http://141.218.60.56/~jnz1568/discussion.php?&amp;Z=8&amp;N=6&amp;Sheet=1&amp;Row=14&amp;Col=14","")</f>
      </c>
      <c r="P15" t="s" s="1">
        <f>HYPERLINK("http://141.218.60.56/~jnz1568/discussion.php?&amp;Z=8&amp;N=6&amp;Sheet=1&amp;Row=14&amp;Col=15","")</f>
      </c>
      <c r="Q15" t="s" s="1">
        <f>HYPERLINK("http://141.218.60.56/~jnz1568/discussion.php?&amp;Z=8&amp;N=6&amp;Sheet=1&amp;Row=14&amp;Col=16","")</f>
      </c>
    </row>
    <row r="16">
      <c r="A16" t="s">
        <v>15</v>
      </c>
      <c r="B16" t="s">
        <v>16</v>
      </c>
      <c r="C16" t="s">
        <v>16</v>
      </c>
      <c r="D16" t="s">
        <v>28</v>
      </c>
      <c r="E16" t="s">
        <v>271</v>
      </c>
      <c r="F16" t="s" s="1">
        <f>HYPERLINK("http://141.218.60.56/~jnz1568/discussion.php?&amp;Z=8&amp;N=6&amp;Sheet=1&amp;Row=15&amp;Col=5","0.0057774")</f>
      </c>
      <c r="G16" t="s" s="1">
        <f>HYPERLINK("http://141.218.60.56/~jnz1568/discussion.php?&amp;Z=8&amp;N=6&amp;Sheet=1&amp;Row=15&amp;Col=6","")</f>
      </c>
      <c r="H16" t="s" s="1">
        <f>HYPERLINK("http://141.218.60.56/~jnz1568/discussion.php?&amp;Z=8&amp;N=6&amp;Sheet=1&amp;Row=15&amp;Col=7","")</f>
      </c>
      <c r="I16" t="s" s="1">
        <f>HYPERLINK("http://141.218.60.56/~jnz1568/discussion.php?&amp;Z=8&amp;N=6&amp;Sheet=1&amp;Row=15&amp;Col=8","2.3165e-08")</f>
      </c>
      <c r="J16" t="s" s="1">
        <f>HYPERLINK("http://141.218.60.56/~jnz1568/discussion.php?&amp;Z=8&amp;N=6&amp;Sheet=1&amp;Row=15&amp;Col=9","0.0056004")</f>
      </c>
      <c r="K16" t="s" s="1">
        <f>HYPERLINK("http://141.218.60.56/~jnz1568/discussion.php?&amp;Z=8&amp;N=6&amp;Sheet=1&amp;Row=15&amp;Col=10","")</f>
      </c>
      <c r="L16" t="s" s="1">
        <f>HYPERLINK("http://141.218.60.56/~jnz1568/discussion.php?&amp;Z=8&amp;N=6&amp;Sheet=1&amp;Row=15&amp;Col=11","")</f>
      </c>
      <c r="M16" t="s" s="1">
        <f>HYPERLINK("http://141.218.60.56/~jnz1568/discussion.php?&amp;Z=8&amp;N=6&amp;Sheet=1&amp;Row=15&amp;Col=12","2.3177e-08")</f>
      </c>
      <c r="N16" t="s" s="1">
        <f>HYPERLINK("http://141.218.60.56/~jnz1568/discussion.php?&amp;Z=8&amp;N=6&amp;Sheet=1&amp;Row=15&amp;Col=13","0.0009213")</f>
      </c>
      <c r="O16" t="s" s="1">
        <f>HYPERLINK("http://141.218.60.56/~jnz1568/discussion.php?&amp;Z=8&amp;N=6&amp;Sheet=1&amp;Row=15&amp;Col=14","")</f>
      </c>
      <c r="P16" t="s" s="1">
        <f>HYPERLINK("http://141.218.60.56/~jnz1568/discussion.php?&amp;Z=8&amp;N=6&amp;Sheet=1&amp;Row=15&amp;Col=15","")</f>
      </c>
      <c r="Q16" t="s" s="1">
        <f>HYPERLINK("http://141.218.60.56/~jnz1568/discussion.php?&amp;Z=8&amp;N=6&amp;Sheet=1&amp;Row=15&amp;Col=16","")</f>
      </c>
    </row>
    <row r="17">
      <c r="A17" t="s">
        <v>15</v>
      </c>
      <c r="B17" t="s">
        <v>16</v>
      </c>
      <c r="C17" t="s">
        <v>16</v>
      </c>
      <c r="D17" t="s">
        <v>33</v>
      </c>
      <c r="E17" t="s">
        <v>277</v>
      </c>
      <c r="F17" t="s" s="1">
        <f>HYPERLINK("http://141.218.60.56/~jnz1568/discussion.php?&amp;Z=8&amp;N=6&amp;Sheet=1&amp;Row=16&amp;Col=5","")</f>
      </c>
      <c r="G17" t="s" s="1">
        <f>HYPERLINK("http://141.218.60.56/~jnz1568/discussion.php?&amp;Z=8&amp;N=6&amp;Sheet=1&amp;Row=16&amp;Col=6","")</f>
      </c>
      <c r="H17" t="s" s="1">
        <f>HYPERLINK("http://141.218.60.56/~jnz1568/discussion.php?&amp;Z=8&amp;N=6&amp;Sheet=1&amp;Row=16&amp;Col=7","")</f>
      </c>
      <c r="I17" t="s" s="1">
        <f>HYPERLINK("http://141.218.60.56/~jnz1568/discussion.php?&amp;Z=8&amp;N=6&amp;Sheet=1&amp;Row=16&amp;Col=8","3.763e-11")</f>
      </c>
      <c r="J17" t="s" s="1">
        <f>HYPERLINK("http://141.218.60.56/~jnz1568/discussion.php?&amp;Z=8&amp;N=6&amp;Sheet=1&amp;Row=16&amp;Col=9","")</f>
      </c>
      <c r="K17" t="s" s="1">
        <f>HYPERLINK("http://141.218.60.56/~jnz1568/discussion.php?&amp;Z=8&amp;N=6&amp;Sheet=1&amp;Row=16&amp;Col=10","")</f>
      </c>
      <c r="L17" t="s" s="1">
        <f>HYPERLINK("http://141.218.60.56/~jnz1568/discussion.php?&amp;Z=8&amp;N=6&amp;Sheet=1&amp;Row=16&amp;Col=11","")</f>
      </c>
      <c r="M17" t="s" s="1">
        <f>HYPERLINK("http://141.218.60.56/~jnz1568/discussion.php?&amp;Z=8&amp;N=6&amp;Sheet=1&amp;Row=16&amp;Col=12","3.8902e-11")</f>
      </c>
      <c r="N17" t="s" s="1">
        <f>HYPERLINK("http://141.218.60.56/~jnz1568/discussion.php?&amp;Z=8&amp;N=6&amp;Sheet=1&amp;Row=16&amp;Col=13","")</f>
      </c>
      <c r="O17" t="s" s="1">
        <f>HYPERLINK("http://141.218.60.56/~jnz1568/discussion.php?&amp;Z=8&amp;N=6&amp;Sheet=1&amp;Row=16&amp;Col=14","")</f>
      </c>
      <c r="P17" t="s" s="1">
        <f>HYPERLINK("http://141.218.60.56/~jnz1568/discussion.php?&amp;Z=8&amp;N=6&amp;Sheet=1&amp;Row=16&amp;Col=15","")</f>
      </c>
      <c r="Q17" t="s" s="1">
        <f>HYPERLINK("http://141.218.60.56/~jnz1568/discussion.php?&amp;Z=8&amp;N=6&amp;Sheet=1&amp;Row=16&amp;Col=16","")</f>
      </c>
    </row>
    <row r="18">
      <c r="A18" t="s">
        <v>15</v>
      </c>
      <c r="B18" t="s">
        <v>16</v>
      </c>
      <c r="C18" t="s">
        <v>43</v>
      </c>
      <c r="D18" t="s">
        <v>23</v>
      </c>
      <c r="E18" t="s">
        <v>280</v>
      </c>
      <c r="F18" t="s" s="1">
        <f>HYPERLINK("http://141.218.60.56/~jnz1568/discussion.php?&amp;Z=8&amp;N=6&amp;Sheet=1&amp;Row=17&amp;Col=5","")</f>
      </c>
      <c r="G18" t="s" s="1">
        <f>HYPERLINK("http://141.218.60.56/~jnz1568/discussion.php?&amp;Z=8&amp;N=6&amp;Sheet=1&amp;Row=17&amp;Col=6","")</f>
      </c>
      <c r="H18" t="s" s="1">
        <f>HYPERLINK("http://141.218.60.56/~jnz1568/discussion.php?&amp;Z=8&amp;N=6&amp;Sheet=1&amp;Row=17&amp;Col=7","")</f>
      </c>
      <c r="I18" t="s" s="1">
        <f>HYPERLINK("http://141.218.60.56/~jnz1568/discussion.php?&amp;Z=8&amp;N=6&amp;Sheet=1&amp;Row=17&amp;Col=8","0.058321")</f>
      </c>
      <c r="J18" t="s" s="1">
        <f>HYPERLINK("http://141.218.60.56/~jnz1568/discussion.php?&amp;Z=8&amp;N=6&amp;Sheet=1&amp;Row=17&amp;Col=9","")</f>
      </c>
      <c r="K18" t="s" s="1">
        <f>HYPERLINK("http://141.218.60.56/~jnz1568/discussion.php?&amp;Z=8&amp;N=6&amp;Sheet=1&amp;Row=17&amp;Col=10","")</f>
      </c>
      <c r="L18" t="s" s="1">
        <f>HYPERLINK("http://141.218.60.56/~jnz1568/discussion.php?&amp;Z=8&amp;N=6&amp;Sheet=1&amp;Row=17&amp;Col=11","")</f>
      </c>
      <c r="M18" t="s" s="1">
        <f>HYPERLINK("http://141.218.60.56/~jnz1568/discussion.php?&amp;Z=8&amp;N=6&amp;Sheet=1&amp;Row=17&amp;Col=12","0.059398")</f>
      </c>
      <c r="N18" t="s" s="1">
        <f>HYPERLINK("http://141.218.60.56/~jnz1568/discussion.php?&amp;Z=8&amp;N=6&amp;Sheet=1&amp;Row=17&amp;Col=13","")</f>
      </c>
      <c r="O18" t="s" s="1">
        <f>HYPERLINK("http://141.218.60.56/~jnz1568/discussion.php?&amp;Z=8&amp;N=6&amp;Sheet=1&amp;Row=17&amp;Col=14","")</f>
      </c>
      <c r="P18" t="s" s="1">
        <f>HYPERLINK("http://141.218.60.56/~jnz1568/discussion.php?&amp;Z=8&amp;N=6&amp;Sheet=1&amp;Row=17&amp;Col=15","")</f>
      </c>
      <c r="Q18" t="s" s="1">
        <f>HYPERLINK("http://141.218.60.56/~jnz1568/discussion.php?&amp;Z=8&amp;N=6&amp;Sheet=1&amp;Row=17&amp;Col=16","")</f>
      </c>
    </row>
    <row r="19">
      <c r="A19" t="s">
        <v>15</v>
      </c>
      <c r="B19" t="s">
        <v>16</v>
      </c>
      <c r="C19" t="s">
        <v>43</v>
      </c>
      <c r="D19" t="s">
        <v>20</v>
      </c>
      <c r="E19" t="s">
        <v>283</v>
      </c>
      <c r="F19" t="s" s="1">
        <f>HYPERLINK("http://141.218.60.56/~jnz1568/discussion.php?&amp;Z=8&amp;N=6&amp;Sheet=1&amp;Row=18&amp;Col=5","613750000")</f>
      </c>
      <c r="G19" t="s" s="1">
        <f>HYPERLINK("http://141.218.60.56/~jnz1568/discussion.php?&amp;Z=8&amp;N=6&amp;Sheet=1&amp;Row=18&amp;Col=6","")</f>
      </c>
      <c r="H19" t="s" s="1">
        <f>HYPERLINK("http://141.218.60.56/~jnz1568/discussion.php?&amp;Z=8&amp;N=6&amp;Sheet=1&amp;Row=18&amp;Col=7","")</f>
      </c>
      <c r="I19" t="s" s="1">
        <f>HYPERLINK("http://141.218.60.56/~jnz1568/discussion.php?&amp;Z=8&amp;N=6&amp;Sheet=1&amp;Row=18&amp;Col=8","0.13887")</f>
      </c>
      <c r="J19" t="s" s="1">
        <f>HYPERLINK("http://141.218.60.56/~jnz1568/discussion.php?&amp;Z=8&amp;N=6&amp;Sheet=1&amp;Row=18&amp;Col=9","620560000")</f>
      </c>
      <c r="K19" t="s" s="1">
        <f>HYPERLINK("http://141.218.60.56/~jnz1568/discussion.php?&amp;Z=8&amp;N=6&amp;Sheet=1&amp;Row=18&amp;Col=10","")</f>
      </c>
      <c r="L19" t="s" s="1">
        <f>HYPERLINK("http://141.218.60.56/~jnz1568/discussion.php?&amp;Z=8&amp;N=6&amp;Sheet=1&amp;Row=18&amp;Col=11","")</f>
      </c>
      <c r="M19" t="s" s="1">
        <f>HYPERLINK("http://141.218.60.56/~jnz1568/discussion.php?&amp;Z=8&amp;N=6&amp;Sheet=1&amp;Row=18&amp;Col=12","0.14143")</f>
      </c>
      <c r="N19" t="s" s="1">
        <f>HYPERLINK("http://141.218.60.56/~jnz1568/discussion.php?&amp;Z=8&amp;N=6&amp;Sheet=1&amp;Row=18&amp;Col=13","618200000")</f>
      </c>
      <c r="O19" t="s" s="1">
        <f>HYPERLINK("http://141.218.60.56/~jnz1568/discussion.php?&amp;Z=8&amp;N=6&amp;Sheet=1&amp;Row=18&amp;Col=14","")</f>
      </c>
      <c r="P19" t="s" s="1">
        <f>HYPERLINK("http://141.218.60.56/~jnz1568/discussion.php?&amp;Z=8&amp;N=6&amp;Sheet=1&amp;Row=18&amp;Col=15","")</f>
      </c>
      <c r="Q19" t="s" s="1">
        <f>HYPERLINK("http://141.218.60.56/~jnz1568/discussion.php?&amp;Z=8&amp;N=6&amp;Sheet=1&amp;Row=18&amp;Col=16","")</f>
      </c>
    </row>
    <row r="20">
      <c r="A20" t="s">
        <v>15</v>
      </c>
      <c r="B20" t="s">
        <v>16</v>
      </c>
      <c r="C20" t="s">
        <v>43</v>
      </c>
      <c r="D20" t="s">
        <v>28</v>
      </c>
      <c r="E20" t="s">
        <v>289</v>
      </c>
      <c r="F20" t="s" s="1">
        <f>HYPERLINK("http://141.218.60.56/~jnz1568/discussion.php?&amp;Z=8&amp;N=6&amp;Sheet=1&amp;Row=19&amp;Col=5","21080")</f>
      </c>
      <c r="G20" t="s" s="1">
        <f>HYPERLINK("http://141.218.60.56/~jnz1568/discussion.php?&amp;Z=8&amp;N=6&amp;Sheet=1&amp;Row=19&amp;Col=6","")</f>
      </c>
      <c r="H20" t="s" s="1">
        <f>HYPERLINK("http://141.218.60.56/~jnz1568/discussion.php?&amp;Z=8&amp;N=6&amp;Sheet=1&amp;Row=19&amp;Col=7","")</f>
      </c>
      <c r="I20" t="s" s="1">
        <f>HYPERLINK("http://141.218.60.56/~jnz1568/discussion.php?&amp;Z=8&amp;N=6&amp;Sheet=1&amp;Row=19&amp;Col=8","0.080834")</f>
      </c>
      <c r="J20" t="s" s="1">
        <f>HYPERLINK("http://141.218.60.56/~jnz1568/discussion.php?&amp;Z=8&amp;N=6&amp;Sheet=1&amp;Row=19&amp;Col=9","20926")</f>
      </c>
      <c r="K20" t="s" s="1">
        <f>HYPERLINK("http://141.218.60.56/~jnz1568/discussion.php?&amp;Z=8&amp;N=6&amp;Sheet=1&amp;Row=19&amp;Col=10","")</f>
      </c>
      <c r="L20" t="s" s="1">
        <f>HYPERLINK("http://141.218.60.56/~jnz1568/discussion.php?&amp;Z=8&amp;N=6&amp;Sheet=1&amp;Row=19&amp;Col=11","")</f>
      </c>
      <c r="M20" t="s" s="1">
        <f>HYPERLINK("http://141.218.60.56/~jnz1568/discussion.php?&amp;Z=8&amp;N=6&amp;Sheet=1&amp;Row=19&amp;Col=12","0.082241")</f>
      </c>
      <c r="N20" t="s" s="1">
        <f>HYPERLINK("http://141.218.60.56/~jnz1568/discussion.php?&amp;Z=8&amp;N=6&amp;Sheet=1&amp;Row=19&amp;Col=13","13290")</f>
      </c>
      <c r="O20" t="s" s="1">
        <f>HYPERLINK("http://141.218.60.56/~jnz1568/discussion.php?&amp;Z=8&amp;N=6&amp;Sheet=1&amp;Row=19&amp;Col=14","")</f>
      </c>
      <c r="P20" t="s" s="1">
        <f>HYPERLINK("http://141.218.60.56/~jnz1568/discussion.php?&amp;Z=8&amp;N=6&amp;Sheet=1&amp;Row=19&amp;Col=15","")</f>
      </c>
      <c r="Q20" t="s" s="1">
        <f>HYPERLINK("http://141.218.60.56/~jnz1568/discussion.php?&amp;Z=8&amp;N=6&amp;Sheet=1&amp;Row=19&amp;Col=16","")</f>
      </c>
    </row>
    <row r="21">
      <c r="A21" t="s">
        <v>15</v>
      </c>
      <c r="B21" t="s">
        <v>16</v>
      </c>
      <c r="C21" t="s">
        <v>43</v>
      </c>
      <c r="D21" t="s">
        <v>16</v>
      </c>
      <c r="E21" t="s">
        <v>295</v>
      </c>
      <c r="F21" t="s" s="1">
        <f>HYPERLINK("http://141.218.60.56/~jnz1568/discussion.php?&amp;Z=8&amp;N=6&amp;Sheet=1&amp;Row=20&amp;Col=5","")</f>
      </c>
      <c r="G21" t="s" s="1">
        <f>HYPERLINK("http://141.218.60.56/~jnz1568/discussion.php?&amp;Z=8&amp;N=6&amp;Sheet=1&amp;Row=20&amp;Col=6","0.00036425")</f>
      </c>
      <c r="H21" t="s" s="1">
        <f>HYPERLINK("http://141.218.60.56/~jnz1568/discussion.php?&amp;Z=8&amp;N=6&amp;Sheet=1&amp;Row=20&amp;Col=7","6.8405e-05")</f>
      </c>
      <c r="I21" t="s" s="1">
        <f>HYPERLINK("http://141.218.60.56/~jnz1568/discussion.php?&amp;Z=8&amp;N=6&amp;Sheet=1&amp;Row=20&amp;Col=8","")</f>
      </c>
      <c r="J21" t="s" s="1">
        <f>HYPERLINK("http://141.218.60.56/~jnz1568/discussion.php?&amp;Z=8&amp;N=6&amp;Sheet=1&amp;Row=20&amp;Col=9","")</f>
      </c>
      <c r="K21" t="s" s="1">
        <f>HYPERLINK("http://141.218.60.56/~jnz1568/discussion.php?&amp;Z=8&amp;N=6&amp;Sheet=1&amp;Row=20&amp;Col=10","")</f>
      </c>
      <c r="L21" t="s" s="1">
        <f>HYPERLINK("http://141.218.60.56/~jnz1568/discussion.php?&amp;Z=8&amp;N=6&amp;Sheet=1&amp;Row=20&amp;Col=11","")</f>
      </c>
      <c r="M21" t="s" s="1">
        <f>HYPERLINK("http://141.218.60.56/~jnz1568/discussion.php?&amp;Z=8&amp;N=6&amp;Sheet=1&amp;Row=20&amp;Col=12","")</f>
      </c>
      <c r="N21" t="s" s="1">
        <f>HYPERLINK("http://141.218.60.56/~jnz1568/discussion.php?&amp;Z=8&amp;N=6&amp;Sheet=1&amp;Row=20&amp;Col=13","")</f>
      </c>
      <c r="O21" t="s" s="1">
        <f>HYPERLINK("http://141.218.60.56/~jnz1568/discussion.php?&amp;Z=8&amp;N=6&amp;Sheet=1&amp;Row=20&amp;Col=14","")</f>
      </c>
      <c r="P21" t="s" s="1">
        <f>HYPERLINK("http://141.218.60.56/~jnz1568/discussion.php?&amp;Z=8&amp;N=6&amp;Sheet=1&amp;Row=20&amp;Col=15","")</f>
      </c>
      <c r="Q21" t="s" s="1">
        <f>HYPERLINK("http://141.218.60.56/~jnz1568/discussion.php?&amp;Z=8&amp;N=6&amp;Sheet=1&amp;Row=20&amp;Col=16","")</f>
      </c>
    </row>
    <row r="22">
      <c r="A22" t="s">
        <v>15</v>
      </c>
      <c r="B22" t="s">
        <v>16</v>
      </c>
      <c r="C22" t="s">
        <v>15</v>
      </c>
      <c r="D22" t="s">
        <v>17</v>
      </c>
      <c r="E22" t="s">
        <v>298</v>
      </c>
      <c r="F22" t="s" s="1">
        <f>HYPERLINK("http://141.218.60.56/~jnz1568/discussion.php?&amp;Z=8&amp;N=6&amp;Sheet=1&amp;Row=21&amp;Col=5","")</f>
      </c>
      <c r="G22" t="s" s="1">
        <f>HYPERLINK("http://141.218.60.56/~jnz1568/discussion.php?&amp;Z=8&amp;N=6&amp;Sheet=1&amp;Row=21&amp;Col=6","")</f>
      </c>
      <c r="H22" t="s" s="1">
        <f>HYPERLINK("http://141.218.60.56/~jnz1568/discussion.php?&amp;Z=8&amp;N=6&amp;Sheet=1&amp;Row=21&amp;Col=7","")</f>
      </c>
      <c r="I22" t="s" s="1">
        <f>HYPERLINK("http://141.218.60.56/~jnz1568/discussion.php?&amp;Z=8&amp;N=6&amp;Sheet=1&amp;Row=21&amp;Col=8","0.059021")</f>
      </c>
      <c r="J22" t="s" s="1">
        <f>HYPERLINK("http://141.218.60.56/~jnz1568/discussion.php?&amp;Z=8&amp;N=6&amp;Sheet=1&amp;Row=21&amp;Col=9","")</f>
      </c>
      <c r="K22" t="s" s="1">
        <f>HYPERLINK("http://141.218.60.56/~jnz1568/discussion.php?&amp;Z=8&amp;N=6&amp;Sheet=1&amp;Row=21&amp;Col=10","")</f>
      </c>
      <c r="L22" t="s" s="1">
        <f>HYPERLINK("http://141.218.60.56/~jnz1568/discussion.php?&amp;Z=8&amp;N=6&amp;Sheet=1&amp;Row=21&amp;Col=11","")</f>
      </c>
      <c r="M22" t="s" s="1">
        <f>HYPERLINK("http://141.218.60.56/~jnz1568/discussion.php?&amp;Z=8&amp;N=6&amp;Sheet=1&amp;Row=21&amp;Col=12","0.06011")</f>
      </c>
      <c r="N22" t="s" s="1">
        <f>HYPERLINK("http://141.218.60.56/~jnz1568/discussion.php?&amp;Z=8&amp;N=6&amp;Sheet=1&amp;Row=21&amp;Col=13","")</f>
      </c>
      <c r="O22" t="s" s="1">
        <f>HYPERLINK("http://141.218.60.56/~jnz1568/discussion.php?&amp;Z=8&amp;N=6&amp;Sheet=1&amp;Row=21&amp;Col=14","")</f>
      </c>
      <c r="P22" t="s" s="1">
        <f>HYPERLINK("http://141.218.60.56/~jnz1568/discussion.php?&amp;Z=8&amp;N=6&amp;Sheet=1&amp;Row=21&amp;Col=15","")</f>
      </c>
      <c r="Q22" t="s" s="1">
        <f>HYPERLINK("http://141.218.60.56/~jnz1568/discussion.php?&amp;Z=8&amp;N=6&amp;Sheet=1&amp;Row=21&amp;Col=16","")</f>
      </c>
    </row>
    <row r="23">
      <c r="A23" t="s">
        <v>15</v>
      </c>
      <c r="B23" t="s">
        <v>16</v>
      </c>
      <c r="C23" t="s">
        <v>15</v>
      </c>
      <c r="D23" t="s">
        <v>23</v>
      </c>
      <c r="E23" t="s">
        <v>301</v>
      </c>
      <c r="F23" t="s" s="1">
        <f>HYPERLINK("http://141.218.60.56/~jnz1568/discussion.php?&amp;Z=8&amp;N=6&amp;Sheet=1&amp;Row=22&amp;Col=5","469270000")</f>
      </c>
      <c r="G23" t="s" s="1">
        <f>HYPERLINK("http://141.218.60.56/~jnz1568/discussion.php?&amp;Z=8&amp;N=6&amp;Sheet=1&amp;Row=22&amp;Col=6","")</f>
      </c>
      <c r="H23" t="s" s="1">
        <f>HYPERLINK("http://141.218.60.56/~jnz1568/discussion.php?&amp;Z=8&amp;N=6&amp;Sheet=1&amp;Row=22&amp;Col=7","")</f>
      </c>
      <c r="I23" t="s" s="1">
        <f>HYPERLINK("http://141.218.60.56/~jnz1568/discussion.php?&amp;Z=8&amp;N=6&amp;Sheet=1&amp;Row=22&amp;Col=8","0.066221")</f>
      </c>
      <c r="J23" t="s" s="1">
        <f>HYPERLINK("http://141.218.60.56/~jnz1568/discussion.php?&amp;Z=8&amp;N=6&amp;Sheet=1&amp;Row=22&amp;Col=9","474430000")</f>
      </c>
      <c r="K23" t="s" s="1">
        <f>HYPERLINK("http://141.218.60.56/~jnz1568/discussion.php?&amp;Z=8&amp;N=6&amp;Sheet=1&amp;Row=22&amp;Col=10","")</f>
      </c>
      <c r="L23" t="s" s="1">
        <f>HYPERLINK("http://141.218.60.56/~jnz1568/discussion.php?&amp;Z=8&amp;N=6&amp;Sheet=1&amp;Row=22&amp;Col=11","")</f>
      </c>
      <c r="M23" t="s" s="1">
        <f>HYPERLINK("http://141.218.60.56/~jnz1568/discussion.php?&amp;Z=8&amp;N=6&amp;Sheet=1&amp;Row=22&amp;Col=12","0.067438")</f>
      </c>
      <c r="N23" t="s" s="1">
        <f>HYPERLINK("http://141.218.60.56/~jnz1568/discussion.php?&amp;Z=8&amp;N=6&amp;Sheet=1&amp;Row=22&amp;Col=13","471600000")</f>
      </c>
      <c r="O23" t="s" s="1">
        <f>HYPERLINK("http://141.218.60.56/~jnz1568/discussion.php?&amp;Z=8&amp;N=6&amp;Sheet=1&amp;Row=22&amp;Col=14","")</f>
      </c>
      <c r="P23" t="s" s="1">
        <f>HYPERLINK("http://141.218.60.56/~jnz1568/discussion.php?&amp;Z=8&amp;N=6&amp;Sheet=1&amp;Row=22&amp;Col=15","")</f>
      </c>
      <c r="Q23" t="s" s="1">
        <f>HYPERLINK("http://141.218.60.56/~jnz1568/discussion.php?&amp;Z=8&amp;N=6&amp;Sheet=1&amp;Row=22&amp;Col=16","")</f>
      </c>
    </row>
    <row r="24">
      <c r="A24" t="s">
        <v>15</v>
      </c>
      <c r="B24" t="s">
        <v>16</v>
      </c>
      <c r="C24" t="s">
        <v>15</v>
      </c>
      <c r="D24" t="s">
        <v>20</v>
      </c>
      <c r="E24" t="s">
        <v>307</v>
      </c>
      <c r="F24" t="s" s="1">
        <f>HYPERLINK("http://141.218.60.56/~jnz1568/discussion.php?&amp;Z=8&amp;N=6&amp;Sheet=1&amp;Row=23&amp;Col=5","147820000")</f>
      </c>
      <c r="G24" t="s" s="1">
        <f>HYPERLINK("http://141.218.60.56/~jnz1568/discussion.php?&amp;Z=8&amp;N=6&amp;Sheet=1&amp;Row=23&amp;Col=6","")</f>
      </c>
      <c r="H24" t="s" s="1">
        <f>HYPERLINK("http://141.218.60.56/~jnz1568/discussion.php?&amp;Z=8&amp;N=6&amp;Sheet=1&amp;Row=23&amp;Col=7","")</f>
      </c>
      <c r="I24" t="s" s="1">
        <f>HYPERLINK("http://141.218.60.56/~jnz1568/discussion.php?&amp;Z=8&amp;N=6&amp;Sheet=1&amp;Row=23&amp;Col=8","5.7093e-05")</f>
      </c>
      <c r="J24" t="s" s="1">
        <f>HYPERLINK("http://141.218.60.56/~jnz1568/discussion.php?&amp;Z=8&amp;N=6&amp;Sheet=1&amp;Row=23&amp;Col=9","149450000")</f>
      </c>
      <c r="K24" t="s" s="1">
        <f>HYPERLINK("http://141.218.60.56/~jnz1568/discussion.php?&amp;Z=8&amp;N=6&amp;Sheet=1&amp;Row=23&amp;Col=10","")</f>
      </c>
      <c r="L24" t="s" s="1">
        <f>HYPERLINK("http://141.218.60.56/~jnz1568/discussion.php?&amp;Z=8&amp;N=6&amp;Sheet=1&amp;Row=23&amp;Col=11","")</f>
      </c>
      <c r="M24" t="s" s="1">
        <f>HYPERLINK("http://141.218.60.56/~jnz1568/discussion.php?&amp;Z=8&amp;N=6&amp;Sheet=1&amp;Row=23&amp;Col=12","5.8843e-05")</f>
      </c>
      <c r="N24" t="s" s="1">
        <f>HYPERLINK("http://141.218.60.56/~jnz1568/discussion.php?&amp;Z=8&amp;N=6&amp;Sheet=1&amp;Row=23&amp;Col=13","149700000")</f>
      </c>
      <c r="O24" t="s" s="1">
        <f>HYPERLINK("http://141.218.60.56/~jnz1568/discussion.php?&amp;Z=8&amp;N=6&amp;Sheet=1&amp;Row=23&amp;Col=14","")</f>
      </c>
      <c r="P24" t="s" s="1">
        <f>HYPERLINK("http://141.218.60.56/~jnz1568/discussion.php?&amp;Z=8&amp;N=6&amp;Sheet=1&amp;Row=23&amp;Col=15","")</f>
      </c>
      <c r="Q24" t="s" s="1">
        <f>HYPERLINK("http://141.218.60.56/~jnz1568/discussion.php?&amp;Z=8&amp;N=6&amp;Sheet=1&amp;Row=23&amp;Col=16","")</f>
      </c>
    </row>
    <row r="25">
      <c r="A25" t="s">
        <v>15</v>
      </c>
      <c r="B25" t="s">
        <v>16</v>
      </c>
      <c r="C25" t="s">
        <v>15</v>
      </c>
      <c r="D25" t="s">
        <v>28</v>
      </c>
      <c r="E25" t="s">
        <v>313</v>
      </c>
      <c r="F25" t="s" s="1">
        <f>HYPERLINK("http://141.218.60.56/~jnz1568/discussion.php?&amp;Z=8&amp;N=6&amp;Sheet=1&amp;Row=24&amp;Col=5","4092.8")</f>
      </c>
      <c r="G25" t="s" s="1">
        <f>HYPERLINK("http://141.218.60.56/~jnz1568/discussion.php?&amp;Z=8&amp;N=6&amp;Sheet=1&amp;Row=24&amp;Col=6","")</f>
      </c>
      <c r="H25" t="s" s="1">
        <f>HYPERLINK("http://141.218.60.56/~jnz1568/discussion.php?&amp;Z=8&amp;N=6&amp;Sheet=1&amp;Row=24&amp;Col=7","")</f>
      </c>
      <c r="I25" t="s" s="1">
        <f>HYPERLINK("http://141.218.60.56/~jnz1568/discussion.php?&amp;Z=8&amp;N=6&amp;Sheet=1&amp;Row=24&amp;Col=8","0.071317")</f>
      </c>
      <c r="J25" t="s" s="1">
        <f>HYPERLINK("http://141.218.60.56/~jnz1568/discussion.php?&amp;Z=8&amp;N=6&amp;Sheet=1&amp;Row=24&amp;Col=9","4186.4")</f>
      </c>
      <c r="K25" t="s" s="1">
        <f>HYPERLINK("http://141.218.60.56/~jnz1568/discussion.php?&amp;Z=8&amp;N=6&amp;Sheet=1&amp;Row=24&amp;Col=10","")</f>
      </c>
      <c r="L25" t="s" s="1">
        <f>HYPERLINK("http://141.218.60.56/~jnz1568/discussion.php?&amp;Z=8&amp;N=6&amp;Sheet=1&amp;Row=24&amp;Col=11","")</f>
      </c>
      <c r="M25" t="s" s="1">
        <f>HYPERLINK("http://141.218.60.56/~jnz1568/discussion.php?&amp;Z=8&amp;N=6&amp;Sheet=1&amp;Row=24&amp;Col=12","0.072551")</f>
      </c>
      <c r="N25" t="s" s="1">
        <f>HYPERLINK("http://141.218.60.56/~jnz1568/discussion.php?&amp;Z=8&amp;N=6&amp;Sheet=1&amp;Row=24&amp;Col=13","2425")</f>
      </c>
      <c r="O25" t="s" s="1">
        <f>HYPERLINK("http://141.218.60.56/~jnz1568/discussion.php?&amp;Z=8&amp;N=6&amp;Sheet=1&amp;Row=24&amp;Col=14","")</f>
      </c>
      <c r="P25" t="s" s="1">
        <f>HYPERLINK("http://141.218.60.56/~jnz1568/discussion.php?&amp;Z=8&amp;N=6&amp;Sheet=1&amp;Row=24&amp;Col=15","")</f>
      </c>
      <c r="Q25" t="s" s="1">
        <f>HYPERLINK("http://141.218.60.56/~jnz1568/discussion.php?&amp;Z=8&amp;N=6&amp;Sheet=1&amp;Row=24&amp;Col=16","")</f>
      </c>
    </row>
    <row r="26">
      <c r="A26" t="s">
        <v>15</v>
      </c>
      <c r="B26" t="s">
        <v>16</v>
      </c>
      <c r="C26" t="s">
        <v>15</v>
      </c>
      <c r="D26" t="s">
        <v>33</v>
      </c>
      <c r="E26" t="s">
        <v>319</v>
      </c>
      <c r="F26" t="s" s="1">
        <f>HYPERLINK("http://141.218.60.56/~jnz1568/discussion.php?&amp;Z=8&amp;N=6&amp;Sheet=1&amp;Row=25&amp;Col=5","")</f>
      </c>
      <c r="G26" t="s" s="1">
        <f>HYPERLINK("http://141.218.60.56/~jnz1568/discussion.php?&amp;Z=8&amp;N=6&amp;Sheet=1&amp;Row=25&amp;Col=6","")</f>
      </c>
      <c r="H26" t="s" s="1">
        <f>HYPERLINK("http://141.218.60.56/~jnz1568/discussion.php?&amp;Z=8&amp;N=6&amp;Sheet=1&amp;Row=25&amp;Col=7","")</f>
      </c>
      <c r="I26" t="s" s="1">
        <f>HYPERLINK("http://141.218.60.56/~jnz1568/discussion.php?&amp;Z=8&amp;N=6&amp;Sheet=1&amp;Row=25&amp;Col=8","3.3573e-07")</f>
      </c>
      <c r="J26" t="s" s="1">
        <f>HYPERLINK("http://141.218.60.56/~jnz1568/discussion.php?&amp;Z=8&amp;N=6&amp;Sheet=1&amp;Row=25&amp;Col=9","")</f>
      </c>
      <c r="K26" t="s" s="1">
        <f>HYPERLINK("http://141.218.60.56/~jnz1568/discussion.php?&amp;Z=8&amp;N=6&amp;Sheet=1&amp;Row=25&amp;Col=10","")</f>
      </c>
      <c r="L26" t="s" s="1">
        <f>HYPERLINK("http://141.218.60.56/~jnz1568/discussion.php?&amp;Z=8&amp;N=6&amp;Sheet=1&amp;Row=25&amp;Col=11","")</f>
      </c>
      <c r="M26" t="s" s="1">
        <f>HYPERLINK("http://141.218.60.56/~jnz1568/discussion.php?&amp;Z=8&amp;N=6&amp;Sheet=1&amp;Row=25&amp;Col=12","3.3926e-07")</f>
      </c>
      <c r="N26" t="s" s="1">
        <f>HYPERLINK("http://141.218.60.56/~jnz1568/discussion.php?&amp;Z=8&amp;N=6&amp;Sheet=1&amp;Row=25&amp;Col=13","")</f>
      </c>
      <c r="O26" t="s" s="1">
        <f>HYPERLINK("http://141.218.60.56/~jnz1568/discussion.php?&amp;Z=8&amp;N=6&amp;Sheet=1&amp;Row=25&amp;Col=14","")</f>
      </c>
      <c r="P26" t="s" s="1">
        <f>HYPERLINK("http://141.218.60.56/~jnz1568/discussion.php?&amp;Z=8&amp;N=6&amp;Sheet=1&amp;Row=25&amp;Col=15","")</f>
      </c>
      <c r="Q26" t="s" s="1">
        <f>HYPERLINK("http://141.218.60.56/~jnz1568/discussion.php?&amp;Z=8&amp;N=6&amp;Sheet=1&amp;Row=25&amp;Col=16","")</f>
      </c>
    </row>
    <row r="27">
      <c r="A27" t="s">
        <v>15</v>
      </c>
      <c r="B27" t="s">
        <v>16</v>
      </c>
      <c r="C27" t="s">
        <v>15</v>
      </c>
      <c r="D27" t="s">
        <v>16</v>
      </c>
      <c r="E27" t="s">
        <v>322</v>
      </c>
      <c r="F27" t="s" s="1">
        <f>HYPERLINK("http://141.218.60.56/~jnz1568/discussion.php?&amp;Z=8&amp;N=6&amp;Sheet=1&amp;Row=26&amp;Col=5","")</f>
      </c>
      <c r="G27" t="s" s="1">
        <f>HYPERLINK("http://141.218.60.56/~jnz1568/discussion.php?&amp;Z=8&amp;N=6&amp;Sheet=1&amp;Row=26&amp;Col=6","0.00032055")</f>
      </c>
      <c r="H27" t="s" s="1">
        <f>HYPERLINK("http://141.218.60.56/~jnz1568/discussion.php?&amp;Z=8&amp;N=6&amp;Sheet=1&amp;Row=26&amp;Col=7","0.00051536")</f>
      </c>
      <c r="I27" t="s" s="1">
        <f>HYPERLINK("http://141.218.60.56/~jnz1568/discussion.php?&amp;Z=8&amp;N=6&amp;Sheet=1&amp;Row=26&amp;Col=8","")</f>
      </c>
      <c r="J27" t="s" s="1">
        <f>HYPERLINK("http://141.218.60.56/~jnz1568/discussion.php?&amp;Z=8&amp;N=6&amp;Sheet=1&amp;Row=26&amp;Col=9","")</f>
      </c>
      <c r="K27" t="s" s="1">
        <f>HYPERLINK("http://141.218.60.56/~jnz1568/discussion.php?&amp;Z=8&amp;N=6&amp;Sheet=1&amp;Row=26&amp;Col=10","")</f>
      </c>
      <c r="L27" t="s" s="1">
        <f>HYPERLINK("http://141.218.60.56/~jnz1568/discussion.php?&amp;Z=8&amp;N=6&amp;Sheet=1&amp;Row=26&amp;Col=11","")</f>
      </c>
      <c r="M27" t="s" s="1">
        <f>HYPERLINK("http://141.218.60.56/~jnz1568/discussion.php?&amp;Z=8&amp;N=6&amp;Sheet=1&amp;Row=26&amp;Col=12","")</f>
      </c>
      <c r="N27" t="s" s="1">
        <f>HYPERLINK("http://141.218.60.56/~jnz1568/discussion.php?&amp;Z=8&amp;N=6&amp;Sheet=1&amp;Row=26&amp;Col=13","")</f>
      </c>
      <c r="O27" t="s" s="1">
        <f>HYPERLINK("http://141.218.60.56/~jnz1568/discussion.php?&amp;Z=8&amp;N=6&amp;Sheet=1&amp;Row=26&amp;Col=14","")</f>
      </c>
      <c r="P27" t="s" s="1">
        <f>HYPERLINK("http://141.218.60.56/~jnz1568/discussion.php?&amp;Z=8&amp;N=6&amp;Sheet=1&amp;Row=26&amp;Col=15","")</f>
      </c>
      <c r="Q27" t="s" s="1">
        <f>HYPERLINK("http://141.218.60.56/~jnz1568/discussion.php?&amp;Z=8&amp;N=6&amp;Sheet=1&amp;Row=26&amp;Col=16","")</f>
      </c>
    </row>
    <row r="28">
      <c r="A28" t="s">
        <v>15</v>
      </c>
      <c r="B28" t="s">
        <v>16</v>
      </c>
      <c r="C28" t="s">
        <v>15</v>
      </c>
      <c r="D28" t="s">
        <v>43</v>
      </c>
      <c r="E28" t="s">
        <v>325</v>
      </c>
      <c r="F28" t="s" s="1">
        <f>HYPERLINK("http://141.218.60.56/~jnz1568/discussion.php?&amp;Z=8&amp;N=6&amp;Sheet=1&amp;Row=27&amp;Col=5","")</f>
      </c>
      <c r="G28" t="s" s="1">
        <f>HYPERLINK("http://141.218.60.56/~jnz1568/discussion.php?&amp;Z=8&amp;N=6&amp;Sheet=1&amp;Row=27&amp;Col=6","0")</f>
      </c>
      <c r="H28" t="s" s="1">
        <f>HYPERLINK("http://141.218.60.56/~jnz1568/discussion.php?&amp;Z=8&amp;N=6&amp;Sheet=1&amp;Row=27&amp;Col=7","5.3963e-07")</f>
      </c>
      <c r="I28" t="s" s="1">
        <f>HYPERLINK("http://141.218.60.56/~jnz1568/discussion.php?&amp;Z=8&amp;N=6&amp;Sheet=1&amp;Row=27&amp;Col=8","")</f>
      </c>
      <c r="J28" t="s" s="1">
        <f>HYPERLINK("http://141.218.60.56/~jnz1568/discussion.php?&amp;Z=8&amp;N=6&amp;Sheet=1&amp;Row=27&amp;Col=9","")</f>
      </c>
      <c r="K28" t="s" s="1">
        <f>HYPERLINK("http://141.218.60.56/~jnz1568/discussion.php?&amp;Z=8&amp;N=6&amp;Sheet=1&amp;Row=27&amp;Col=10","")</f>
      </c>
      <c r="L28" t="s" s="1">
        <f>HYPERLINK("http://141.218.60.56/~jnz1568/discussion.php?&amp;Z=8&amp;N=6&amp;Sheet=1&amp;Row=27&amp;Col=11","")</f>
      </c>
      <c r="M28" t="s" s="1">
        <f>HYPERLINK("http://141.218.60.56/~jnz1568/discussion.php?&amp;Z=8&amp;N=6&amp;Sheet=1&amp;Row=27&amp;Col=12","")</f>
      </c>
      <c r="N28" t="s" s="1">
        <f>HYPERLINK("http://141.218.60.56/~jnz1568/discussion.php?&amp;Z=8&amp;N=6&amp;Sheet=1&amp;Row=27&amp;Col=13","")</f>
      </c>
      <c r="O28" t="s" s="1">
        <f>HYPERLINK("http://141.218.60.56/~jnz1568/discussion.php?&amp;Z=8&amp;N=6&amp;Sheet=1&amp;Row=27&amp;Col=14","")</f>
      </c>
      <c r="P28" t="s" s="1">
        <f>HYPERLINK("http://141.218.60.56/~jnz1568/discussion.php?&amp;Z=8&amp;N=6&amp;Sheet=1&amp;Row=27&amp;Col=15","")</f>
      </c>
      <c r="Q28" t="s" s="1">
        <f>HYPERLINK("http://141.218.60.56/~jnz1568/discussion.php?&amp;Z=8&amp;N=6&amp;Sheet=1&amp;Row=27&amp;Col=16","")</f>
      </c>
    </row>
    <row r="29">
      <c r="A29" t="s">
        <v>15</v>
      </c>
      <c r="B29" t="s">
        <v>16</v>
      </c>
      <c r="C29" t="s">
        <v>50</v>
      </c>
      <c r="D29" t="s">
        <v>17</v>
      </c>
      <c r="E29" t="s">
        <v>327</v>
      </c>
      <c r="F29" t="s" s="1">
        <f>HYPERLINK("http://141.218.60.56/~jnz1568/discussion.php?&amp;Z=8&amp;N=6&amp;Sheet=1&amp;Row=28&amp;Col=5","348910000")</f>
      </c>
      <c r="G29" t="s" s="1">
        <f>HYPERLINK("http://141.218.60.56/~jnz1568/discussion.php?&amp;Z=8&amp;N=6&amp;Sheet=1&amp;Row=28&amp;Col=6","")</f>
      </c>
      <c r="H29" t="s" s="1">
        <f>HYPERLINK("http://141.218.60.56/~jnz1568/discussion.php?&amp;Z=8&amp;N=6&amp;Sheet=1&amp;Row=28&amp;Col=7","")</f>
      </c>
      <c r="I29" t="s" s="1">
        <f>HYPERLINK("http://141.218.60.56/~jnz1568/discussion.php?&amp;Z=8&amp;N=6&amp;Sheet=1&amp;Row=28&amp;Col=8","")</f>
      </c>
      <c r="J29" t="s" s="1">
        <f>HYPERLINK("http://141.218.60.56/~jnz1568/discussion.php?&amp;Z=8&amp;N=6&amp;Sheet=1&amp;Row=28&amp;Col=9","352730000")</f>
      </c>
      <c r="K29" t="s" s="1">
        <f>HYPERLINK("http://141.218.60.56/~jnz1568/discussion.php?&amp;Z=8&amp;N=6&amp;Sheet=1&amp;Row=28&amp;Col=10","")</f>
      </c>
      <c r="L29" t="s" s="1">
        <f>HYPERLINK("http://141.218.60.56/~jnz1568/discussion.php?&amp;Z=8&amp;N=6&amp;Sheet=1&amp;Row=28&amp;Col=11","")</f>
      </c>
      <c r="M29" t="s" s="1">
        <f>HYPERLINK("http://141.218.60.56/~jnz1568/discussion.php?&amp;Z=8&amp;N=6&amp;Sheet=1&amp;Row=28&amp;Col=12","")</f>
      </c>
      <c r="N29" t="s" s="1">
        <f>HYPERLINK("http://141.218.60.56/~jnz1568/discussion.php?&amp;Z=8&amp;N=6&amp;Sheet=1&amp;Row=28&amp;Col=13","350500000")</f>
      </c>
      <c r="O29" t="s" s="1">
        <f>HYPERLINK("http://141.218.60.56/~jnz1568/discussion.php?&amp;Z=8&amp;N=6&amp;Sheet=1&amp;Row=28&amp;Col=14","")</f>
      </c>
      <c r="P29" t="s" s="1">
        <f>HYPERLINK("http://141.218.60.56/~jnz1568/discussion.php?&amp;Z=8&amp;N=6&amp;Sheet=1&amp;Row=28&amp;Col=15","")</f>
      </c>
      <c r="Q29" t="s" s="1">
        <f>HYPERLINK("http://141.218.60.56/~jnz1568/discussion.php?&amp;Z=8&amp;N=6&amp;Sheet=1&amp;Row=28&amp;Col=16","")</f>
      </c>
    </row>
    <row r="30">
      <c r="A30" t="s">
        <v>15</v>
      </c>
      <c r="B30" t="s">
        <v>16</v>
      </c>
      <c r="C30" t="s">
        <v>50</v>
      </c>
      <c r="D30" t="s">
        <v>23</v>
      </c>
      <c r="E30" t="s">
        <v>331</v>
      </c>
      <c r="F30" t="s" s="1">
        <f>HYPERLINK("http://141.218.60.56/~jnz1568/discussion.php?&amp;Z=8&amp;N=6&amp;Sheet=1&amp;Row=29&amp;Col=5","254240000")</f>
      </c>
      <c r="G30" t="s" s="1">
        <f>HYPERLINK("http://141.218.60.56/~jnz1568/discussion.php?&amp;Z=8&amp;N=6&amp;Sheet=1&amp;Row=29&amp;Col=6","")</f>
      </c>
      <c r="H30" t="s" s="1">
        <f>HYPERLINK("http://141.218.60.56/~jnz1568/discussion.php?&amp;Z=8&amp;N=6&amp;Sheet=1&amp;Row=29&amp;Col=7","")</f>
      </c>
      <c r="I30" t="s" s="1">
        <f>HYPERLINK("http://141.218.60.56/~jnz1568/discussion.php?&amp;Z=8&amp;N=6&amp;Sheet=1&amp;Row=29&amp;Col=8","0.0236")</f>
      </c>
      <c r="J30" t="s" s="1">
        <f>HYPERLINK("http://141.218.60.56/~jnz1568/discussion.php?&amp;Z=8&amp;N=6&amp;Sheet=1&amp;Row=29&amp;Col=9","257030000")</f>
      </c>
      <c r="K30" t="s" s="1">
        <f>HYPERLINK("http://141.218.60.56/~jnz1568/discussion.php?&amp;Z=8&amp;N=6&amp;Sheet=1&amp;Row=29&amp;Col=10","")</f>
      </c>
      <c r="L30" t="s" s="1">
        <f>HYPERLINK("http://141.218.60.56/~jnz1568/discussion.php?&amp;Z=8&amp;N=6&amp;Sheet=1&amp;Row=29&amp;Col=11","")</f>
      </c>
      <c r="M30" t="s" s="1">
        <f>HYPERLINK("http://141.218.60.56/~jnz1568/discussion.php?&amp;Z=8&amp;N=6&amp;Sheet=1&amp;Row=29&amp;Col=12","0.024035")</f>
      </c>
      <c r="N30" t="s" s="1">
        <f>HYPERLINK("http://141.218.60.56/~jnz1568/discussion.php?&amp;Z=8&amp;N=6&amp;Sheet=1&amp;Row=29&amp;Col=13","256400000")</f>
      </c>
      <c r="O30" t="s" s="1">
        <f>HYPERLINK("http://141.218.60.56/~jnz1568/discussion.php?&amp;Z=8&amp;N=6&amp;Sheet=1&amp;Row=29&amp;Col=14","")</f>
      </c>
      <c r="P30" t="s" s="1">
        <f>HYPERLINK("http://141.218.60.56/~jnz1568/discussion.php?&amp;Z=8&amp;N=6&amp;Sheet=1&amp;Row=29&amp;Col=15","")</f>
      </c>
      <c r="Q30" t="s" s="1">
        <f>HYPERLINK("http://141.218.60.56/~jnz1568/discussion.php?&amp;Z=8&amp;N=6&amp;Sheet=1&amp;Row=29&amp;Col=16","")</f>
      </c>
    </row>
    <row r="31">
      <c r="A31" t="s">
        <v>15</v>
      </c>
      <c r="B31" t="s">
        <v>16</v>
      </c>
      <c r="C31" t="s">
        <v>50</v>
      </c>
      <c r="D31" t="s">
        <v>20</v>
      </c>
      <c r="E31" t="s">
        <v>337</v>
      </c>
      <c r="F31" t="s" s="1">
        <f>HYPERLINK("http://141.218.60.56/~jnz1568/discussion.php?&amp;Z=8&amp;N=6&amp;Sheet=1&amp;Row=30&amp;Col=5","16034000")</f>
      </c>
      <c r="G31" t="s" s="1">
        <f>HYPERLINK("http://141.218.60.56/~jnz1568/discussion.php?&amp;Z=8&amp;N=6&amp;Sheet=1&amp;Row=30&amp;Col=6","")</f>
      </c>
      <c r="H31" t="s" s="1">
        <f>HYPERLINK("http://141.218.60.56/~jnz1568/discussion.php?&amp;Z=8&amp;N=6&amp;Sheet=1&amp;Row=30&amp;Col=7","")</f>
      </c>
      <c r="I31" t="s" s="1">
        <f>HYPERLINK("http://141.218.60.56/~jnz1568/discussion.php?&amp;Z=8&amp;N=6&amp;Sheet=1&amp;Row=30&amp;Col=8","0.017831")</f>
      </c>
      <c r="J31" t="s" s="1">
        <f>HYPERLINK("http://141.218.60.56/~jnz1568/discussion.php?&amp;Z=8&amp;N=6&amp;Sheet=1&amp;Row=30&amp;Col=9","16211000")</f>
      </c>
      <c r="K31" t="s" s="1">
        <f>HYPERLINK("http://141.218.60.56/~jnz1568/discussion.php?&amp;Z=8&amp;N=6&amp;Sheet=1&amp;Row=30&amp;Col=10","")</f>
      </c>
      <c r="L31" t="s" s="1">
        <f>HYPERLINK("http://141.218.60.56/~jnz1568/discussion.php?&amp;Z=8&amp;N=6&amp;Sheet=1&amp;Row=30&amp;Col=11","")</f>
      </c>
      <c r="M31" t="s" s="1">
        <f>HYPERLINK("http://141.218.60.56/~jnz1568/discussion.php?&amp;Z=8&amp;N=6&amp;Sheet=1&amp;Row=30&amp;Col=12","0.018163")</f>
      </c>
      <c r="N31" t="s" s="1">
        <f>HYPERLINK("http://141.218.60.56/~jnz1568/discussion.php?&amp;Z=8&amp;N=6&amp;Sheet=1&amp;Row=30&amp;Col=13","16290000")</f>
      </c>
      <c r="O31" t="s" s="1">
        <f>HYPERLINK("http://141.218.60.56/~jnz1568/discussion.php?&amp;Z=8&amp;N=6&amp;Sheet=1&amp;Row=30&amp;Col=14","")</f>
      </c>
      <c r="P31" t="s" s="1">
        <f>HYPERLINK("http://141.218.60.56/~jnz1568/discussion.php?&amp;Z=8&amp;N=6&amp;Sheet=1&amp;Row=30&amp;Col=15","")</f>
      </c>
      <c r="Q31" t="s" s="1">
        <f>HYPERLINK("http://141.218.60.56/~jnz1568/discussion.php?&amp;Z=8&amp;N=6&amp;Sheet=1&amp;Row=30&amp;Col=16","")</f>
      </c>
    </row>
    <row r="32">
      <c r="A32" t="s">
        <v>15</v>
      </c>
      <c r="B32" t="s">
        <v>16</v>
      </c>
      <c r="C32" t="s">
        <v>50</v>
      </c>
      <c r="D32" t="s">
        <v>28</v>
      </c>
      <c r="E32" t="s">
        <v>343</v>
      </c>
      <c r="F32" t="s" s="1">
        <f>HYPERLINK("http://141.218.60.56/~jnz1568/discussion.php?&amp;Z=8&amp;N=6&amp;Sheet=1&amp;Row=31&amp;Col=5","2357.8")</f>
      </c>
      <c r="G32" t="s" s="1">
        <f>HYPERLINK("http://141.218.60.56/~jnz1568/discussion.php?&amp;Z=8&amp;N=6&amp;Sheet=1&amp;Row=31&amp;Col=6","")</f>
      </c>
      <c r="H32" t="s" s="1">
        <f>HYPERLINK("http://141.218.60.56/~jnz1568/discussion.php?&amp;Z=8&amp;N=6&amp;Sheet=1&amp;Row=31&amp;Col=7","")</f>
      </c>
      <c r="I32" t="s" s="1">
        <f>HYPERLINK("http://141.218.60.56/~jnz1568/discussion.php?&amp;Z=8&amp;N=6&amp;Sheet=1&amp;Row=31&amp;Col=8","0.030664")</f>
      </c>
      <c r="J32" t="s" s="1">
        <f>HYPERLINK("http://141.218.60.56/~jnz1568/discussion.php?&amp;Z=8&amp;N=6&amp;Sheet=1&amp;Row=31&amp;Col=9","2322.3")</f>
      </c>
      <c r="K32" t="s" s="1">
        <f>HYPERLINK("http://141.218.60.56/~jnz1568/discussion.php?&amp;Z=8&amp;N=6&amp;Sheet=1&amp;Row=31&amp;Col=10","")</f>
      </c>
      <c r="L32" t="s" s="1">
        <f>HYPERLINK("http://141.218.60.56/~jnz1568/discussion.php?&amp;Z=8&amp;N=6&amp;Sheet=1&amp;Row=31&amp;Col=11","")</f>
      </c>
      <c r="M32" t="s" s="1">
        <f>HYPERLINK("http://141.218.60.56/~jnz1568/discussion.php?&amp;Z=8&amp;N=6&amp;Sheet=1&amp;Row=31&amp;Col=12","0.031195")</f>
      </c>
      <c r="N32" t="s" s="1">
        <f>HYPERLINK("http://141.218.60.56/~jnz1568/discussion.php?&amp;Z=8&amp;N=6&amp;Sheet=1&amp;Row=31&amp;Col=13","2239")</f>
      </c>
      <c r="O32" t="s" s="1">
        <f>HYPERLINK("http://141.218.60.56/~jnz1568/discussion.php?&amp;Z=8&amp;N=6&amp;Sheet=1&amp;Row=31&amp;Col=14","")</f>
      </c>
      <c r="P32" t="s" s="1">
        <f>HYPERLINK("http://141.218.60.56/~jnz1568/discussion.php?&amp;Z=8&amp;N=6&amp;Sheet=1&amp;Row=31&amp;Col=15","")</f>
      </c>
      <c r="Q32" t="s" s="1">
        <f>HYPERLINK("http://141.218.60.56/~jnz1568/discussion.php?&amp;Z=8&amp;N=6&amp;Sheet=1&amp;Row=31&amp;Col=16","")</f>
      </c>
    </row>
    <row r="33">
      <c r="A33" t="s">
        <v>15</v>
      </c>
      <c r="B33" t="s">
        <v>16</v>
      </c>
      <c r="C33" t="s">
        <v>50</v>
      </c>
      <c r="D33" t="s">
        <v>33</v>
      </c>
      <c r="E33" t="s">
        <v>349</v>
      </c>
      <c r="F33" t="s" s="1">
        <f>HYPERLINK("http://141.218.60.56/~jnz1568/discussion.php?&amp;Z=8&amp;N=6&amp;Sheet=1&amp;Row=32&amp;Col=5","1699.2")</f>
      </c>
      <c r="G33" t="s" s="1">
        <f>HYPERLINK("http://141.218.60.56/~jnz1568/discussion.php?&amp;Z=8&amp;N=6&amp;Sheet=1&amp;Row=32&amp;Col=6","")</f>
      </c>
      <c r="H33" t="s" s="1">
        <f>HYPERLINK("http://141.218.60.56/~jnz1568/discussion.php?&amp;Z=8&amp;N=6&amp;Sheet=1&amp;Row=32&amp;Col=7","")</f>
      </c>
      <c r="I33" t="s" s="1">
        <f>HYPERLINK("http://141.218.60.56/~jnz1568/discussion.php?&amp;Z=8&amp;N=6&amp;Sheet=1&amp;Row=32&amp;Col=8","")</f>
      </c>
      <c r="J33" t="s" s="1">
        <f>HYPERLINK("http://141.218.60.56/~jnz1568/discussion.php?&amp;Z=8&amp;N=6&amp;Sheet=1&amp;Row=32&amp;Col=9","1715.5")</f>
      </c>
      <c r="K33" t="s" s="1">
        <f>HYPERLINK("http://141.218.60.56/~jnz1568/discussion.php?&amp;Z=8&amp;N=6&amp;Sheet=1&amp;Row=32&amp;Col=10","")</f>
      </c>
      <c r="L33" t="s" s="1">
        <f>HYPERLINK("http://141.218.60.56/~jnz1568/discussion.php?&amp;Z=8&amp;N=6&amp;Sheet=1&amp;Row=32&amp;Col=11","")</f>
      </c>
      <c r="M33" t="s" s="1">
        <f>HYPERLINK("http://141.218.60.56/~jnz1568/discussion.php?&amp;Z=8&amp;N=6&amp;Sheet=1&amp;Row=32&amp;Col=12","")</f>
      </c>
      <c r="N33" t="s" s="1">
        <f>HYPERLINK("http://141.218.60.56/~jnz1568/discussion.php?&amp;Z=8&amp;N=6&amp;Sheet=1&amp;Row=32&amp;Col=13","830.7")</f>
      </c>
      <c r="O33" t="s" s="1">
        <f>HYPERLINK("http://141.218.60.56/~jnz1568/discussion.php?&amp;Z=8&amp;N=6&amp;Sheet=1&amp;Row=32&amp;Col=14","")</f>
      </c>
      <c r="P33" t="s" s="1">
        <f>HYPERLINK("http://141.218.60.56/~jnz1568/discussion.php?&amp;Z=8&amp;N=6&amp;Sheet=1&amp;Row=32&amp;Col=15","")</f>
      </c>
      <c r="Q33" t="s" s="1">
        <f>HYPERLINK("http://141.218.60.56/~jnz1568/discussion.php?&amp;Z=8&amp;N=6&amp;Sheet=1&amp;Row=32&amp;Col=16","")</f>
      </c>
    </row>
    <row r="34">
      <c r="A34" t="s">
        <v>15</v>
      </c>
      <c r="B34" t="s">
        <v>16</v>
      </c>
      <c r="C34" t="s">
        <v>50</v>
      </c>
      <c r="D34" t="s">
        <v>16</v>
      </c>
      <c r="E34" t="s">
        <v>353</v>
      </c>
      <c r="F34" t="s" s="1">
        <f>HYPERLINK("http://141.218.60.56/~jnz1568/discussion.php?&amp;Z=8&amp;N=6&amp;Sheet=1&amp;Row=33&amp;Col=5","")</f>
      </c>
      <c r="G34" t="s" s="1">
        <f>HYPERLINK("http://141.218.60.56/~jnz1568/discussion.php?&amp;Z=8&amp;N=6&amp;Sheet=1&amp;Row=33&amp;Col=6","0.0001375")</f>
      </c>
      <c r="H34" t="s" s="1">
        <f>HYPERLINK("http://141.218.60.56/~jnz1568/discussion.php?&amp;Z=8&amp;N=6&amp;Sheet=1&amp;Row=33&amp;Col=7","0.00018308")</f>
      </c>
      <c r="I34" t="s" s="1">
        <f>HYPERLINK("http://141.218.60.56/~jnz1568/discussion.php?&amp;Z=8&amp;N=6&amp;Sheet=1&amp;Row=33&amp;Col=8","")</f>
      </c>
      <c r="J34" t="s" s="1">
        <f>HYPERLINK("http://141.218.60.56/~jnz1568/discussion.php?&amp;Z=8&amp;N=6&amp;Sheet=1&amp;Row=33&amp;Col=9","")</f>
      </c>
      <c r="K34" t="s" s="1">
        <f>HYPERLINK("http://141.218.60.56/~jnz1568/discussion.php?&amp;Z=8&amp;N=6&amp;Sheet=1&amp;Row=33&amp;Col=10","")</f>
      </c>
      <c r="L34" t="s" s="1">
        <f>HYPERLINK("http://141.218.60.56/~jnz1568/discussion.php?&amp;Z=8&amp;N=6&amp;Sheet=1&amp;Row=33&amp;Col=11","")</f>
      </c>
      <c r="M34" t="s" s="1">
        <f>HYPERLINK("http://141.218.60.56/~jnz1568/discussion.php?&amp;Z=8&amp;N=6&amp;Sheet=1&amp;Row=33&amp;Col=12","")</f>
      </c>
      <c r="N34" t="s" s="1">
        <f>HYPERLINK("http://141.218.60.56/~jnz1568/discussion.php?&amp;Z=8&amp;N=6&amp;Sheet=1&amp;Row=33&amp;Col=13","")</f>
      </c>
      <c r="O34" t="s" s="1">
        <f>HYPERLINK("http://141.218.60.56/~jnz1568/discussion.php?&amp;Z=8&amp;N=6&amp;Sheet=1&amp;Row=33&amp;Col=14","")</f>
      </c>
      <c r="P34" t="s" s="1">
        <f>HYPERLINK("http://141.218.60.56/~jnz1568/discussion.php?&amp;Z=8&amp;N=6&amp;Sheet=1&amp;Row=33&amp;Col=15","")</f>
      </c>
      <c r="Q34" t="s" s="1">
        <f>HYPERLINK("http://141.218.60.56/~jnz1568/discussion.php?&amp;Z=8&amp;N=6&amp;Sheet=1&amp;Row=33&amp;Col=16","")</f>
      </c>
    </row>
    <row r="35">
      <c r="A35" t="s">
        <v>15</v>
      </c>
      <c r="B35" t="s">
        <v>16</v>
      </c>
      <c r="C35" t="s">
        <v>50</v>
      </c>
      <c r="D35" t="s">
        <v>43</v>
      </c>
      <c r="E35" t="s">
        <v>356</v>
      </c>
      <c r="F35" t="s" s="1">
        <f>HYPERLINK("http://141.218.60.56/~jnz1568/discussion.php?&amp;Z=8&amp;N=6&amp;Sheet=1&amp;Row=34&amp;Col=5","")</f>
      </c>
      <c r="G35" t="s" s="1">
        <f>HYPERLINK("http://141.218.60.56/~jnz1568/discussion.php?&amp;Z=8&amp;N=6&amp;Sheet=1&amp;Row=34&amp;Col=6","0")</f>
      </c>
      <c r="H35" t="s" s="1">
        <f>HYPERLINK("http://141.218.60.56/~jnz1568/discussion.php?&amp;Z=8&amp;N=6&amp;Sheet=1&amp;Row=34&amp;Col=7","")</f>
      </c>
      <c r="I35" t="s" s="1">
        <f>HYPERLINK("http://141.218.60.56/~jnz1568/discussion.php?&amp;Z=8&amp;N=6&amp;Sheet=1&amp;Row=34&amp;Col=8","")</f>
      </c>
      <c r="J35" t="s" s="1">
        <f>HYPERLINK("http://141.218.60.56/~jnz1568/discussion.php?&amp;Z=8&amp;N=6&amp;Sheet=1&amp;Row=34&amp;Col=9","")</f>
      </c>
      <c r="K35" t="s" s="1">
        <f>HYPERLINK("http://141.218.60.56/~jnz1568/discussion.php?&amp;Z=8&amp;N=6&amp;Sheet=1&amp;Row=34&amp;Col=10","")</f>
      </c>
      <c r="L35" t="s" s="1">
        <f>HYPERLINK("http://141.218.60.56/~jnz1568/discussion.php?&amp;Z=8&amp;N=6&amp;Sheet=1&amp;Row=34&amp;Col=11","")</f>
      </c>
      <c r="M35" t="s" s="1">
        <f>HYPERLINK("http://141.218.60.56/~jnz1568/discussion.php?&amp;Z=8&amp;N=6&amp;Sheet=1&amp;Row=34&amp;Col=12","")</f>
      </c>
      <c r="N35" t="s" s="1">
        <f>HYPERLINK("http://141.218.60.56/~jnz1568/discussion.php?&amp;Z=8&amp;N=6&amp;Sheet=1&amp;Row=34&amp;Col=13","")</f>
      </c>
      <c r="O35" t="s" s="1">
        <f>HYPERLINK("http://141.218.60.56/~jnz1568/discussion.php?&amp;Z=8&amp;N=6&amp;Sheet=1&amp;Row=34&amp;Col=14","")</f>
      </c>
      <c r="P35" t="s" s="1">
        <f>HYPERLINK("http://141.218.60.56/~jnz1568/discussion.php?&amp;Z=8&amp;N=6&amp;Sheet=1&amp;Row=34&amp;Col=15","")</f>
      </c>
      <c r="Q35" t="s" s="1">
        <f>HYPERLINK("http://141.218.60.56/~jnz1568/discussion.php?&amp;Z=8&amp;N=6&amp;Sheet=1&amp;Row=34&amp;Col=16","")</f>
      </c>
    </row>
    <row r="36">
      <c r="A36" t="s">
        <v>15</v>
      </c>
      <c r="B36" t="s">
        <v>16</v>
      </c>
      <c r="C36" t="s">
        <v>50</v>
      </c>
      <c r="D36" t="s">
        <v>15</v>
      </c>
      <c r="E36" t="s">
        <v>357</v>
      </c>
      <c r="F36" t="s" s="1">
        <f>HYPERLINK("http://141.218.60.56/~jnz1568/discussion.php?&amp;Z=8&amp;N=6&amp;Sheet=1&amp;Row=35&amp;Col=5","")</f>
      </c>
      <c r="G36" t="s" s="1">
        <f>HYPERLINK("http://141.218.60.56/~jnz1568/discussion.php?&amp;Z=8&amp;N=6&amp;Sheet=1&amp;Row=35&amp;Col=6","0")</f>
      </c>
      <c r="H36" t="s" s="1">
        <f>HYPERLINK("http://141.218.60.56/~jnz1568/discussion.php?&amp;Z=8&amp;N=6&amp;Sheet=1&amp;Row=35&amp;Col=7","6.7324e-09")</f>
      </c>
      <c r="I36" t="s" s="1">
        <f>HYPERLINK("http://141.218.60.56/~jnz1568/discussion.php?&amp;Z=8&amp;N=6&amp;Sheet=1&amp;Row=35&amp;Col=8","")</f>
      </c>
      <c r="J36" t="s" s="1">
        <f>HYPERLINK("http://141.218.60.56/~jnz1568/discussion.php?&amp;Z=8&amp;N=6&amp;Sheet=1&amp;Row=35&amp;Col=9","")</f>
      </c>
      <c r="K36" t="s" s="1">
        <f>HYPERLINK("http://141.218.60.56/~jnz1568/discussion.php?&amp;Z=8&amp;N=6&amp;Sheet=1&amp;Row=35&amp;Col=10","")</f>
      </c>
      <c r="L36" t="s" s="1">
        <f>HYPERLINK("http://141.218.60.56/~jnz1568/discussion.php?&amp;Z=8&amp;N=6&amp;Sheet=1&amp;Row=35&amp;Col=11","")</f>
      </c>
      <c r="M36" t="s" s="1">
        <f>HYPERLINK("http://141.218.60.56/~jnz1568/discussion.php?&amp;Z=8&amp;N=6&amp;Sheet=1&amp;Row=35&amp;Col=12","")</f>
      </c>
      <c r="N36" t="s" s="1">
        <f>HYPERLINK("http://141.218.60.56/~jnz1568/discussion.php?&amp;Z=8&amp;N=6&amp;Sheet=1&amp;Row=35&amp;Col=13","")</f>
      </c>
      <c r="O36" t="s" s="1">
        <f>HYPERLINK("http://141.218.60.56/~jnz1568/discussion.php?&amp;Z=8&amp;N=6&amp;Sheet=1&amp;Row=35&amp;Col=14","")</f>
      </c>
      <c r="P36" t="s" s="1">
        <f>HYPERLINK("http://141.218.60.56/~jnz1568/discussion.php?&amp;Z=8&amp;N=6&amp;Sheet=1&amp;Row=35&amp;Col=15","")</f>
      </c>
      <c r="Q36" t="s" s="1">
        <f>HYPERLINK("http://141.218.60.56/~jnz1568/discussion.php?&amp;Z=8&amp;N=6&amp;Sheet=1&amp;Row=35&amp;Col=16","")</f>
      </c>
    </row>
    <row r="37">
      <c r="A37" t="s">
        <v>15</v>
      </c>
      <c r="B37" t="s">
        <v>16</v>
      </c>
      <c r="C37" t="s">
        <v>53</v>
      </c>
      <c r="D37" t="s">
        <v>17</v>
      </c>
      <c r="E37" t="s">
        <v>359</v>
      </c>
      <c r="F37" t="s" s="1">
        <f>HYPERLINK("http://141.218.60.56/~jnz1568/discussion.php?&amp;Z=8&amp;N=6&amp;Sheet=1&amp;Row=36&amp;Col=5","")</f>
      </c>
      <c r="G37" t="s" s="1">
        <f>HYPERLINK("http://141.218.60.56/~jnz1568/discussion.php?&amp;Z=8&amp;N=6&amp;Sheet=1&amp;Row=36&amp;Col=6","")</f>
      </c>
      <c r="H37" t="s" s="1">
        <f>HYPERLINK("http://141.218.60.56/~jnz1568/discussion.php?&amp;Z=8&amp;N=6&amp;Sheet=1&amp;Row=36&amp;Col=7","")</f>
      </c>
      <c r="I37" t="s" s="1">
        <f>HYPERLINK("http://141.218.60.56/~jnz1568/discussion.php?&amp;Z=8&amp;N=6&amp;Sheet=1&amp;Row=36&amp;Col=8","0.020658")</f>
      </c>
      <c r="J37" t="s" s="1">
        <f>HYPERLINK("http://141.218.60.56/~jnz1568/discussion.php?&amp;Z=8&amp;N=6&amp;Sheet=1&amp;Row=36&amp;Col=9","")</f>
      </c>
      <c r="K37" t="s" s="1">
        <f>HYPERLINK("http://141.218.60.56/~jnz1568/discussion.php?&amp;Z=8&amp;N=6&amp;Sheet=1&amp;Row=36&amp;Col=10","")</f>
      </c>
      <c r="L37" t="s" s="1">
        <f>HYPERLINK("http://141.218.60.56/~jnz1568/discussion.php?&amp;Z=8&amp;N=6&amp;Sheet=1&amp;Row=36&amp;Col=11","")</f>
      </c>
      <c r="M37" t="s" s="1">
        <f>HYPERLINK("http://141.218.60.56/~jnz1568/discussion.php?&amp;Z=8&amp;N=6&amp;Sheet=1&amp;Row=36&amp;Col=12","0.021045")</f>
      </c>
      <c r="N37" t="s" s="1">
        <f>HYPERLINK("http://141.218.60.56/~jnz1568/discussion.php?&amp;Z=8&amp;N=6&amp;Sheet=1&amp;Row=36&amp;Col=13","")</f>
      </c>
      <c r="O37" t="s" s="1">
        <f>HYPERLINK("http://141.218.60.56/~jnz1568/discussion.php?&amp;Z=8&amp;N=6&amp;Sheet=1&amp;Row=36&amp;Col=14","")</f>
      </c>
      <c r="P37" t="s" s="1">
        <f>HYPERLINK("http://141.218.60.56/~jnz1568/discussion.php?&amp;Z=8&amp;N=6&amp;Sheet=1&amp;Row=36&amp;Col=15","")</f>
      </c>
      <c r="Q37" t="s" s="1">
        <f>HYPERLINK("http://141.218.60.56/~jnz1568/discussion.php?&amp;Z=8&amp;N=6&amp;Sheet=1&amp;Row=36&amp;Col=16","")</f>
      </c>
    </row>
    <row r="38">
      <c r="A38" t="s">
        <v>15</v>
      </c>
      <c r="B38" t="s">
        <v>16</v>
      </c>
      <c r="C38" t="s">
        <v>53</v>
      </c>
      <c r="D38" t="s">
        <v>23</v>
      </c>
      <c r="E38" t="s">
        <v>362</v>
      </c>
      <c r="F38" t="s" s="1">
        <f>HYPERLINK("http://141.218.60.56/~jnz1568/discussion.php?&amp;Z=8&amp;N=6&amp;Sheet=1&amp;Row=37&amp;Col=5","450610000")</f>
      </c>
      <c r="G38" t="s" s="1">
        <f>HYPERLINK("http://141.218.60.56/~jnz1568/discussion.php?&amp;Z=8&amp;N=6&amp;Sheet=1&amp;Row=37&amp;Col=6","")</f>
      </c>
      <c r="H38" t="s" s="1">
        <f>HYPERLINK("http://141.218.60.56/~jnz1568/discussion.php?&amp;Z=8&amp;N=6&amp;Sheet=1&amp;Row=37&amp;Col=7","")</f>
      </c>
      <c r="I38" t="s" s="1">
        <f>HYPERLINK("http://141.218.60.56/~jnz1568/discussion.php?&amp;Z=8&amp;N=6&amp;Sheet=1&amp;Row=37&amp;Col=8","0.001538")</f>
      </c>
      <c r="J38" t="s" s="1">
        <f>HYPERLINK("http://141.218.60.56/~jnz1568/discussion.php?&amp;Z=8&amp;N=6&amp;Sheet=1&amp;Row=37&amp;Col=9","455780000")</f>
      </c>
      <c r="K38" t="s" s="1">
        <f>HYPERLINK("http://141.218.60.56/~jnz1568/discussion.php?&amp;Z=8&amp;N=6&amp;Sheet=1&amp;Row=37&amp;Col=10","")</f>
      </c>
      <c r="L38" t="s" s="1">
        <f>HYPERLINK("http://141.218.60.56/~jnz1568/discussion.php?&amp;Z=8&amp;N=6&amp;Sheet=1&amp;Row=37&amp;Col=11","")</f>
      </c>
      <c r="M38" t="s" s="1">
        <f>HYPERLINK("http://141.218.60.56/~jnz1568/discussion.php?&amp;Z=8&amp;N=6&amp;Sheet=1&amp;Row=37&amp;Col=12","0.0015651")</f>
      </c>
      <c r="N38" t="s" s="1">
        <f>HYPERLINK("http://141.218.60.56/~jnz1568/discussion.php?&amp;Z=8&amp;N=6&amp;Sheet=1&amp;Row=37&amp;Col=13","487100000")</f>
      </c>
      <c r="O38" t="s" s="1">
        <f>HYPERLINK("http://141.218.60.56/~jnz1568/discussion.php?&amp;Z=8&amp;N=6&amp;Sheet=1&amp;Row=37&amp;Col=14","")</f>
      </c>
      <c r="P38" t="s" s="1">
        <f>HYPERLINK("http://141.218.60.56/~jnz1568/discussion.php?&amp;Z=8&amp;N=6&amp;Sheet=1&amp;Row=37&amp;Col=15","")</f>
      </c>
      <c r="Q38" t="s" s="1">
        <f>HYPERLINK("http://141.218.60.56/~jnz1568/discussion.php?&amp;Z=8&amp;N=6&amp;Sheet=1&amp;Row=37&amp;Col=16","")</f>
      </c>
    </row>
    <row r="39">
      <c r="A39" t="s">
        <v>15</v>
      </c>
      <c r="B39" t="s">
        <v>16</v>
      </c>
      <c r="C39" t="s">
        <v>53</v>
      </c>
      <c r="D39" t="s">
        <v>20</v>
      </c>
      <c r="E39" t="s">
        <v>368</v>
      </c>
      <c r="F39" t="s" s="1">
        <f>HYPERLINK("http://141.218.60.56/~jnz1568/discussion.php?&amp;Z=8&amp;N=6&amp;Sheet=1&amp;Row=38&amp;Col=5","1387000000")</f>
      </c>
      <c r="G39" t="s" s="1">
        <f>HYPERLINK("http://141.218.60.56/~jnz1568/discussion.php?&amp;Z=8&amp;N=6&amp;Sheet=1&amp;Row=38&amp;Col=6","")</f>
      </c>
      <c r="H39" t="s" s="1">
        <f>HYPERLINK("http://141.218.60.56/~jnz1568/discussion.php?&amp;Z=8&amp;N=6&amp;Sheet=1&amp;Row=38&amp;Col=7","")</f>
      </c>
      <c r="I39" t="s" s="1">
        <f>HYPERLINK("http://141.218.60.56/~jnz1568/discussion.php?&amp;Z=8&amp;N=6&amp;Sheet=1&amp;Row=38&amp;Col=8","0.22671")</f>
      </c>
      <c r="J39" t="s" s="1">
        <f>HYPERLINK("http://141.218.60.56/~jnz1568/discussion.php?&amp;Z=8&amp;N=6&amp;Sheet=1&amp;Row=38&amp;Col=9","1402400000")</f>
      </c>
      <c r="K39" t="s" s="1">
        <f>HYPERLINK("http://141.218.60.56/~jnz1568/discussion.php?&amp;Z=8&amp;N=6&amp;Sheet=1&amp;Row=38&amp;Col=10","")</f>
      </c>
      <c r="L39" t="s" s="1">
        <f>HYPERLINK("http://141.218.60.56/~jnz1568/discussion.php?&amp;Z=8&amp;N=6&amp;Sheet=1&amp;Row=38&amp;Col=11","")</f>
      </c>
      <c r="M39" t="s" s="1">
        <f>HYPERLINK("http://141.218.60.56/~jnz1568/discussion.php?&amp;Z=8&amp;N=6&amp;Sheet=1&amp;Row=38&amp;Col=12","0.23097")</f>
      </c>
      <c r="N39" t="s" s="1">
        <f>HYPERLINK("http://141.218.60.56/~jnz1568/discussion.php?&amp;Z=8&amp;N=6&amp;Sheet=1&amp;Row=38&amp;Col=13","1493000000")</f>
      </c>
      <c r="O39" t="s" s="1">
        <f>HYPERLINK("http://141.218.60.56/~jnz1568/discussion.php?&amp;Z=8&amp;N=6&amp;Sheet=1&amp;Row=38&amp;Col=14","")</f>
      </c>
      <c r="P39" t="s" s="1">
        <f>HYPERLINK("http://141.218.60.56/~jnz1568/discussion.php?&amp;Z=8&amp;N=6&amp;Sheet=1&amp;Row=38&amp;Col=15","")</f>
      </c>
      <c r="Q39" t="s" s="1">
        <f>HYPERLINK("http://141.218.60.56/~jnz1568/discussion.php?&amp;Z=8&amp;N=6&amp;Sheet=1&amp;Row=38&amp;Col=16","")</f>
      </c>
    </row>
    <row r="40">
      <c r="A40" t="s">
        <v>15</v>
      </c>
      <c r="B40" t="s">
        <v>16</v>
      </c>
      <c r="C40" t="s">
        <v>53</v>
      </c>
      <c r="D40" t="s">
        <v>28</v>
      </c>
      <c r="E40" t="s">
        <v>374</v>
      </c>
      <c r="F40" t="s" s="1">
        <f>HYPERLINK("http://141.218.60.56/~jnz1568/discussion.php?&amp;Z=8&amp;N=6&amp;Sheet=1&amp;Row=39&amp;Col=5","7087.9")</f>
      </c>
      <c r="G40" t="s" s="1">
        <f>HYPERLINK("http://141.218.60.56/~jnz1568/discussion.php?&amp;Z=8&amp;N=6&amp;Sheet=1&amp;Row=39&amp;Col=6","")</f>
      </c>
      <c r="H40" t="s" s="1">
        <f>HYPERLINK("http://141.218.60.56/~jnz1568/discussion.php?&amp;Z=8&amp;N=6&amp;Sheet=1&amp;Row=39&amp;Col=7","")</f>
      </c>
      <c r="I40" t="s" s="1">
        <f>HYPERLINK("http://141.218.60.56/~jnz1568/discussion.php?&amp;Z=8&amp;N=6&amp;Sheet=1&amp;Row=39&amp;Col=8","0.034214")</f>
      </c>
      <c r="J40" t="s" s="1">
        <f>HYPERLINK("http://141.218.60.56/~jnz1568/discussion.php?&amp;Z=8&amp;N=6&amp;Sheet=1&amp;Row=39&amp;Col=9","6744.6")</f>
      </c>
      <c r="K40" t="s" s="1">
        <f>HYPERLINK("http://141.218.60.56/~jnz1568/discussion.php?&amp;Z=8&amp;N=6&amp;Sheet=1&amp;Row=39&amp;Col=10","")</f>
      </c>
      <c r="L40" t="s" s="1">
        <f>HYPERLINK("http://141.218.60.56/~jnz1568/discussion.php?&amp;Z=8&amp;N=6&amp;Sheet=1&amp;Row=39&amp;Col=11","")</f>
      </c>
      <c r="M40" t="s" s="1">
        <f>HYPERLINK("http://141.218.60.56/~jnz1568/discussion.php?&amp;Z=8&amp;N=6&amp;Sheet=1&amp;Row=39&amp;Col=12","0.034814")</f>
      </c>
      <c r="N40" t="s" s="1">
        <f>HYPERLINK("http://141.218.60.56/~jnz1568/discussion.php?&amp;Z=8&amp;N=6&amp;Sheet=1&amp;Row=39&amp;Col=13","2524")</f>
      </c>
      <c r="O40" t="s" s="1">
        <f>HYPERLINK("http://141.218.60.56/~jnz1568/discussion.php?&amp;Z=8&amp;N=6&amp;Sheet=1&amp;Row=39&amp;Col=14","")</f>
      </c>
      <c r="P40" t="s" s="1">
        <f>HYPERLINK("http://141.218.60.56/~jnz1568/discussion.php?&amp;Z=8&amp;N=6&amp;Sheet=1&amp;Row=39&amp;Col=15","")</f>
      </c>
      <c r="Q40" t="s" s="1">
        <f>HYPERLINK("http://141.218.60.56/~jnz1568/discussion.php?&amp;Z=8&amp;N=6&amp;Sheet=1&amp;Row=39&amp;Col=16","")</f>
      </c>
    </row>
    <row r="41">
      <c r="A41" t="s">
        <v>15</v>
      </c>
      <c r="B41" t="s">
        <v>16</v>
      </c>
      <c r="C41" t="s">
        <v>53</v>
      </c>
      <c r="D41" t="s">
        <v>33</v>
      </c>
      <c r="E41" t="s">
        <v>380</v>
      </c>
      <c r="F41" t="s" s="1">
        <f>HYPERLINK("http://141.218.60.56/~jnz1568/discussion.php?&amp;Z=8&amp;N=6&amp;Sheet=1&amp;Row=40&amp;Col=5","")</f>
      </c>
      <c r="G41" t="s" s="1">
        <f>HYPERLINK("http://141.218.60.56/~jnz1568/discussion.php?&amp;Z=8&amp;N=6&amp;Sheet=1&amp;Row=40&amp;Col=6","")</f>
      </c>
      <c r="H41" t="s" s="1">
        <f>HYPERLINK("http://141.218.60.56/~jnz1568/discussion.php?&amp;Z=8&amp;N=6&amp;Sheet=1&amp;Row=40&amp;Col=7","")</f>
      </c>
      <c r="I41" t="s" s="1">
        <f>HYPERLINK("http://141.218.60.56/~jnz1568/discussion.php?&amp;Z=8&amp;N=6&amp;Sheet=1&amp;Row=40&amp;Col=8","0.06772")</f>
      </c>
      <c r="J41" t="s" s="1">
        <f>HYPERLINK("http://141.218.60.56/~jnz1568/discussion.php?&amp;Z=8&amp;N=6&amp;Sheet=1&amp;Row=40&amp;Col=9","")</f>
      </c>
      <c r="K41" t="s" s="1">
        <f>HYPERLINK("http://141.218.60.56/~jnz1568/discussion.php?&amp;Z=8&amp;N=6&amp;Sheet=1&amp;Row=40&amp;Col=10","")</f>
      </c>
      <c r="L41" t="s" s="1">
        <f>HYPERLINK("http://141.218.60.56/~jnz1568/discussion.php?&amp;Z=8&amp;N=6&amp;Sheet=1&amp;Row=40&amp;Col=11","")</f>
      </c>
      <c r="M41" t="s" s="1">
        <f>HYPERLINK("http://141.218.60.56/~jnz1568/discussion.php?&amp;Z=8&amp;N=6&amp;Sheet=1&amp;Row=40&amp;Col=12","0.069214")</f>
      </c>
      <c r="N41" t="s" s="1">
        <f>HYPERLINK("http://141.218.60.56/~jnz1568/discussion.php?&amp;Z=8&amp;N=6&amp;Sheet=1&amp;Row=40&amp;Col=13","")</f>
      </c>
      <c r="O41" t="s" s="1">
        <f>HYPERLINK("http://141.218.60.56/~jnz1568/discussion.php?&amp;Z=8&amp;N=6&amp;Sheet=1&amp;Row=40&amp;Col=14","")</f>
      </c>
      <c r="P41" t="s" s="1">
        <f>HYPERLINK("http://141.218.60.56/~jnz1568/discussion.php?&amp;Z=8&amp;N=6&amp;Sheet=1&amp;Row=40&amp;Col=15","")</f>
      </c>
      <c r="Q41" t="s" s="1">
        <f>HYPERLINK("http://141.218.60.56/~jnz1568/discussion.php?&amp;Z=8&amp;N=6&amp;Sheet=1&amp;Row=40&amp;Col=16","")</f>
      </c>
    </row>
    <row r="42">
      <c r="A42" t="s">
        <v>15</v>
      </c>
      <c r="B42" t="s">
        <v>16</v>
      </c>
      <c r="C42" t="s">
        <v>53</v>
      </c>
      <c r="D42" t="s">
        <v>16</v>
      </c>
      <c r="E42" t="s">
        <v>383</v>
      </c>
      <c r="F42" t="s" s="1">
        <f>HYPERLINK("http://141.218.60.56/~jnz1568/discussion.php?&amp;Z=8&amp;N=6&amp;Sheet=1&amp;Row=41&amp;Col=5","")</f>
      </c>
      <c r="G42" t="s" s="1">
        <f>HYPERLINK("http://141.218.60.56/~jnz1568/discussion.php?&amp;Z=8&amp;N=6&amp;Sheet=1&amp;Row=41&amp;Col=6","1.9424e-05")</f>
      </c>
      <c r="H42" t="s" s="1">
        <f>HYPERLINK("http://141.218.60.56/~jnz1568/discussion.php?&amp;Z=8&amp;N=6&amp;Sheet=1&amp;Row=41&amp;Col=7","0.14971")</f>
      </c>
      <c r="I42" t="s" s="1">
        <f>HYPERLINK("http://141.218.60.56/~jnz1568/discussion.php?&amp;Z=8&amp;N=6&amp;Sheet=1&amp;Row=41&amp;Col=8","")</f>
      </c>
      <c r="J42" t="s" s="1">
        <f>HYPERLINK("http://141.218.60.56/~jnz1568/discussion.php?&amp;Z=8&amp;N=6&amp;Sheet=1&amp;Row=41&amp;Col=9","")</f>
      </c>
      <c r="K42" t="s" s="1">
        <f>HYPERLINK("http://141.218.60.56/~jnz1568/discussion.php?&amp;Z=8&amp;N=6&amp;Sheet=1&amp;Row=41&amp;Col=10","")</f>
      </c>
      <c r="L42" t="s" s="1">
        <f>HYPERLINK("http://141.218.60.56/~jnz1568/discussion.php?&amp;Z=8&amp;N=6&amp;Sheet=1&amp;Row=41&amp;Col=11","")</f>
      </c>
      <c r="M42" t="s" s="1">
        <f>HYPERLINK("http://141.218.60.56/~jnz1568/discussion.php?&amp;Z=8&amp;N=6&amp;Sheet=1&amp;Row=41&amp;Col=12","")</f>
      </c>
      <c r="N42" t="s" s="1">
        <f>HYPERLINK("http://141.218.60.56/~jnz1568/discussion.php?&amp;Z=8&amp;N=6&amp;Sheet=1&amp;Row=41&amp;Col=13","")</f>
      </c>
      <c r="O42" t="s" s="1">
        <f>HYPERLINK("http://141.218.60.56/~jnz1568/discussion.php?&amp;Z=8&amp;N=6&amp;Sheet=1&amp;Row=41&amp;Col=14","")</f>
      </c>
      <c r="P42" t="s" s="1">
        <f>HYPERLINK("http://141.218.60.56/~jnz1568/discussion.php?&amp;Z=8&amp;N=6&amp;Sheet=1&amp;Row=41&amp;Col=15","")</f>
      </c>
      <c r="Q42" t="s" s="1">
        <f>HYPERLINK("http://141.218.60.56/~jnz1568/discussion.php?&amp;Z=8&amp;N=6&amp;Sheet=1&amp;Row=41&amp;Col=16","")</f>
      </c>
    </row>
    <row r="43">
      <c r="A43" t="s">
        <v>15</v>
      </c>
      <c r="B43" t="s">
        <v>16</v>
      </c>
      <c r="C43" t="s">
        <v>53</v>
      </c>
      <c r="D43" t="s">
        <v>43</v>
      </c>
      <c r="E43" t="s">
        <v>386</v>
      </c>
      <c r="F43" t="s" s="1">
        <f>HYPERLINK("http://141.218.60.56/~jnz1568/discussion.php?&amp;Z=8&amp;N=6&amp;Sheet=1&amp;Row=42&amp;Col=5","")</f>
      </c>
      <c r="G43" t="s" s="1">
        <f>HYPERLINK("http://141.218.60.56/~jnz1568/discussion.php?&amp;Z=8&amp;N=6&amp;Sheet=1&amp;Row=42&amp;Col=6","0.65252")</f>
      </c>
      <c r="H43" t="s" s="1">
        <f>HYPERLINK("http://141.218.60.56/~jnz1568/discussion.php?&amp;Z=8&amp;N=6&amp;Sheet=1&amp;Row=42&amp;Col=7","0.01959")</f>
      </c>
      <c r="I43" t="s" s="1">
        <f>HYPERLINK("http://141.218.60.56/~jnz1568/discussion.php?&amp;Z=8&amp;N=6&amp;Sheet=1&amp;Row=42&amp;Col=8","")</f>
      </c>
      <c r="J43" t="s" s="1">
        <f>HYPERLINK("http://141.218.60.56/~jnz1568/discussion.php?&amp;Z=8&amp;N=6&amp;Sheet=1&amp;Row=42&amp;Col=9","")</f>
      </c>
      <c r="K43" t="s" s="1">
        <f>HYPERLINK("http://141.218.60.56/~jnz1568/discussion.php?&amp;Z=8&amp;N=6&amp;Sheet=1&amp;Row=42&amp;Col=10","")</f>
      </c>
      <c r="L43" t="s" s="1">
        <f>HYPERLINK("http://141.218.60.56/~jnz1568/discussion.php?&amp;Z=8&amp;N=6&amp;Sheet=1&amp;Row=42&amp;Col=11","")</f>
      </c>
      <c r="M43" t="s" s="1">
        <f>HYPERLINK("http://141.218.60.56/~jnz1568/discussion.php?&amp;Z=8&amp;N=6&amp;Sheet=1&amp;Row=42&amp;Col=12","")</f>
      </c>
      <c r="N43" t="s" s="1">
        <f>HYPERLINK("http://141.218.60.56/~jnz1568/discussion.php?&amp;Z=8&amp;N=6&amp;Sheet=1&amp;Row=42&amp;Col=13","")</f>
      </c>
      <c r="O43" t="s" s="1">
        <f>HYPERLINK("http://141.218.60.56/~jnz1568/discussion.php?&amp;Z=8&amp;N=6&amp;Sheet=1&amp;Row=42&amp;Col=14","")</f>
      </c>
      <c r="P43" t="s" s="1">
        <f>HYPERLINK("http://141.218.60.56/~jnz1568/discussion.php?&amp;Z=8&amp;N=6&amp;Sheet=1&amp;Row=42&amp;Col=15","")</f>
      </c>
      <c r="Q43" t="s" s="1">
        <f>HYPERLINK("http://141.218.60.56/~jnz1568/discussion.php?&amp;Z=8&amp;N=6&amp;Sheet=1&amp;Row=42&amp;Col=16","")</f>
      </c>
    </row>
    <row r="44">
      <c r="A44" t="s">
        <v>15</v>
      </c>
      <c r="B44" t="s">
        <v>16</v>
      </c>
      <c r="C44" t="s">
        <v>53</v>
      </c>
      <c r="D44" t="s">
        <v>15</v>
      </c>
      <c r="E44" t="s">
        <v>389</v>
      </c>
      <c r="F44" t="s" s="1">
        <f>HYPERLINK("http://141.218.60.56/~jnz1568/discussion.php?&amp;Z=8&amp;N=6&amp;Sheet=1&amp;Row=43&amp;Col=5","")</f>
      </c>
      <c r="G44" t="s" s="1">
        <f>HYPERLINK("http://141.218.60.56/~jnz1568/discussion.php?&amp;Z=8&amp;N=6&amp;Sheet=1&amp;Row=43&amp;Col=6","0.40542")</f>
      </c>
      <c r="H44" t="s" s="1">
        <f>HYPERLINK("http://141.218.60.56/~jnz1568/discussion.php?&amp;Z=8&amp;N=6&amp;Sheet=1&amp;Row=43&amp;Col=7","0.013943")</f>
      </c>
      <c r="I44" t="s" s="1">
        <f>HYPERLINK("http://141.218.60.56/~jnz1568/discussion.php?&amp;Z=8&amp;N=6&amp;Sheet=1&amp;Row=43&amp;Col=8","")</f>
      </c>
      <c r="J44" t="s" s="1">
        <f>HYPERLINK("http://141.218.60.56/~jnz1568/discussion.php?&amp;Z=8&amp;N=6&amp;Sheet=1&amp;Row=43&amp;Col=9","")</f>
      </c>
      <c r="K44" t="s" s="1">
        <f>HYPERLINK("http://141.218.60.56/~jnz1568/discussion.php?&amp;Z=8&amp;N=6&amp;Sheet=1&amp;Row=43&amp;Col=10","")</f>
      </c>
      <c r="L44" t="s" s="1">
        <f>HYPERLINK("http://141.218.60.56/~jnz1568/discussion.php?&amp;Z=8&amp;N=6&amp;Sheet=1&amp;Row=43&amp;Col=11","")</f>
      </c>
      <c r="M44" t="s" s="1">
        <f>HYPERLINK("http://141.218.60.56/~jnz1568/discussion.php?&amp;Z=8&amp;N=6&amp;Sheet=1&amp;Row=43&amp;Col=12","")</f>
      </c>
      <c r="N44" t="s" s="1">
        <f>HYPERLINK("http://141.218.60.56/~jnz1568/discussion.php?&amp;Z=8&amp;N=6&amp;Sheet=1&amp;Row=43&amp;Col=13","")</f>
      </c>
      <c r="O44" t="s" s="1">
        <f>HYPERLINK("http://141.218.60.56/~jnz1568/discussion.php?&amp;Z=8&amp;N=6&amp;Sheet=1&amp;Row=43&amp;Col=14","")</f>
      </c>
      <c r="P44" t="s" s="1">
        <f>HYPERLINK("http://141.218.60.56/~jnz1568/discussion.php?&amp;Z=8&amp;N=6&amp;Sheet=1&amp;Row=43&amp;Col=15","")</f>
      </c>
      <c r="Q44" t="s" s="1">
        <f>HYPERLINK("http://141.218.60.56/~jnz1568/discussion.php?&amp;Z=8&amp;N=6&amp;Sheet=1&amp;Row=43&amp;Col=16","")</f>
      </c>
    </row>
    <row r="45">
      <c r="A45" t="s">
        <v>15</v>
      </c>
      <c r="B45" t="s">
        <v>16</v>
      </c>
      <c r="C45" t="s">
        <v>53</v>
      </c>
      <c r="D45" t="s">
        <v>50</v>
      </c>
      <c r="E45" t="s">
        <v>392</v>
      </c>
      <c r="F45" t="s" s="1">
        <f>HYPERLINK("http://141.218.60.56/~jnz1568/discussion.php?&amp;Z=8&amp;N=6&amp;Sheet=1&amp;Row=44&amp;Col=5","")</f>
      </c>
      <c r="G45" t="s" s="1">
        <f>HYPERLINK("http://141.218.60.56/~jnz1568/discussion.php?&amp;Z=8&amp;N=6&amp;Sheet=1&amp;Row=44&amp;Col=6","0.10418")</f>
      </c>
      <c r="H45" t="s" s="1">
        <f>HYPERLINK("http://141.218.60.56/~jnz1568/discussion.php?&amp;Z=8&amp;N=6&amp;Sheet=1&amp;Row=44&amp;Col=7","0.003735")</f>
      </c>
      <c r="I45" t="s" s="1">
        <f>HYPERLINK("http://141.218.60.56/~jnz1568/discussion.php?&amp;Z=8&amp;N=6&amp;Sheet=1&amp;Row=44&amp;Col=8","")</f>
      </c>
      <c r="J45" t="s" s="1">
        <f>HYPERLINK("http://141.218.60.56/~jnz1568/discussion.php?&amp;Z=8&amp;N=6&amp;Sheet=1&amp;Row=44&amp;Col=9","")</f>
      </c>
      <c r="K45" t="s" s="1">
        <f>HYPERLINK("http://141.218.60.56/~jnz1568/discussion.php?&amp;Z=8&amp;N=6&amp;Sheet=1&amp;Row=44&amp;Col=10","")</f>
      </c>
      <c r="L45" t="s" s="1">
        <f>HYPERLINK("http://141.218.60.56/~jnz1568/discussion.php?&amp;Z=8&amp;N=6&amp;Sheet=1&amp;Row=44&amp;Col=11","")</f>
      </c>
      <c r="M45" t="s" s="1">
        <f>HYPERLINK("http://141.218.60.56/~jnz1568/discussion.php?&amp;Z=8&amp;N=6&amp;Sheet=1&amp;Row=44&amp;Col=12","")</f>
      </c>
      <c r="N45" t="s" s="1">
        <f>HYPERLINK("http://141.218.60.56/~jnz1568/discussion.php?&amp;Z=8&amp;N=6&amp;Sheet=1&amp;Row=44&amp;Col=13","")</f>
      </c>
      <c r="O45" t="s" s="1">
        <f>HYPERLINK("http://141.218.60.56/~jnz1568/discussion.php?&amp;Z=8&amp;N=6&amp;Sheet=1&amp;Row=44&amp;Col=14","")</f>
      </c>
      <c r="P45" t="s" s="1">
        <f>HYPERLINK("http://141.218.60.56/~jnz1568/discussion.php?&amp;Z=8&amp;N=6&amp;Sheet=1&amp;Row=44&amp;Col=15","")</f>
      </c>
      <c r="Q45" t="s" s="1">
        <f>HYPERLINK("http://141.218.60.56/~jnz1568/discussion.php?&amp;Z=8&amp;N=6&amp;Sheet=1&amp;Row=44&amp;Col=16","")</f>
      </c>
    </row>
    <row r="46">
      <c r="A46" t="s">
        <v>15</v>
      </c>
      <c r="B46" t="s">
        <v>16</v>
      </c>
      <c r="C46" t="s">
        <v>58</v>
      </c>
      <c r="D46" t="s">
        <v>17</v>
      </c>
      <c r="E46" t="s">
        <v>395</v>
      </c>
      <c r="F46" t="s" s="1">
        <f>HYPERLINK("http://141.218.60.56/~jnz1568/discussion.php?&amp;Z=8&amp;N=6&amp;Sheet=1&amp;Row=45&amp;Col=5","611220000")</f>
      </c>
      <c r="G46" t="s" s="1">
        <f>HYPERLINK("http://141.218.60.56/~jnz1568/discussion.php?&amp;Z=8&amp;N=6&amp;Sheet=1&amp;Row=45&amp;Col=6","")</f>
      </c>
      <c r="H46" t="s" s="1">
        <f>HYPERLINK("http://141.218.60.56/~jnz1568/discussion.php?&amp;Z=8&amp;N=6&amp;Sheet=1&amp;Row=45&amp;Col=7","")</f>
      </c>
      <c r="I46" t="s" s="1">
        <f>HYPERLINK("http://141.218.60.56/~jnz1568/discussion.php?&amp;Z=8&amp;N=6&amp;Sheet=1&amp;Row=45&amp;Col=8","")</f>
      </c>
      <c r="J46" t="s" s="1">
        <f>HYPERLINK("http://141.218.60.56/~jnz1568/discussion.php?&amp;Z=8&amp;N=6&amp;Sheet=1&amp;Row=45&amp;Col=9","618020000")</f>
      </c>
      <c r="K46" t="s" s="1">
        <f>HYPERLINK("http://141.218.60.56/~jnz1568/discussion.php?&amp;Z=8&amp;N=6&amp;Sheet=1&amp;Row=45&amp;Col=10","")</f>
      </c>
      <c r="L46" t="s" s="1">
        <f>HYPERLINK("http://141.218.60.56/~jnz1568/discussion.php?&amp;Z=8&amp;N=6&amp;Sheet=1&amp;Row=45&amp;Col=11","")</f>
      </c>
      <c r="M46" t="s" s="1">
        <f>HYPERLINK("http://141.218.60.56/~jnz1568/discussion.php?&amp;Z=8&amp;N=6&amp;Sheet=1&amp;Row=45&amp;Col=12","")</f>
      </c>
      <c r="N46" t="s" s="1">
        <f>HYPERLINK("http://141.218.60.56/~jnz1568/discussion.php?&amp;Z=8&amp;N=6&amp;Sheet=1&amp;Row=45&amp;Col=13","659500000")</f>
      </c>
      <c r="O46" t="s" s="1">
        <f>HYPERLINK("http://141.218.60.56/~jnz1568/discussion.php?&amp;Z=8&amp;N=6&amp;Sheet=1&amp;Row=45&amp;Col=14","")</f>
      </c>
      <c r="P46" t="s" s="1">
        <f>HYPERLINK("http://141.218.60.56/~jnz1568/discussion.php?&amp;Z=8&amp;N=6&amp;Sheet=1&amp;Row=45&amp;Col=15","")</f>
      </c>
      <c r="Q46" t="s" s="1">
        <f>HYPERLINK("http://141.218.60.56/~jnz1568/discussion.php?&amp;Z=8&amp;N=6&amp;Sheet=1&amp;Row=45&amp;Col=16","")</f>
      </c>
    </row>
    <row r="47">
      <c r="A47" t="s">
        <v>15</v>
      </c>
      <c r="B47" t="s">
        <v>16</v>
      </c>
      <c r="C47" t="s">
        <v>58</v>
      </c>
      <c r="D47" t="s">
        <v>23</v>
      </c>
      <c r="E47" t="s">
        <v>399</v>
      </c>
      <c r="F47" t="s" s="1">
        <f>HYPERLINK("http://141.218.60.56/~jnz1568/discussion.php?&amp;Z=8&amp;N=6&amp;Sheet=1&amp;Row=46&amp;Col=5","470630000")</f>
      </c>
      <c r="G47" t="s" s="1">
        <f>HYPERLINK("http://141.218.60.56/~jnz1568/discussion.php?&amp;Z=8&amp;N=6&amp;Sheet=1&amp;Row=46&amp;Col=6","")</f>
      </c>
      <c r="H47" t="s" s="1">
        <f>HYPERLINK("http://141.218.60.56/~jnz1568/discussion.php?&amp;Z=8&amp;N=6&amp;Sheet=1&amp;Row=46&amp;Col=7","")</f>
      </c>
      <c r="I47" t="s" s="1">
        <f>HYPERLINK("http://141.218.60.56/~jnz1568/discussion.php?&amp;Z=8&amp;N=6&amp;Sheet=1&amp;Row=46&amp;Col=8","0.11892")</f>
      </c>
      <c r="J47" t="s" s="1">
        <f>HYPERLINK("http://141.218.60.56/~jnz1568/discussion.php?&amp;Z=8&amp;N=6&amp;Sheet=1&amp;Row=46&amp;Col=9","475740000")</f>
      </c>
      <c r="K47" t="s" s="1">
        <f>HYPERLINK("http://141.218.60.56/~jnz1568/discussion.php?&amp;Z=8&amp;N=6&amp;Sheet=1&amp;Row=46&amp;Col=10","")</f>
      </c>
      <c r="L47" t="s" s="1">
        <f>HYPERLINK("http://141.218.60.56/~jnz1568/discussion.php?&amp;Z=8&amp;N=6&amp;Sheet=1&amp;Row=46&amp;Col=11","")</f>
      </c>
      <c r="M47" t="s" s="1">
        <f>HYPERLINK("http://141.218.60.56/~jnz1568/discussion.php?&amp;Z=8&amp;N=6&amp;Sheet=1&amp;Row=46&amp;Col=12","0.12117")</f>
      </c>
      <c r="N47" t="s" s="1">
        <f>HYPERLINK("http://141.218.60.56/~jnz1568/discussion.php?&amp;Z=8&amp;N=6&amp;Sheet=1&amp;Row=46&amp;Col=13","506000000")</f>
      </c>
      <c r="O47" t="s" s="1">
        <f>HYPERLINK("http://141.218.60.56/~jnz1568/discussion.php?&amp;Z=8&amp;N=6&amp;Sheet=1&amp;Row=46&amp;Col=14","")</f>
      </c>
      <c r="P47" t="s" s="1">
        <f>HYPERLINK("http://141.218.60.56/~jnz1568/discussion.php?&amp;Z=8&amp;N=6&amp;Sheet=1&amp;Row=46&amp;Col=15","")</f>
      </c>
      <c r="Q47" t="s" s="1">
        <f>HYPERLINK("http://141.218.60.56/~jnz1568/discussion.php?&amp;Z=8&amp;N=6&amp;Sheet=1&amp;Row=46&amp;Col=16","")</f>
      </c>
    </row>
    <row r="48">
      <c r="A48" t="s">
        <v>15</v>
      </c>
      <c r="B48" t="s">
        <v>16</v>
      </c>
      <c r="C48" t="s">
        <v>58</v>
      </c>
      <c r="D48" t="s">
        <v>20</v>
      </c>
      <c r="E48" t="s">
        <v>405</v>
      </c>
      <c r="F48" t="s" s="1">
        <f>HYPERLINK("http://141.218.60.56/~jnz1568/discussion.php?&amp;Z=8&amp;N=6&amp;Sheet=1&amp;Row=47&amp;Col=5","760800000")</f>
      </c>
      <c r="G48" t="s" s="1">
        <f>HYPERLINK("http://141.218.60.56/~jnz1568/discussion.php?&amp;Z=8&amp;N=6&amp;Sheet=1&amp;Row=47&amp;Col=6","")</f>
      </c>
      <c r="H48" t="s" s="1">
        <f>HYPERLINK("http://141.218.60.56/~jnz1568/discussion.php?&amp;Z=8&amp;N=6&amp;Sheet=1&amp;Row=47&amp;Col=7","")</f>
      </c>
      <c r="I48" t="s" s="1">
        <f>HYPERLINK("http://141.218.60.56/~jnz1568/discussion.php?&amp;Z=8&amp;N=6&amp;Sheet=1&amp;Row=47&amp;Col=8","0.0028408")</f>
      </c>
      <c r="J48" t="s" s="1">
        <f>HYPERLINK("http://141.218.60.56/~jnz1568/discussion.php?&amp;Z=8&amp;N=6&amp;Sheet=1&amp;Row=47&amp;Col=9","769080000")</f>
      </c>
      <c r="K48" t="s" s="1">
        <f>HYPERLINK("http://141.218.60.56/~jnz1568/discussion.php?&amp;Z=8&amp;N=6&amp;Sheet=1&amp;Row=47&amp;Col=10","")</f>
      </c>
      <c r="L48" t="s" s="1">
        <f>HYPERLINK("http://141.218.60.56/~jnz1568/discussion.php?&amp;Z=8&amp;N=6&amp;Sheet=1&amp;Row=47&amp;Col=11","")</f>
      </c>
      <c r="M48" t="s" s="1">
        <f>HYPERLINK("http://141.218.60.56/~jnz1568/discussion.php?&amp;Z=8&amp;N=6&amp;Sheet=1&amp;Row=47&amp;Col=12","0.0028961")</f>
      </c>
      <c r="N48" t="s" s="1">
        <f>HYPERLINK("http://141.218.60.56/~jnz1568/discussion.php?&amp;Z=8&amp;N=6&amp;Sheet=1&amp;Row=47&amp;Col=13","819200000")</f>
      </c>
      <c r="O48" t="s" s="1">
        <f>HYPERLINK("http://141.218.60.56/~jnz1568/discussion.php?&amp;Z=8&amp;N=6&amp;Sheet=1&amp;Row=47&amp;Col=14","")</f>
      </c>
      <c r="P48" t="s" s="1">
        <f>HYPERLINK("http://141.218.60.56/~jnz1568/discussion.php?&amp;Z=8&amp;N=6&amp;Sheet=1&amp;Row=47&amp;Col=15","")</f>
      </c>
      <c r="Q48" t="s" s="1">
        <f>HYPERLINK("http://141.218.60.56/~jnz1568/discussion.php?&amp;Z=8&amp;N=6&amp;Sheet=1&amp;Row=47&amp;Col=16","")</f>
      </c>
    </row>
    <row r="49">
      <c r="A49" t="s">
        <v>15</v>
      </c>
      <c r="B49" t="s">
        <v>16</v>
      </c>
      <c r="C49" t="s">
        <v>58</v>
      </c>
      <c r="D49" t="s">
        <v>28</v>
      </c>
      <c r="E49" t="s">
        <v>411</v>
      </c>
      <c r="F49" t="s" s="1">
        <f>HYPERLINK("http://141.218.60.56/~jnz1568/discussion.php?&amp;Z=8&amp;N=6&amp;Sheet=1&amp;Row=48&amp;Col=5","27461")</f>
      </c>
      <c r="G49" t="s" s="1">
        <f>HYPERLINK("http://141.218.60.56/~jnz1568/discussion.php?&amp;Z=8&amp;N=6&amp;Sheet=1&amp;Row=48&amp;Col=6","")</f>
      </c>
      <c r="H49" t="s" s="1">
        <f>HYPERLINK("http://141.218.60.56/~jnz1568/discussion.php?&amp;Z=8&amp;N=6&amp;Sheet=1&amp;Row=48&amp;Col=7","")</f>
      </c>
      <c r="I49" t="s" s="1">
        <f>HYPERLINK("http://141.218.60.56/~jnz1568/discussion.php?&amp;Z=8&amp;N=6&amp;Sheet=1&amp;Row=48&amp;Col=8","0.069408")</f>
      </c>
      <c r="J49" t="s" s="1">
        <f>HYPERLINK("http://141.218.60.56/~jnz1568/discussion.php?&amp;Z=8&amp;N=6&amp;Sheet=1&amp;Row=48&amp;Col=9","28442")</f>
      </c>
      <c r="K49" t="s" s="1">
        <f>HYPERLINK("http://141.218.60.56/~jnz1568/discussion.php?&amp;Z=8&amp;N=6&amp;Sheet=1&amp;Row=48&amp;Col=10","")</f>
      </c>
      <c r="L49" t="s" s="1">
        <f>HYPERLINK("http://141.218.60.56/~jnz1568/discussion.php?&amp;Z=8&amp;N=6&amp;Sheet=1&amp;Row=48&amp;Col=11","")</f>
      </c>
      <c r="M49" t="s" s="1">
        <f>HYPERLINK("http://141.218.60.56/~jnz1568/discussion.php?&amp;Z=8&amp;N=6&amp;Sheet=1&amp;Row=48&amp;Col=12","0.070657")</f>
      </c>
      <c r="N49" t="s" s="1">
        <f>HYPERLINK("http://141.218.60.56/~jnz1568/discussion.php?&amp;Z=8&amp;N=6&amp;Sheet=1&amp;Row=48&amp;Col=13","20240")</f>
      </c>
      <c r="O49" t="s" s="1">
        <f>HYPERLINK("http://141.218.60.56/~jnz1568/discussion.php?&amp;Z=8&amp;N=6&amp;Sheet=1&amp;Row=48&amp;Col=14","")</f>
      </c>
      <c r="P49" t="s" s="1">
        <f>HYPERLINK("http://141.218.60.56/~jnz1568/discussion.php?&amp;Z=8&amp;N=6&amp;Sheet=1&amp;Row=48&amp;Col=15","")</f>
      </c>
      <c r="Q49" t="s" s="1">
        <f>HYPERLINK("http://141.218.60.56/~jnz1568/discussion.php?&amp;Z=8&amp;N=6&amp;Sheet=1&amp;Row=48&amp;Col=16","")</f>
      </c>
    </row>
    <row r="50">
      <c r="A50" t="s">
        <v>15</v>
      </c>
      <c r="B50" t="s">
        <v>16</v>
      </c>
      <c r="C50" t="s">
        <v>58</v>
      </c>
      <c r="D50" t="s">
        <v>33</v>
      </c>
      <c r="E50" t="s">
        <v>417</v>
      </c>
      <c r="F50" t="s" s="1">
        <f>HYPERLINK("http://141.218.60.56/~jnz1568/discussion.php?&amp;Z=8&amp;N=6&amp;Sheet=1&amp;Row=49&amp;Col=5","9578.2")</f>
      </c>
      <c r="G50" t="s" s="1">
        <f>HYPERLINK("http://141.218.60.56/~jnz1568/discussion.php?&amp;Z=8&amp;N=6&amp;Sheet=1&amp;Row=49&amp;Col=6","")</f>
      </c>
      <c r="H50" t="s" s="1">
        <f>HYPERLINK("http://141.218.60.56/~jnz1568/discussion.php?&amp;Z=8&amp;N=6&amp;Sheet=1&amp;Row=49&amp;Col=7","")</f>
      </c>
      <c r="I50" t="s" s="1">
        <f>HYPERLINK("http://141.218.60.56/~jnz1568/discussion.php?&amp;Z=8&amp;N=6&amp;Sheet=1&amp;Row=49&amp;Col=8","")</f>
      </c>
      <c r="J50" t="s" s="1">
        <f>HYPERLINK("http://141.218.60.56/~jnz1568/discussion.php?&amp;Z=8&amp;N=6&amp;Sheet=1&amp;Row=49&amp;Col=9","9650.5")</f>
      </c>
      <c r="K50" t="s" s="1">
        <f>HYPERLINK("http://141.218.60.56/~jnz1568/discussion.php?&amp;Z=8&amp;N=6&amp;Sheet=1&amp;Row=49&amp;Col=10","")</f>
      </c>
      <c r="L50" t="s" s="1">
        <f>HYPERLINK("http://141.218.60.56/~jnz1568/discussion.php?&amp;Z=8&amp;N=6&amp;Sheet=1&amp;Row=49&amp;Col=11","")</f>
      </c>
      <c r="M50" t="s" s="1">
        <f>HYPERLINK("http://141.218.60.56/~jnz1568/discussion.php?&amp;Z=8&amp;N=6&amp;Sheet=1&amp;Row=49&amp;Col=12","")</f>
      </c>
      <c r="N50" t="s" s="1">
        <f>HYPERLINK("http://141.218.60.56/~jnz1568/discussion.php?&amp;Z=8&amp;N=6&amp;Sheet=1&amp;Row=49&amp;Col=13","6108")</f>
      </c>
      <c r="O50" t="s" s="1">
        <f>HYPERLINK("http://141.218.60.56/~jnz1568/discussion.php?&amp;Z=8&amp;N=6&amp;Sheet=1&amp;Row=49&amp;Col=14","")</f>
      </c>
      <c r="P50" t="s" s="1">
        <f>HYPERLINK("http://141.218.60.56/~jnz1568/discussion.php?&amp;Z=8&amp;N=6&amp;Sheet=1&amp;Row=49&amp;Col=15","")</f>
      </c>
      <c r="Q50" t="s" s="1">
        <f>HYPERLINK("http://141.218.60.56/~jnz1568/discussion.php?&amp;Z=8&amp;N=6&amp;Sheet=1&amp;Row=49&amp;Col=16","")</f>
      </c>
    </row>
    <row r="51">
      <c r="A51" t="s">
        <v>15</v>
      </c>
      <c r="B51" t="s">
        <v>16</v>
      </c>
      <c r="C51" t="s">
        <v>58</v>
      </c>
      <c r="D51" t="s">
        <v>16</v>
      </c>
      <c r="E51" t="s">
        <v>421</v>
      </c>
      <c r="F51" t="s" s="1">
        <f>HYPERLINK("http://141.218.60.56/~jnz1568/discussion.php?&amp;Z=8&amp;N=6&amp;Sheet=1&amp;Row=50&amp;Col=5","")</f>
      </c>
      <c r="G51" t="s" s="1">
        <f>HYPERLINK("http://141.218.60.56/~jnz1568/discussion.php?&amp;Z=8&amp;N=6&amp;Sheet=1&amp;Row=50&amp;Col=6","7.1559e-06")</f>
      </c>
      <c r="H51" t="s" s="1">
        <f>HYPERLINK("http://141.218.60.56/~jnz1568/discussion.php?&amp;Z=8&amp;N=6&amp;Sheet=1&amp;Row=50&amp;Col=7","0.08322")</f>
      </c>
      <c r="I51" t="s" s="1">
        <f>HYPERLINK("http://141.218.60.56/~jnz1568/discussion.php?&amp;Z=8&amp;N=6&amp;Sheet=1&amp;Row=50&amp;Col=8","")</f>
      </c>
      <c r="J51" t="s" s="1">
        <f>HYPERLINK("http://141.218.60.56/~jnz1568/discussion.php?&amp;Z=8&amp;N=6&amp;Sheet=1&amp;Row=50&amp;Col=9","")</f>
      </c>
      <c r="K51" t="s" s="1">
        <f>HYPERLINK("http://141.218.60.56/~jnz1568/discussion.php?&amp;Z=8&amp;N=6&amp;Sheet=1&amp;Row=50&amp;Col=10","")</f>
      </c>
      <c r="L51" t="s" s="1">
        <f>HYPERLINK("http://141.218.60.56/~jnz1568/discussion.php?&amp;Z=8&amp;N=6&amp;Sheet=1&amp;Row=50&amp;Col=11","")</f>
      </c>
      <c r="M51" t="s" s="1">
        <f>HYPERLINK("http://141.218.60.56/~jnz1568/discussion.php?&amp;Z=8&amp;N=6&amp;Sheet=1&amp;Row=50&amp;Col=12","")</f>
      </c>
      <c r="N51" t="s" s="1">
        <f>HYPERLINK("http://141.218.60.56/~jnz1568/discussion.php?&amp;Z=8&amp;N=6&amp;Sheet=1&amp;Row=50&amp;Col=13","")</f>
      </c>
      <c r="O51" t="s" s="1">
        <f>HYPERLINK("http://141.218.60.56/~jnz1568/discussion.php?&amp;Z=8&amp;N=6&amp;Sheet=1&amp;Row=50&amp;Col=14","")</f>
      </c>
      <c r="P51" t="s" s="1">
        <f>HYPERLINK("http://141.218.60.56/~jnz1568/discussion.php?&amp;Z=8&amp;N=6&amp;Sheet=1&amp;Row=50&amp;Col=15","")</f>
      </c>
      <c r="Q51" t="s" s="1">
        <f>HYPERLINK("http://141.218.60.56/~jnz1568/discussion.php?&amp;Z=8&amp;N=6&amp;Sheet=1&amp;Row=50&amp;Col=16","")</f>
      </c>
    </row>
    <row r="52">
      <c r="A52" t="s">
        <v>15</v>
      </c>
      <c r="B52" t="s">
        <v>16</v>
      </c>
      <c r="C52" t="s">
        <v>58</v>
      </c>
      <c r="D52" t="s">
        <v>43</v>
      </c>
      <c r="E52" t="s">
        <v>424</v>
      </c>
      <c r="F52" t="s" s="1">
        <f>HYPERLINK("http://141.218.60.56/~jnz1568/discussion.php?&amp;Z=8&amp;N=6&amp;Sheet=1&amp;Row=51&amp;Col=5","")</f>
      </c>
      <c r="G52" t="s" s="1">
        <f>HYPERLINK("http://141.218.60.56/~jnz1568/discussion.php?&amp;Z=8&amp;N=6&amp;Sheet=1&amp;Row=51&amp;Col=6","0.54443")</f>
      </c>
      <c r="H52" t="s" s="1">
        <f>HYPERLINK("http://141.218.60.56/~jnz1568/discussion.php?&amp;Z=8&amp;N=6&amp;Sheet=1&amp;Row=51&amp;Col=7","")</f>
      </c>
      <c r="I52" t="s" s="1">
        <f>HYPERLINK("http://141.218.60.56/~jnz1568/discussion.php?&amp;Z=8&amp;N=6&amp;Sheet=1&amp;Row=51&amp;Col=8","")</f>
      </c>
      <c r="J52" t="s" s="1">
        <f>HYPERLINK("http://141.218.60.56/~jnz1568/discussion.php?&amp;Z=8&amp;N=6&amp;Sheet=1&amp;Row=51&amp;Col=9","")</f>
      </c>
      <c r="K52" t="s" s="1">
        <f>HYPERLINK("http://141.218.60.56/~jnz1568/discussion.php?&amp;Z=8&amp;N=6&amp;Sheet=1&amp;Row=51&amp;Col=10","")</f>
      </c>
      <c r="L52" t="s" s="1">
        <f>HYPERLINK("http://141.218.60.56/~jnz1568/discussion.php?&amp;Z=8&amp;N=6&amp;Sheet=1&amp;Row=51&amp;Col=11","")</f>
      </c>
      <c r="M52" t="s" s="1">
        <f>HYPERLINK("http://141.218.60.56/~jnz1568/discussion.php?&amp;Z=8&amp;N=6&amp;Sheet=1&amp;Row=51&amp;Col=12","")</f>
      </c>
      <c r="N52" t="s" s="1">
        <f>HYPERLINK("http://141.218.60.56/~jnz1568/discussion.php?&amp;Z=8&amp;N=6&amp;Sheet=1&amp;Row=51&amp;Col=13","")</f>
      </c>
      <c r="O52" t="s" s="1">
        <f>HYPERLINK("http://141.218.60.56/~jnz1568/discussion.php?&amp;Z=8&amp;N=6&amp;Sheet=1&amp;Row=51&amp;Col=14","")</f>
      </c>
      <c r="P52" t="s" s="1">
        <f>HYPERLINK("http://141.218.60.56/~jnz1568/discussion.php?&amp;Z=8&amp;N=6&amp;Sheet=1&amp;Row=51&amp;Col=15","")</f>
      </c>
      <c r="Q52" t="s" s="1">
        <f>HYPERLINK("http://141.218.60.56/~jnz1568/discussion.php?&amp;Z=8&amp;N=6&amp;Sheet=1&amp;Row=51&amp;Col=16","")</f>
      </c>
    </row>
    <row r="53">
      <c r="A53" t="s">
        <v>15</v>
      </c>
      <c r="B53" t="s">
        <v>16</v>
      </c>
      <c r="C53" t="s">
        <v>58</v>
      </c>
      <c r="D53" t="s">
        <v>15</v>
      </c>
      <c r="E53" t="s">
        <v>426</v>
      </c>
      <c r="F53" t="s" s="1">
        <f>HYPERLINK("http://141.218.60.56/~jnz1568/discussion.php?&amp;Z=8&amp;N=6&amp;Sheet=1&amp;Row=52&amp;Col=5","")</f>
      </c>
      <c r="G53" t="s" s="1">
        <f>HYPERLINK("http://141.218.60.56/~jnz1568/discussion.php?&amp;Z=8&amp;N=6&amp;Sheet=1&amp;Row=52&amp;Col=6","0.096426")</f>
      </c>
      <c r="H53" t="s" s="1">
        <f>HYPERLINK("http://141.218.60.56/~jnz1568/discussion.php?&amp;Z=8&amp;N=6&amp;Sheet=1&amp;Row=52&amp;Col=7","8.1768e-08")</f>
      </c>
      <c r="I53" t="s" s="1">
        <f>HYPERLINK("http://141.218.60.56/~jnz1568/discussion.php?&amp;Z=8&amp;N=6&amp;Sheet=1&amp;Row=52&amp;Col=8","")</f>
      </c>
      <c r="J53" t="s" s="1">
        <f>HYPERLINK("http://141.218.60.56/~jnz1568/discussion.php?&amp;Z=8&amp;N=6&amp;Sheet=1&amp;Row=52&amp;Col=9","")</f>
      </c>
      <c r="K53" t="s" s="1">
        <f>HYPERLINK("http://141.218.60.56/~jnz1568/discussion.php?&amp;Z=8&amp;N=6&amp;Sheet=1&amp;Row=52&amp;Col=10","")</f>
      </c>
      <c r="L53" t="s" s="1">
        <f>HYPERLINK("http://141.218.60.56/~jnz1568/discussion.php?&amp;Z=8&amp;N=6&amp;Sheet=1&amp;Row=52&amp;Col=11","")</f>
      </c>
      <c r="M53" t="s" s="1">
        <f>HYPERLINK("http://141.218.60.56/~jnz1568/discussion.php?&amp;Z=8&amp;N=6&amp;Sheet=1&amp;Row=52&amp;Col=12","")</f>
      </c>
      <c r="N53" t="s" s="1">
        <f>HYPERLINK("http://141.218.60.56/~jnz1568/discussion.php?&amp;Z=8&amp;N=6&amp;Sheet=1&amp;Row=52&amp;Col=13","")</f>
      </c>
      <c r="O53" t="s" s="1">
        <f>HYPERLINK("http://141.218.60.56/~jnz1568/discussion.php?&amp;Z=8&amp;N=6&amp;Sheet=1&amp;Row=52&amp;Col=14","")</f>
      </c>
      <c r="P53" t="s" s="1">
        <f>HYPERLINK("http://141.218.60.56/~jnz1568/discussion.php?&amp;Z=8&amp;N=6&amp;Sheet=1&amp;Row=52&amp;Col=15","")</f>
      </c>
      <c r="Q53" t="s" s="1">
        <f>HYPERLINK("http://141.218.60.56/~jnz1568/discussion.php?&amp;Z=8&amp;N=6&amp;Sheet=1&amp;Row=52&amp;Col=16","")</f>
      </c>
    </row>
    <row r="54">
      <c r="A54" t="s">
        <v>15</v>
      </c>
      <c r="B54" t="s">
        <v>16</v>
      </c>
      <c r="C54" t="s">
        <v>58</v>
      </c>
      <c r="D54" t="s">
        <v>50</v>
      </c>
      <c r="E54" t="s">
        <v>429</v>
      </c>
      <c r="F54" t="s" s="1">
        <f>HYPERLINK("http://141.218.60.56/~jnz1568/discussion.php?&amp;Z=8&amp;N=6&amp;Sheet=1&amp;Row=53&amp;Col=5","")</f>
      </c>
      <c r="G54" t="s" s="1">
        <f>HYPERLINK("http://141.218.60.56/~jnz1568/discussion.php?&amp;Z=8&amp;N=6&amp;Sheet=1&amp;Row=53&amp;Col=6","0.52073")</f>
      </c>
      <c r="H54" t="s" s="1">
        <f>HYPERLINK("http://141.218.60.56/~jnz1568/discussion.php?&amp;Z=8&amp;N=6&amp;Sheet=1&amp;Row=53&amp;Col=7","0.023122")</f>
      </c>
      <c r="I54" t="s" s="1">
        <f>HYPERLINK("http://141.218.60.56/~jnz1568/discussion.php?&amp;Z=8&amp;N=6&amp;Sheet=1&amp;Row=53&amp;Col=8","")</f>
      </c>
      <c r="J54" t="s" s="1">
        <f>HYPERLINK("http://141.218.60.56/~jnz1568/discussion.php?&amp;Z=8&amp;N=6&amp;Sheet=1&amp;Row=53&amp;Col=9","")</f>
      </c>
      <c r="K54" t="s" s="1">
        <f>HYPERLINK("http://141.218.60.56/~jnz1568/discussion.php?&amp;Z=8&amp;N=6&amp;Sheet=1&amp;Row=53&amp;Col=10","")</f>
      </c>
      <c r="L54" t="s" s="1">
        <f>HYPERLINK("http://141.218.60.56/~jnz1568/discussion.php?&amp;Z=8&amp;N=6&amp;Sheet=1&amp;Row=53&amp;Col=11","")</f>
      </c>
      <c r="M54" t="s" s="1">
        <f>HYPERLINK("http://141.218.60.56/~jnz1568/discussion.php?&amp;Z=8&amp;N=6&amp;Sheet=1&amp;Row=53&amp;Col=12","")</f>
      </c>
      <c r="N54" t="s" s="1">
        <f>HYPERLINK("http://141.218.60.56/~jnz1568/discussion.php?&amp;Z=8&amp;N=6&amp;Sheet=1&amp;Row=53&amp;Col=13","")</f>
      </c>
      <c r="O54" t="s" s="1">
        <f>HYPERLINK("http://141.218.60.56/~jnz1568/discussion.php?&amp;Z=8&amp;N=6&amp;Sheet=1&amp;Row=53&amp;Col=14","")</f>
      </c>
      <c r="P54" t="s" s="1">
        <f>HYPERLINK("http://141.218.60.56/~jnz1568/discussion.php?&amp;Z=8&amp;N=6&amp;Sheet=1&amp;Row=53&amp;Col=15","")</f>
      </c>
      <c r="Q54" t="s" s="1">
        <f>HYPERLINK("http://141.218.60.56/~jnz1568/discussion.php?&amp;Z=8&amp;N=6&amp;Sheet=1&amp;Row=53&amp;Col=16","")</f>
      </c>
    </row>
    <row r="55">
      <c r="A55" t="s">
        <v>15</v>
      </c>
      <c r="B55" t="s">
        <v>16</v>
      </c>
      <c r="C55" t="s">
        <v>58</v>
      </c>
      <c r="D55" t="s">
        <v>53</v>
      </c>
      <c r="E55" t="s">
        <v>432</v>
      </c>
      <c r="F55" t="s" s="1">
        <f>HYPERLINK("http://141.218.60.56/~jnz1568/discussion.php?&amp;Z=8&amp;N=6&amp;Sheet=1&amp;Row=54&amp;Col=5","")</f>
      </c>
      <c r="G55" t="s" s="1">
        <f>HYPERLINK("http://141.218.60.56/~jnz1568/discussion.php?&amp;Z=8&amp;N=6&amp;Sheet=1&amp;Row=54&amp;Col=6","0")</f>
      </c>
      <c r="H55" t="s" s="1">
        <f>HYPERLINK("http://141.218.60.56/~jnz1568/discussion.php?&amp;Z=8&amp;N=6&amp;Sheet=1&amp;Row=54&amp;Col=7","1.6543e-10")</f>
      </c>
      <c r="I55" t="s" s="1">
        <f>HYPERLINK("http://141.218.60.56/~jnz1568/discussion.php?&amp;Z=8&amp;N=6&amp;Sheet=1&amp;Row=54&amp;Col=8","")</f>
      </c>
      <c r="J55" t="s" s="1">
        <f>HYPERLINK("http://141.218.60.56/~jnz1568/discussion.php?&amp;Z=8&amp;N=6&amp;Sheet=1&amp;Row=54&amp;Col=9","")</f>
      </c>
      <c r="K55" t="s" s="1">
        <f>HYPERLINK("http://141.218.60.56/~jnz1568/discussion.php?&amp;Z=8&amp;N=6&amp;Sheet=1&amp;Row=54&amp;Col=10","")</f>
      </c>
      <c r="L55" t="s" s="1">
        <f>HYPERLINK("http://141.218.60.56/~jnz1568/discussion.php?&amp;Z=8&amp;N=6&amp;Sheet=1&amp;Row=54&amp;Col=11","")</f>
      </c>
      <c r="M55" t="s" s="1">
        <f>HYPERLINK("http://141.218.60.56/~jnz1568/discussion.php?&amp;Z=8&amp;N=6&amp;Sheet=1&amp;Row=54&amp;Col=12","")</f>
      </c>
      <c r="N55" t="s" s="1">
        <f>HYPERLINK("http://141.218.60.56/~jnz1568/discussion.php?&amp;Z=8&amp;N=6&amp;Sheet=1&amp;Row=54&amp;Col=13","")</f>
      </c>
      <c r="O55" t="s" s="1">
        <f>HYPERLINK("http://141.218.60.56/~jnz1568/discussion.php?&amp;Z=8&amp;N=6&amp;Sheet=1&amp;Row=54&amp;Col=14","")</f>
      </c>
      <c r="P55" t="s" s="1">
        <f>HYPERLINK("http://141.218.60.56/~jnz1568/discussion.php?&amp;Z=8&amp;N=6&amp;Sheet=1&amp;Row=54&amp;Col=15","")</f>
      </c>
      <c r="Q55" t="s" s="1">
        <f>HYPERLINK("http://141.218.60.56/~jnz1568/discussion.php?&amp;Z=8&amp;N=6&amp;Sheet=1&amp;Row=54&amp;Col=16","")</f>
      </c>
    </row>
    <row r="56">
      <c r="A56" t="s">
        <v>15</v>
      </c>
      <c r="B56" t="s">
        <v>16</v>
      </c>
      <c r="C56" t="s">
        <v>61</v>
      </c>
      <c r="D56" t="s">
        <v>23</v>
      </c>
      <c r="E56" t="s">
        <v>434</v>
      </c>
      <c r="F56" t="s" s="1">
        <f>HYPERLINK("http://141.218.60.56/~jnz1568/discussion.php?&amp;Z=8&amp;N=6&amp;Sheet=1&amp;Row=55&amp;Col=5","1845500000")</f>
      </c>
      <c r="G56" t="s" s="1">
        <f>HYPERLINK("http://141.218.60.56/~jnz1568/discussion.php?&amp;Z=8&amp;N=6&amp;Sheet=1&amp;Row=55&amp;Col=6","")</f>
      </c>
      <c r="H56" t="s" s="1">
        <f>HYPERLINK("http://141.218.60.56/~jnz1568/discussion.php?&amp;Z=8&amp;N=6&amp;Sheet=1&amp;Row=55&amp;Col=7","")</f>
      </c>
      <c r="I56" t="s" s="1">
        <f>HYPERLINK("http://141.218.60.56/~jnz1568/discussion.php?&amp;Z=8&amp;N=6&amp;Sheet=1&amp;Row=55&amp;Col=8","")</f>
      </c>
      <c r="J56" t="s" s="1">
        <f>HYPERLINK("http://141.218.60.56/~jnz1568/discussion.php?&amp;Z=8&amp;N=6&amp;Sheet=1&amp;Row=55&amp;Col=9","1865400000")</f>
      </c>
      <c r="K56" t="s" s="1">
        <f>HYPERLINK("http://141.218.60.56/~jnz1568/discussion.php?&amp;Z=8&amp;N=6&amp;Sheet=1&amp;Row=55&amp;Col=10","")</f>
      </c>
      <c r="L56" t="s" s="1">
        <f>HYPERLINK("http://141.218.60.56/~jnz1568/discussion.php?&amp;Z=8&amp;N=6&amp;Sheet=1&amp;Row=55&amp;Col=11","")</f>
      </c>
      <c r="M56" t="s" s="1">
        <f>HYPERLINK("http://141.218.60.56/~jnz1568/discussion.php?&amp;Z=8&amp;N=6&amp;Sheet=1&amp;Row=55&amp;Col=12","")</f>
      </c>
      <c r="N56" t="s" s="1">
        <f>HYPERLINK("http://141.218.60.56/~jnz1568/discussion.php?&amp;Z=8&amp;N=6&amp;Sheet=1&amp;Row=55&amp;Col=13","1987000000")</f>
      </c>
      <c r="O56" t="s" s="1">
        <f>HYPERLINK("http://141.218.60.56/~jnz1568/discussion.php?&amp;Z=8&amp;N=6&amp;Sheet=1&amp;Row=55&amp;Col=14","")</f>
      </c>
      <c r="P56" t="s" s="1">
        <f>HYPERLINK("http://141.218.60.56/~jnz1568/discussion.php?&amp;Z=8&amp;N=6&amp;Sheet=1&amp;Row=55&amp;Col=15","")</f>
      </c>
      <c r="Q56" t="s" s="1">
        <f>HYPERLINK("http://141.218.60.56/~jnz1568/discussion.php?&amp;Z=8&amp;N=6&amp;Sheet=1&amp;Row=55&amp;Col=16","")</f>
      </c>
    </row>
    <row r="57">
      <c r="A57" t="s">
        <v>15</v>
      </c>
      <c r="B57" t="s">
        <v>16</v>
      </c>
      <c r="C57" t="s">
        <v>61</v>
      </c>
      <c r="D57" t="s">
        <v>20</v>
      </c>
      <c r="E57" t="s">
        <v>438</v>
      </c>
      <c r="F57" t="s" s="1">
        <f>HYPERLINK("http://141.218.60.56/~jnz1568/discussion.php?&amp;Z=8&amp;N=6&amp;Sheet=1&amp;Row=56&amp;Col=5","")</f>
      </c>
      <c r="G57" t="s" s="1">
        <f>HYPERLINK("http://141.218.60.56/~jnz1568/discussion.php?&amp;Z=8&amp;N=6&amp;Sheet=1&amp;Row=56&amp;Col=6","")</f>
      </c>
      <c r="H57" t="s" s="1">
        <f>HYPERLINK("http://141.218.60.56/~jnz1568/discussion.php?&amp;Z=8&amp;N=6&amp;Sheet=1&amp;Row=56&amp;Col=7","")</f>
      </c>
      <c r="I57" t="s" s="1">
        <f>HYPERLINK("http://141.218.60.56/~jnz1568/discussion.php?&amp;Z=8&amp;N=6&amp;Sheet=1&amp;Row=56&amp;Col=8","0.10237")</f>
      </c>
      <c r="J57" t="s" s="1">
        <f>HYPERLINK("http://141.218.60.56/~jnz1568/discussion.php?&amp;Z=8&amp;N=6&amp;Sheet=1&amp;Row=56&amp;Col=9","")</f>
      </c>
      <c r="K57" t="s" s="1">
        <f>HYPERLINK("http://141.218.60.56/~jnz1568/discussion.php?&amp;Z=8&amp;N=6&amp;Sheet=1&amp;Row=56&amp;Col=10","")</f>
      </c>
      <c r="L57" t="s" s="1">
        <f>HYPERLINK("http://141.218.60.56/~jnz1568/discussion.php?&amp;Z=8&amp;N=6&amp;Sheet=1&amp;Row=56&amp;Col=11","")</f>
      </c>
      <c r="M57" t="s" s="1">
        <f>HYPERLINK("http://141.218.60.56/~jnz1568/discussion.php?&amp;Z=8&amp;N=6&amp;Sheet=1&amp;Row=56&amp;Col=12","0.1043")</f>
      </c>
      <c r="N57" t="s" s="1">
        <f>HYPERLINK("http://141.218.60.56/~jnz1568/discussion.php?&amp;Z=8&amp;N=6&amp;Sheet=1&amp;Row=56&amp;Col=13","")</f>
      </c>
      <c r="O57" t="s" s="1">
        <f>HYPERLINK("http://141.218.60.56/~jnz1568/discussion.php?&amp;Z=8&amp;N=6&amp;Sheet=1&amp;Row=56&amp;Col=14","")</f>
      </c>
      <c r="P57" t="s" s="1">
        <f>HYPERLINK("http://141.218.60.56/~jnz1568/discussion.php?&amp;Z=8&amp;N=6&amp;Sheet=1&amp;Row=56&amp;Col=15","")</f>
      </c>
      <c r="Q57" t="s" s="1">
        <f>HYPERLINK("http://141.218.60.56/~jnz1568/discussion.php?&amp;Z=8&amp;N=6&amp;Sheet=1&amp;Row=56&amp;Col=16","")</f>
      </c>
    </row>
    <row r="58">
      <c r="A58" t="s">
        <v>15</v>
      </c>
      <c r="B58" t="s">
        <v>16</v>
      </c>
      <c r="C58" t="s">
        <v>61</v>
      </c>
      <c r="D58" t="s">
        <v>28</v>
      </c>
      <c r="E58" t="s">
        <v>441</v>
      </c>
      <c r="F58" t="s" s="1">
        <f>HYPERLINK("http://141.218.60.56/~jnz1568/discussion.php?&amp;Z=8&amp;N=6&amp;Sheet=1&amp;Row=57&amp;Col=5","")</f>
      </c>
      <c r="G58" t="s" s="1">
        <f>HYPERLINK("http://141.218.60.56/~jnz1568/discussion.php?&amp;Z=8&amp;N=6&amp;Sheet=1&amp;Row=57&amp;Col=6","")</f>
      </c>
      <c r="H58" t="s" s="1">
        <f>HYPERLINK("http://141.218.60.56/~jnz1568/discussion.php?&amp;Z=8&amp;N=6&amp;Sheet=1&amp;Row=57&amp;Col=7","")</f>
      </c>
      <c r="I58" t="s" s="1">
        <f>HYPERLINK("http://141.218.60.56/~jnz1568/discussion.php?&amp;Z=8&amp;N=6&amp;Sheet=1&amp;Row=57&amp;Col=8","0.090528")</f>
      </c>
      <c r="J58" t="s" s="1">
        <f>HYPERLINK("http://141.218.60.56/~jnz1568/discussion.php?&amp;Z=8&amp;N=6&amp;Sheet=1&amp;Row=57&amp;Col=9","")</f>
      </c>
      <c r="K58" t="s" s="1">
        <f>HYPERLINK("http://141.218.60.56/~jnz1568/discussion.php?&amp;Z=8&amp;N=6&amp;Sheet=1&amp;Row=57&amp;Col=10","")</f>
      </c>
      <c r="L58" t="s" s="1">
        <f>HYPERLINK("http://141.218.60.56/~jnz1568/discussion.php?&amp;Z=8&amp;N=6&amp;Sheet=1&amp;Row=57&amp;Col=11","")</f>
      </c>
      <c r="M58" t="s" s="1">
        <f>HYPERLINK("http://141.218.60.56/~jnz1568/discussion.php?&amp;Z=8&amp;N=6&amp;Sheet=1&amp;Row=57&amp;Col=12","0.092166")</f>
      </c>
      <c r="N58" t="s" s="1">
        <f>HYPERLINK("http://141.218.60.56/~jnz1568/discussion.php?&amp;Z=8&amp;N=6&amp;Sheet=1&amp;Row=57&amp;Col=13","")</f>
      </c>
      <c r="O58" t="s" s="1">
        <f>HYPERLINK("http://141.218.60.56/~jnz1568/discussion.php?&amp;Z=8&amp;N=6&amp;Sheet=1&amp;Row=57&amp;Col=14","")</f>
      </c>
      <c r="P58" t="s" s="1">
        <f>HYPERLINK("http://141.218.60.56/~jnz1568/discussion.php?&amp;Z=8&amp;N=6&amp;Sheet=1&amp;Row=57&amp;Col=15","")</f>
      </c>
      <c r="Q58" t="s" s="1">
        <f>HYPERLINK("http://141.218.60.56/~jnz1568/discussion.php?&amp;Z=8&amp;N=6&amp;Sheet=1&amp;Row=57&amp;Col=16","")</f>
      </c>
    </row>
    <row r="59">
      <c r="A59" t="s">
        <v>15</v>
      </c>
      <c r="B59" t="s">
        <v>16</v>
      </c>
      <c r="C59" t="s">
        <v>61</v>
      </c>
      <c r="D59" t="s">
        <v>16</v>
      </c>
      <c r="E59" t="s">
        <v>444</v>
      </c>
      <c r="F59" t="s" s="1">
        <f>HYPERLINK("http://141.218.60.56/~jnz1568/discussion.php?&amp;Z=8&amp;N=6&amp;Sheet=1&amp;Row=58&amp;Col=5","")</f>
      </c>
      <c r="G59" t="s" s="1">
        <f>HYPERLINK("http://141.218.60.56/~jnz1568/discussion.php?&amp;Z=8&amp;N=6&amp;Sheet=1&amp;Row=58&amp;Col=6","8.2254e-07")</f>
      </c>
      <c r="H59" t="s" s="1">
        <f>HYPERLINK("http://141.218.60.56/~jnz1568/discussion.php?&amp;Z=8&amp;N=6&amp;Sheet=1&amp;Row=58&amp;Col=7","")</f>
      </c>
      <c r="I59" t="s" s="1">
        <f>HYPERLINK("http://141.218.60.56/~jnz1568/discussion.php?&amp;Z=8&amp;N=6&amp;Sheet=1&amp;Row=58&amp;Col=8","")</f>
      </c>
      <c r="J59" t="s" s="1">
        <f>HYPERLINK("http://141.218.60.56/~jnz1568/discussion.php?&amp;Z=8&amp;N=6&amp;Sheet=1&amp;Row=58&amp;Col=9","")</f>
      </c>
      <c r="K59" t="s" s="1">
        <f>HYPERLINK("http://141.218.60.56/~jnz1568/discussion.php?&amp;Z=8&amp;N=6&amp;Sheet=1&amp;Row=58&amp;Col=10","")</f>
      </c>
      <c r="L59" t="s" s="1">
        <f>HYPERLINK("http://141.218.60.56/~jnz1568/discussion.php?&amp;Z=8&amp;N=6&amp;Sheet=1&amp;Row=58&amp;Col=11","")</f>
      </c>
      <c r="M59" t="s" s="1">
        <f>HYPERLINK("http://141.218.60.56/~jnz1568/discussion.php?&amp;Z=8&amp;N=6&amp;Sheet=1&amp;Row=58&amp;Col=12","")</f>
      </c>
      <c r="N59" t="s" s="1">
        <f>HYPERLINK("http://141.218.60.56/~jnz1568/discussion.php?&amp;Z=8&amp;N=6&amp;Sheet=1&amp;Row=58&amp;Col=13","")</f>
      </c>
      <c r="O59" t="s" s="1">
        <f>HYPERLINK("http://141.218.60.56/~jnz1568/discussion.php?&amp;Z=8&amp;N=6&amp;Sheet=1&amp;Row=58&amp;Col=14","")</f>
      </c>
      <c r="P59" t="s" s="1">
        <f>HYPERLINK("http://141.218.60.56/~jnz1568/discussion.php?&amp;Z=8&amp;N=6&amp;Sheet=1&amp;Row=58&amp;Col=15","")</f>
      </c>
      <c r="Q59" t="s" s="1">
        <f>HYPERLINK("http://141.218.60.56/~jnz1568/discussion.php?&amp;Z=8&amp;N=6&amp;Sheet=1&amp;Row=58&amp;Col=16","")</f>
      </c>
    </row>
    <row r="60">
      <c r="A60" t="s">
        <v>15</v>
      </c>
      <c r="B60" t="s">
        <v>16</v>
      </c>
      <c r="C60" t="s">
        <v>61</v>
      </c>
      <c r="D60" t="s">
        <v>15</v>
      </c>
      <c r="E60" t="s">
        <v>446</v>
      </c>
      <c r="F60" t="s" s="1">
        <f>HYPERLINK("http://141.218.60.56/~jnz1568/discussion.php?&amp;Z=8&amp;N=6&amp;Sheet=1&amp;Row=59&amp;Col=5","")</f>
      </c>
      <c r="G60" t="s" s="1">
        <f>HYPERLINK("http://141.218.60.56/~jnz1568/discussion.php?&amp;Z=8&amp;N=6&amp;Sheet=1&amp;Row=59&amp;Col=6","1.1625")</f>
      </c>
      <c r="H60" t="s" s="1">
        <f>HYPERLINK("http://141.218.60.56/~jnz1568/discussion.php?&amp;Z=8&amp;N=6&amp;Sheet=1&amp;Row=59&amp;Col=7","")</f>
      </c>
      <c r="I60" t="s" s="1">
        <f>HYPERLINK("http://141.218.60.56/~jnz1568/discussion.php?&amp;Z=8&amp;N=6&amp;Sheet=1&amp;Row=59&amp;Col=8","")</f>
      </c>
      <c r="J60" t="s" s="1">
        <f>HYPERLINK("http://141.218.60.56/~jnz1568/discussion.php?&amp;Z=8&amp;N=6&amp;Sheet=1&amp;Row=59&amp;Col=9","")</f>
      </c>
      <c r="K60" t="s" s="1">
        <f>HYPERLINK("http://141.218.60.56/~jnz1568/discussion.php?&amp;Z=8&amp;N=6&amp;Sheet=1&amp;Row=59&amp;Col=10","")</f>
      </c>
      <c r="L60" t="s" s="1">
        <f>HYPERLINK("http://141.218.60.56/~jnz1568/discussion.php?&amp;Z=8&amp;N=6&amp;Sheet=1&amp;Row=59&amp;Col=11","")</f>
      </c>
      <c r="M60" t="s" s="1">
        <f>HYPERLINK("http://141.218.60.56/~jnz1568/discussion.php?&amp;Z=8&amp;N=6&amp;Sheet=1&amp;Row=59&amp;Col=12","")</f>
      </c>
      <c r="N60" t="s" s="1">
        <f>HYPERLINK("http://141.218.60.56/~jnz1568/discussion.php?&amp;Z=8&amp;N=6&amp;Sheet=1&amp;Row=59&amp;Col=13","")</f>
      </c>
      <c r="O60" t="s" s="1">
        <f>HYPERLINK("http://141.218.60.56/~jnz1568/discussion.php?&amp;Z=8&amp;N=6&amp;Sheet=1&amp;Row=59&amp;Col=14","")</f>
      </c>
      <c r="P60" t="s" s="1">
        <f>HYPERLINK("http://141.218.60.56/~jnz1568/discussion.php?&amp;Z=8&amp;N=6&amp;Sheet=1&amp;Row=59&amp;Col=15","")</f>
      </c>
      <c r="Q60" t="s" s="1">
        <f>HYPERLINK("http://141.218.60.56/~jnz1568/discussion.php?&amp;Z=8&amp;N=6&amp;Sheet=1&amp;Row=59&amp;Col=16","")</f>
      </c>
    </row>
    <row r="61">
      <c r="A61" t="s">
        <v>15</v>
      </c>
      <c r="B61" t="s">
        <v>16</v>
      </c>
      <c r="C61" t="s">
        <v>61</v>
      </c>
      <c r="D61" t="s">
        <v>50</v>
      </c>
      <c r="E61" t="s">
        <v>448</v>
      </c>
      <c r="F61" t="s" s="1">
        <f>HYPERLINK("http://141.218.60.56/~jnz1568/discussion.php?&amp;Z=8&amp;N=6&amp;Sheet=1&amp;Row=60&amp;Col=5","")</f>
      </c>
      <c r="G61" t="s" s="1">
        <f>HYPERLINK("http://141.218.60.56/~jnz1568/discussion.php?&amp;Z=8&amp;N=6&amp;Sheet=1&amp;Row=60&amp;Col=6","")</f>
      </c>
      <c r="H61" t="s" s="1">
        <f>HYPERLINK("http://141.218.60.56/~jnz1568/discussion.php?&amp;Z=8&amp;N=6&amp;Sheet=1&amp;Row=60&amp;Col=7","0.023165")</f>
      </c>
      <c r="I61" t="s" s="1">
        <f>HYPERLINK("http://141.218.60.56/~jnz1568/discussion.php?&amp;Z=8&amp;N=6&amp;Sheet=1&amp;Row=60&amp;Col=8","")</f>
      </c>
      <c r="J61" t="s" s="1">
        <f>HYPERLINK("http://141.218.60.56/~jnz1568/discussion.php?&amp;Z=8&amp;N=6&amp;Sheet=1&amp;Row=60&amp;Col=9","")</f>
      </c>
      <c r="K61" t="s" s="1">
        <f>HYPERLINK("http://141.218.60.56/~jnz1568/discussion.php?&amp;Z=8&amp;N=6&amp;Sheet=1&amp;Row=60&amp;Col=10","")</f>
      </c>
      <c r="L61" t="s" s="1">
        <f>HYPERLINK("http://141.218.60.56/~jnz1568/discussion.php?&amp;Z=8&amp;N=6&amp;Sheet=1&amp;Row=60&amp;Col=11","")</f>
      </c>
      <c r="M61" t="s" s="1">
        <f>HYPERLINK("http://141.218.60.56/~jnz1568/discussion.php?&amp;Z=8&amp;N=6&amp;Sheet=1&amp;Row=60&amp;Col=12","")</f>
      </c>
      <c r="N61" t="s" s="1">
        <f>HYPERLINK("http://141.218.60.56/~jnz1568/discussion.php?&amp;Z=8&amp;N=6&amp;Sheet=1&amp;Row=60&amp;Col=13","")</f>
      </c>
      <c r="O61" t="s" s="1">
        <f>HYPERLINK("http://141.218.60.56/~jnz1568/discussion.php?&amp;Z=8&amp;N=6&amp;Sheet=1&amp;Row=60&amp;Col=14","")</f>
      </c>
      <c r="P61" t="s" s="1">
        <f>HYPERLINK("http://141.218.60.56/~jnz1568/discussion.php?&amp;Z=8&amp;N=6&amp;Sheet=1&amp;Row=60&amp;Col=15","")</f>
      </c>
      <c r="Q61" t="s" s="1">
        <f>HYPERLINK("http://141.218.60.56/~jnz1568/discussion.php?&amp;Z=8&amp;N=6&amp;Sheet=1&amp;Row=60&amp;Col=16","")</f>
      </c>
    </row>
    <row r="62">
      <c r="A62" t="s">
        <v>15</v>
      </c>
      <c r="B62" t="s">
        <v>16</v>
      </c>
      <c r="C62" t="s">
        <v>61</v>
      </c>
      <c r="D62" t="s">
        <v>53</v>
      </c>
      <c r="E62" t="s">
        <v>450</v>
      </c>
      <c r="F62" t="s" s="1">
        <f>HYPERLINK("http://141.218.60.56/~jnz1568/discussion.php?&amp;Z=8&amp;N=6&amp;Sheet=1&amp;Row=61&amp;Col=5","")</f>
      </c>
      <c r="G62" t="s" s="1">
        <f>HYPERLINK("http://141.218.60.56/~jnz1568/discussion.php?&amp;Z=8&amp;N=6&amp;Sheet=1&amp;Row=61&amp;Col=6","0")</f>
      </c>
      <c r="H62" t="s" s="1">
        <f>HYPERLINK("http://141.218.60.56/~jnz1568/discussion.php?&amp;Z=8&amp;N=6&amp;Sheet=1&amp;Row=61&amp;Col=7","")</f>
      </c>
      <c r="I62" t="s" s="1">
        <f>HYPERLINK("http://141.218.60.56/~jnz1568/discussion.php?&amp;Z=8&amp;N=6&amp;Sheet=1&amp;Row=61&amp;Col=8","")</f>
      </c>
      <c r="J62" t="s" s="1">
        <f>HYPERLINK("http://141.218.60.56/~jnz1568/discussion.php?&amp;Z=8&amp;N=6&amp;Sheet=1&amp;Row=61&amp;Col=9","")</f>
      </c>
      <c r="K62" t="s" s="1">
        <f>HYPERLINK("http://141.218.60.56/~jnz1568/discussion.php?&amp;Z=8&amp;N=6&amp;Sheet=1&amp;Row=61&amp;Col=10","")</f>
      </c>
      <c r="L62" t="s" s="1">
        <f>HYPERLINK("http://141.218.60.56/~jnz1568/discussion.php?&amp;Z=8&amp;N=6&amp;Sheet=1&amp;Row=61&amp;Col=11","")</f>
      </c>
      <c r="M62" t="s" s="1">
        <f>HYPERLINK("http://141.218.60.56/~jnz1568/discussion.php?&amp;Z=8&amp;N=6&amp;Sheet=1&amp;Row=61&amp;Col=12","")</f>
      </c>
      <c r="N62" t="s" s="1">
        <f>HYPERLINK("http://141.218.60.56/~jnz1568/discussion.php?&amp;Z=8&amp;N=6&amp;Sheet=1&amp;Row=61&amp;Col=13","")</f>
      </c>
      <c r="O62" t="s" s="1">
        <f>HYPERLINK("http://141.218.60.56/~jnz1568/discussion.php?&amp;Z=8&amp;N=6&amp;Sheet=1&amp;Row=61&amp;Col=14","")</f>
      </c>
      <c r="P62" t="s" s="1">
        <f>HYPERLINK("http://141.218.60.56/~jnz1568/discussion.php?&amp;Z=8&amp;N=6&amp;Sheet=1&amp;Row=61&amp;Col=15","")</f>
      </c>
      <c r="Q62" t="s" s="1">
        <f>HYPERLINK("http://141.218.60.56/~jnz1568/discussion.php?&amp;Z=8&amp;N=6&amp;Sheet=1&amp;Row=61&amp;Col=16","")</f>
      </c>
    </row>
    <row r="63">
      <c r="A63" t="s">
        <v>15</v>
      </c>
      <c r="B63" t="s">
        <v>16</v>
      </c>
      <c r="C63" t="s">
        <v>61</v>
      </c>
      <c r="D63" t="s">
        <v>58</v>
      </c>
      <c r="E63" t="s">
        <v>451</v>
      </c>
      <c r="F63" t="s" s="1">
        <f>HYPERLINK("http://141.218.60.56/~jnz1568/discussion.php?&amp;Z=8&amp;N=6&amp;Sheet=1&amp;Row=62&amp;Col=5","")</f>
      </c>
      <c r="G63" t="s" s="1">
        <f>HYPERLINK("http://141.218.60.56/~jnz1568/discussion.php?&amp;Z=8&amp;N=6&amp;Sheet=1&amp;Row=62&amp;Col=6","")</f>
      </c>
      <c r="H63" t="s" s="1">
        <f>HYPERLINK("http://141.218.60.56/~jnz1568/discussion.php?&amp;Z=8&amp;N=6&amp;Sheet=1&amp;Row=62&amp;Col=7","1.464e-07")</f>
      </c>
      <c r="I63" t="s" s="1">
        <f>HYPERLINK("http://141.218.60.56/~jnz1568/discussion.php?&amp;Z=8&amp;N=6&amp;Sheet=1&amp;Row=62&amp;Col=8","")</f>
      </c>
      <c r="J63" t="s" s="1">
        <f>HYPERLINK("http://141.218.60.56/~jnz1568/discussion.php?&amp;Z=8&amp;N=6&amp;Sheet=1&amp;Row=62&amp;Col=9","")</f>
      </c>
      <c r="K63" t="s" s="1">
        <f>HYPERLINK("http://141.218.60.56/~jnz1568/discussion.php?&amp;Z=8&amp;N=6&amp;Sheet=1&amp;Row=62&amp;Col=10","")</f>
      </c>
      <c r="L63" t="s" s="1">
        <f>HYPERLINK("http://141.218.60.56/~jnz1568/discussion.php?&amp;Z=8&amp;N=6&amp;Sheet=1&amp;Row=62&amp;Col=11","")</f>
      </c>
      <c r="M63" t="s" s="1">
        <f>HYPERLINK("http://141.218.60.56/~jnz1568/discussion.php?&amp;Z=8&amp;N=6&amp;Sheet=1&amp;Row=62&amp;Col=12","")</f>
      </c>
      <c r="N63" t="s" s="1">
        <f>HYPERLINK("http://141.218.60.56/~jnz1568/discussion.php?&amp;Z=8&amp;N=6&amp;Sheet=1&amp;Row=62&amp;Col=13","")</f>
      </c>
      <c r="O63" t="s" s="1">
        <f>HYPERLINK("http://141.218.60.56/~jnz1568/discussion.php?&amp;Z=8&amp;N=6&amp;Sheet=1&amp;Row=62&amp;Col=14","")</f>
      </c>
      <c r="P63" t="s" s="1">
        <f>HYPERLINK("http://141.218.60.56/~jnz1568/discussion.php?&amp;Z=8&amp;N=6&amp;Sheet=1&amp;Row=62&amp;Col=15","")</f>
      </c>
      <c r="Q63" t="s" s="1">
        <f>HYPERLINK("http://141.218.60.56/~jnz1568/discussion.php?&amp;Z=8&amp;N=6&amp;Sheet=1&amp;Row=62&amp;Col=16","")</f>
      </c>
    </row>
    <row r="64">
      <c r="A64" t="s">
        <v>15</v>
      </c>
      <c r="B64" t="s">
        <v>16</v>
      </c>
      <c r="C64" t="s">
        <v>64</v>
      </c>
      <c r="D64" t="s">
        <v>17</v>
      </c>
      <c r="E64" t="s">
        <v>453</v>
      </c>
      <c r="F64" t="s" s="1">
        <f>HYPERLINK("http://141.218.60.56/~jnz1568/discussion.php?&amp;Z=8&amp;N=6&amp;Sheet=1&amp;Row=63&amp;Col=5","")</f>
      </c>
      <c r="G64" t="s" s="1">
        <f>HYPERLINK("http://141.218.60.56/~jnz1568/discussion.php?&amp;Z=8&amp;N=6&amp;Sheet=1&amp;Row=63&amp;Col=6","")</f>
      </c>
      <c r="H64" t="s" s="1">
        <f>HYPERLINK("http://141.218.60.56/~jnz1568/discussion.php?&amp;Z=8&amp;N=6&amp;Sheet=1&amp;Row=63&amp;Col=7","")</f>
      </c>
      <c r="I64" t="s" s="1">
        <f>HYPERLINK("http://141.218.60.56/~jnz1568/discussion.php?&amp;Z=8&amp;N=6&amp;Sheet=1&amp;Row=63&amp;Col=8","0.3657")</f>
      </c>
      <c r="J64" t="s" s="1">
        <f>HYPERLINK("http://141.218.60.56/~jnz1568/discussion.php?&amp;Z=8&amp;N=6&amp;Sheet=1&amp;Row=63&amp;Col=9","")</f>
      </c>
      <c r="K64" t="s" s="1">
        <f>HYPERLINK("http://141.218.60.56/~jnz1568/discussion.php?&amp;Z=8&amp;N=6&amp;Sheet=1&amp;Row=63&amp;Col=10","")</f>
      </c>
      <c r="L64" t="s" s="1">
        <f>HYPERLINK("http://141.218.60.56/~jnz1568/discussion.php?&amp;Z=8&amp;N=6&amp;Sheet=1&amp;Row=63&amp;Col=11","")</f>
      </c>
      <c r="M64" t="s" s="1">
        <f>HYPERLINK("http://141.218.60.56/~jnz1568/discussion.php?&amp;Z=8&amp;N=6&amp;Sheet=1&amp;Row=63&amp;Col=12","0.37177")</f>
      </c>
      <c r="N64" t="s" s="1">
        <f>HYPERLINK("http://141.218.60.56/~jnz1568/discussion.php?&amp;Z=8&amp;N=6&amp;Sheet=1&amp;Row=63&amp;Col=13","")</f>
      </c>
      <c r="O64" t="s" s="1">
        <f>HYPERLINK("http://141.218.60.56/~jnz1568/discussion.php?&amp;Z=8&amp;N=6&amp;Sheet=1&amp;Row=63&amp;Col=14","")</f>
      </c>
      <c r="P64" t="s" s="1">
        <f>HYPERLINK("http://141.218.60.56/~jnz1568/discussion.php?&amp;Z=8&amp;N=6&amp;Sheet=1&amp;Row=63&amp;Col=15","")</f>
      </c>
      <c r="Q64" t="s" s="1">
        <f>HYPERLINK("http://141.218.60.56/~jnz1568/discussion.php?&amp;Z=8&amp;N=6&amp;Sheet=1&amp;Row=63&amp;Col=16","")</f>
      </c>
    </row>
    <row r="65">
      <c r="A65" t="s">
        <v>15</v>
      </c>
      <c r="B65" t="s">
        <v>16</v>
      </c>
      <c r="C65" t="s">
        <v>64</v>
      </c>
      <c r="D65" t="s">
        <v>23</v>
      </c>
      <c r="E65" t="s">
        <v>456</v>
      </c>
      <c r="F65" t="s" s="1">
        <f>HYPERLINK("http://141.218.60.56/~jnz1568/discussion.php?&amp;Z=8&amp;N=6&amp;Sheet=1&amp;Row=64&amp;Col=5","13246")</f>
      </c>
      <c r="G65" t="s" s="1">
        <f>HYPERLINK("http://141.218.60.56/~jnz1568/discussion.php?&amp;Z=8&amp;N=6&amp;Sheet=1&amp;Row=64&amp;Col=6","")</f>
      </c>
      <c r="H65" t="s" s="1">
        <f>HYPERLINK("http://141.218.60.56/~jnz1568/discussion.php?&amp;Z=8&amp;N=6&amp;Sheet=1&amp;Row=64&amp;Col=7","")</f>
      </c>
      <c r="I65" t="s" s="1">
        <f>HYPERLINK("http://141.218.60.56/~jnz1568/discussion.php?&amp;Z=8&amp;N=6&amp;Sheet=1&amp;Row=64&amp;Col=8","0.82476")</f>
      </c>
      <c r="J65" t="s" s="1">
        <f>HYPERLINK("http://141.218.60.56/~jnz1568/discussion.php?&amp;Z=8&amp;N=6&amp;Sheet=1&amp;Row=64&amp;Col=9","12672")</f>
      </c>
      <c r="K65" t="s" s="1">
        <f>HYPERLINK("http://141.218.60.56/~jnz1568/discussion.php?&amp;Z=8&amp;N=6&amp;Sheet=1&amp;Row=64&amp;Col=10","")</f>
      </c>
      <c r="L65" t="s" s="1">
        <f>HYPERLINK("http://141.218.60.56/~jnz1568/discussion.php?&amp;Z=8&amp;N=6&amp;Sheet=1&amp;Row=64&amp;Col=11","")</f>
      </c>
      <c r="M65" t="s" s="1">
        <f>HYPERLINK("http://141.218.60.56/~jnz1568/discussion.php?&amp;Z=8&amp;N=6&amp;Sheet=1&amp;Row=64&amp;Col=12","0.83843")</f>
      </c>
      <c r="N65" t="s" s="1">
        <f>HYPERLINK("http://141.218.60.56/~jnz1568/discussion.php?&amp;Z=8&amp;N=6&amp;Sheet=1&amp;Row=64&amp;Col=13","11750")</f>
      </c>
      <c r="O65" t="s" s="1">
        <f>HYPERLINK("http://141.218.60.56/~jnz1568/discussion.php?&amp;Z=8&amp;N=6&amp;Sheet=1&amp;Row=64&amp;Col=14","")</f>
      </c>
      <c r="P65" t="s" s="1">
        <f>HYPERLINK("http://141.218.60.56/~jnz1568/discussion.php?&amp;Z=8&amp;N=6&amp;Sheet=1&amp;Row=64&amp;Col=15","")</f>
      </c>
      <c r="Q65" t="s" s="1">
        <f>HYPERLINK("http://141.218.60.56/~jnz1568/discussion.php?&amp;Z=8&amp;N=6&amp;Sheet=1&amp;Row=64&amp;Col=16","")</f>
      </c>
    </row>
    <row r="66">
      <c r="A66" t="s">
        <v>15</v>
      </c>
      <c r="B66" t="s">
        <v>16</v>
      </c>
      <c r="C66" t="s">
        <v>64</v>
      </c>
      <c r="D66" t="s">
        <v>20</v>
      </c>
      <c r="E66" t="s">
        <v>462</v>
      </c>
      <c r="F66" t="s" s="1">
        <f>HYPERLINK("http://141.218.60.56/~jnz1568/discussion.php?&amp;Z=8&amp;N=6&amp;Sheet=1&amp;Row=65&amp;Col=5","281050")</f>
      </c>
      <c r="G66" t="s" s="1">
        <f>HYPERLINK("http://141.218.60.56/~jnz1568/discussion.php?&amp;Z=8&amp;N=6&amp;Sheet=1&amp;Row=65&amp;Col=6","")</f>
      </c>
      <c r="H66" t="s" s="1">
        <f>HYPERLINK("http://141.218.60.56/~jnz1568/discussion.php?&amp;Z=8&amp;N=6&amp;Sheet=1&amp;Row=65&amp;Col=7","")</f>
      </c>
      <c r="I66" t="s" s="1">
        <f>HYPERLINK("http://141.218.60.56/~jnz1568/discussion.php?&amp;Z=8&amp;N=6&amp;Sheet=1&amp;Row=65&amp;Col=8","0.64114")</f>
      </c>
      <c r="J66" t="s" s="1">
        <f>HYPERLINK("http://141.218.60.56/~jnz1568/discussion.php?&amp;Z=8&amp;N=6&amp;Sheet=1&amp;Row=65&amp;Col=9","279670")</f>
      </c>
      <c r="K66" t="s" s="1">
        <f>HYPERLINK("http://141.218.60.56/~jnz1568/discussion.php?&amp;Z=8&amp;N=6&amp;Sheet=1&amp;Row=65&amp;Col=10","")</f>
      </c>
      <c r="L66" t="s" s="1">
        <f>HYPERLINK("http://141.218.60.56/~jnz1568/discussion.php?&amp;Z=8&amp;N=6&amp;Sheet=1&amp;Row=65&amp;Col=11","")</f>
      </c>
      <c r="M66" t="s" s="1">
        <f>HYPERLINK("http://141.218.60.56/~jnz1568/discussion.php?&amp;Z=8&amp;N=6&amp;Sheet=1&amp;Row=65&amp;Col=12","0.6518")</f>
      </c>
      <c r="N66" t="s" s="1">
        <f>HYPERLINK("http://141.218.60.56/~jnz1568/discussion.php?&amp;Z=8&amp;N=6&amp;Sheet=1&amp;Row=65&amp;Col=13","188500")</f>
      </c>
      <c r="O66" t="s" s="1">
        <f>HYPERLINK("http://141.218.60.56/~jnz1568/discussion.php?&amp;Z=8&amp;N=6&amp;Sheet=1&amp;Row=65&amp;Col=14","")</f>
      </c>
      <c r="P66" t="s" s="1">
        <f>HYPERLINK("http://141.218.60.56/~jnz1568/discussion.php?&amp;Z=8&amp;N=6&amp;Sheet=1&amp;Row=65&amp;Col=15","")</f>
      </c>
      <c r="Q66" t="s" s="1">
        <f>HYPERLINK("http://141.218.60.56/~jnz1568/discussion.php?&amp;Z=8&amp;N=6&amp;Sheet=1&amp;Row=65&amp;Col=16","")</f>
      </c>
    </row>
    <row r="67">
      <c r="A67" t="s">
        <v>15</v>
      </c>
      <c r="B67" t="s">
        <v>16</v>
      </c>
      <c r="C67" t="s">
        <v>64</v>
      </c>
      <c r="D67" t="s">
        <v>28</v>
      </c>
      <c r="E67" t="s">
        <v>468</v>
      </c>
      <c r="F67" t="s" s="1">
        <f>HYPERLINK("http://141.218.60.56/~jnz1568/discussion.php?&amp;Z=8&amp;N=6&amp;Sheet=1&amp;Row=66&amp;Col=5","5462600000")</f>
      </c>
      <c r="G67" t="s" s="1">
        <f>HYPERLINK("http://141.218.60.56/~jnz1568/discussion.php?&amp;Z=8&amp;N=6&amp;Sheet=1&amp;Row=66&amp;Col=6","")</f>
      </c>
      <c r="H67" t="s" s="1">
        <f>HYPERLINK("http://141.218.60.56/~jnz1568/discussion.php?&amp;Z=8&amp;N=6&amp;Sheet=1&amp;Row=66&amp;Col=7","")</f>
      </c>
      <c r="I67" t="s" s="1">
        <f>HYPERLINK("http://141.218.60.56/~jnz1568/discussion.php?&amp;Z=8&amp;N=6&amp;Sheet=1&amp;Row=66&amp;Col=8","0.023303")</f>
      </c>
      <c r="J67" t="s" s="1">
        <f>HYPERLINK("http://141.218.60.56/~jnz1568/discussion.php?&amp;Z=8&amp;N=6&amp;Sheet=1&amp;Row=66&amp;Col=9","5514100000")</f>
      </c>
      <c r="K67" t="s" s="1">
        <f>HYPERLINK("http://141.218.60.56/~jnz1568/discussion.php?&amp;Z=8&amp;N=6&amp;Sheet=1&amp;Row=66&amp;Col=10","")</f>
      </c>
      <c r="L67" t="s" s="1">
        <f>HYPERLINK("http://141.218.60.56/~jnz1568/discussion.php?&amp;Z=8&amp;N=6&amp;Sheet=1&amp;Row=66&amp;Col=11","")</f>
      </c>
      <c r="M67" t="s" s="1">
        <f>HYPERLINK("http://141.218.60.56/~jnz1568/discussion.php?&amp;Z=8&amp;N=6&amp;Sheet=1&amp;Row=66&amp;Col=12","0.02366")</f>
      </c>
      <c r="N67" t="s" s="1">
        <f>HYPERLINK("http://141.218.60.56/~jnz1568/discussion.php?&amp;Z=8&amp;N=6&amp;Sheet=1&amp;Row=66&amp;Col=13","5561000000")</f>
      </c>
      <c r="O67" t="s" s="1">
        <f>HYPERLINK("http://141.218.60.56/~jnz1568/discussion.php?&amp;Z=8&amp;N=6&amp;Sheet=1&amp;Row=66&amp;Col=14","")</f>
      </c>
      <c r="P67" t="s" s="1">
        <f>HYPERLINK("http://141.218.60.56/~jnz1568/discussion.php?&amp;Z=8&amp;N=6&amp;Sheet=1&amp;Row=66&amp;Col=15","")</f>
      </c>
      <c r="Q67" t="s" s="1">
        <f>HYPERLINK("http://141.218.60.56/~jnz1568/discussion.php?&amp;Z=8&amp;N=6&amp;Sheet=1&amp;Row=66&amp;Col=16","")</f>
      </c>
    </row>
    <row r="68">
      <c r="A68" t="s">
        <v>15</v>
      </c>
      <c r="B68" t="s">
        <v>16</v>
      </c>
      <c r="C68" t="s">
        <v>64</v>
      </c>
      <c r="D68" t="s">
        <v>33</v>
      </c>
      <c r="E68" t="s">
        <v>474</v>
      </c>
      <c r="F68" t="s" s="1">
        <f>HYPERLINK("http://141.218.60.56/~jnz1568/discussion.php?&amp;Z=8&amp;N=6&amp;Sheet=1&amp;Row=67&amp;Col=5","")</f>
      </c>
      <c r="G68" t="s" s="1">
        <f>HYPERLINK("http://141.218.60.56/~jnz1568/discussion.php?&amp;Z=8&amp;N=6&amp;Sheet=1&amp;Row=67&amp;Col=6","")</f>
      </c>
      <c r="H68" t="s" s="1">
        <f>HYPERLINK("http://141.218.60.56/~jnz1568/discussion.php?&amp;Z=8&amp;N=6&amp;Sheet=1&amp;Row=67&amp;Col=7","")</f>
      </c>
      <c r="I68" t="s" s="1">
        <f>HYPERLINK("http://141.218.60.56/~jnz1568/discussion.php?&amp;Z=8&amp;N=6&amp;Sheet=1&amp;Row=67&amp;Col=8","0.0038817")</f>
      </c>
      <c r="J68" t="s" s="1">
        <f>HYPERLINK("http://141.218.60.56/~jnz1568/discussion.php?&amp;Z=8&amp;N=6&amp;Sheet=1&amp;Row=67&amp;Col=9","")</f>
      </c>
      <c r="K68" t="s" s="1">
        <f>HYPERLINK("http://141.218.60.56/~jnz1568/discussion.php?&amp;Z=8&amp;N=6&amp;Sheet=1&amp;Row=67&amp;Col=10","")</f>
      </c>
      <c r="L68" t="s" s="1">
        <f>HYPERLINK("http://141.218.60.56/~jnz1568/discussion.php?&amp;Z=8&amp;N=6&amp;Sheet=1&amp;Row=67&amp;Col=11","")</f>
      </c>
      <c r="M68" t="s" s="1">
        <f>HYPERLINK("http://141.218.60.56/~jnz1568/discussion.php?&amp;Z=8&amp;N=6&amp;Sheet=1&amp;Row=67&amp;Col=12","0.0039532")</f>
      </c>
      <c r="N68" t="s" s="1">
        <f>HYPERLINK("http://141.218.60.56/~jnz1568/discussion.php?&amp;Z=8&amp;N=6&amp;Sheet=1&amp;Row=67&amp;Col=13","")</f>
      </c>
      <c r="O68" t="s" s="1">
        <f>HYPERLINK("http://141.218.60.56/~jnz1568/discussion.php?&amp;Z=8&amp;N=6&amp;Sheet=1&amp;Row=67&amp;Col=14","")</f>
      </c>
      <c r="P68" t="s" s="1">
        <f>HYPERLINK("http://141.218.60.56/~jnz1568/discussion.php?&amp;Z=8&amp;N=6&amp;Sheet=1&amp;Row=67&amp;Col=15","")</f>
      </c>
      <c r="Q68" t="s" s="1">
        <f>HYPERLINK("http://141.218.60.56/~jnz1568/discussion.php?&amp;Z=8&amp;N=6&amp;Sheet=1&amp;Row=67&amp;Col=16","")</f>
      </c>
    </row>
    <row r="69">
      <c r="A69" t="s">
        <v>15</v>
      </c>
      <c r="B69" t="s">
        <v>16</v>
      </c>
      <c r="C69" t="s">
        <v>64</v>
      </c>
      <c r="D69" t="s">
        <v>16</v>
      </c>
      <c r="E69" t="s">
        <v>477</v>
      </c>
      <c r="F69" t="s" s="1">
        <f>HYPERLINK("http://141.218.60.56/~jnz1568/discussion.php?&amp;Z=8&amp;N=6&amp;Sheet=1&amp;Row=68&amp;Col=5","")</f>
      </c>
      <c r="G69" t="s" s="1">
        <f>HYPERLINK("http://141.218.60.56/~jnz1568/discussion.php?&amp;Z=8&amp;N=6&amp;Sheet=1&amp;Row=68&amp;Col=6","8.5099e-08")</f>
      </c>
      <c r="H69" t="s" s="1">
        <f>HYPERLINK("http://141.218.60.56/~jnz1568/discussion.php?&amp;Z=8&amp;N=6&amp;Sheet=1&amp;Row=68&amp;Col=7","9.148e-07")</f>
      </c>
      <c r="I69" t="s" s="1">
        <f>HYPERLINK("http://141.218.60.56/~jnz1568/discussion.php?&amp;Z=8&amp;N=6&amp;Sheet=1&amp;Row=68&amp;Col=8","")</f>
      </c>
      <c r="J69" t="s" s="1">
        <f>HYPERLINK("http://141.218.60.56/~jnz1568/discussion.php?&amp;Z=8&amp;N=6&amp;Sheet=1&amp;Row=68&amp;Col=9","")</f>
      </c>
      <c r="K69" t="s" s="1">
        <f>HYPERLINK("http://141.218.60.56/~jnz1568/discussion.php?&amp;Z=8&amp;N=6&amp;Sheet=1&amp;Row=68&amp;Col=10","")</f>
      </c>
      <c r="L69" t="s" s="1">
        <f>HYPERLINK("http://141.218.60.56/~jnz1568/discussion.php?&amp;Z=8&amp;N=6&amp;Sheet=1&amp;Row=68&amp;Col=11","")</f>
      </c>
      <c r="M69" t="s" s="1">
        <f>HYPERLINK("http://141.218.60.56/~jnz1568/discussion.php?&amp;Z=8&amp;N=6&amp;Sheet=1&amp;Row=68&amp;Col=12","")</f>
      </c>
      <c r="N69" t="s" s="1">
        <f>HYPERLINK("http://141.218.60.56/~jnz1568/discussion.php?&amp;Z=8&amp;N=6&amp;Sheet=1&amp;Row=68&amp;Col=13","")</f>
      </c>
      <c r="O69" t="s" s="1">
        <f>HYPERLINK("http://141.218.60.56/~jnz1568/discussion.php?&amp;Z=8&amp;N=6&amp;Sheet=1&amp;Row=68&amp;Col=14","")</f>
      </c>
      <c r="P69" t="s" s="1">
        <f>HYPERLINK("http://141.218.60.56/~jnz1568/discussion.php?&amp;Z=8&amp;N=6&amp;Sheet=1&amp;Row=68&amp;Col=15","")</f>
      </c>
      <c r="Q69" t="s" s="1">
        <f>HYPERLINK("http://141.218.60.56/~jnz1568/discussion.php?&amp;Z=8&amp;N=6&amp;Sheet=1&amp;Row=68&amp;Col=16","")</f>
      </c>
    </row>
    <row r="70">
      <c r="A70" t="s">
        <v>15</v>
      </c>
      <c r="B70" t="s">
        <v>16</v>
      </c>
      <c r="C70" t="s">
        <v>64</v>
      </c>
      <c r="D70" t="s">
        <v>43</v>
      </c>
      <c r="E70" t="s">
        <v>480</v>
      </c>
      <c r="F70" t="s" s="1">
        <f>HYPERLINK("http://141.218.60.56/~jnz1568/discussion.php?&amp;Z=8&amp;N=6&amp;Sheet=1&amp;Row=69&amp;Col=5","")</f>
      </c>
      <c r="G70" t="s" s="1">
        <f>HYPERLINK("http://141.218.60.56/~jnz1568/discussion.php?&amp;Z=8&amp;N=6&amp;Sheet=1&amp;Row=69&amp;Col=6","0.002024")</f>
      </c>
      <c r="H70" t="s" s="1">
        <f>HYPERLINK("http://141.218.60.56/~jnz1568/discussion.php?&amp;Z=8&amp;N=6&amp;Sheet=1&amp;Row=69&amp;Col=7","0.00011331")</f>
      </c>
      <c r="I70" t="s" s="1">
        <f>HYPERLINK("http://141.218.60.56/~jnz1568/discussion.php?&amp;Z=8&amp;N=6&amp;Sheet=1&amp;Row=69&amp;Col=8","")</f>
      </c>
      <c r="J70" t="s" s="1">
        <f>HYPERLINK("http://141.218.60.56/~jnz1568/discussion.php?&amp;Z=8&amp;N=6&amp;Sheet=1&amp;Row=69&amp;Col=9","")</f>
      </c>
      <c r="K70" t="s" s="1">
        <f>HYPERLINK("http://141.218.60.56/~jnz1568/discussion.php?&amp;Z=8&amp;N=6&amp;Sheet=1&amp;Row=69&amp;Col=10","")</f>
      </c>
      <c r="L70" t="s" s="1">
        <f>HYPERLINK("http://141.218.60.56/~jnz1568/discussion.php?&amp;Z=8&amp;N=6&amp;Sheet=1&amp;Row=69&amp;Col=11","")</f>
      </c>
      <c r="M70" t="s" s="1">
        <f>HYPERLINK("http://141.218.60.56/~jnz1568/discussion.php?&amp;Z=8&amp;N=6&amp;Sheet=1&amp;Row=69&amp;Col=12","")</f>
      </c>
      <c r="N70" t="s" s="1">
        <f>HYPERLINK("http://141.218.60.56/~jnz1568/discussion.php?&amp;Z=8&amp;N=6&amp;Sheet=1&amp;Row=69&amp;Col=13","")</f>
      </c>
      <c r="O70" t="s" s="1">
        <f>HYPERLINK("http://141.218.60.56/~jnz1568/discussion.php?&amp;Z=8&amp;N=6&amp;Sheet=1&amp;Row=69&amp;Col=14","")</f>
      </c>
      <c r="P70" t="s" s="1">
        <f>HYPERLINK("http://141.218.60.56/~jnz1568/discussion.php?&amp;Z=8&amp;N=6&amp;Sheet=1&amp;Row=69&amp;Col=15","")</f>
      </c>
      <c r="Q70" t="s" s="1">
        <f>HYPERLINK("http://141.218.60.56/~jnz1568/discussion.php?&amp;Z=8&amp;N=6&amp;Sheet=1&amp;Row=69&amp;Col=16","")</f>
      </c>
    </row>
    <row r="71">
      <c r="A71" t="s">
        <v>15</v>
      </c>
      <c r="B71" t="s">
        <v>16</v>
      </c>
      <c r="C71" t="s">
        <v>64</v>
      </c>
      <c r="D71" t="s">
        <v>15</v>
      </c>
      <c r="E71" t="s">
        <v>483</v>
      </c>
      <c r="F71" t="s" s="1">
        <f>HYPERLINK("http://141.218.60.56/~jnz1568/discussion.php?&amp;Z=8&amp;N=6&amp;Sheet=1&amp;Row=70&amp;Col=5","")</f>
      </c>
      <c r="G71" t="s" s="1">
        <f>HYPERLINK("http://141.218.60.56/~jnz1568/discussion.php?&amp;Z=8&amp;N=6&amp;Sheet=1&amp;Row=70&amp;Col=6","0.0010376")</f>
      </c>
      <c r="H71" t="s" s="1">
        <f>HYPERLINK("http://141.218.60.56/~jnz1568/discussion.php?&amp;Z=8&amp;N=6&amp;Sheet=1&amp;Row=70&amp;Col=7","1.8699e-06")</f>
      </c>
      <c r="I71" t="s" s="1">
        <f>HYPERLINK("http://141.218.60.56/~jnz1568/discussion.php?&amp;Z=8&amp;N=6&amp;Sheet=1&amp;Row=70&amp;Col=8","")</f>
      </c>
      <c r="J71" t="s" s="1">
        <f>HYPERLINK("http://141.218.60.56/~jnz1568/discussion.php?&amp;Z=8&amp;N=6&amp;Sheet=1&amp;Row=70&amp;Col=9","")</f>
      </c>
      <c r="K71" t="s" s="1">
        <f>HYPERLINK("http://141.218.60.56/~jnz1568/discussion.php?&amp;Z=8&amp;N=6&amp;Sheet=1&amp;Row=70&amp;Col=10","")</f>
      </c>
      <c r="L71" t="s" s="1">
        <f>HYPERLINK("http://141.218.60.56/~jnz1568/discussion.php?&amp;Z=8&amp;N=6&amp;Sheet=1&amp;Row=70&amp;Col=11","")</f>
      </c>
      <c r="M71" t="s" s="1">
        <f>HYPERLINK("http://141.218.60.56/~jnz1568/discussion.php?&amp;Z=8&amp;N=6&amp;Sheet=1&amp;Row=70&amp;Col=12","")</f>
      </c>
      <c r="N71" t="s" s="1">
        <f>HYPERLINK("http://141.218.60.56/~jnz1568/discussion.php?&amp;Z=8&amp;N=6&amp;Sheet=1&amp;Row=70&amp;Col=13","")</f>
      </c>
      <c r="O71" t="s" s="1">
        <f>HYPERLINK("http://141.218.60.56/~jnz1568/discussion.php?&amp;Z=8&amp;N=6&amp;Sheet=1&amp;Row=70&amp;Col=14","")</f>
      </c>
      <c r="P71" t="s" s="1">
        <f>HYPERLINK("http://141.218.60.56/~jnz1568/discussion.php?&amp;Z=8&amp;N=6&amp;Sheet=1&amp;Row=70&amp;Col=15","")</f>
      </c>
      <c r="Q71" t="s" s="1">
        <f>HYPERLINK("http://141.218.60.56/~jnz1568/discussion.php?&amp;Z=8&amp;N=6&amp;Sheet=1&amp;Row=70&amp;Col=16","")</f>
      </c>
    </row>
    <row r="72">
      <c r="A72" t="s">
        <v>15</v>
      </c>
      <c r="B72" t="s">
        <v>16</v>
      </c>
      <c r="C72" t="s">
        <v>64</v>
      </c>
      <c r="D72" t="s">
        <v>50</v>
      </c>
      <c r="E72" t="s">
        <v>486</v>
      </c>
      <c r="F72" t="s" s="1">
        <f>HYPERLINK("http://141.218.60.56/~jnz1568/discussion.php?&amp;Z=8&amp;N=6&amp;Sheet=1&amp;Row=71&amp;Col=5","")</f>
      </c>
      <c r="G72" t="s" s="1">
        <f>HYPERLINK("http://141.218.60.56/~jnz1568/discussion.php?&amp;Z=8&amp;N=6&amp;Sheet=1&amp;Row=71&amp;Col=6","9.2243e-05")</f>
      </c>
      <c r="H72" t="s" s="1">
        <f>HYPERLINK("http://141.218.60.56/~jnz1568/discussion.php?&amp;Z=8&amp;N=6&amp;Sheet=1&amp;Row=71&amp;Col=7","8.2751e-05")</f>
      </c>
      <c r="I72" t="s" s="1">
        <f>HYPERLINK("http://141.218.60.56/~jnz1568/discussion.php?&amp;Z=8&amp;N=6&amp;Sheet=1&amp;Row=71&amp;Col=8","")</f>
      </c>
      <c r="J72" t="s" s="1">
        <f>HYPERLINK("http://141.218.60.56/~jnz1568/discussion.php?&amp;Z=8&amp;N=6&amp;Sheet=1&amp;Row=71&amp;Col=9","")</f>
      </c>
      <c r="K72" t="s" s="1">
        <f>HYPERLINK("http://141.218.60.56/~jnz1568/discussion.php?&amp;Z=8&amp;N=6&amp;Sheet=1&amp;Row=71&amp;Col=10","")</f>
      </c>
      <c r="L72" t="s" s="1">
        <f>HYPERLINK("http://141.218.60.56/~jnz1568/discussion.php?&amp;Z=8&amp;N=6&amp;Sheet=1&amp;Row=71&amp;Col=11","")</f>
      </c>
      <c r="M72" t="s" s="1">
        <f>HYPERLINK("http://141.218.60.56/~jnz1568/discussion.php?&amp;Z=8&amp;N=6&amp;Sheet=1&amp;Row=71&amp;Col=12","")</f>
      </c>
      <c r="N72" t="s" s="1">
        <f>HYPERLINK("http://141.218.60.56/~jnz1568/discussion.php?&amp;Z=8&amp;N=6&amp;Sheet=1&amp;Row=71&amp;Col=13","")</f>
      </c>
      <c r="O72" t="s" s="1">
        <f>HYPERLINK("http://141.218.60.56/~jnz1568/discussion.php?&amp;Z=8&amp;N=6&amp;Sheet=1&amp;Row=71&amp;Col=14","")</f>
      </c>
      <c r="P72" t="s" s="1">
        <f>HYPERLINK("http://141.218.60.56/~jnz1568/discussion.php?&amp;Z=8&amp;N=6&amp;Sheet=1&amp;Row=71&amp;Col=15","")</f>
      </c>
      <c r="Q72" t="s" s="1">
        <f>HYPERLINK("http://141.218.60.56/~jnz1568/discussion.php?&amp;Z=8&amp;N=6&amp;Sheet=1&amp;Row=71&amp;Col=16","")</f>
      </c>
    </row>
    <row r="73">
      <c r="A73" t="s">
        <v>15</v>
      </c>
      <c r="B73" t="s">
        <v>16</v>
      </c>
      <c r="C73" t="s">
        <v>64</v>
      </c>
      <c r="D73" t="s">
        <v>53</v>
      </c>
      <c r="E73" t="s">
        <v>489</v>
      </c>
      <c r="F73" t="s" s="1">
        <f>HYPERLINK("http://141.218.60.56/~jnz1568/discussion.php?&amp;Z=8&amp;N=6&amp;Sheet=1&amp;Row=72&amp;Col=5","")</f>
      </c>
      <c r="G73" t="s" s="1">
        <f>HYPERLINK("http://141.218.60.56/~jnz1568/discussion.php?&amp;Z=8&amp;N=6&amp;Sheet=1&amp;Row=72&amp;Col=6","6.1128e-06")</f>
      </c>
      <c r="H73" t="s" s="1">
        <f>HYPERLINK("http://141.218.60.56/~jnz1568/discussion.php?&amp;Z=8&amp;N=6&amp;Sheet=1&amp;Row=72&amp;Col=7","0.041886")</f>
      </c>
      <c r="I73" t="s" s="1">
        <f>HYPERLINK("http://141.218.60.56/~jnz1568/discussion.php?&amp;Z=8&amp;N=6&amp;Sheet=1&amp;Row=72&amp;Col=8","")</f>
      </c>
      <c r="J73" t="s" s="1">
        <f>HYPERLINK("http://141.218.60.56/~jnz1568/discussion.php?&amp;Z=8&amp;N=6&amp;Sheet=1&amp;Row=72&amp;Col=9","")</f>
      </c>
      <c r="K73" t="s" s="1">
        <f>HYPERLINK("http://141.218.60.56/~jnz1568/discussion.php?&amp;Z=8&amp;N=6&amp;Sheet=1&amp;Row=72&amp;Col=10","")</f>
      </c>
      <c r="L73" t="s" s="1">
        <f>HYPERLINK("http://141.218.60.56/~jnz1568/discussion.php?&amp;Z=8&amp;N=6&amp;Sheet=1&amp;Row=72&amp;Col=11","")</f>
      </c>
      <c r="M73" t="s" s="1">
        <f>HYPERLINK("http://141.218.60.56/~jnz1568/discussion.php?&amp;Z=8&amp;N=6&amp;Sheet=1&amp;Row=72&amp;Col=12","")</f>
      </c>
      <c r="N73" t="s" s="1">
        <f>HYPERLINK("http://141.218.60.56/~jnz1568/discussion.php?&amp;Z=8&amp;N=6&amp;Sheet=1&amp;Row=72&amp;Col=13","")</f>
      </c>
      <c r="O73" t="s" s="1">
        <f>HYPERLINK("http://141.218.60.56/~jnz1568/discussion.php?&amp;Z=8&amp;N=6&amp;Sheet=1&amp;Row=72&amp;Col=14","")</f>
      </c>
      <c r="P73" t="s" s="1">
        <f>HYPERLINK("http://141.218.60.56/~jnz1568/discussion.php?&amp;Z=8&amp;N=6&amp;Sheet=1&amp;Row=72&amp;Col=15","")</f>
      </c>
      <c r="Q73" t="s" s="1">
        <f>HYPERLINK("http://141.218.60.56/~jnz1568/discussion.php?&amp;Z=8&amp;N=6&amp;Sheet=1&amp;Row=72&amp;Col=16","")</f>
      </c>
    </row>
    <row r="74">
      <c r="A74" t="s">
        <v>15</v>
      </c>
      <c r="B74" t="s">
        <v>16</v>
      </c>
      <c r="C74" t="s">
        <v>64</v>
      </c>
      <c r="D74" t="s">
        <v>58</v>
      </c>
      <c r="E74" t="s">
        <v>492</v>
      </c>
      <c r="F74" t="s" s="1">
        <f>HYPERLINK("http://141.218.60.56/~jnz1568/discussion.php?&amp;Z=8&amp;N=6&amp;Sheet=1&amp;Row=73&amp;Col=5","")</f>
      </c>
      <c r="G74" t="s" s="1">
        <f>HYPERLINK("http://141.218.60.56/~jnz1568/discussion.php?&amp;Z=8&amp;N=6&amp;Sheet=1&amp;Row=73&amp;Col=6","6.1196e-07")</f>
      </c>
      <c r="H74" t="s" s="1">
        <f>HYPERLINK("http://141.218.60.56/~jnz1568/discussion.php?&amp;Z=8&amp;N=6&amp;Sheet=1&amp;Row=73&amp;Col=7","0.013966")</f>
      </c>
      <c r="I74" t="s" s="1">
        <f>HYPERLINK("http://141.218.60.56/~jnz1568/discussion.php?&amp;Z=8&amp;N=6&amp;Sheet=1&amp;Row=73&amp;Col=8","")</f>
      </c>
      <c r="J74" t="s" s="1">
        <f>HYPERLINK("http://141.218.60.56/~jnz1568/discussion.php?&amp;Z=8&amp;N=6&amp;Sheet=1&amp;Row=73&amp;Col=9","")</f>
      </c>
      <c r="K74" t="s" s="1">
        <f>HYPERLINK("http://141.218.60.56/~jnz1568/discussion.php?&amp;Z=8&amp;N=6&amp;Sheet=1&amp;Row=73&amp;Col=10","")</f>
      </c>
      <c r="L74" t="s" s="1">
        <f>HYPERLINK("http://141.218.60.56/~jnz1568/discussion.php?&amp;Z=8&amp;N=6&amp;Sheet=1&amp;Row=73&amp;Col=11","")</f>
      </c>
      <c r="M74" t="s" s="1">
        <f>HYPERLINK("http://141.218.60.56/~jnz1568/discussion.php?&amp;Z=8&amp;N=6&amp;Sheet=1&amp;Row=73&amp;Col=12","")</f>
      </c>
      <c r="N74" t="s" s="1">
        <f>HYPERLINK("http://141.218.60.56/~jnz1568/discussion.php?&amp;Z=8&amp;N=6&amp;Sheet=1&amp;Row=73&amp;Col=13","")</f>
      </c>
      <c r="O74" t="s" s="1">
        <f>HYPERLINK("http://141.218.60.56/~jnz1568/discussion.php?&amp;Z=8&amp;N=6&amp;Sheet=1&amp;Row=73&amp;Col=14","")</f>
      </c>
      <c r="P74" t="s" s="1">
        <f>HYPERLINK("http://141.218.60.56/~jnz1568/discussion.php?&amp;Z=8&amp;N=6&amp;Sheet=1&amp;Row=73&amp;Col=15","")</f>
      </c>
      <c r="Q74" t="s" s="1">
        <f>HYPERLINK("http://141.218.60.56/~jnz1568/discussion.php?&amp;Z=8&amp;N=6&amp;Sheet=1&amp;Row=73&amp;Col=16","")</f>
      </c>
    </row>
    <row r="75">
      <c r="A75" t="s">
        <v>15</v>
      </c>
      <c r="B75" t="s">
        <v>16</v>
      </c>
      <c r="C75" t="s">
        <v>64</v>
      </c>
      <c r="D75" t="s">
        <v>61</v>
      </c>
      <c r="E75" t="s">
        <v>495</v>
      </c>
      <c r="F75" t="s" s="1">
        <f>HYPERLINK("http://141.218.60.56/~jnz1568/discussion.php?&amp;Z=8&amp;N=6&amp;Sheet=1&amp;Row=74&amp;Col=5","")</f>
      </c>
      <c r="G75" t="s" s="1">
        <f>HYPERLINK("http://141.218.60.56/~jnz1568/discussion.php?&amp;Z=8&amp;N=6&amp;Sheet=1&amp;Row=74&amp;Col=6","3.5778e-07")</f>
      </c>
      <c r="H75" t="s" s="1">
        <f>HYPERLINK("http://141.218.60.56/~jnz1568/discussion.php?&amp;Z=8&amp;N=6&amp;Sheet=1&amp;Row=74&amp;Col=7","")</f>
      </c>
      <c r="I75" t="s" s="1">
        <f>HYPERLINK("http://141.218.60.56/~jnz1568/discussion.php?&amp;Z=8&amp;N=6&amp;Sheet=1&amp;Row=74&amp;Col=8","")</f>
      </c>
      <c r="J75" t="s" s="1">
        <f>HYPERLINK("http://141.218.60.56/~jnz1568/discussion.php?&amp;Z=8&amp;N=6&amp;Sheet=1&amp;Row=74&amp;Col=9","")</f>
      </c>
      <c r="K75" t="s" s="1">
        <f>HYPERLINK("http://141.218.60.56/~jnz1568/discussion.php?&amp;Z=8&amp;N=6&amp;Sheet=1&amp;Row=74&amp;Col=10","")</f>
      </c>
      <c r="L75" t="s" s="1">
        <f>HYPERLINK("http://141.218.60.56/~jnz1568/discussion.php?&amp;Z=8&amp;N=6&amp;Sheet=1&amp;Row=74&amp;Col=11","")</f>
      </c>
      <c r="M75" t="s" s="1">
        <f>HYPERLINK("http://141.218.60.56/~jnz1568/discussion.php?&amp;Z=8&amp;N=6&amp;Sheet=1&amp;Row=74&amp;Col=12","")</f>
      </c>
      <c r="N75" t="s" s="1">
        <f>HYPERLINK("http://141.218.60.56/~jnz1568/discussion.php?&amp;Z=8&amp;N=6&amp;Sheet=1&amp;Row=74&amp;Col=13","")</f>
      </c>
      <c r="O75" t="s" s="1">
        <f>HYPERLINK("http://141.218.60.56/~jnz1568/discussion.php?&amp;Z=8&amp;N=6&amp;Sheet=1&amp;Row=74&amp;Col=14","")</f>
      </c>
      <c r="P75" t="s" s="1">
        <f>HYPERLINK("http://141.218.60.56/~jnz1568/discussion.php?&amp;Z=8&amp;N=6&amp;Sheet=1&amp;Row=74&amp;Col=15","")</f>
      </c>
      <c r="Q75" t="s" s="1">
        <f>HYPERLINK("http://141.218.60.56/~jnz1568/discussion.php?&amp;Z=8&amp;N=6&amp;Sheet=1&amp;Row=74&amp;Col=16","")</f>
      </c>
    </row>
    <row r="76">
      <c r="A76" t="s">
        <v>15</v>
      </c>
      <c r="B76" t="s">
        <v>16</v>
      </c>
      <c r="C76" t="s">
        <v>69</v>
      </c>
      <c r="D76" t="s">
        <v>17</v>
      </c>
      <c r="E76" t="s">
        <v>497</v>
      </c>
      <c r="F76" t="s" s="1">
        <f>HYPERLINK("http://141.218.60.56/~jnz1568/discussion.php?&amp;Z=8&amp;N=6&amp;Sheet=1&amp;Row=75&amp;Col=5","1588100000")</f>
      </c>
      <c r="G76" t="s" s="1">
        <f>HYPERLINK("http://141.218.60.56/~jnz1568/discussion.php?&amp;Z=8&amp;N=6&amp;Sheet=1&amp;Row=75&amp;Col=6","")</f>
      </c>
      <c r="H76" t="s" s="1">
        <f>HYPERLINK("http://141.218.60.56/~jnz1568/discussion.php?&amp;Z=8&amp;N=6&amp;Sheet=1&amp;Row=75&amp;Col=7","")</f>
      </c>
      <c r="I76" t="s" s="1">
        <f>HYPERLINK("http://141.218.60.56/~jnz1568/discussion.php?&amp;Z=8&amp;N=6&amp;Sheet=1&amp;Row=75&amp;Col=8","")</f>
      </c>
      <c r="J76" t="s" s="1">
        <f>HYPERLINK("http://141.218.60.56/~jnz1568/discussion.php?&amp;Z=8&amp;N=6&amp;Sheet=1&amp;Row=75&amp;Col=9","1600400000")</f>
      </c>
      <c r="K76" t="s" s="1">
        <f>HYPERLINK("http://141.218.60.56/~jnz1568/discussion.php?&amp;Z=8&amp;N=6&amp;Sheet=1&amp;Row=75&amp;Col=10","")</f>
      </c>
      <c r="L76" t="s" s="1">
        <f>HYPERLINK("http://141.218.60.56/~jnz1568/discussion.php?&amp;Z=8&amp;N=6&amp;Sheet=1&amp;Row=75&amp;Col=11","")</f>
      </c>
      <c r="M76" t="s" s="1">
        <f>HYPERLINK("http://141.218.60.56/~jnz1568/discussion.php?&amp;Z=8&amp;N=6&amp;Sheet=1&amp;Row=75&amp;Col=12","")</f>
      </c>
      <c r="N76" t="s" s="1">
        <f>HYPERLINK("http://141.218.60.56/~jnz1568/discussion.php?&amp;Z=8&amp;N=6&amp;Sheet=1&amp;Row=75&amp;Col=13","1718000000")</f>
      </c>
      <c r="O76" t="s" s="1">
        <f>HYPERLINK("http://141.218.60.56/~jnz1568/discussion.php?&amp;Z=8&amp;N=6&amp;Sheet=1&amp;Row=75&amp;Col=14","")</f>
      </c>
      <c r="P76" t="s" s="1">
        <f>HYPERLINK("http://141.218.60.56/~jnz1568/discussion.php?&amp;Z=8&amp;N=6&amp;Sheet=1&amp;Row=75&amp;Col=15","")</f>
      </c>
      <c r="Q76" t="s" s="1">
        <f>HYPERLINK("http://141.218.60.56/~jnz1568/discussion.php?&amp;Z=8&amp;N=6&amp;Sheet=1&amp;Row=75&amp;Col=16","")</f>
      </c>
    </row>
    <row r="77">
      <c r="A77" t="s">
        <v>15</v>
      </c>
      <c r="B77" t="s">
        <v>16</v>
      </c>
      <c r="C77" t="s">
        <v>69</v>
      </c>
      <c r="D77" t="s">
        <v>23</v>
      </c>
      <c r="E77" t="s">
        <v>501</v>
      </c>
      <c r="F77" t="s" s="1">
        <f>HYPERLINK("http://141.218.60.56/~jnz1568/discussion.php?&amp;Z=8&amp;N=6&amp;Sheet=1&amp;Row=76&amp;Col=5","4764600000")</f>
      </c>
      <c r="G77" t="s" s="1">
        <f>HYPERLINK("http://141.218.60.56/~jnz1568/discussion.php?&amp;Z=8&amp;N=6&amp;Sheet=1&amp;Row=76&amp;Col=6","")</f>
      </c>
      <c r="H77" t="s" s="1">
        <f>HYPERLINK("http://141.218.60.56/~jnz1568/discussion.php?&amp;Z=8&amp;N=6&amp;Sheet=1&amp;Row=76&amp;Col=7","")</f>
      </c>
      <c r="I77" t="s" s="1">
        <f>HYPERLINK("http://141.218.60.56/~jnz1568/discussion.php?&amp;Z=8&amp;N=6&amp;Sheet=1&amp;Row=76&amp;Col=8","0.23386")</f>
      </c>
      <c r="J77" t="s" s="1">
        <f>HYPERLINK("http://141.218.60.56/~jnz1568/discussion.php?&amp;Z=8&amp;N=6&amp;Sheet=1&amp;Row=76&amp;Col=9","4801400000")</f>
      </c>
      <c r="K77" t="s" s="1">
        <f>HYPERLINK("http://141.218.60.56/~jnz1568/discussion.php?&amp;Z=8&amp;N=6&amp;Sheet=1&amp;Row=76&amp;Col=10","")</f>
      </c>
      <c r="L77" t="s" s="1">
        <f>HYPERLINK("http://141.218.60.56/~jnz1568/discussion.php?&amp;Z=8&amp;N=6&amp;Sheet=1&amp;Row=76&amp;Col=11","")</f>
      </c>
      <c r="M77" t="s" s="1">
        <f>HYPERLINK("http://141.218.60.56/~jnz1568/discussion.php?&amp;Z=8&amp;N=6&amp;Sheet=1&amp;Row=76&amp;Col=12","0.23669")</f>
      </c>
      <c r="N77" t="s" s="1">
        <f>HYPERLINK("http://141.218.60.56/~jnz1568/discussion.php?&amp;Z=8&amp;N=6&amp;Sheet=1&amp;Row=76&amp;Col=13","5157000000")</f>
      </c>
      <c r="O77" t="s" s="1">
        <f>HYPERLINK("http://141.218.60.56/~jnz1568/discussion.php?&amp;Z=8&amp;N=6&amp;Sheet=1&amp;Row=76&amp;Col=14","")</f>
      </c>
      <c r="P77" t="s" s="1">
        <f>HYPERLINK("http://141.218.60.56/~jnz1568/discussion.php?&amp;Z=8&amp;N=6&amp;Sheet=1&amp;Row=76&amp;Col=15","")</f>
      </c>
      <c r="Q77" t="s" s="1">
        <f>HYPERLINK("http://141.218.60.56/~jnz1568/discussion.php?&amp;Z=8&amp;N=6&amp;Sheet=1&amp;Row=76&amp;Col=16","")</f>
      </c>
    </row>
    <row r="78">
      <c r="A78" t="s">
        <v>15</v>
      </c>
      <c r="B78" t="s">
        <v>16</v>
      </c>
      <c r="C78" t="s">
        <v>69</v>
      </c>
      <c r="D78" t="s">
        <v>20</v>
      </c>
      <c r="E78" t="s">
        <v>507</v>
      </c>
      <c r="F78" t="s" s="1">
        <f>HYPERLINK("http://141.218.60.56/~jnz1568/discussion.php?&amp;Z=8&amp;N=6&amp;Sheet=1&amp;Row=77&amp;Col=5","7947800000")</f>
      </c>
      <c r="G78" t="s" s="1">
        <f>HYPERLINK("http://141.218.60.56/~jnz1568/discussion.php?&amp;Z=8&amp;N=6&amp;Sheet=1&amp;Row=77&amp;Col=6","")</f>
      </c>
      <c r="H78" t="s" s="1">
        <f>HYPERLINK("http://141.218.60.56/~jnz1568/discussion.php?&amp;Z=8&amp;N=6&amp;Sheet=1&amp;Row=77&amp;Col=7","")</f>
      </c>
      <c r="I78" t="s" s="1">
        <f>HYPERLINK("http://141.218.60.56/~jnz1568/discussion.php?&amp;Z=8&amp;N=6&amp;Sheet=1&amp;Row=77&amp;Col=8","0.6556")</f>
      </c>
      <c r="J78" t="s" s="1">
        <f>HYPERLINK("http://141.218.60.56/~jnz1568/discussion.php?&amp;Z=8&amp;N=6&amp;Sheet=1&amp;Row=77&amp;Col=9","8009100000")</f>
      </c>
      <c r="K78" t="s" s="1">
        <f>HYPERLINK("http://141.218.60.56/~jnz1568/discussion.php?&amp;Z=8&amp;N=6&amp;Sheet=1&amp;Row=77&amp;Col=10","")</f>
      </c>
      <c r="L78" t="s" s="1">
        <f>HYPERLINK("http://141.218.60.56/~jnz1568/discussion.php?&amp;Z=8&amp;N=6&amp;Sheet=1&amp;Row=77&amp;Col=11","")</f>
      </c>
      <c r="M78" t="s" s="1">
        <f>HYPERLINK("http://141.218.60.56/~jnz1568/discussion.php?&amp;Z=8&amp;N=6&amp;Sheet=1&amp;Row=77&amp;Col=12","0.66414")</f>
      </c>
      <c r="N78" t="s" s="1">
        <f>HYPERLINK("http://141.218.60.56/~jnz1568/discussion.php?&amp;Z=8&amp;N=6&amp;Sheet=1&amp;Row=77&amp;Col=13","8603000000")</f>
      </c>
      <c r="O78" t="s" s="1">
        <f>HYPERLINK("http://141.218.60.56/~jnz1568/discussion.php?&amp;Z=8&amp;N=6&amp;Sheet=1&amp;Row=77&amp;Col=14","")</f>
      </c>
      <c r="P78" t="s" s="1">
        <f>HYPERLINK("http://141.218.60.56/~jnz1568/discussion.php?&amp;Z=8&amp;N=6&amp;Sheet=1&amp;Row=77&amp;Col=15","")</f>
      </c>
      <c r="Q78" t="s" s="1">
        <f>HYPERLINK("http://141.218.60.56/~jnz1568/discussion.php?&amp;Z=8&amp;N=6&amp;Sheet=1&amp;Row=77&amp;Col=16","")</f>
      </c>
    </row>
    <row r="79">
      <c r="A79" t="s">
        <v>15</v>
      </c>
      <c r="B79" t="s">
        <v>16</v>
      </c>
      <c r="C79" t="s">
        <v>69</v>
      </c>
      <c r="D79" t="s">
        <v>28</v>
      </c>
      <c r="E79" t="s">
        <v>513</v>
      </c>
      <c r="F79" t="s" s="1">
        <f>HYPERLINK("http://141.218.60.56/~jnz1568/discussion.php?&amp;Z=8&amp;N=6&amp;Sheet=1&amp;Row=78&amp;Col=5","309330")</f>
      </c>
      <c r="G79" t="s" s="1">
        <f>HYPERLINK("http://141.218.60.56/~jnz1568/discussion.php?&amp;Z=8&amp;N=6&amp;Sheet=1&amp;Row=78&amp;Col=6","")</f>
      </c>
      <c r="H79" t="s" s="1">
        <f>HYPERLINK("http://141.218.60.56/~jnz1568/discussion.php?&amp;Z=8&amp;N=6&amp;Sheet=1&amp;Row=78&amp;Col=7","")</f>
      </c>
      <c r="I79" t="s" s="1">
        <f>HYPERLINK("http://141.218.60.56/~jnz1568/discussion.php?&amp;Z=8&amp;N=6&amp;Sheet=1&amp;Row=78&amp;Col=8","4.1232e-05")</f>
      </c>
      <c r="J79" t="s" s="1">
        <f>HYPERLINK("http://141.218.60.56/~jnz1568/discussion.php?&amp;Z=8&amp;N=6&amp;Sheet=1&amp;Row=78&amp;Col=9","293600")</f>
      </c>
      <c r="K79" t="s" s="1">
        <f>HYPERLINK("http://141.218.60.56/~jnz1568/discussion.php?&amp;Z=8&amp;N=6&amp;Sheet=1&amp;Row=78&amp;Col=10","")</f>
      </c>
      <c r="L79" t="s" s="1">
        <f>HYPERLINK("http://141.218.60.56/~jnz1568/discussion.php?&amp;Z=8&amp;N=6&amp;Sheet=1&amp;Row=78&amp;Col=11","")</f>
      </c>
      <c r="M79" t="s" s="1">
        <f>HYPERLINK("http://141.218.60.56/~jnz1568/discussion.php?&amp;Z=8&amp;N=6&amp;Sheet=1&amp;Row=78&amp;Col=12","4.1252e-05")</f>
      </c>
      <c r="N79" t="s" s="1">
        <f>HYPERLINK("http://141.218.60.56/~jnz1568/discussion.php?&amp;Z=8&amp;N=6&amp;Sheet=1&amp;Row=78&amp;Col=13","103000")</f>
      </c>
      <c r="O79" t="s" s="1">
        <f>HYPERLINK("http://141.218.60.56/~jnz1568/discussion.php?&amp;Z=8&amp;N=6&amp;Sheet=1&amp;Row=78&amp;Col=14","")</f>
      </c>
      <c r="P79" t="s" s="1">
        <f>HYPERLINK("http://141.218.60.56/~jnz1568/discussion.php?&amp;Z=8&amp;N=6&amp;Sheet=1&amp;Row=78&amp;Col=15","")</f>
      </c>
      <c r="Q79" t="s" s="1">
        <f>HYPERLINK("http://141.218.60.56/~jnz1568/discussion.php?&amp;Z=8&amp;N=6&amp;Sheet=1&amp;Row=78&amp;Col=16","")</f>
      </c>
    </row>
    <row r="80">
      <c r="A80" t="s">
        <v>15</v>
      </c>
      <c r="B80" t="s">
        <v>16</v>
      </c>
      <c r="C80" t="s">
        <v>69</v>
      </c>
      <c r="D80" t="s">
        <v>33</v>
      </c>
      <c r="E80" t="s">
        <v>519</v>
      </c>
      <c r="F80" t="s" s="1">
        <f>HYPERLINK("http://141.218.60.56/~jnz1568/discussion.php?&amp;Z=8&amp;N=6&amp;Sheet=1&amp;Row=79&amp;Col=5","69749")</f>
      </c>
      <c r="G80" t="s" s="1">
        <f>HYPERLINK("http://141.218.60.56/~jnz1568/discussion.php?&amp;Z=8&amp;N=6&amp;Sheet=1&amp;Row=79&amp;Col=6","")</f>
      </c>
      <c r="H80" t="s" s="1">
        <f>HYPERLINK("http://141.218.60.56/~jnz1568/discussion.php?&amp;Z=8&amp;N=6&amp;Sheet=1&amp;Row=79&amp;Col=7","")</f>
      </c>
      <c r="I80" t="s" s="1">
        <f>HYPERLINK("http://141.218.60.56/~jnz1568/discussion.php?&amp;Z=8&amp;N=6&amp;Sheet=1&amp;Row=79&amp;Col=8","")</f>
      </c>
      <c r="J80" t="s" s="1">
        <f>HYPERLINK("http://141.218.60.56/~jnz1568/discussion.php?&amp;Z=8&amp;N=6&amp;Sheet=1&amp;Row=79&amp;Col=9","66417")</f>
      </c>
      <c r="K80" t="s" s="1">
        <f>HYPERLINK("http://141.218.60.56/~jnz1568/discussion.php?&amp;Z=8&amp;N=6&amp;Sheet=1&amp;Row=79&amp;Col=10","")</f>
      </c>
      <c r="L80" t="s" s="1">
        <f>HYPERLINK("http://141.218.60.56/~jnz1568/discussion.php?&amp;Z=8&amp;N=6&amp;Sheet=1&amp;Row=79&amp;Col=11","")</f>
      </c>
      <c r="M80" t="s" s="1">
        <f>HYPERLINK("http://141.218.60.56/~jnz1568/discussion.php?&amp;Z=8&amp;N=6&amp;Sheet=1&amp;Row=79&amp;Col=12","")</f>
      </c>
      <c r="N80" t="s" s="1">
        <f>HYPERLINK("http://141.218.60.56/~jnz1568/discussion.php?&amp;Z=8&amp;N=6&amp;Sheet=1&amp;Row=79&amp;Col=13","21680")</f>
      </c>
      <c r="O80" t="s" s="1">
        <f>HYPERLINK("http://141.218.60.56/~jnz1568/discussion.php?&amp;Z=8&amp;N=6&amp;Sheet=1&amp;Row=79&amp;Col=14","")</f>
      </c>
      <c r="P80" t="s" s="1">
        <f>HYPERLINK("http://141.218.60.56/~jnz1568/discussion.php?&amp;Z=8&amp;N=6&amp;Sheet=1&amp;Row=79&amp;Col=15","")</f>
      </c>
      <c r="Q80" t="s" s="1">
        <f>HYPERLINK("http://141.218.60.56/~jnz1568/discussion.php?&amp;Z=8&amp;N=6&amp;Sheet=1&amp;Row=79&amp;Col=16","")</f>
      </c>
    </row>
    <row r="81">
      <c r="A81" t="s">
        <v>15</v>
      </c>
      <c r="B81" t="s">
        <v>16</v>
      </c>
      <c r="C81" t="s">
        <v>69</v>
      </c>
      <c r="D81" t="s">
        <v>16</v>
      </c>
      <c r="E81" t="s">
        <v>523</v>
      </c>
      <c r="F81" t="s" s="1">
        <f>HYPERLINK("http://141.218.60.56/~jnz1568/discussion.php?&amp;Z=8&amp;N=6&amp;Sheet=1&amp;Row=80&amp;Col=5","")</f>
      </c>
      <c r="G81" t="s" s="1">
        <f>HYPERLINK("http://141.218.60.56/~jnz1568/discussion.php?&amp;Z=8&amp;N=6&amp;Sheet=1&amp;Row=80&amp;Col=6","2.0116e-07")</f>
      </c>
      <c r="H81" t="s" s="1">
        <f>HYPERLINK("http://141.218.60.56/~jnz1568/discussion.php?&amp;Z=8&amp;N=6&amp;Sheet=1&amp;Row=80&amp;Col=7","1.9526e-06")</f>
      </c>
      <c r="I81" t="s" s="1">
        <f>HYPERLINK("http://141.218.60.56/~jnz1568/discussion.php?&amp;Z=8&amp;N=6&amp;Sheet=1&amp;Row=80&amp;Col=8","")</f>
      </c>
      <c r="J81" t="s" s="1">
        <f>HYPERLINK("http://141.218.60.56/~jnz1568/discussion.php?&amp;Z=8&amp;N=6&amp;Sheet=1&amp;Row=80&amp;Col=9","")</f>
      </c>
      <c r="K81" t="s" s="1">
        <f>HYPERLINK("http://141.218.60.56/~jnz1568/discussion.php?&amp;Z=8&amp;N=6&amp;Sheet=1&amp;Row=80&amp;Col=10","")</f>
      </c>
      <c r="L81" t="s" s="1">
        <f>HYPERLINK("http://141.218.60.56/~jnz1568/discussion.php?&amp;Z=8&amp;N=6&amp;Sheet=1&amp;Row=80&amp;Col=11","")</f>
      </c>
      <c r="M81" t="s" s="1">
        <f>HYPERLINK("http://141.218.60.56/~jnz1568/discussion.php?&amp;Z=8&amp;N=6&amp;Sheet=1&amp;Row=80&amp;Col=12","")</f>
      </c>
      <c r="N81" t="s" s="1">
        <f>HYPERLINK("http://141.218.60.56/~jnz1568/discussion.php?&amp;Z=8&amp;N=6&amp;Sheet=1&amp;Row=80&amp;Col=13","")</f>
      </c>
      <c r="O81" t="s" s="1">
        <f>HYPERLINK("http://141.218.60.56/~jnz1568/discussion.php?&amp;Z=8&amp;N=6&amp;Sheet=1&amp;Row=80&amp;Col=14","")</f>
      </c>
      <c r="P81" t="s" s="1">
        <f>HYPERLINK("http://141.218.60.56/~jnz1568/discussion.php?&amp;Z=8&amp;N=6&amp;Sheet=1&amp;Row=80&amp;Col=15","")</f>
      </c>
      <c r="Q81" t="s" s="1">
        <f>HYPERLINK("http://141.218.60.56/~jnz1568/discussion.php?&amp;Z=8&amp;N=6&amp;Sheet=1&amp;Row=80&amp;Col=16","")</f>
      </c>
    </row>
    <row r="82">
      <c r="A82" t="s">
        <v>15</v>
      </c>
      <c r="B82" t="s">
        <v>16</v>
      </c>
      <c r="C82" t="s">
        <v>69</v>
      </c>
      <c r="D82" t="s">
        <v>43</v>
      </c>
      <c r="E82" t="s">
        <v>526</v>
      </c>
      <c r="F82" t="s" s="1">
        <f>HYPERLINK("http://141.218.60.56/~jnz1568/discussion.php?&amp;Z=8&amp;N=6&amp;Sheet=1&amp;Row=81&amp;Col=5","")</f>
      </c>
      <c r="G82" t="s" s="1">
        <f>HYPERLINK("http://141.218.60.56/~jnz1568/discussion.php?&amp;Z=8&amp;N=6&amp;Sheet=1&amp;Row=81&amp;Col=6","0.60119")</f>
      </c>
      <c r="H82" t="s" s="1">
        <f>HYPERLINK("http://141.218.60.56/~jnz1568/discussion.php?&amp;Z=8&amp;N=6&amp;Sheet=1&amp;Row=81&amp;Col=7","")</f>
      </c>
      <c r="I82" t="s" s="1">
        <f>HYPERLINK("http://141.218.60.56/~jnz1568/discussion.php?&amp;Z=8&amp;N=6&amp;Sheet=1&amp;Row=81&amp;Col=8","")</f>
      </c>
      <c r="J82" t="s" s="1">
        <f>HYPERLINK("http://141.218.60.56/~jnz1568/discussion.php?&amp;Z=8&amp;N=6&amp;Sheet=1&amp;Row=81&amp;Col=9","")</f>
      </c>
      <c r="K82" t="s" s="1">
        <f>HYPERLINK("http://141.218.60.56/~jnz1568/discussion.php?&amp;Z=8&amp;N=6&amp;Sheet=1&amp;Row=81&amp;Col=10","")</f>
      </c>
      <c r="L82" t="s" s="1">
        <f>HYPERLINK("http://141.218.60.56/~jnz1568/discussion.php?&amp;Z=8&amp;N=6&amp;Sheet=1&amp;Row=81&amp;Col=11","")</f>
      </c>
      <c r="M82" t="s" s="1">
        <f>HYPERLINK("http://141.218.60.56/~jnz1568/discussion.php?&amp;Z=8&amp;N=6&amp;Sheet=1&amp;Row=81&amp;Col=12","")</f>
      </c>
      <c r="N82" t="s" s="1">
        <f>HYPERLINK("http://141.218.60.56/~jnz1568/discussion.php?&amp;Z=8&amp;N=6&amp;Sheet=1&amp;Row=81&amp;Col=13","")</f>
      </c>
      <c r="O82" t="s" s="1">
        <f>HYPERLINK("http://141.218.60.56/~jnz1568/discussion.php?&amp;Z=8&amp;N=6&amp;Sheet=1&amp;Row=81&amp;Col=14","")</f>
      </c>
      <c r="P82" t="s" s="1">
        <f>HYPERLINK("http://141.218.60.56/~jnz1568/discussion.php?&amp;Z=8&amp;N=6&amp;Sheet=1&amp;Row=81&amp;Col=15","")</f>
      </c>
      <c r="Q82" t="s" s="1">
        <f>HYPERLINK("http://141.218.60.56/~jnz1568/discussion.php?&amp;Z=8&amp;N=6&amp;Sheet=1&amp;Row=81&amp;Col=16","")</f>
      </c>
    </row>
    <row r="83">
      <c r="A83" t="s">
        <v>15</v>
      </c>
      <c r="B83" t="s">
        <v>16</v>
      </c>
      <c r="C83" t="s">
        <v>69</v>
      </c>
      <c r="D83" t="s">
        <v>15</v>
      </c>
      <c r="E83" t="s">
        <v>528</v>
      </c>
      <c r="F83" t="s" s="1">
        <f>HYPERLINK("http://141.218.60.56/~jnz1568/discussion.php?&amp;Z=8&amp;N=6&amp;Sheet=1&amp;Row=82&amp;Col=5","")</f>
      </c>
      <c r="G83" t="s" s="1">
        <f>HYPERLINK("http://141.218.60.56/~jnz1568/discussion.php?&amp;Z=8&amp;N=6&amp;Sheet=1&amp;Row=82&amp;Col=6","0.49205")</f>
      </c>
      <c r="H83" t="s" s="1">
        <f>HYPERLINK("http://141.218.60.56/~jnz1568/discussion.php?&amp;Z=8&amp;N=6&amp;Sheet=1&amp;Row=82&amp;Col=7","0.00013853")</f>
      </c>
      <c r="I83" t="s" s="1">
        <f>HYPERLINK("http://141.218.60.56/~jnz1568/discussion.php?&amp;Z=8&amp;N=6&amp;Sheet=1&amp;Row=82&amp;Col=8","")</f>
      </c>
      <c r="J83" t="s" s="1">
        <f>HYPERLINK("http://141.218.60.56/~jnz1568/discussion.php?&amp;Z=8&amp;N=6&amp;Sheet=1&amp;Row=82&amp;Col=9","")</f>
      </c>
      <c r="K83" t="s" s="1">
        <f>HYPERLINK("http://141.218.60.56/~jnz1568/discussion.php?&amp;Z=8&amp;N=6&amp;Sheet=1&amp;Row=82&amp;Col=10","")</f>
      </c>
      <c r="L83" t="s" s="1">
        <f>HYPERLINK("http://141.218.60.56/~jnz1568/discussion.php?&amp;Z=8&amp;N=6&amp;Sheet=1&amp;Row=82&amp;Col=11","")</f>
      </c>
      <c r="M83" t="s" s="1">
        <f>HYPERLINK("http://141.218.60.56/~jnz1568/discussion.php?&amp;Z=8&amp;N=6&amp;Sheet=1&amp;Row=82&amp;Col=12","")</f>
      </c>
      <c r="N83" t="s" s="1">
        <f>HYPERLINK("http://141.218.60.56/~jnz1568/discussion.php?&amp;Z=8&amp;N=6&amp;Sheet=1&amp;Row=82&amp;Col=13","")</f>
      </c>
      <c r="O83" t="s" s="1">
        <f>HYPERLINK("http://141.218.60.56/~jnz1568/discussion.php?&amp;Z=8&amp;N=6&amp;Sheet=1&amp;Row=82&amp;Col=14","")</f>
      </c>
      <c r="P83" t="s" s="1">
        <f>HYPERLINK("http://141.218.60.56/~jnz1568/discussion.php?&amp;Z=8&amp;N=6&amp;Sheet=1&amp;Row=82&amp;Col=15","")</f>
      </c>
      <c r="Q83" t="s" s="1">
        <f>HYPERLINK("http://141.218.60.56/~jnz1568/discussion.php?&amp;Z=8&amp;N=6&amp;Sheet=1&amp;Row=82&amp;Col=16","")</f>
      </c>
    </row>
    <row r="84">
      <c r="A84" t="s">
        <v>15</v>
      </c>
      <c r="B84" t="s">
        <v>16</v>
      </c>
      <c r="C84" t="s">
        <v>69</v>
      </c>
      <c r="D84" t="s">
        <v>50</v>
      </c>
      <c r="E84" t="s">
        <v>531</v>
      </c>
      <c r="F84" t="s" s="1">
        <f>HYPERLINK("http://141.218.60.56/~jnz1568/discussion.php?&amp;Z=8&amp;N=6&amp;Sheet=1&amp;Row=83&amp;Col=5","")</f>
      </c>
      <c r="G84" t="s" s="1">
        <f>HYPERLINK("http://141.218.60.56/~jnz1568/discussion.php?&amp;Z=8&amp;N=6&amp;Sheet=1&amp;Row=83&amp;Col=6","0.32145")</f>
      </c>
      <c r="H84" t="s" s="1">
        <f>HYPERLINK("http://141.218.60.56/~jnz1568/discussion.php?&amp;Z=8&amp;N=6&amp;Sheet=1&amp;Row=83&amp;Col=7","0.00018559")</f>
      </c>
      <c r="I84" t="s" s="1">
        <f>HYPERLINK("http://141.218.60.56/~jnz1568/discussion.php?&amp;Z=8&amp;N=6&amp;Sheet=1&amp;Row=83&amp;Col=8","")</f>
      </c>
      <c r="J84" t="s" s="1">
        <f>HYPERLINK("http://141.218.60.56/~jnz1568/discussion.php?&amp;Z=8&amp;N=6&amp;Sheet=1&amp;Row=83&amp;Col=9","")</f>
      </c>
      <c r="K84" t="s" s="1">
        <f>HYPERLINK("http://141.218.60.56/~jnz1568/discussion.php?&amp;Z=8&amp;N=6&amp;Sheet=1&amp;Row=83&amp;Col=10","")</f>
      </c>
      <c r="L84" t="s" s="1">
        <f>HYPERLINK("http://141.218.60.56/~jnz1568/discussion.php?&amp;Z=8&amp;N=6&amp;Sheet=1&amp;Row=83&amp;Col=11","")</f>
      </c>
      <c r="M84" t="s" s="1">
        <f>HYPERLINK("http://141.218.60.56/~jnz1568/discussion.php?&amp;Z=8&amp;N=6&amp;Sheet=1&amp;Row=83&amp;Col=12","")</f>
      </c>
      <c r="N84" t="s" s="1">
        <f>HYPERLINK("http://141.218.60.56/~jnz1568/discussion.php?&amp;Z=8&amp;N=6&amp;Sheet=1&amp;Row=83&amp;Col=13","")</f>
      </c>
      <c r="O84" t="s" s="1">
        <f>HYPERLINK("http://141.218.60.56/~jnz1568/discussion.php?&amp;Z=8&amp;N=6&amp;Sheet=1&amp;Row=83&amp;Col=14","")</f>
      </c>
      <c r="P84" t="s" s="1">
        <f>HYPERLINK("http://141.218.60.56/~jnz1568/discussion.php?&amp;Z=8&amp;N=6&amp;Sheet=1&amp;Row=83&amp;Col=15","")</f>
      </c>
      <c r="Q84" t="s" s="1">
        <f>HYPERLINK("http://141.218.60.56/~jnz1568/discussion.php?&amp;Z=8&amp;N=6&amp;Sheet=1&amp;Row=83&amp;Col=16","")</f>
      </c>
    </row>
    <row r="85">
      <c r="A85" t="s">
        <v>15</v>
      </c>
      <c r="B85" t="s">
        <v>16</v>
      </c>
      <c r="C85" t="s">
        <v>69</v>
      </c>
      <c r="D85" t="s">
        <v>53</v>
      </c>
      <c r="E85" t="s">
        <v>534</v>
      </c>
      <c r="F85" t="s" s="1">
        <f>HYPERLINK("http://141.218.60.56/~jnz1568/discussion.php?&amp;Z=8&amp;N=6&amp;Sheet=1&amp;Row=84&amp;Col=5","")</f>
      </c>
      <c r="G85" t="s" s="1">
        <f>HYPERLINK("http://141.218.60.56/~jnz1568/discussion.php?&amp;Z=8&amp;N=6&amp;Sheet=1&amp;Row=84&amp;Col=6","8.8775e-07")</f>
      </c>
      <c r="H85" t="s" s="1">
        <f>HYPERLINK("http://141.218.60.56/~jnz1568/discussion.php?&amp;Z=8&amp;N=6&amp;Sheet=1&amp;Row=84&amp;Col=7","0.018806")</f>
      </c>
      <c r="I85" t="s" s="1">
        <f>HYPERLINK("http://141.218.60.56/~jnz1568/discussion.php?&amp;Z=8&amp;N=6&amp;Sheet=1&amp;Row=84&amp;Col=8","")</f>
      </c>
      <c r="J85" t="s" s="1">
        <f>HYPERLINK("http://141.218.60.56/~jnz1568/discussion.php?&amp;Z=8&amp;N=6&amp;Sheet=1&amp;Row=84&amp;Col=9","")</f>
      </c>
      <c r="K85" t="s" s="1">
        <f>HYPERLINK("http://141.218.60.56/~jnz1568/discussion.php?&amp;Z=8&amp;N=6&amp;Sheet=1&amp;Row=84&amp;Col=10","")</f>
      </c>
      <c r="L85" t="s" s="1">
        <f>HYPERLINK("http://141.218.60.56/~jnz1568/discussion.php?&amp;Z=8&amp;N=6&amp;Sheet=1&amp;Row=84&amp;Col=11","")</f>
      </c>
      <c r="M85" t="s" s="1">
        <f>HYPERLINK("http://141.218.60.56/~jnz1568/discussion.php?&amp;Z=8&amp;N=6&amp;Sheet=1&amp;Row=84&amp;Col=12","")</f>
      </c>
      <c r="N85" t="s" s="1">
        <f>HYPERLINK("http://141.218.60.56/~jnz1568/discussion.php?&amp;Z=8&amp;N=6&amp;Sheet=1&amp;Row=84&amp;Col=13","")</f>
      </c>
      <c r="O85" t="s" s="1">
        <f>HYPERLINK("http://141.218.60.56/~jnz1568/discussion.php?&amp;Z=8&amp;N=6&amp;Sheet=1&amp;Row=84&amp;Col=14","")</f>
      </c>
      <c r="P85" t="s" s="1">
        <f>HYPERLINK("http://141.218.60.56/~jnz1568/discussion.php?&amp;Z=8&amp;N=6&amp;Sheet=1&amp;Row=84&amp;Col=15","")</f>
      </c>
      <c r="Q85" t="s" s="1">
        <f>HYPERLINK("http://141.218.60.56/~jnz1568/discussion.php?&amp;Z=8&amp;N=6&amp;Sheet=1&amp;Row=84&amp;Col=16","")</f>
      </c>
    </row>
    <row r="86">
      <c r="A86" t="s">
        <v>15</v>
      </c>
      <c r="B86" t="s">
        <v>16</v>
      </c>
      <c r="C86" t="s">
        <v>69</v>
      </c>
      <c r="D86" t="s">
        <v>58</v>
      </c>
      <c r="E86" t="s">
        <v>537</v>
      </c>
      <c r="F86" t="s" s="1">
        <f>HYPERLINK("http://141.218.60.56/~jnz1568/discussion.php?&amp;Z=8&amp;N=6&amp;Sheet=1&amp;Row=85&amp;Col=5","")</f>
      </c>
      <c r="G86" t="s" s="1">
        <f>HYPERLINK("http://141.218.60.56/~jnz1568/discussion.php?&amp;Z=8&amp;N=6&amp;Sheet=1&amp;Row=85&amp;Col=6","5.6773e-08")</f>
      </c>
      <c r="H86" t="s" s="1">
        <f>HYPERLINK("http://141.218.60.56/~jnz1568/discussion.php?&amp;Z=8&amp;N=6&amp;Sheet=1&amp;Row=85&amp;Col=7","0.01129")</f>
      </c>
      <c r="I86" t="s" s="1">
        <f>HYPERLINK("http://141.218.60.56/~jnz1568/discussion.php?&amp;Z=8&amp;N=6&amp;Sheet=1&amp;Row=85&amp;Col=8","")</f>
      </c>
      <c r="J86" t="s" s="1">
        <f>HYPERLINK("http://141.218.60.56/~jnz1568/discussion.php?&amp;Z=8&amp;N=6&amp;Sheet=1&amp;Row=85&amp;Col=9","")</f>
      </c>
      <c r="K86" t="s" s="1">
        <f>HYPERLINK("http://141.218.60.56/~jnz1568/discussion.php?&amp;Z=8&amp;N=6&amp;Sheet=1&amp;Row=85&amp;Col=10","")</f>
      </c>
      <c r="L86" t="s" s="1">
        <f>HYPERLINK("http://141.218.60.56/~jnz1568/discussion.php?&amp;Z=8&amp;N=6&amp;Sheet=1&amp;Row=85&amp;Col=11","")</f>
      </c>
      <c r="M86" t="s" s="1">
        <f>HYPERLINK("http://141.218.60.56/~jnz1568/discussion.php?&amp;Z=8&amp;N=6&amp;Sheet=1&amp;Row=85&amp;Col=12","")</f>
      </c>
      <c r="N86" t="s" s="1">
        <f>HYPERLINK("http://141.218.60.56/~jnz1568/discussion.php?&amp;Z=8&amp;N=6&amp;Sheet=1&amp;Row=85&amp;Col=13","")</f>
      </c>
      <c r="O86" t="s" s="1">
        <f>HYPERLINK("http://141.218.60.56/~jnz1568/discussion.php?&amp;Z=8&amp;N=6&amp;Sheet=1&amp;Row=85&amp;Col=14","")</f>
      </c>
      <c r="P86" t="s" s="1">
        <f>HYPERLINK("http://141.218.60.56/~jnz1568/discussion.php?&amp;Z=8&amp;N=6&amp;Sheet=1&amp;Row=85&amp;Col=15","")</f>
      </c>
      <c r="Q86" t="s" s="1">
        <f>HYPERLINK("http://141.218.60.56/~jnz1568/discussion.php?&amp;Z=8&amp;N=6&amp;Sheet=1&amp;Row=85&amp;Col=16","")</f>
      </c>
    </row>
    <row r="87">
      <c r="A87" t="s">
        <v>15</v>
      </c>
      <c r="B87" t="s">
        <v>16</v>
      </c>
      <c r="C87" t="s">
        <v>69</v>
      </c>
      <c r="D87" t="s">
        <v>61</v>
      </c>
      <c r="E87" t="s">
        <v>540</v>
      </c>
      <c r="F87" t="s" s="1">
        <f>HYPERLINK("http://141.218.60.56/~jnz1568/discussion.php?&amp;Z=8&amp;N=6&amp;Sheet=1&amp;Row=86&amp;Col=5","")</f>
      </c>
      <c r="G87" t="s" s="1">
        <f>HYPERLINK("http://141.218.60.56/~jnz1568/discussion.php?&amp;Z=8&amp;N=6&amp;Sheet=1&amp;Row=86&amp;Col=6","")</f>
      </c>
      <c r="H87" t="s" s="1">
        <f>HYPERLINK("http://141.218.60.56/~jnz1568/discussion.php?&amp;Z=8&amp;N=6&amp;Sheet=1&amp;Row=86&amp;Col=7","0.015043")</f>
      </c>
      <c r="I87" t="s" s="1">
        <f>HYPERLINK("http://141.218.60.56/~jnz1568/discussion.php?&amp;Z=8&amp;N=6&amp;Sheet=1&amp;Row=86&amp;Col=8","")</f>
      </c>
      <c r="J87" t="s" s="1">
        <f>HYPERLINK("http://141.218.60.56/~jnz1568/discussion.php?&amp;Z=8&amp;N=6&amp;Sheet=1&amp;Row=86&amp;Col=9","")</f>
      </c>
      <c r="K87" t="s" s="1">
        <f>HYPERLINK("http://141.218.60.56/~jnz1568/discussion.php?&amp;Z=8&amp;N=6&amp;Sheet=1&amp;Row=86&amp;Col=10","")</f>
      </c>
      <c r="L87" t="s" s="1">
        <f>HYPERLINK("http://141.218.60.56/~jnz1568/discussion.php?&amp;Z=8&amp;N=6&amp;Sheet=1&amp;Row=86&amp;Col=11","")</f>
      </c>
      <c r="M87" t="s" s="1">
        <f>HYPERLINK("http://141.218.60.56/~jnz1568/discussion.php?&amp;Z=8&amp;N=6&amp;Sheet=1&amp;Row=86&amp;Col=12","")</f>
      </c>
      <c r="N87" t="s" s="1">
        <f>HYPERLINK("http://141.218.60.56/~jnz1568/discussion.php?&amp;Z=8&amp;N=6&amp;Sheet=1&amp;Row=86&amp;Col=13","")</f>
      </c>
      <c r="O87" t="s" s="1">
        <f>HYPERLINK("http://141.218.60.56/~jnz1568/discussion.php?&amp;Z=8&amp;N=6&amp;Sheet=1&amp;Row=86&amp;Col=14","")</f>
      </c>
      <c r="P87" t="s" s="1">
        <f>HYPERLINK("http://141.218.60.56/~jnz1568/discussion.php?&amp;Z=8&amp;N=6&amp;Sheet=1&amp;Row=86&amp;Col=15","")</f>
      </c>
      <c r="Q87" t="s" s="1">
        <f>HYPERLINK("http://141.218.60.56/~jnz1568/discussion.php?&amp;Z=8&amp;N=6&amp;Sheet=1&amp;Row=86&amp;Col=16","")</f>
      </c>
    </row>
    <row r="88">
      <c r="A88" t="s">
        <v>15</v>
      </c>
      <c r="B88" t="s">
        <v>16</v>
      </c>
      <c r="C88" t="s">
        <v>69</v>
      </c>
      <c r="D88" t="s">
        <v>64</v>
      </c>
      <c r="E88" t="s">
        <v>542</v>
      </c>
      <c r="F88" t="s" s="1">
        <f>HYPERLINK("http://141.218.60.56/~jnz1568/discussion.php?&amp;Z=8&amp;N=6&amp;Sheet=1&amp;Row=87&amp;Col=5","")</f>
      </c>
      <c r="G88" t="s" s="1">
        <f>HYPERLINK("http://141.218.60.56/~jnz1568/discussion.php?&amp;Z=8&amp;N=6&amp;Sheet=1&amp;Row=87&amp;Col=6","3.2974e-06")</f>
      </c>
      <c r="H88" t="s" s="1">
        <f>HYPERLINK("http://141.218.60.56/~jnz1568/discussion.php?&amp;Z=8&amp;N=6&amp;Sheet=1&amp;Row=87&amp;Col=7","1.3838e-09")</f>
      </c>
      <c r="I88" t="s" s="1">
        <f>HYPERLINK("http://141.218.60.56/~jnz1568/discussion.php?&amp;Z=8&amp;N=6&amp;Sheet=1&amp;Row=87&amp;Col=8","")</f>
      </c>
      <c r="J88" t="s" s="1">
        <f>HYPERLINK("http://141.218.60.56/~jnz1568/discussion.php?&amp;Z=8&amp;N=6&amp;Sheet=1&amp;Row=87&amp;Col=9","")</f>
      </c>
      <c r="K88" t="s" s="1">
        <f>HYPERLINK("http://141.218.60.56/~jnz1568/discussion.php?&amp;Z=8&amp;N=6&amp;Sheet=1&amp;Row=87&amp;Col=10","")</f>
      </c>
      <c r="L88" t="s" s="1">
        <f>HYPERLINK("http://141.218.60.56/~jnz1568/discussion.php?&amp;Z=8&amp;N=6&amp;Sheet=1&amp;Row=87&amp;Col=11","")</f>
      </c>
      <c r="M88" t="s" s="1">
        <f>HYPERLINK("http://141.218.60.56/~jnz1568/discussion.php?&amp;Z=8&amp;N=6&amp;Sheet=1&amp;Row=87&amp;Col=12","")</f>
      </c>
      <c r="N88" t="s" s="1">
        <f>HYPERLINK("http://141.218.60.56/~jnz1568/discussion.php?&amp;Z=8&amp;N=6&amp;Sheet=1&amp;Row=87&amp;Col=13","")</f>
      </c>
      <c r="O88" t="s" s="1">
        <f>HYPERLINK("http://141.218.60.56/~jnz1568/discussion.php?&amp;Z=8&amp;N=6&amp;Sheet=1&amp;Row=87&amp;Col=14","")</f>
      </c>
      <c r="P88" t="s" s="1">
        <f>HYPERLINK("http://141.218.60.56/~jnz1568/discussion.php?&amp;Z=8&amp;N=6&amp;Sheet=1&amp;Row=87&amp;Col=15","")</f>
      </c>
      <c r="Q88" t="s" s="1">
        <f>HYPERLINK("http://141.218.60.56/~jnz1568/discussion.php?&amp;Z=8&amp;N=6&amp;Sheet=1&amp;Row=87&amp;Col=16","")</f>
      </c>
    </row>
    <row r="89">
      <c r="A89" t="s">
        <v>15</v>
      </c>
      <c r="B89" t="s">
        <v>16</v>
      </c>
      <c r="C89" t="s">
        <v>74</v>
      </c>
      <c r="D89" t="s">
        <v>17</v>
      </c>
      <c r="E89" t="s">
        <v>545</v>
      </c>
      <c r="F89" t="s" s="1">
        <f>HYPERLINK("http://141.218.60.56/~jnz1568/discussion.php?&amp;Z=8&amp;N=6&amp;Sheet=1&amp;Row=88&amp;Col=5","62791")</f>
      </c>
      <c r="G89" t="s" s="1">
        <f>HYPERLINK("http://141.218.60.56/~jnz1568/discussion.php?&amp;Z=8&amp;N=6&amp;Sheet=1&amp;Row=88&amp;Col=6","")</f>
      </c>
      <c r="H89" t="s" s="1">
        <f>HYPERLINK("http://141.218.60.56/~jnz1568/discussion.php?&amp;Z=8&amp;N=6&amp;Sheet=1&amp;Row=88&amp;Col=7","")</f>
      </c>
      <c r="I89" t="s" s="1">
        <f>HYPERLINK("http://141.218.60.56/~jnz1568/discussion.php?&amp;Z=8&amp;N=6&amp;Sheet=1&amp;Row=88&amp;Col=8","")</f>
      </c>
      <c r="J89" t="s" s="1">
        <f>HYPERLINK("http://141.218.60.56/~jnz1568/discussion.php?&amp;Z=8&amp;N=6&amp;Sheet=1&amp;Row=88&amp;Col=9","58810")</f>
      </c>
      <c r="K89" t="s" s="1">
        <f>HYPERLINK("http://141.218.60.56/~jnz1568/discussion.php?&amp;Z=8&amp;N=6&amp;Sheet=1&amp;Row=88&amp;Col=10","")</f>
      </c>
      <c r="L89" t="s" s="1">
        <f>HYPERLINK("http://141.218.60.56/~jnz1568/discussion.php?&amp;Z=8&amp;N=6&amp;Sheet=1&amp;Row=88&amp;Col=11","")</f>
      </c>
      <c r="M89" t="s" s="1">
        <f>HYPERLINK("http://141.218.60.56/~jnz1568/discussion.php?&amp;Z=8&amp;N=6&amp;Sheet=1&amp;Row=88&amp;Col=12","")</f>
      </c>
      <c r="N89" t="s" s="1">
        <f>HYPERLINK("http://141.218.60.56/~jnz1568/discussion.php?&amp;Z=8&amp;N=6&amp;Sheet=1&amp;Row=88&amp;Col=13","24000")</f>
      </c>
      <c r="O89" t="s" s="1">
        <f>HYPERLINK("http://141.218.60.56/~jnz1568/discussion.php?&amp;Z=8&amp;N=6&amp;Sheet=1&amp;Row=88&amp;Col=14","")</f>
      </c>
      <c r="P89" t="s" s="1">
        <f>HYPERLINK("http://141.218.60.56/~jnz1568/discussion.php?&amp;Z=8&amp;N=6&amp;Sheet=1&amp;Row=88&amp;Col=15","")</f>
      </c>
      <c r="Q89" t="s" s="1">
        <f>HYPERLINK("http://141.218.60.56/~jnz1568/discussion.php?&amp;Z=8&amp;N=6&amp;Sheet=1&amp;Row=88&amp;Col=16","")</f>
      </c>
    </row>
    <row r="90">
      <c r="A90" t="s">
        <v>15</v>
      </c>
      <c r="B90" t="s">
        <v>16</v>
      </c>
      <c r="C90" t="s">
        <v>74</v>
      </c>
      <c r="D90" t="s">
        <v>23</v>
      </c>
      <c r="E90" t="s">
        <v>549</v>
      </c>
      <c r="F90" t="s" s="1">
        <f>HYPERLINK("http://141.218.60.56/~jnz1568/discussion.php?&amp;Z=8&amp;N=6&amp;Sheet=1&amp;Row=89&amp;Col=5","895910")</f>
      </c>
      <c r="G90" t="s" s="1">
        <f>HYPERLINK("http://141.218.60.56/~jnz1568/discussion.php?&amp;Z=8&amp;N=6&amp;Sheet=1&amp;Row=89&amp;Col=6","")</f>
      </c>
      <c r="H90" t="s" s="1">
        <f>HYPERLINK("http://141.218.60.56/~jnz1568/discussion.php?&amp;Z=8&amp;N=6&amp;Sheet=1&amp;Row=89&amp;Col=7","")</f>
      </c>
      <c r="I90" t="s" s="1">
        <f>HYPERLINK("http://141.218.60.56/~jnz1568/discussion.php?&amp;Z=8&amp;N=6&amp;Sheet=1&amp;Row=89&amp;Col=8","0.32269")</f>
      </c>
      <c r="J90" t="s" s="1">
        <f>HYPERLINK("http://141.218.60.56/~jnz1568/discussion.php?&amp;Z=8&amp;N=6&amp;Sheet=1&amp;Row=89&amp;Col=9","866830")</f>
      </c>
      <c r="K90" t="s" s="1">
        <f>HYPERLINK("http://141.218.60.56/~jnz1568/discussion.php?&amp;Z=8&amp;N=6&amp;Sheet=1&amp;Row=89&amp;Col=10","")</f>
      </c>
      <c r="L90" t="s" s="1">
        <f>HYPERLINK("http://141.218.60.56/~jnz1568/discussion.php?&amp;Z=8&amp;N=6&amp;Sheet=1&amp;Row=89&amp;Col=11","")</f>
      </c>
      <c r="M90" t="s" s="1">
        <f>HYPERLINK("http://141.218.60.56/~jnz1568/discussion.php?&amp;Z=8&amp;N=6&amp;Sheet=1&amp;Row=89&amp;Col=12","0.32856")</f>
      </c>
      <c r="N90" t="s" s="1">
        <f>HYPERLINK("http://141.218.60.56/~jnz1568/discussion.php?&amp;Z=8&amp;N=6&amp;Sheet=1&amp;Row=89&amp;Col=13","493700")</f>
      </c>
      <c r="O90" t="s" s="1">
        <f>HYPERLINK("http://141.218.60.56/~jnz1568/discussion.php?&amp;Z=8&amp;N=6&amp;Sheet=1&amp;Row=89&amp;Col=14","")</f>
      </c>
      <c r="P90" t="s" s="1">
        <f>HYPERLINK("http://141.218.60.56/~jnz1568/discussion.php?&amp;Z=8&amp;N=6&amp;Sheet=1&amp;Row=89&amp;Col=15","")</f>
      </c>
      <c r="Q90" t="s" s="1">
        <f>HYPERLINK("http://141.218.60.56/~jnz1568/discussion.php?&amp;Z=8&amp;N=6&amp;Sheet=1&amp;Row=89&amp;Col=16","")</f>
      </c>
    </row>
    <row r="91">
      <c r="A91" t="s">
        <v>15</v>
      </c>
      <c r="B91" t="s">
        <v>16</v>
      </c>
      <c r="C91" t="s">
        <v>74</v>
      </c>
      <c r="D91" t="s">
        <v>20</v>
      </c>
      <c r="E91" t="s">
        <v>555</v>
      </c>
      <c r="F91" t="s" s="1">
        <f>HYPERLINK("http://141.218.60.56/~jnz1568/discussion.php?&amp;Z=8&amp;N=6&amp;Sheet=1&amp;Row=90&amp;Col=5","194680")</f>
      </c>
      <c r="G91" t="s" s="1">
        <f>HYPERLINK("http://141.218.60.56/~jnz1568/discussion.php?&amp;Z=8&amp;N=6&amp;Sheet=1&amp;Row=90&amp;Col=6","")</f>
      </c>
      <c r="H91" t="s" s="1">
        <f>HYPERLINK("http://141.218.60.56/~jnz1568/discussion.php?&amp;Z=8&amp;N=6&amp;Sheet=1&amp;Row=90&amp;Col=7","")</f>
      </c>
      <c r="I91" t="s" s="1">
        <f>HYPERLINK("http://141.218.60.56/~jnz1568/discussion.php?&amp;Z=8&amp;N=6&amp;Sheet=1&amp;Row=90&amp;Col=8","1.0123")</f>
      </c>
      <c r="J91" t="s" s="1">
        <f>HYPERLINK("http://141.218.60.56/~jnz1568/discussion.php?&amp;Z=8&amp;N=6&amp;Sheet=1&amp;Row=90&amp;Col=9","181760")</f>
      </c>
      <c r="K91" t="s" s="1">
        <f>HYPERLINK("http://141.218.60.56/~jnz1568/discussion.php?&amp;Z=8&amp;N=6&amp;Sheet=1&amp;Row=90&amp;Col=10","")</f>
      </c>
      <c r="L91" t="s" s="1">
        <f>HYPERLINK("http://141.218.60.56/~jnz1568/discussion.php?&amp;Z=8&amp;N=6&amp;Sheet=1&amp;Row=90&amp;Col=11","")</f>
      </c>
      <c r="M91" t="s" s="1">
        <f>HYPERLINK("http://141.218.60.56/~jnz1568/discussion.php?&amp;Z=8&amp;N=6&amp;Sheet=1&amp;Row=90&amp;Col=12","1.0295")</f>
      </c>
      <c r="N91" t="s" s="1">
        <f>HYPERLINK("http://141.218.60.56/~jnz1568/discussion.php?&amp;Z=8&amp;N=6&amp;Sheet=1&amp;Row=90&amp;Col=13","38940")</f>
      </c>
      <c r="O91" t="s" s="1">
        <f>HYPERLINK("http://141.218.60.56/~jnz1568/discussion.php?&amp;Z=8&amp;N=6&amp;Sheet=1&amp;Row=90&amp;Col=14","")</f>
      </c>
      <c r="P91" t="s" s="1">
        <f>HYPERLINK("http://141.218.60.56/~jnz1568/discussion.php?&amp;Z=8&amp;N=6&amp;Sheet=1&amp;Row=90&amp;Col=15","")</f>
      </c>
      <c r="Q91" t="s" s="1">
        <f>HYPERLINK("http://141.218.60.56/~jnz1568/discussion.php?&amp;Z=8&amp;N=6&amp;Sheet=1&amp;Row=90&amp;Col=16","")</f>
      </c>
    </row>
    <row r="92">
      <c r="A92" t="s">
        <v>15</v>
      </c>
      <c r="B92" t="s">
        <v>16</v>
      </c>
      <c r="C92" t="s">
        <v>74</v>
      </c>
      <c r="D92" t="s">
        <v>28</v>
      </c>
      <c r="E92" t="s">
        <v>561</v>
      </c>
      <c r="F92" t="s" s="1">
        <f>HYPERLINK("http://141.218.60.56/~jnz1568/discussion.php?&amp;Z=8&amp;N=6&amp;Sheet=1&amp;Row=91&amp;Col=5","9380000000")</f>
      </c>
      <c r="G92" t="s" s="1">
        <f>HYPERLINK("http://141.218.60.56/~jnz1568/discussion.php?&amp;Z=8&amp;N=6&amp;Sheet=1&amp;Row=91&amp;Col=6","")</f>
      </c>
      <c r="H92" t="s" s="1">
        <f>HYPERLINK("http://141.218.60.56/~jnz1568/discussion.php?&amp;Z=8&amp;N=6&amp;Sheet=1&amp;Row=91&amp;Col=7","")</f>
      </c>
      <c r="I92" t="s" s="1">
        <f>HYPERLINK("http://141.218.60.56/~jnz1568/discussion.php?&amp;Z=8&amp;N=6&amp;Sheet=1&amp;Row=91&amp;Col=8","0.00025536")</f>
      </c>
      <c r="J92" t="s" s="1">
        <f>HYPERLINK("http://141.218.60.56/~jnz1568/discussion.php?&amp;Z=8&amp;N=6&amp;Sheet=1&amp;Row=91&amp;Col=9","9474300000")</f>
      </c>
      <c r="K92" t="s" s="1">
        <f>HYPERLINK("http://141.218.60.56/~jnz1568/discussion.php?&amp;Z=8&amp;N=6&amp;Sheet=1&amp;Row=91&amp;Col=10","")</f>
      </c>
      <c r="L92" t="s" s="1">
        <f>HYPERLINK("http://141.218.60.56/~jnz1568/discussion.php?&amp;Z=8&amp;N=6&amp;Sheet=1&amp;Row=91&amp;Col=11","")</f>
      </c>
      <c r="M92" t="s" s="1">
        <f>HYPERLINK("http://141.218.60.56/~jnz1568/discussion.php?&amp;Z=8&amp;N=6&amp;Sheet=1&amp;Row=91&amp;Col=12","0.00025603")</f>
      </c>
      <c r="N92" t="s" s="1">
        <f>HYPERLINK("http://141.218.60.56/~jnz1568/discussion.php?&amp;Z=8&amp;N=6&amp;Sheet=1&amp;Row=91&amp;Col=13","10710000000")</f>
      </c>
      <c r="O92" t="s" s="1">
        <f>HYPERLINK("http://141.218.60.56/~jnz1568/discussion.php?&amp;Z=8&amp;N=6&amp;Sheet=1&amp;Row=91&amp;Col=14","")</f>
      </c>
      <c r="P92" t="s" s="1">
        <f>HYPERLINK("http://141.218.60.56/~jnz1568/discussion.php?&amp;Z=8&amp;N=6&amp;Sheet=1&amp;Row=91&amp;Col=15","")</f>
      </c>
      <c r="Q92" t="s" s="1">
        <f>HYPERLINK("http://141.218.60.56/~jnz1568/discussion.php?&amp;Z=8&amp;N=6&amp;Sheet=1&amp;Row=91&amp;Col=16","")</f>
      </c>
    </row>
    <row r="93">
      <c r="A93" t="s">
        <v>15</v>
      </c>
      <c r="B93" t="s">
        <v>16</v>
      </c>
      <c r="C93" t="s">
        <v>74</v>
      </c>
      <c r="D93" t="s">
        <v>33</v>
      </c>
      <c r="E93" t="s">
        <v>567</v>
      </c>
      <c r="F93" t="s" s="1">
        <f>HYPERLINK("http://141.218.60.56/~jnz1568/discussion.php?&amp;Z=8&amp;N=6&amp;Sheet=1&amp;Row=92&amp;Col=5","1507800000")</f>
      </c>
      <c r="G93" t="s" s="1">
        <f>HYPERLINK("http://141.218.60.56/~jnz1568/discussion.php?&amp;Z=8&amp;N=6&amp;Sheet=1&amp;Row=92&amp;Col=6","")</f>
      </c>
      <c r="H93" t="s" s="1">
        <f>HYPERLINK("http://141.218.60.56/~jnz1568/discussion.php?&amp;Z=8&amp;N=6&amp;Sheet=1&amp;Row=92&amp;Col=7","")</f>
      </c>
      <c r="I93" t="s" s="1">
        <f>HYPERLINK("http://141.218.60.56/~jnz1568/discussion.php?&amp;Z=8&amp;N=6&amp;Sheet=1&amp;Row=92&amp;Col=8","")</f>
      </c>
      <c r="J93" t="s" s="1">
        <f>HYPERLINK("http://141.218.60.56/~jnz1568/discussion.php?&amp;Z=8&amp;N=6&amp;Sheet=1&amp;Row=92&amp;Col=9","1525000000")</f>
      </c>
      <c r="K93" t="s" s="1">
        <f>HYPERLINK("http://141.218.60.56/~jnz1568/discussion.php?&amp;Z=8&amp;N=6&amp;Sheet=1&amp;Row=92&amp;Col=10","")</f>
      </c>
      <c r="L93" t="s" s="1">
        <f>HYPERLINK("http://141.218.60.56/~jnz1568/discussion.php?&amp;Z=8&amp;N=6&amp;Sheet=1&amp;Row=92&amp;Col=11","")</f>
      </c>
      <c r="M93" t="s" s="1">
        <f>HYPERLINK("http://141.218.60.56/~jnz1568/discussion.php?&amp;Z=8&amp;N=6&amp;Sheet=1&amp;Row=92&amp;Col=12","")</f>
      </c>
      <c r="N93" t="s" s="1">
        <f>HYPERLINK("http://141.218.60.56/~jnz1568/discussion.php?&amp;Z=8&amp;N=6&amp;Sheet=1&amp;Row=92&amp;Col=13","1500000000")</f>
      </c>
      <c r="O93" t="s" s="1">
        <f>HYPERLINK("http://141.218.60.56/~jnz1568/discussion.php?&amp;Z=8&amp;N=6&amp;Sheet=1&amp;Row=92&amp;Col=14","")</f>
      </c>
      <c r="P93" t="s" s="1">
        <f>HYPERLINK("http://141.218.60.56/~jnz1568/discussion.php?&amp;Z=8&amp;N=6&amp;Sheet=1&amp;Row=92&amp;Col=15","")</f>
      </c>
      <c r="Q93" t="s" s="1">
        <f>HYPERLINK("http://141.218.60.56/~jnz1568/discussion.php?&amp;Z=8&amp;N=6&amp;Sheet=1&amp;Row=92&amp;Col=16","")</f>
      </c>
    </row>
    <row r="94">
      <c r="A94" t="s">
        <v>15</v>
      </c>
      <c r="B94" t="s">
        <v>16</v>
      </c>
      <c r="C94" t="s">
        <v>74</v>
      </c>
      <c r="D94" t="s">
        <v>16</v>
      </c>
      <c r="E94" t="s">
        <v>571</v>
      </c>
      <c r="F94" t="s" s="1">
        <f>HYPERLINK("http://141.218.60.56/~jnz1568/discussion.php?&amp;Z=8&amp;N=6&amp;Sheet=1&amp;Row=93&amp;Col=5","")</f>
      </c>
      <c r="G94" t="s" s="1">
        <f>HYPERLINK("http://141.218.60.56/~jnz1568/discussion.php?&amp;Z=8&amp;N=6&amp;Sheet=1&amp;Row=93&amp;Col=6","1.0276e-07")</f>
      </c>
      <c r="H94" t="s" s="1">
        <f>HYPERLINK("http://141.218.60.56/~jnz1568/discussion.php?&amp;Z=8&amp;N=6&amp;Sheet=1&amp;Row=93&amp;Col=7","3.4035e-09")</f>
      </c>
      <c r="I94" t="s" s="1">
        <f>HYPERLINK("http://141.218.60.56/~jnz1568/discussion.php?&amp;Z=8&amp;N=6&amp;Sheet=1&amp;Row=93&amp;Col=8","")</f>
      </c>
      <c r="J94" t="s" s="1">
        <f>HYPERLINK("http://141.218.60.56/~jnz1568/discussion.php?&amp;Z=8&amp;N=6&amp;Sheet=1&amp;Row=93&amp;Col=9","")</f>
      </c>
      <c r="K94" t="s" s="1">
        <f>HYPERLINK("http://141.218.60.56/~jnz1568/discussion.php?&amp;Z=8&amp;N=6&amp;Sheet=1&amp;Row=93&amp;Col=10","")</f>
      </c>
      <c r="L94" t="s" s="1">
        <f>HYPERLINK("http://141.218.60.56/~jnz1568/discussion.php?&amp;Z=8&amp;N=6&amp;Sheet=1&amp;Row=93&amp;Col=11","")</f>
      </c>
      <c r="M94" t="s" s="1">
        <f>HYPERLINK("http://141.218.60.56/~jnz1568/discussion.php?&amp;Z=8&amp;N=6&amp;Sheet=1&amp;Row=93&amp;Col=12","")</f>
      </c>
      <c r="N94" t="s" s="1">
        <f>HYPERLINK("http://141.218.60.56/~jnz1568/discussion.php?&amp;Z=8&amp;N=6&amp;Sheet=1&amp;Row=93&amp;Col=13","")</f>
      </c>
      <c r="O94" t="s" s="1">
        <f>HYPERLINK("http://141.218.60.56/~jnz1568/discussion.php?&amp;Z=8&amp;N=6&amp;Sheet=1&amp;Row=93&amp;Col=14","")</f>
      </c>
      <c r="P94" t="s" s="1">
        <f>HYPERLINK("http://141.218.60.56/~jnz1568/discussion.php?&amp;Z=8&amp;N=6&amp;Sheet=1&amp;Row=93&amp;Col=15","")</f>
      </c>
      <c r="Q94" t="s" s="1">
        <f>HYPERLINK("http://141.218.60.56/~jnz1568/discussion.php?&amp;Z=8&amp;N=6&amp;Sheet=1&amp;Row=93&amp;Col=16","")</f>
      </c>
    </row>
    <row r="95">
      <c r="A95" t="s">
        <v>15</v>
      </c>
      <c r="B95" t="s">
        <v>16</v>
      </c>
      <c r="C95" t="s">
        <v>74</v>
      </c>
      <c r="D95" t="s">
        <v>43</v>
      </c>
      <c r="E95" t="s">
        <v>574</v>
      </c>
      <c r="F95" t="s" s="1">
        <f>HYPERLINK("http://141.218.60.56/~jnz1568/discussion.php?&amp;Z=8&amp;N=6&amp;Sheet=1&amp;Row=94&amp;Col=5","")</f>
      </c>
      <c r="G95" t="s" s="1">
        <f>HYPERLINK("http://141.218.60.56/~jnz1568/discussion.php?&amp;Z=8&amp;N=6&amp;Sheet=1&amp;Row=94&amp;Col=6","0.00033977")</f>
      </c>
      <c r="H95" t="s" s="1">
        <f>HYPERLINK("http://141.218.60.56/~jnz1568/discussion.php?&amp;Z=8&amp;N=6&amp;Sheet=1&amp;Row=94&amp;Col=7","")</f>
      </c>
      <c r="I95" t="s" s="1">
        <f>HYPERLINK("http://141.218.60.56/~jnz1568/discussion.php?&amp;Z=8&amp;N=6&amp;Sheet=1&amp;Row=94&amp;Col=8","")</f>
      </c>
      <c r="J95" t="s" s="1">
        <f>HYPERLINK("http://141.218.60.56/~jnz1568/discussion.php?&amp;Z=8&amp;N=6&amp;Sheet=1&amp;Row=94&amp;Col=9","")</f>
      </c>
      <c r="K95" t="s" s="1">
        <f>HYPERLINK("http://141.218.60.56/~jnz1568/discussion.php?&amp;Z=8&amp;N=6&amp;Sheet=1&amp;Row=94&amp;Col=10","")</f>
      </c>
      <c r="L95" t="s" s="1">
        <f>HYPERLINK("http://141.218.60.56/~jnz1568/discussion.php?&amp;Z=8&amp;N=6&amp;Sheet=1&amp;Row=94&amp;Col=11","")</f>
      </c>
      <c r="M95" t="s" s="1">
        <f>HYPERLINK("http://141.218.60.56/~jnz1568/discussion.php?&amp;Z=8&amp;N=6&amp;Sheet=1&amp;Row=94&amp;Col=12","")</f>
      </c>
      <c r="N95" t="s" s="1">
        <f>HYPERLINK("http://141.218.60.56/~jnz1568/discussion.php?&amp;Z=8&amp;N=6&amp;Sheet=1&amp;Row=94&amp;Col=13","")</f>
      </c>
      <c r="O95" t="s" s="1">
        <f>HYPERLINK("http://141.218.60.56/~jnz1568/discussion.php?&amp;Z=8&amp;N=6&amp;Sheet=1&amp;Row=94&amp;Col=14","")</f>
      </c>
      <c r="P95" t="s" s="1">
        <f>HYPERLINK("http://141.218.60.56/~jnz1568/discussion.php?&amp;Z=8&amp;N=6&amp;Sheet=1&amp;Row=94&amp;Col=15","")</f>
      </c>
      <c r="Q95" t="s" s="1">
        <f>HYPERLINK("http://141.218.60.56/~jnz1568/discussion.php?&amp;Z=8&amp;N=6&amp;Sheet=1&amp;Row=94&amp;Col=16","")</f>
      </c>
    </row>
    <row r="96">
      <c r="A96" t="s">
        <v>15</v>
      </c>
      <c r="B96" t="s">
        <v>16</v>
      </c>
      <c r="C96" t="s">
        <v>74</v>
      </c>
      <c r="D96" t="s">
        <v>15</v>
      </c>
      <c r="E96" t="s">
        <v>576</v>
      </c>
      <c r="F96" t="s" s="1">
        <f>HYPERLINK("http://141.218.60.56/~jnz1568/discussion.php?&amp;Z=8&amp;N=6&amp;Sheet=1&amp;Row=95&amp;Col=5","")</f>
      </c>
      <c r="G96" t="s" s="1">
        <f>HYPERLINK("http://141.218.60.56/~jnz1568/discussion.php?&amp;Z=8&amp;N=6&amp;Sheet=1&amp;Row=95&amp;Col=6","0.00022287")</f>
      </c>
      <c r="H96" t="s" s="1">
        <f>HYPERLINK("http://141.218.60.56/~jnz1568/discussion.php?&amp;Z=8&amp;N=6&amp;Sheet=1&amp;Row=95&amp;Col=7","0.1424")</f>
      </c>
      <c r="I96" t="s" s="1">
        <f>HYPERLINK("http://141.218.60.56/~jnz1568/discussion.php?&amp;Z=8&amp;N=6&amp;Sheet=1&amp;Row=95&amp;Col=8","")</f>
      </c>
      <c r="J96" t="s" s="1">
        <f>HYPERLINK("http://141.218.60.56/~jnz1568/discussion.php?&amp;Z=8&amp;N=6&amp;Sheet=1&amp;Row=95&amp;Col=9","")</f>
      </c>
      <c r="K96" t="s" s="1">
        <f>HYPERLINK("http://141.218.60.56/~jnz1568/discussion.php?&amp;Z=8&amp;N=6&amp;Sheet=1&amp;Row=95&amp;Col=10","")</f>
      </c>
      <c r="L96" t="s" s="1">
        <f>HYPERLINK("http://141.218.60.56/~jnz1568/discussion.php?&amp;Z=8&amp;N=6&amp;Sheet=1&amp;Row=95&amp;Col=11","")</f>
      </c>
      <c r="M96" t="s" s="1">
        <f>HYPERLINK("http://141.218.60.56/~jnz1568/discussion.php?&amp;Z=8&amp;N=6&amp;Sheet=1&amp;Row=95&amp;Col=12","")</f>
      </c>
      <c r="N96" t="s" s="1">
        <f>HYPERLINK("http://141.218.60.56/~jnz1568/discussion.php?&amp;Z=8&amp;N=6&amp;Sheet=1&amp;Row=95&amp;Col=13","")</f>
      </c>
      <c r="O96" t="s" s="1">
        <f>HYPERLINK("http://141.218.60.56/~jnz1568/discussion.php?&amp;Z=8&amp;N=6&amp;Sheet=1&amp;Row=95&amp;Col=14","")</f>
      </c>
      <c r="P96" t="s" s="1">
        <f>HYPERLINK("http://141.218.60.56/~jnz1568/discussion.php?&amp;Z=8&amp;N=6&amp;Sheet=1&amp;Row=95&amp;Col=15","")</f>
      </c>
      <c r="Q96" t="s" s="1">
        <f>HYPERLINK("http://141.218.60.56/~jnz1568/discussion.php?&amp;Z=8&amp;N=6&amp;Sheet=1&amp;Row=95&amp;Col=16","")</f>
      </c>
    </row>
    <row r="97">
      <c r="A97" t="s">
        <v>15</v>
      </c>
      <c r="B97" t="s">
        <v>16</v>
      </c>
      <c r="C97" t="s">
        <v>74</v>
      </c>
      <c r="D97" t="s">
        <v>50</v>
      </c>
      <c r="E97" t="s">
        <v>579</v>
      </c>
      <c r="F97" t="s" s="1">
        <f>HYPERLINK("http://141.218.60.56/~jnz1568/discussion.php?&amp;Z=8&amp;N=6&amp;Sheet=1&amp;Row=96&amp;Col=5","")</f>
      </c>
      <c r="G97" t="s" s="1">
        <f>HYPERLINK("http://141.218.60.56/~jnz1568/discussion.php?&amp;Z=8&amp;N=6&amp;Sheet=1&amp;Row=96&amp;Col=6","0.00013669")</f>
      </c>
      <c r="H97" t="s" s="1">
        <f>HYPERLINK("http://141.218.60.56/~jnz1568/discussion.php?&amp;Z=8&amp;N=6&amp;Sheet=1&amp;Row=96&amp;Col=7","0.04743")</f>
      </c>
      <c r="I97" t="s" s="1">
        <f>HYPERLINK("http://141.218.60.56/~jnz1568/discussion.php?&amp;Z=8&amp;N=6&amp;Sheet=1&amp;Row=96&amp;Col=8","")</f>
      </c>
      <c r="J97" t="s" s="1">
        <f>HYPERLINK("http://141.218.60.56/~jnz1568/discussion.php?&amp;Z=8&amp;N=6&amp;Sheet=1&amp;Row=96&amp;Col=9","")</f>
      </c>
      <c r="K97" t="s" s="1">
        <f>HYPERLINK("http://141.218.60.56/~jnz1568/discussion.php?&amp;Z=8&amp;N=6&amp;Sheet=1&amp;Row=96&amp;Col=10","")</f>
      </c>
      <c r="L97" t="s" s="1">
        <f>HYPERLINK("http://141.218.60.56/~jnz1568/discussion.php?&amp;Z=8&amp;N=6&amp;Sheet=1&amp;Row=96&amp;Col=11","")</f>
      </c>
      <c r="M97" t="s" s="1">
        <f>HYPERLINK("http://141.218.60.56/~jnz1568/discussion.php?&amp;Z=8&amp;N=6&amp;Sheet=1&amp;Row=96&amp;Col=12","")</f>
      </c>
      <c r="N97" t="s" s="1">
        <f>HYPERLINK("http://141.218.60.56/~jnz1568/discussion.php?&amp;Z=8&amp;N=6&amp;Sheet=1&amp;Row=96&amp;Col=13","")</f>
      </c>
      <c r="O97" t="s" s="1">
        <f>HYPERLINK("http://141.218.60.56/~jnz1568/discussion.php?&amp;Z=8&amp;N=6&amp;Sheet=1&amp;Row=96&amp;Col=14","")</f>
      </c>
      <c r="P97" t="s" s="1">
        <f>HYPERLINK("http://141.218.60.56/~jnz1568/discussion.php?&amp;Z=8&amp;N=6&amp;Sheet=1&amp;Row=96&amp;Col=15","")</f>
      </c>
      <c r="Q97" t="s" s="1">
        <f>HYPERLINK("http://141.218.60.56/~jnz1568/discussion.php?&amp;Z=8&amp;N=6&amp;Sheet=1&amp;Row=96&amp;Col=16","")</f>
      </c>
    </row>
    <row r="98">
      <c r="A98" t="s">
        <v>15</v>
      </c>
      <c r="B98" t="s">
        <v>16</v>
      </c>
      <c r="C98" t="s">
        <v>74</v>
      </c>
      <c r="D98" t="s">
        <v>53</v>
      </c>
      <c r="E98" t="s">
        <v>582</v>
      </c>
      <c r="F98" t="s" s="1">
        <f>HYPERLINK("http://141.218.60.56/~jnz1568/discussion.php?&amp;Z=8&amp;N=6&amp;Sheet=1&amp;Row=97&amp;Col=5","")</f>
      </c>
      <c r="G98" t="s" s="1">
        <f>HYPERLINK("http://141.218.60.56/~jnz1568/discussion.php?&amp;Z=8&amp;N=6&amp;Sheet=1&amp;Row=97&amp;Col=6","0.0018197")</f>
      </c>
      <c r="H98" t="s" s="1">
        <f>HYPERLINK("http://141.218.60.56/~jnz1568/discussion.php?&amp;Z=8&amp;N=6&amp;Sheet=1&amp;Row=97&amp;Col=7","5.9395e-05")</f>
      </c>
      <c r="I98" t="s" s="1">
        <f>HYPERLINK("http://141.218.60.56/~jnz1568/discussion.php?&amp;Z=8&amp;N=6&amp;Sheet=1&amp;Row=97&amp;Col=8","")</f>
      </c>
      <c r="J98" t="s" s="1">
        <f>HYPERLINK("http://141.218.60.56/~jnz1568/discussion.php?&amp;Z=8&amp;N=6&amp;Sheet=1&amp;Row=97&amp;Col=9","")</f>
      </c>
      <c r="K98" t="s" s="1">
        <f>HYPERLINK("http://141.218.60.56/~jnz1568/discussion.php?&amp;Z=8&amp;N=6&amp;Sheet=1&amp;Row=97&amp;Col=10","")</f>
      </c>
      <c r="L98" t="s" s="1">
        <f>HYPERLINK("http://141.218.60.56/~jnz1568/discussion.php?&amp;Z=8&amp;N=6&amp;Sheet=1&amp;Row=97&amp;Col=11","")</f>
      </c>
      <c r="M98" t="s" s="1">
        <f>HYPERLINK("http://141.218.60.56/~jnz1568/discussion.php?&amp;Z=8&amp;N=6&amp;Sheet=1&amp;Row=97&amp;Col=12","")</f>
      </c>
      <c r="N98" t="s" s="1">
        <f>HYPERLINK("http://141.218.60.56/~jnz1568/discussion.php?&amp;Z=8&amp;N=6&amp;Sheet=1&amp;Row=97&amp;Col=13","")</f>
      </c>
      <c r="O98" t="s" s="1">
        <f>HYPERLINK("http://141.218.60.56/~jnz1568/discussion.php?&amp;Z=8&amp;N=6&amp;Sheet=1&amp;Row=97&amp;Col=14","")</f>
      </c>
      <c r="P98" t="s" s="1">
        <f>HYPERLINK("http://141.218.60.56/~jnz1568/discussion.php?&amp;Z=8&amp;N=6&amp;Sheet=1&amp;Row=97&amp;Col=15","")</f>
      </c>
      <c r="Q98" t="s" s="1">
        <f>HYPERLINK("http://141.218.60.56/~jnz1568/discussion.php?&amp;Z=8&amp;N=6&amp;Sheet=1&amp;Row=97&amp;Col=16","")</f>
      </c>
    </row>
    <row r="99">
      <c r="A99" t="s">
        <v>15</v>
      </c>
      <c r="B99" t="s">
        <v>16</v>
      </c>
      <c r="C99" t="s">
        <v>74</v>
      </c>
      <c r="D99" t="s">
        <v>58</v>
      </c>
      <c r="E99" t="s">
        <v>585</v>
      </c>
      <c r="F99" t="s" s="1">
        <f>HYPERLINK("http://141.218.60.56/~jnz1568/discussion.php?&amp;Z=8&amp;N=6&amp;Sheet=1&amp;Row=98&amp;Col=5","")</f>
      </c>
      <c r="G99" t="s" s="1">
        <f>HYPERLINK("http://141.218.60.56/~jnz1568/discussion.php?&amp;Z=8&amp;N=6&amp;Sheet=1&amp;Row=98&amp;Col=6","0.0006171")</f>
      </c>
      <c r="H99" t="s" s="1">
        <f>HYPERLINK("http://141.218.60.56/~jnz1568/discussion.php?&amp;Z=8&amp;N=6&amp;Sheet=1&amp;Row=98&amp;Col=7","1.8561e-07")</f>
      </c>
      <c r="I99" t="s" s="1">
        <f>HYPERLINK("http://141.218.60.56/~jnz1568/discussion.php?&amp;Z=8&amp;N=6&amp;Sheet=1&amp;Row=98&amp;Col=8","")</f>
      </c>
      <c r="J99" t="s" s="1">
        <f>HYPERLINK("http://141.218.60.56/~jnz1568/discussion.php?&amp;Z=8&amp;N=6&amp;Sheet=1&amp;Row=98&amp;Col=9","")</f>
      </c>
      <c r="K99" t="s" s="1">
        <f>HYPERLINK("http://141.218.60.56/~jnz1568/discussion.php?&amp;Z=8&amp;N=6&amp;Sheet=1&amp;Row=98&amp;Col=10","")</f>
      </c>
      <c r="L99" t="s" s="1">
        <f>HYPERLINK("http://141.218.60.56/~jnz1568/discussion.php?&amp;Z=8&amp;N=6&amp;Sheet=1&amp;Row=98&amp;Col=11","")</f>
      </c>
      <c r="M99" t="s" s="1">
        <f>HYPERLINK("http://141.218.60.56/~jnz1568/discussion.php?&amp;Z=8&amp;N=6&amp;Sheet=1&amp;Row=98&amp;Col=12","")</f>
      </c>
      <c r="N99" t="s" s="1">
        <f>HYPERLINK("http://141.218.60.56/~jnz1568/discussion.php?&amp;Z=8&amp;N=6&amp;Sheet=1&amp;Row=98&amp;Col=13","")</f>
      </c>
      <c r="O99" t="s" s="1">
        <f>HYPERLINK("http://141.218.60.56/~jnz1568/discussion.php?&amp;Z=8&amp;N=6&amp;Sheet=1&amp;Row=98&amp;Col=14","")</f>
      </c>
      <c r="P99" t="s" s="1">
        <f>HYPERLINK("http://141.218.60.56/~jnz1568/discussion.php?&amp;Z=8&amp;N=6&amp;Sheet=1&amp;Row=98&amp;Col=15","")</f>
      </c>
      <c r="Q99" t="s" s="1">
        <f>HYPERLINK("http://141.218.60.56/~jnz1568/discussion.php?&amp;Z=8&amp;N=6&amp;Sheet=1&amp;Row=98&amp;Col=16","")</f>
      </c>
    </row>
    <row r="100">
      <c r="A100" t="s">
        <v>15</v>
      </c>
      <c r="B100" t="s">
        <v>16</v>
      </c>
      <c r="C100" t="s">
        <v>74</v>
      </c>
      <c r="D100" t="s">
        <v>61</v>
      </c>
      <c r="E100" t="s">
        <v>588</v>
      </c>
      <c r="F100" t="s" s="1">
        <f>HYPERLINK("http://141.218.60.56/~jnz1568/discussion.php?&amp;Z=8&amp;N=6&amp;Sheet=1&amp;Row=99&amp;Col=5","")</f>
      </c>
      <c r="G100" t="s" s="1">
        <f>HYPERLINK("http://141.218.60.56/~jnz1568/discussion.php?&amp;Z=8&amp;N=6&amp;Sheet=1&amp;Row=99&amp;Col=6","")</f>
      </c>
      <c r="H100" t="s" s="1">
        <f>HYPERLINK("http://141.218.60.56/~jnz1568/discussion.php?&amp;Z=8&amp;N=6&amp;Sheet=1&amp;Row=99&amp;Col=7","2.522e-05")</f>
      </c>
      <c r="I100" t="s" s="1">
        <f>HYPERLINK("http://141.218.60.56/~jnz1568/discussion.php?&amp;Z=8&amp;N=6&amp;Sheet=1&amp;Row=99&amp;Col=8","")</f>
      </c>
      <c r="J100" t="s" s="1">
        <f>HYPERLINK("http://141.218.60.56/~jnz1568/discussion.php?&amp;Z=8&amp;N=6&amp;Sheet=1&amp;Row=99&amp;Col=9","")</f>
      </c>
      <c r="K100" t="s" s="1">
        <f>HYPERLINK("http://141.218.60.56/~jnz1568/discussion.php?&amp;Z=8&amp;N=6&amp;Sheet=1&amp;Row=99&amp;Col=10","")</f>
      </c>
      <c r="L100" t="s" s="1">
        <f>HYPERLINK("http://141.218.60.56/~jnz1568/discussion.php?&amp;Z=8&amp;N=6&amp;Sheet=1&amp;Row=99&amp;Col=11","")</f>
      </c>
      <c r="M100" t="s" s="1">
        <f>HYPERLINK("http://141.218.60.56/~jnz1568/discussion.php?&amp;Z=8&amp;N=6&amp;Sheet=1&amp;Row=99&amp;Col=12","")</f>
      </c>
      <c r="N100" t="s" s="1">
        <f>HYPERLINK("http://141.218.60.56/~jnz1568/discussion.php?&amp;Z=8&amp;N=6&amp;Sheet=1&amp;Row=99&amp;Col=13","")</f>
      </c>
      <c r="O100" t="s" s="1">
        <f>HYPERLINK("http://141.218.60.56/~jnz1568/discussion.php?&amp;Z=8&amp;N=6&amp;Sheet=1&amp;Row=99&amp;Col=14","")</f>
      </c>
      <c r="P100" t="s" s="1">
        <f>HYPERLINK("http://141.218.60.56/~jnz1568/discussion.php?&amp;Z=8&amp;N=6&amp;Sheet=1&amp;Row=99&amp;Col=15","")</f>
      </c>
      <c r="Q100" t="s" s="1">
        <f>HYPERLINK("http://141.218.60.56/~jnz1568/discussion.php?&amp;Z=8&amp;N=6&amp;Sheet=1&amp;Row=99&amp;Col=16","")</f>
      </c>
    </row>
    <row r="101">
      <c r="A101" t="s">
        <v>15</v>
      </c>
      <c r="B101" t="s">
        <v>16</v>
      </c>
      <c r="C101" t="s">
        <v>74</v>
      </c>
      <c r="D101" t="s">
        <v>64</v>
      </c>
      <c r="E101" t="s">
        <v>590</v>
      </c>
      <c r="F101" t="s" s="1">
        <f>HYPERLINK("http://141.218.60.56/~jnz1568/discussion.php?&amp;Z=8&amp;N=6&amp;Sheet=1&amp;Row=100&amp;Col=5","")</f>
      </c>
      <c r="G101" t="s" s="1">
        <f>HYPERLINK("http://141.218.60.56/~jnz1568/discussion.php?&amp;Z=8&amp;N=6&amp;Sheet=1&amp;Row=100&amp;Col=6","1.2786")</f>
      </c>
      <c r="H101" t="s" s="1">
        <f>HYPERLINK("http://141.218.60.56/~jnz1568/discussion.php?&amp;Z=8&amp;N=6&amp;Sheet=1&amp;Row=100&amp;Col=7","9.2534e-11")</f>
      </c>
      <c r="I101" t="s" s="1">
        <f>HYPERLINK("http://141.218.60.56/~jnz1568/discussion.php?&amp;Z=8&amp;N=6&amp;Sheet=1&amp;Row=100&amp;Col=8","")</f>
      </c>
      <c r="J101" t="s" s="1">
        <f>HYPERLINK("http://141.218.60.56/~jnz1568/discussion.php?&amp;Z=8&amp;N=6&amp;Sheet=1&amp;Row=100&amp;Col=9","")</f>
      </c>
      <c r="K101" t="s" s="1">
        <f>HYPERLINK("http://141.218.60.56/~jnz1568/discussion.php?&amp;Z=8&amp;N=6&amp;Sheet=1&amp;Row=100&amp;Col=10","")</f>
      </c>
      <c r="L101" t="s" s="1">
        <f>HYPERLINK("http://141.218.60.56/~jnz1568/discussion.php?&amp;Z=8&amp;N=6&amp;Sheet=1&amp;Row=100&amp;Col=11","")</f>
      </c>
      <c r="M101" t="s" s="1">
        <f>HYPERLINK("http://141.218.60.56/~jnz1568/discussion.php?&amp;Z=8&amp;N=6&amp;Sheet=1&amp;Row=100&amp;Col=12","")</f>
      </c>
      <c r="N101" t="s" s="1">
        <f>HYPERLINK("http://141.218.60.56/~jnz1568/discussion.php?&amp;Z=8&amp;N=6&amp;Sheet=1&amp;Row=100&amp;Col=13","")</f>
      </c>
      <c r="O101" t="s" s="1">
        <f>HYPERLINK("http://141.218.60.56/~jnz1568/discussion.php?&amp;Z=8&amp;N=6&amp;Sheet=1&amp;Row=100&amp;Col=14","")</f>
      </c>
      <c r="P101" t="s" s="1">
        <f>HYPERLINK("http://141.218.60.56/~jnz1568/discussion.php?&amp;Z=8&amp;N=6&amp;Sheet=1&amp;Row=100&amp;Col=15","")</f>
      </c>
      <c r="Q101" t="s" s="1">
        <f>HYPERLINK("http://141.218.60.56/~jnz1568/discussion.php?&amp;Z=8&amp;N=6&amp;Sheet=1&amp;Row=100&amp;Col=16","")</f>
      </c>
    </row>
    <row r="102">
      <c r="A102" t="s">
        <v>15</v>
      </c>
      <c r="B102" t="s">
        <v>16</v>
      </c>
      <c r="C102" t="s">
        <v>74</v>
      </c>
      <c r="D102" t="s">
        <v>69</v>
      </c>
      <c r="E102" t="s">
        <v>593</v>
      </c>
      <c r="F102" t="s" s="1">
        <f>HYPERLINK("http://141.218.60.56/~jnz1568/discussion.php?&amp;Z=8&amp;N=6&amp;Sheet=1&amp;Row=101&amp;Col=5","")</f>
      </c>
      <c r="G102" t="s" s="1">
        <f>HYPERLINK("http://141.218.60.56/~jnz1568/discussion.php?&amp;Z=8&amp;N=6&amp;Sheet=1&amp;Row=101&amp;Col=6","1.6781e-10")</f>
      </c>
      <c r="H102" t="s" s="1">
        <f>HYPERLINK("http://141.218.60.56/~jnz1568/discussion.php?&amp;Z=8&amp;N=6&amp;Sheet=1&amp;Row=101&amp;Col=7","0.022596")</f>
      </c>
      <c r="I102" t="s" s="1">
        <f>HYPERLINK("http://141.218.60.56/~jnz1568/discussion.php?&amp;Z=8&amp;N=6&amp;Sheet=1&amp;Row=101&amp;Col=8","")</f>
      </c>
      <c r="J102" t="s" s="1">
        <f>HYPERLINK("http://141.218.60.56/~jnz1568/discussion.php?&amp;Z=8&amp;N=6&amp;Sheet=1&amp;Row=101&amp;Col=9","")</f>
      </c>
      <c r="K102" t="s" s="1">
        <f>HYPERLINK("http://141.218.60.56/~jnz1568/discussion.php?&amp;Z=8&amp;N=6&amp;Sheet=1&amp;Row=101&amp;Col=10","")</f>
      </c>
      <c r="L102" t="s" s="1">
        <f>HYPERLINK("http://141.218.60.56/~jnz1568/discussion.php?&amp;Z=8&amp;N=6&amp;Sheet=1&amp;Row=101&amp;Col=11","")</f>
      </c>
      <c r="M102" t="s" s="1">
        <f>HYPERLINK("http://141.218.60.56/~jnz1568/discussion.php?&amp;Z=8&amp;N=6&amp;Sheet=1&amp;Row=101&amp;Col=12","")</f>
      </c>
      <c r="N102" t="s" s="1">
        <f>HYPERLINK("http://141.218.60.56/~jnz1568/discussion.php?&amp;Z=8&amp;N=6&amp;Sheet=1&amp;Row=101&amp;Col=13","")</f>
      </c>
      <c r="O102" t="s" s="1">
        <f>HYPERLINK("http://141.218.60.56/~jnz1568/discussion.php?&amp;Z=8&amp;N=6&amp;Sheet=1&amp;Row=101&amp;Col=14","")</f>
      </c>
      <c r="P102" t="s" s="1">
        <f>HYPERLINK("http://141.218.60.56/~jnz1568/discussion.php?&amp;Z=8&amp;N=6&amp;Sheet=1&amp;Row=101&amp;Col=15","")</f>
      </c>
      <c r="Q102" t="s" s="1">
        <f>HYPERLINK("http://141.218.60.56/~jnz1568/discussion.php?&amp;Z=8&amp;N=6&amp;Sheet=1&amp;Row=101&amp;Col=16","")</f>
      </c>
    </row>
    <row r="103">
      <c r="A103" t="s">
        <v>15</v>
      </c>
      <c r="B103" t="s">
        <v>16</v>
      </c>
      <c r="C103" t="s">
        <v>79</v>
      </c>
      <c r="D103" t="s">
        <v>23</v>
      </c>
      <c r="E103" t="s">
        <v>596</v>
      </c>
      <c r="F103" t="s" s="1">
        <f>HYPERLINK("http://141.218.60.56/~jnz1568/discussion.php?&amp;Z=8&amp;N=6&amp;Sheet=1&amp;Row=102&amp;Col=5","3921900000")</f>
      </c>
      <c r="G103" t="s" s="1">
        <f>HYPERLINK("http://141.218.60.56/~jnz1568/discussion.php?&amp;Z=8&amp;N=6&amp;Sheet=1&amp;Row=102&amp;Col=6","")</f>
      </c>
      <c r="H103" t="s" s="1">
        <f>HYPERLINK("http://141.218.60.56/~jnz1568/discussion.php?&amp;Z=8&amp;N=6&amp;Sheet=1&amp;Row=102&amp;Col=7","")</f>
      </c>
      <c r="I103" t="s" s="1">
        <f>HYPERLINK("http://141.218.60.56/~jnz1568/discussion.php?&amp;Z=8&amp;N=6&amp;Sheet=1&amp;Row=102&amp;Col=8","")</f>
      </c>
      <c r="J103" t="s" s="1">
        <f>HYPERLINK("http://141.218.60.56/~jnz1568/discussion.php?&amp;Z=8&amp;N=6&amp;Sheet=1&amp;Row=102&amp;Col=9","3939700000")</f>
      </c>
      <c r="K103" t="s" s="1">
        <f>HYPERLINK("http://141.218.60.56/~jnz1568/discussion.php?&amp;Z=8&amp;N=6&amp;Sheet=1&amp;Row=102&amp;Col=10","")</f>
      </c>
      <c r="L103" t="s" s="1">
        <f>HYPERLINK("http://141.218.60.56/~jnz1568/discussion.php?&amp;Z=8&amp;N=6&amp;Sheet=1&amp;Row=102&amp;Col=11","")</f>
      </c>
      <c r="M103" t="s" s="1">
        <f>HYPERLINK("http://141.218.60.56/~jnz1568/discussion.php?&amp;Z=8&amp;N=6&amp;Sheet=1&amp;Row=102&amp;Col=12","")</f>
      </c>
      <c r="N103" t="s" s="1">
        <f>HYPERLINK("http://141.218.60.56/~jnz1568/discussion.php?&amp;Z=8&amp;N=6&amp;Sheet=1&amp;Row=102&amp;Col=13","4204000000")</f>
      </c>
      <c r="O103" t="s" s="1">
        <f>HYPERLINK("http://141.218.60.56/~jnz1568/discussion.php?&amp;Z=8&amp;N=6&amp;Sheet=1&amp;Row=102&amp;Col=14","")</f>
      </c>
      <c r="P103" t="s" s="1">
        <f>HYPERLINK("http://141.218.60.56/~jnz1568/discussion.php?&amp;Z=8&amp;N=6&amp;Sheet=1&amp;Row=102&amp;Col=15","")</f>
      </c>
      <c r="Q103" t="s" s="1">
        <f>HYPERLINK("http://141.218.60.56/~jnz1568/discussion.php?&amp;Z=8&amp;N=6&amp;Sheet=1&amp;Row=102&amp;Col=16","")</f>
      </c>
    </row>
    <row r="104">
      <c r="A104" t="s">
        <v>15</v>
      </c>
      <c r="B104" t="s">
        <v>16</v>
      </c>
      <c r="C104" t="s">
        <v>84</v>
      </c>
      <c r="D104" t="s">
        <v>17</v>
      </c>
      <c r="E104" t="s">
        <v>600</v>
      </c>
      <c r="F104" t="s" s="1">
        <f>HYPERLINK("http://141.218.60.56/~jnz1568/discussion.php?&amp;Z=8&amp;N=6&amp;Sheet=1&amp;Row=103&amp;Col=5","1307200000")</f>
      </c>
      <c r="G104" t="s" s="1">
        <f>HYPERLINK("http://141.218.60.56/~jnz1568/discussion.php?&amp;Z=8&amp;N=6&amp;Sheet=1&amp;Row=103&amp;Col=6","")</f>
      </c>
      <c r="H104" t="s" s="1">
        <f>HYPERLINK("http://141.218.60.56/~jnz1568/discussion.php?&amp;Z=8&amp;N=6&amp;Sheet=1&amp;Row=103&amp;Col=7","")</f>
      </c>
      <c r="I104" t="s" s="1">
        <f>HYPERLINK("http://141.218.60.56/~jnz1568/discussion.php?&amp;Z=8&amp;N=6&amp;Sheet=1&amp;Row=103&amp;Col=8","")</f>
      </c>
      <c r="J104" t="s" s="1">
        <f>HYPERLINK("http://141.218.60.56/~jnz1568/discussion.php?&amp;Z=8&amp;N=6&amp;Sheet=1&amp;Row=103&amp;Col=9","1316500000")</f>
      </c>
      <c r="K104" t="s" s="1">
        <f>HYPERLINK("http://141.218.60.56/~jnz1568/discussion.php?&amp;Z=8&amp;N=6&amp;Sheet=1&amp;Row=103&amp;Col=10","")</f>
      </c>
      <c r="L104" t="s" s="1">
        <f>HYPERLINK("http://141.218.60.56/~jnz1568/discussion.php?&amp;Z=8&amp;N=6&amp;Sheet=1&amp;Row=103&amp;Col=11","")</f>
      </c>
      <c r="M104" t="s" s="1">
        <f>HYPERLINK("http://141.218.60.56/~jnz1568/discussion.php?&amp;Z=8&amp;N=6&amp;Sheet=1&amp;Row=103&amp;Col=12","")</f>
      </c>
      <c r="N104" t="s" s="1">
        <f>HYPERLINK("http://141.218.60.56/~jnz1568/discussion.php?&amp;Z=8&amp;N=6&amp;Sheet=1&amp;Row=103&amp;Col=13","1401000000")</f>
      </c>
      <c r="O104" t="s" s="1">
        <f>HYPERLINK("http://141.218.60.56/~jnz1568/discussion.php?&amp;Z=8&amp;N=6&amp;Sheet=1&amp;Row=103&amp;Col=14","")</f>
      </c>
      <c r="P104" t="s" s="1">
        <f>HYPERLINK("http://141.218.60.56/~jnz1568/discussion.php?&amp;Z=8&amp;N=6&amp;Sheet=1&amp;Row=103&amp;Col=15","")</f>
      </c>
      <c r="Q104" t="s" s="1">
        <f>HYPERLINK("http://141.218.60.56/~jnz1568/discussion.php?&amp;Z=8&amp;N=6&amp;Sheet=1&amp;Row=103&amp;Col=16","")</f>
      </c>
    </row>
    <row r="105">
      <c r="A105" t="s">
        <v>15</v>
      </c>
      <c r="B105" t="s">
        <v>16</v>
      </c>
      <c r="C105" t="s">
        <v>84</v>
      </c>
      <c r="D105" t="s">
        <v>23</v>
      </c>
      <c r="E105" t="s">
        <v>604</v>
      </c>
      <c r="F105" t="s" s="1">
        <f>HYPERLINK("http://141.218.60.56/~jnz1568/discussion.php?&amp;Z=8&amp;N=6&amp;Sheet=1&amp;Row=104&amp;Col=5","979080000")</f>
      </c>
      <c r="G105" t="s" s="1">
        <f>HYPERLINK("http://141.218.60.56/~jnz1568/discussion.php?&amp;Z=8&amp;N=6&amp;Sheet=1&amp;Row=104&amp;Col=6","")</f>
      </c>
      <c r="H105" t="s" s="1">
        <f>HYPERLINK("http://141.218.60.56/~jnz1568/discussion.php?&amp;Z=8&amp;N=6&amp;Sheet=1&amp;Row=104&amp;Col=7","")</f>
      </c>
      <c r="I105" t="s" s="1">
        <f>HYPERLINK("http://141.218.60.56/~jnz1568/discussion.php?&amp;Z=8&amp;N=6&amp;Sheet=1&amp;Row=104&amp;Col=8","")</f>
      </c>
      <c r="J105" t="s" s="1">
        <f>HYPERLINK("http://141.218.60.56/~jnz1568/discussion.php?&amp;Z=8&amp;N=6&amp;Sheet=1&amp;Row=104&amp;Col=9","985270000")</f>
      </c>
      <c r="K105" t="s" s="1">
        <f>HYPERLINK("http://141.218.60.56/~jnz1568/discussion.php?&amp;Z=8&amp;N=6&amp;Sheet=1&amp;Row=104&amp;Col=10","")</f>
      </c>
      <c r="L105" t="s" s="1">
        <f>HYPERLINK("http://141.218.60.56/~jnz1568/discussion.php?&amp;Z=8&amp;N=6&amp;Sheet=1&amp;Row=104&amp;Col=11","")</f>
      </c>
      <c r="M105" t="s" s="1">
        <f>HYPERLINK("http://141.218.60.56/~jnz1568/discussion.php?&amp;Z=8&amp;N=6&amp;Sheet=1&amp;Row=104&amp;Col=12","")</f>
      </c>
      <c r="N105" t="s" s="1">
        <f>HYPERLINK("http://141.218.60.56/~jnz1568/discussion.php?&amp;Z=8&amp;N=6&amp;Sheet=1&amp;Row=104&amp;Col=13","1050000000")</f>
      </c>
      <c r="O105" t="s" s="1">
        <f>HYPERLINK("http://141.218.60.56/~jnz1568/discussion.php?&amp;Z=8&amp;N=6&amp;Sheet=1&amp;Row=104&amp;Col=14","")</f>
      </c>
      <c r="P105" t="s" s="1">
        <f>HYPERLINK("http://141.218.60.56/~jnz1568/discussion.php?&amp;Z=8&amp;N=6&amp;Sheet=1&amp;Row=104&amp;Col=15","")</f>
      </c>
      <c r="Q105" t="s" s="1">
        <f>HYPERLINK("http://141.218.60.56/~jnz1568/discussion.php?&amp;Z=8&amp;N=6&amp;Sheet=1&amp;Row=104&amp;Col=16","")</f>
      </c>
    </row>
    <row r="106">
      <c r="A106" t="s">
        <v>15</v>
      </c>
      <c r="B106" t="s">
        <v>16</v>
      </c>
      <c r="C106" t="s">
        <v>84</v>
      </c>
      <c r="D106" t="s">
        <v>20</v>
      </c>
      <c r="E106" t="s">
        <v>608</v>
      </c>
      <c r="F106" t="s" s="1">
        <f>HYPERLINK("http://141.218.60.56/~jnz1568/discussion.php?&amp;Z=8&amp;N=6&amp;Sheet=1&amp;Row=105&amp;Col=5","1635000000")</f>
      </c>
      <c r="G106" t="s" s="1">
        <f>HYPERLINK("http://141.218.60.56/~jnz1568/discussion.php?&amp;Z=8&amp;N=6&amp;Sheet=1&amp;Row=105&amp;Col=6","")</f>
      </c>
      <c r="H106" t="s" s="1">
        <f>HYPERLINK("http://141.218.60.56/~jnz1568/discussion.php?&amp;Z=8&amp;N=6&amp;Sheet=1&amp;Row=105&amp;Col=7","")</f>
      </c>
      <c r="I106" t="s" s="1">
        <f>HYPERLINK("http://141.218.60.56/~jnz1568/discussion.php?&amp;Z=8&amp;N=6&amp;Sheet=1&amp;Row=105&amp;Col=8","")</f>
      </c>
      <c r="J106" t="s" s="1">
        <f>HYPERLINK("http://141.218.60.56/~jnz1568/discussion.php?&amp;Z=8&amp;N=6&amp;Sheet=1&amp;Row=105&amp;Col=9","1642300000")</f>
      </c>
      <c r="K106" t="s" s="1">
        <f>HYPERLINK("http://141.218.60.56/~jnz1568/discussion.php?&amp;Z=8&amp;N=6&amp;Sheet=1&amp;Row=105&amp;Col=10","")</f>
      </c>
      <c r="L106" t="s" s="1">
        <f>HYPERLINK("http://141.218.60.56/~jnz1568/discussion.php?&amp;Z=8&amp;N=6&amp;Sheet=1&amp;Row=105&amp;Col=11","")</f>
      </c>
      <c r="M106" t="s" s="1">
        <f>HYPERLINK("http://141.218.60.56/~jnz1568/discussion.php?&amp;Z=8&amp;N=6&amp;Sheet=1&amp;Row=105&amp;Col=12","")</f>
      </c>
      <c r="N106" t="s" s="1">
        <f>HYPERLINK("http://141.218.60.56/~jnz1568/discussion.php?&amp;Z=8&amp;N=6&amp;Sheet=1&amp;Row=105&amp;Col=13","1754000000")</f>
      </c>
      <c r="O106" t="s" s="1">
        <f>HYPERLINK("http://141.218.60.56/~jnz1568/discussion.php?&amp;Z=8&amp;N=6&amp;Sheet=1&amp;Row=105&amp;Col=14","")</f>
      </c>
      <c r="P106" t="s" s="1">
        <f>HYPERLINK("http://141.218.60.56/~jnz1568/discussion.php?&amp;Z=8&amp;N=6&amp;Sheet=1&amp;Row=105&amp;Col=15","")</f>
      </c>
      <c r="Q106" t="s" s="1">
        <f>HYPERLINK("http://141.218.60.56/~jnz1568/discussion.php?&amp;Z=8&amp;N=6&amp;Sheet=1&amp;Row=105&amp;Col=16","")</f>
      </c>
    </row>
    <row r="107">
      <c r="A107" t="s">
        <v>15</v>
      </c>
      <c r="B107" t="s">
        <v>16</v>
      </c>
      <c r="C107" t="s">
        <v>84</v>
      </c>
      <c r="D107" t="s">
        <v>28</v>
      </c>
      <c r="E107" t="s">
        <v>612</v>
      </c>
      <c r="F107" t="s" s="1">
        <f>HYPERLINK("http://141.218.60.56/~jnz1568/discussion.php?&amp;Z=8&amp;N=6&amp;Sheet=1&amp;Row=106&amp;Col=5","1889600")</f>
      </c>
      <c r="G107" t="s" s="1">
        <f>HYPERLINK("http://141.218.60.56/~jnz1568/discussion.php?&amp;Z=8&amp;N=6&amp;Sheet=1&amp;Row=106&amp;Col=6","")</f>
      </c>
      <c r="H107" t="s" s="1">
        <f>HYPERLINK("http://141.218.60.56/~jnz1568/discussion.php?&amp;Z=8&amp;N=6&amp;Sheet=1&amp;Row=106&amp;Col=7","")</f>
      </c>
      <c r="I107" t="s" s="1">
        <f>HYPERLINK("http://141.218.60.56/~jnz1568/discussion.php?&amp;Z=8&amp;N=6&amp;Sheet=1&amp;Row=106&amp;Col=8","")</f>
      </c>
      <c r="J107" t="s" s="1">
        <f>HYPERLINK("http://141.218.60.56/~jnz1568/discussion.php?&amp;Z=8&amp;N=6&amp;Sheet=1&amp;Row=106&amp;Col=9","1670500")</f>
      </c>
      <c r="K107" t="s" s="1">
        <f>HYPERLINK("http://141.218.60.56/~jnz1568/discussion.php?&amp;Z=8&amp;N=6&amp;Sheet=1&amp;Row=106&amp;Col=10","")</f>
      </c>
      <c r="L107" t="s" s="1">
        <f>HYPERLINK("http://141.218.60.56/~jnz1568/discussion.php?&amp;Z=8&amp;N=6&amp;Sheet=1&amp;Row=106&amp;Col=11","")</f>
      </c>
      <c r="M107" t="s" s="1">
        <f>HYPERLINK("http://141.218.60.56/~jnz1568/discussion.php?&amp;Z=8&amp;N=6&amp;Sheet=1&amp;Row=106&amp;Col=12","")</f>
      </c>
      <c r="N107" t="s" s="1">
        <f>HYPERLINK("http://141.218.60.56/~jnz1568/discussion.php?&amp;Z=8&amp;N=6&amp;Sheet=1&amp;Row=106&amp;Col=13","574500")</f>
      </c>
      <c r="O107" t="s" s="1">
        <f>HYPERLINK("http://141.218.60.56/~jnz1568/discussion.php?&amp;Z=8&amp;N=6&amp;Sheet=1&amp;Row=106&amp;Col=14","")</f>
      </c>
      <c r="P107" t="s" s="1">
        <f>HYPERLINK("http://141.218.60.56/~jnz1568/discussion.php?&amp;Z=8&amp;N=6&amp;Sheet=1&amp;Row=106&amp;Col=15","")</f>
      </c>
      <c r="Q107" t="s" s="1">
        <f>HYPERLINK("http://141.218.60.56/~jnz1568/discussion.php?&amp;Z=8&amp;N=6&amp;Sheet=1&amp;Row=106&amp;Col=16","")</f>
      </c>
    </row>
    <row r="108">
      <c r="A108" t="s">
        <v>15</v>
      </c>
      <c r="B108" t="s">
        <v>16</v>
      </c>
      <c r="C108" t="s">
        <v>84</v>
      </c>
      <c r="D108" t="s">
        <v>33</v>
      </c>
      <c r="E108" t="s">
        <v>616</v>
      </c>
      <c r="F108" t="s" s="1">
        <f>HYPERLINK("http://141.218.60.56/~jnz1568/discussion.php?&amp;Z=8&amp;N=6&amp;Sheet=1&amp;Row=107&amp;Col=5","1028700")</f>
      </c>
      <c r="G108" t="s" s="1">
        <f>HYPERLINK("http://141.218.60.56/~jnz1568/discussion.php?&amp;Z=8&amp;N=6&amp;Sheet=1&amp;Row=107&amp;Col=6","")</f>
      </c>
      <c r="H108" t="s" s="1">
        <f>HYPERLINK("http://141.218.60.56/~jnz1568/discussion.php?&amp;Z=8&amp;N=6&amp;Sheet=1&amp;Row=107&amp;Col=7","")</f>
      </c>
      <c r="I108" t="s" s="1">
        <f>HYPERLINK("http://141.218.60.56/~jnz1568/discussion.php?&amp;Z=8&amp;N=6&amp;Sheet=1&amp;Row=107&amp;Col=8","")</f>
      </c>
      <c r="J108" t="s" s="1">
        <f>HYPERLINK("http://141.218.60.56/~jnz1568/discussion.php?&amp;Z=8&amp;N=6&amp;Sheet=1&amp;Row=107&amp;Col=9","1013100")</f>
      </c>
      <c r="K108" t="s" s="1">
        <f>HYPERLINK("http://141.218.60.56/~jnz1568/discussion.php?&amp;Z=8&amp;N=6&amp;Sheet=1&amp;Row=107&amp;Col=10","")</f>
      </c>
      <c r="L108" t="s" s="1">
        <f>HYPERLINK("http://141.218.60.56/~jnz1568/discussion.php?&amp;Z=8&amp;N=6&amp;Sheet=1&amp;Row=107&amp;Col=11","")</f>
      </c>
      <c r="M108" t="s" s="1">
        <f>HYPERLINK("http://141.218.60.56/~jnz1568/discussion.php?&amp;Z=8&amp;N=6&amp;Sheet=1&amp;Row=107&amp;Col=12","")</f>
      </c>
      <c r="N108" t="s" s="1">
        <f>HYPERLINK("http://141.218.60.56/~jnz1568/discussion.php?&amp;Z=8&amp;N=6&amp;Sheet=1&amp;Row=107&amp;Col=13","332400")</f>
      </c>
      <c r="O108" t="s" s="1">
        <f>HYPERLINK("http://141.218.60.56/~jnz1568/discussion.php?&amp;Z=8&amp;N=6&amp;Sheet=1&amp;Row=107&amp;Col=14","")</f>
      </c>
      <c r="P108" t="s" s="1">
        <f>HYPERLINK("http://141.218.60.56/~jnz1568/discussion.php?&amp;Z=8&amp;N=6&amp;Sheet=1&amp;Row=107&amp;Col=15","")</f>
      </c>
      <c r="Q108" t="s" s="1">
        <f>HYPERLINK("http://141.218.60.56/~jnz1568/discussion.php?&amp;Z=8&amp;N=6&amp;Sheet=1&amp;Row=107&amp;Col=16","")</f>
      </c>
    </row>
    <row r="109">
      <c r="A109" t="s">
        <v>15</v>
      </c>
      <c r="B109" t="s">
        <v>16</v>
      </c>
      <c r="C109" t="s">
        <v>87</v>
      </c>
      <c r="D109" t="s">
        <v>23</v>
      </c>
      <c r="E109" t="s">
        <v>620</v>
      </c>
      <c r="F109" t="s" s="1">
        <f>HYPERLINK("http://141.218.60.56/~jnz1568/discussion.php?&amp;Z=8&amp;N=6&amp;Sheet=1&amp;Row=108&amp;Col=5","982200000")</f>
      </c>
      <c r="G109" t="s" s="1">
        <f>HYPERLINK("http://141.218.60.56/~jnz1568/discussion.php?&amp;Z=8&amp;N=6&amp;Sheet=1&amp;Row=108&amp;Col=6","")</f>
      </c>
      <c r="H109" t="s" s="1">
        <f>HYPERLINK("http://141.218.60.56/~jnz1568/discussion.php?&amp;Z=8&amp;N=6&amp;Sheet=1&amp;Row=108&amp;Col=7","")</f>
      </c>
      <c r="I109" t="s" s="1">
        <f>HYPERLINK("http://141.218.60.56/~jnz1568/discussion.php?&amp;Z=8&amp;N=6&amp;Sheet=1&amp;Row=108&amp;Col=8","")</f>
      </c>
      <c r="J109" t="s" s="1">
        <f>HYPERLINK("http://141.218.60.56/~jnz1568/discussion.php?&amp;Z=8&amp;N=6&amp;Sheet=1&amp;Row=108&amp;Col=9","991760000")</f>
      </c>
      <c r="K109" t="s" s="1">
        <f>HYPERLINK("http://141.218.60.56/~jnz1568/discussion.php?&amp;Z=8&amp;N=6&amp;Sheet=1&amp;Row=108&amp;Col=10","")</f>
      </c>
      <c r="L109" t="s" s="1">
        <f>HYPERLINK("http://141.218.60.56/~jnz1568/discussion.php?&amp;Z=8&amp;N=6&amp;Sheet=1&amp;Row=108&amp;Col=11","")</f>
      </c>
      <c r="M109" t="s" s="1">
        <f>HYPERLINK("http://141.218.60.56/~jnz1568/discussion.php?&amp;Z=8&amp;N=6&amp;Sheet=1&amp;Row=108&amp;Col=12","")</f>
      </c>
      <c r="N109" t="s" s="1">
        <f>HYPERLINK("http://141.218.60.56/~jnz1568/discussion.php?&amp;Z=8&amp;N=6&amp;Sheet=1&amp;Row=108&amp;Col=13","1052000000")</f>
      </c>
      <c r="O109" t="s" s="1">
        <f>HYPERLINK("http://141.218.60.56/~jnz1568/discussion.php?&amp;Z=8&amp;N=6&amp;Sheet=1&amp;Row=108&amp;Col=14","")</f>
      </c>
      <c r="P109" t="s" s="1">
        <f>HYPERLINK("http://141.218.60.56/~jnz1568/discussion.php?&amp;Z=8&amp;N=6&amp;Sheet=1&amp;Row=108&amp;Col=15","")</f>
      </c>
      <c r="Q109" t="s" s="1">
        <f>HYPERLINK("http://141.218.60.56/~jnz1568/discussion.php?&amp;Z=8&amp;N=6&amp;Sheet=1&amp;Row=108&amp;Col=16","")</f>
      </c>
    </row>
    <row r="110">
      <c r="A110" t="s">
        <v>15</v>
      </c>
      <c r="B110" t="s">
        <v>16</v>
      </c>
      <c r="C110" t="s">
        <v>87</v>
      </c>
      <c r="D110" t="s">
        <v>20</v>
      </c>
      <c r="E110" t="s">
        <v>624</v>
      </c>
      <c r="F110" t="s" s="1">
        <f>HYPERLINK("http://141.218.60.56/~jnz1568/discussion.php?&amp;Z=8&amp;N=6&amp;Sheet=1&amp;Row=109&amp;Col=5","2944800000")</f>
      </c>
      <c r="G110" t="s" s="1">
        <f>HYPERLINK("http://141.218.60.56/~jnz1568/discussion.php?&amp;Z=8&amp;N=6&amp;Sheet=1&amp;Row=109&amp;Col=6","")</f>
      </c>
      <c r="H110" t="s" s="1">
        <f>HYPERLINK("http://141.218.60.56/~jnz1568/discussion.php?&amp;Z=8&amp;N=6&amp;Sheet=1&amp;Row=109&amp;Col=7","")</f>
      </c>
      <c r="I110" t="s" s="1">
        <f>HYPERLINK("http://141.218.60.56/~jnz1568/discussion.php?&amp;Z=8&amp;N=6&amp;Sheet=1&amp;Row=109&amp;Col=8","")</f>
      </c>
      <c r="J110" t="s" s="1">
        <f>HYPERLINK("http://141.218.60.56/~jnz1568/discussion.php?&amp;Z=8&amp;N=6&amp;Sheet=1&amp;Row=109&amp;Col=9","2968600000")</f>
      </c>
      <c r="K110" t="s" s="1">
        <f>HYPERLINK("http://141.218.60.56/~jnz1568/discussion.php?&amp;Z=8&amp;N=6&amp;Sheet=1&amp;Row=109&amp;Col=10","")</f>
      </c>
      <c r="L110" t="s" s="1">
        <f>HYPERLINK("http://141.218.60.56/~jnz1568/discussion.php?&amp;Z=8&amp;N=6&amp;Sheet=1&amp;Row=109&amp;Col=11","")</f>
      </c>
      <c r="M110" t="s" s="1">
        <f>HYPERLINK("http://141.218.60.56/~jnz1568/discussion.php?&amp;Z=8&amp;N=6&amp;Sheet=1&amp;Row=109&amp;Col=12","")</f>
      </c>
      <c r="N110" t="s" s="1">
        <f>HYPERLINK("http://141.218.60.56/~jnz1568/discussion.php?&amp;Z=8&amp;N=6&amp;Sheet=1&amp;Row=109&amp;Col=13","3156000000")</f>
      </c>
      <c r="O110" t="s" s="1">
        <f>HYPERLINK("http://141.218.60.56/~jnz1568/discussion.php?&amp;Z=8&amp;N=6&amp;Sheet=1&amp;Row=109&amp;Col=14","")</f>
      </c>
      <c r="P110" t="s" s="1">
        <f>HYPERLINK("http://141.218.60.56/~jnz1568/discussion.php?&amp;Z=8&amp;N=6&amp;Sheet=1&amp;Row=109&amp;Col=15","")</f>
      </c>
      <c r="Q110" t="s" s="1">
        <f>HYPERLINK("http://141.218.60.56/~jnz1568/discussion.php?&amp;Z=8&amp;N=6&amp;Sheet=1&amp;Row=109&amp;Col=16","")</f>
      </c>
    </row>
    <row r="111">
      <c r="A111" t="s">
        <v>15</v>
      </c>
      <c r="B111" t="s">
        <v>16</v>
      </c>
      <c r="C111" t="s">
        <v>87</v>
      </c>
      <c r="D111" t="s">
        <v>28</v>
      </c>
      <c r="E111" t="s">
        <v>628</v>
      </c>
      <c r="F111" t="s" s="1">
        <f>HYPERLINK("http://141.218.60.56/~jnz1568/discussion.php?&amp;Z=8&amp;N=6&amp;Sheet=1&amp;Row=110&amp;Col=5","189050")</f>
      </c>
      <c r="G111" t="s" s="1">
        <f>HYPERLINK("http://141.218.60.56/~jnz1568/discussion.php?&amp;Z=8&amp;N=6&amp;Sheet=1&amp;Row=110&amp;Col=6","")</f>
      </c>
      <c r="H111" t="s" s="1">
        <f>HYPERLINK("http://141.218.60.56/~jnz1568/discussion.php?&amp;Z=8&amp;N=6&amp;Sheet=1&amp;Row=110&amp;Col=7","")</f>
      </c>
      <c r="I111" t="s" s="1">
        <f>HYPERLINK("http://141.218.60.56/~jnz1568/discussion.php?&amp;Z=8&amp;N=6&amp;Sheet=1&amp;Row=110&amp;Col=8","")</f>
      </c>
      <c r="J111" t="s" s="1">
        <f>HYPERLINK("http://141.218.60.56/~jnz1568/discussion.php?&amp;Z=8&amp;N=6&amp;Sheet=1&amp;Row=110&amp;Col=9","160570")</f>
      </c>
      <c r="K111" t="s" s="1">
        <f>HYPERLINK("http://141.218.60.56/~jnz1568/discussion.php?&amp;Z=8&amp;N=6&amp;Sheet=1&amp;Row=110&amp;Col=10","")</f>
      </c>
      <c r="L111" t="s" s="1">
        <f>HYPERLINK("http://141.218.60.56/~jnz1568/discussion.php?&amp;Z=8&amp;N=6&amp;Sheet=1&amp;Row=110&amp;Col=11","")</f>
      </c>
      <c r="M111" t="s" s="1">
        <f>HYPERLINK("http://141.218.60.56/~jnz1568/discussion.php?&amp;Z=8&amp;N=6&amp;Sheet=1&amp;Row=110&amp;Col=12","")</f>
      </c>
      <c r="N111" t="s" s="1">
        <f>HYPERLINK("http://141.218.60.56/~jnz1568/discussion.php?&amp;Z=8&amp;N=6&amp;Sheet=1&amp;Row=110&amp;Col=13","144700")</f>
      </c>
      <c r="O111" t="s" s="1">
        <f>HYPERLINK("http://141.218.60.56/~jnz1568/discussion.php?&amp;Z=8&amp;N=6&amp;Sheet=1&amp;Row=110&amp;Col=14","")</f>
      </c>
      <c r="P111" t="s" s="1">
        <f>HYPERLINK("http://141.218.60.56/~jnz1568/discussion.php?&amp;Z=8&amp;N=6&amp;Sheet=1&amp;Row=110&amp;Col=15","")</f>
      </c>
      <c r="Q111" t="s" s="1">
        <f>HYPERLINK("http://141.218.60.56/~jnz1568/discussion.php?&amp;Z=8&amp;N=6&amp;Sheet=1&amp;Row=110&amp;Col=16","")</f>
      </c>
    </row>
    <row r="112">
      <c r="A112" t="s">
        <v>15</v>
      </c>
      <c r="B112" t="s">
        <v>16</v>
      </c>
      <c r="C112" t="s">
        <v>90</v>
      </c>
      <c r="D112" t="s">
        <v>17</v>
      </c>
      <c r="E112" t="s">
        <v>632</v>
      </c>
      <c r="F112" t="s" s="1">
        <f>HYPERLINK("http://141.218.60.56/~jnz1568/discussion.php?&amp;Z=8&amp;N=6&amp;Sheet=1&amp;Row=111&amp;Col=5","701190")</f>
      </c>
      <c r="G112" t="s" s="1">
        <f>HYPERLINK("http://141.218.60.56/~jnz1568/discussion.php?&amp;Z=8&amp;N=6&amp;Sheet=1&amp;Row=111&amp;Col=6","")</f>
      </c>
      <c r="H112" t="s" s="1">
        <f>HYPERLINK("http://141.218.60.56/~jnz1568/discussion.php?&amp;Z=8&amp;N=6&amp;Sheet=1&amp;Row=111&amp;Col=7","")</f>
      </c>
      <c r="I112" t="s" s="1">
        <f>HYPERLINK("http://141.218.60.56/~jnz1568/discussion.php?&amp;Z=8&amp;N=6&amp;Sheet=1&amp;Row=111&amp;Col=8","")</f>
      </c>
      <c r="J112" t="s" s="1">
        <f>HYPERLINK("http://141.218.60.56/~jnz1568/discussion.php?&amp;Z=8&amp;N=6&amp;Sheet=1&amp;Row=111&amp;Col=9","689320")</f>
      </c>
      <c r="K112" t="s" s="1">
        <f>HYPERLINK("http://141.218.60.56/~jnz1568/discussion.php?&amp;Z=8&amp;N=6&amp;Sheet=1&amp;Row=111&amp;Col=10","")</f>
      </c>
      <c r="L112" t="s" s="1">
        <f>HYPERLINK("http://141.218.60.56/~jnz1568/discussion.php?&amp;Z=8&amp;N=6&amp;Sheet=1&amp;Row=111&amp;Col=11","")</f>
      </c>
      <c r="M112" t="s" s="1">
        <f>HYPERLINK("http://141.218.60.56/~jnz1568/discussion.php?&amp;Z=8&amp;N=6&amp;Sheet=1&amp;Row=111&amp;Col=12","")</f>
      </c>
      <c r="N112" t="s" s="1">
        <f>HYPERLINK("http://141.218.60.56/~jnz1568/discussion.php?&amp;Z=8&amp;N=6&amp;Sheet=1&amp;Row=111&amp;Col=13","266200")</f>
      </c>
      <c r="O112" t="s" s="1">
        <f>HYPERLINK("http://141.218.60.56/~jnz1568/discussion.php?&amp;Z=8&amp;N=6&amp;Sheet=1&amp;Row=111&amp;Col=14","")</f>
      </c>
      <c r="P112" t="s" s="1">
        <f>HYPERLINK("http://141.218.60.56/~jnz1568/discussion.php?&amp;Z=8&amp;N=6&amp;Sheet=1&amp;Row=111&amp;Col=15","")</f>
      </c>
      <c r="Q112" t="s" s="1">
        <f>HYPERLINK("http://141.218.60.56/~jnz1568/discussion.php?&amp;Z=8&amp;N=6&amp;Sheet=1&amp;Row=111&amp;Col=16","")</f>
      </c>
    </row>
    <row r="113">
      <c r="A113" t="s">
        <v>15</v>
      </c>
      <c r="B113" t="s">
        <v>16</v>
      </c>
      <c r="C113" t="s">
        <v>90</v>
      </c>
      <c r="D113" t="s">
        <v>23</v>
      </c>
      <c r="E113" t="s">
        <v>636</v>
      </c>
      <c r="F113" t="s" s="1">
        <f>HYPERLINK("http://141.218.60.56/~jnz1568/discussion.php?&amp;Z=8&amp;N=6&amp;Sheet=1&amp;Row=112&amp;Col=5","931880")</f>
      </c>
      <c r="G113" t="s" s="1">
        <f>HYPERLINK("http://141.218.60.56/~jnz1568/discussion.php?&amp;Z=8&amp;N=6&amp;Sheet=1&amp;Row=112&amp;Col=6","")</f>
      </c>
      <c r="H113" t="s" s="1">
        <f>HYPERLINK("http://141.218.60.56/~jnz1568/discussion.php?&amp;Z=8&amp;N=6&amp;Sheet=1&amp;Row=112&amp;Col=7","")</f>
      </c>
      <c r="I113" t="s" s="1">
        <f>HYPERLINK("http://141.218.60.56/~jnz1568/discussion.php?&amp;Z=8&amp;N=6&amp;Sheet=1&amp;Row=112&amp;Col=8","")</f>
      </c>
      <c r="J113" t="s" s="1">
        <f>HYPERLINK("http://141.218.60.56/~jnz1568/discussion.php?&amp;Z=8&amp;N=6&amp;Sheet=1&amp;Row=112&amp;Col=9","1000400")</f>
      </c>
      <c r="K113" t="s" s="1">
        <f>HYPERLINK("http://141.218.60.56/~jnz1568/discussion.php?&amp;Z=8&amp;N=6&amp;Sheet=1&amp;Row=112&amp;Col=10","")</f>
      </c>
      <c r="L113" t="s" s="1">
        <f>HYPERLINK("http://141.218.60.56/~jnz1568/discussion.php?&amp;Z=8&amp;N=6&amp;Sheet=1&amp;Row=112&amp;Col=11","")</f>
      </c>
      <c r="M113" t="s" s="1">
        <f>HYPERLINK("http://141.218.60.56/~jnz1568/discussion.php?&amp;Z=8&amp;N=6&amp;Sheet=1&amp;Row=112&amp;Col=12","")</f>
      </c>
      <c r="N113" t="s" s="1">
        <f>HYPERLINK("http://141.218.60.56/~jnz1568/discussion.php?&amp;Z=8&amp;N=6&amp;Sheet=1&amp;Row=112&amp;Col=13","395900")</f>
      </c>
      <c r="O113" t="s" s="1">
        <f>HYPERLINK("http://141.218.60.56/~jnz1568/discussion.php?&amp;Z=8&amp;N=6&amp;Sheet=1&amp;Row=112&amp;Col=14","")</f>
      </c>
      <c r="P113" t="s" s="1">
        <f>HYPERLINK("http://141.218.60.56/~jnz1568/discussion.php?&amp;Z=8&amp;N=6&amp;Sheet=1&amp;Row=112&amp;Col=15","")</f>
      </c>
      <c r="Q113" t="s" s="1">
        <f>HYPERLINK("http://141.218.60.56/~jnz1568/discussion.php?&amp;Z=8&amp;N=6&amp;Sheet=1&amp;Row=112&amp;Col=16","")</f>
      </c>
    </row>
    <row r="114">
      <c r="A114" t="s">
        <v>15</v>
      </c>
      <c r="B114" t="s">
        <v>16</v>
      </c>
      <c r="C114" t="s">
        <v>90</v>
      </c>
      <c r="D114" t="s">
        <v>20</v>
      </c>
      <c r="E114" t="s">
        <v>640</v>
      </c>
      <c r="F114" t="s" s="1">
        <f>HYPERLINK("http://141.218.60.56/~jnz1568/discussion.php?&amp;Z=8&amp;N=6&amp;Sheet=1&amp;Row=113&amp;Col=5","743820")</f>
      </c>
      <c r="G114" t="s" s="1">
        <f>HYPERLINK("http://141.218.60.56/~jnz1568/discussion.php?&amp;Z=8&amp;N=6&amp;Sheet=1&amp;Row=113&amp;Col=6","")</f>
      </c>
      <c r="H114" t="s" s="1">
        <f>HYPERLINK("http://141.218.60.56/~jnz1568/discussion.php?&amp;Z=8&amp;N=6&amp;Sheet=1&amp;Row=113&amp;Col=7","")</f>
      </c>
      <c r="I114" t="s" s="1">
        <f>HYPERLINK("http://141.218.60.56/~jnz1568/discussion.php?&amp;Z=8&amp;N=6&amp;Sheet=1&amp;Row=113&amp;Col=8","")</f>
      </c>
      <c r="J114" t="s" s="1">
        <f>HYPERLINK("http://141.218.60.56/~jnz1568/discussion.php?&amp;Z=8&amp;N=6&amp;Sheet=1&amp;Row=113&amp;Col=9","730080")</f>
      </c>
      <c r="K114" t="s" s="1">
        <f>HYPERLINK("http://141.218.60.56/~jnz1568/discussion.php?&amp;Z=8&amp;N=6&amp;Sheet=1&amp;Row=113&amp;Col=10","")</f>
      </c>
      <c r="L114" t="s" s="1">
        <f>HYPERLINK("http://141.218.60.56/~jnz1568/discussion.php?&amp;Z=8&amp;N=6&amp;Sheet=1&amp;Row=113&amp;Col=11","")</f>
      </c>
      <c r="M114" t="s" s="1">
        <f>HYPERLINK("http://141.218.60.56/~jnz1568/discussion.php?&amp;Z=8&amp;N=6&amp;Sheet=1&amp;Row=113&amp;Col=12","")</f>
      </c>
      <c r="N114" t="s" s="1">
        <f>HYPERLINK("http://141.218.60.56/~jnz1568/discussion.php?&amp;Z=8&amp;N=6&amp;Sheet=1&amp;Row=113&amp;Col=13","207500")</f>
      </c>
      <c r="O114" t="s" s="1">
        <f>HYPERLINK("http://141.218.60.56/~jnz1568/discussion.php?&amp;Z=8&amp;N=6&amp;Sheet=1&amp;Row=113&amp;Col=14","")</f>
      </c>
      <c r="P114" t="s" s="1">
        <f>HYPERLINK("http://141.218.60.56/~jnz1568/discussion.php?&amp;Z=8&amp;N=6&amp;Sheet=1&amp;Row=113&amp;Col=15","")</f>
      </c>
      <c r="Q114" t="s" s="1">
        <f>HYPERLINK("http://141.218.60.56/~jnz1568/discussion.php?&amp;Z=8&amp;N=6&amp;Sheet=1&amp;Row=113&amp;Col=16","")</f>
      </c>
    </row>
    <row r="115">
      <c r="A115" t="s">
        <v>15</v>
      </c>
      <c r="B115" t="s">
        <v>16</v>
      </c>
      <c r="C115" t="s">
        <v>90</v>
      </c>
      <c r="D115" t="s">
        <v>28</v>
      </c>
      <c r="E115" t="s">
        <v>644</v>
      </c>
      <c r="F115" t="s" s="1">
        <f>HYPERLINK("http://141.218.60.56/~jnz1568/discussion.php?&amp;Z=8&amp;N=6&amp;Sheet=1&amp;Row=114&amp;Col=5","3022700000")</f>
      </c>
      <c r="G115" t="s" s="1">
        <f>HYPERLINK("http://141.218.60.56/~jnz1568/discussion.php?&amp;Z=8&amp;N=6&amp;Sheet=1&amp;Row=114&amp;Col=6","")</f>
      </c>
      <c r="H115" t="s" s="1">
        <f>HYPERLINK("http://141.218.60.56/~jnz1568/discussion.php?&amp;Z=8&amp;N=6&amp;Sheet=1&amp;Row=114&amp;Col=7","")</f>
      </c>
      <c r="I115" t="s" s="1">
        <f>HYPERLINK("http://141.218.60.56/~jnz1568/discussion.php?&amp;Z=8&amp;N=6&amp;Sheet=1&amp;Row=114&amp;Col=8","")</f>
      </c>
      <c r="J115" t="s" s="1">
        <f>HYPERLINK("http://141.218.60.56/~jnz1568/discussion.php?&amp;Z=8&amp;N=6&amp;Sheet=1&amp;Row=114&amp;Col=9","3044300000")</f>
      </c>
      <c r="K115" t="s" s="1">
        <f>HYPERLINK("http://141.218.60.56/~jnz1568/discussion.php?&amp;Z=8&amp;N=6&amp;Sheet=1&amp;Row=114&amp;Col=10","")</f>
      </c>
      <c r="L115" t="s" s="1">
        <f>HYPERLINK("http://141.218.60.56/~jnz1568/discussion.php?&amp;Z=8&amp;N=6&amp;Sheet=1&amp;Row=114&amp;Col=11","")</f>
      </c>
      <c r="M115" t="s" s="1">
        <f>HYPERLINK("http://141.218.60.56/~jnz1568/discussion.php?&amp;Z=8&amp;N=6&amp;Sheet=1&amp;Row=114&amp;Col=12","")</f>
      </c>
      <c r="N115" t="s" s="1">
        <f>HYPERLINK("http://141.218.60.56/~jnz1568/discussion.php?&amp;Z=8&amp;N=6&amp;Sheet=1&amp;Row=114&amp;Col=13","2912000000")</f>
      </c>
      <c r="O115" t="s" s="1">
        <f>HYPERLINK("http://141.218.60.56/~jnz1568/discussion.php?&amp;Z=8&amp;N=6&amp;Sheet=1&amp;Row=114&amp;Col=14","")</f>
      </c>
      <c r="P115" t="s" s="1">
        <f>HYPERLINK("http://141.218.60.56/~jnz1568/discussion.php?&amp;Z=8&amp;N=6&amp;Sheet=1&amp;Row=114&amp;Col=15","")</f>
      </c>
      <c r="Q115" t="s" s="1">
        <f>HYPERLINK("http://141.218.60.56/~jnz1568/discussion.php?&amp;Z=8&amp;N=6&amp;Sheet=1&amp;Row=114&amp;Col=16","")</f>
      </c>
    </row>
    <row r="116">
      <c r="A116" t="s">
        <v>15</v>
      </c>
      <c r="B116" t="s">
        <v>16</v>
      </c>
      <c r="C116" t="s">
        <v>90</v>
      </c>
      <c r="D116" t="s">
        <v>33</v>
      </c>
      <c r="E116" t="s">
        <v>648</v>
      </c>
      <c r="F116" t="s" s="1">
        <f>HYPERLINK("http://141.218.60.56/~jnz1568/discussion.php?&amp;Z=8&amp;N=6&amp;Sheet=1&amp;Row=115&amp;Col=5","1647100000")</f>
      </c>
      <c r="G116" t="s" s="1">
        <f>HYPERLINK("http://141.218.60.56/~jnz1568/discussion.php?&amp;Z=8&amp;N=6&amp;Sheet=1&amp;Row=115&amp;Col=6","")</f>
      </c>
      <c r="H116" t="s" s="1">
        <f>HYPERLINK("http://141.218.60.56/~jnz1568/discussion.php?&amp;Z=8&amp;N=6&amp;Sheet=1&amp;Row=115&amp;Col=7","")</f>
      </c>
      <c r="I116" t="s" s="1">
        <f>HYPERLINK("http://141.218.60.56/~jnz1568/discussion.php?&amp;Z=8&amp;N=6&amp;Sheet=1&amp;Row=115&amp;Col=8","")</f>
      </c>
      <c r="J116" t="s" s="1">
        <f>HYPERLINK("http://141.218.60.56/~jnz1568/discussion.php?&amp;Z=8&amp;N=6&amp;Sheet=1&amp;Row=115&amp;Col=9","1659700000")</f>
      </c>
      <c r="K116" t="s" s="1">
        <f>HYPERLINK("http://141.218.60.56/~jnz1568/discussion.php?&amp;Z=8&amp;N=6&amp;Sheet=1&amp;Row=115&amp;Col=10","")</f>
      </c>
      <c r="L116" t="s" s="1">
        <f>HYPERLINK("http://141.218.60.56/~jnz1568/discussion.php?&amp;Z=8&amp;N=6&amp;Sheet=1&amp;Row=115&amp;Col=11","")</f>
      </c>
      <c r="M116" t="s" s="1">
        <f>HYPERLINK("http://141.218.60.56/~jnz1568/discussion.php?&amp;Z=8&amp;N=6&amp;Sheet=1&amp;Row=115&amp;Col=12","")</f>
      </c>
      <c r="N116" t="s" s="1">
        <f>HYPERLINK("http://141.218.60.56/~jnz1568/discussion.php?&amp;Z=8&amp;N=6&amp;Sheet=1&amp;Row=115&amp;Col=13","1646000000")</f>
      </c>
      <c r="O116" t="s" s="1">
        <f>HYPERLINK("http://141.218.60.56/~jnz1568/discussion.php?&amp;Z=8&amp;N=6&amp;Sheet=1&amp;Row=115&amp;Col=14","")</f>
      </c>
      <c r="P116" t="s" s="1">
        <f>HYPERLINK("http://141.218.60.56/~jnz1568/discussion.php?&amp;Z=8&amp;N=6&amp;Sheet=1&amp;Row=115&amp;Col=15","")</f>
      </c>
      <c r="Q116" t="s" s="1">
        <f>HYPERLINK("http://141.218.60.56/~jnz1568/discussion.php?&amp;Z=8&amp;N=6&amp;Sheet=1&amp;Row=115&amp;Col=16","")</f>
      </c>
    </row>
    <row r="117">
      <c r="A117" t="s">
        <v>15</v>
      </c>
      <c r="B117" t="s">
        <v>16</v>
      </c>
      <c r="C117" t="s">
        <v>94</v>
      </c>
      <c r="D117" t="s">
        <v>16</v>
      </c>
      <c r="E117" t="s">
        <v>652</v>
      </c>
      <c r="F117" t="s" s="1">
        <f>HYPERLINK("http://141.218.60.56/~jnz1568/discussion.php?&amp;Z=8&amp;N=6&amp;Sheet=1&amp;Row=116&amp;Col=5","19939")</f>
      </c>
      <c r="G117" t="s" s="1">
        <f>HYPERLINK("http://141.218.60.56/~jnz1568/discussion.php?&amp;Z=8&amp;N=6&amp;Sheet=1&amp;Row=116&amp;Col=6","")</f>
      </c>
      <c r="H117" t="s" s="1">
        <f>HYPERLINK("http://141.218.60.56/~jnz1568/discussion.php?&amp;Z=8&amp;N=6&amp;Sheet=1&amp;Row=116&amp;Col=7","")</f>
      </c>
      <c r="I117" t="s" s="1">
        <f>HYPERLINK("http://141.218.60.56/~jnz1568/discussion.php?&amp;Z=8&amp;N=6&amp;Sheet=1&amp;Row=116&amp;Col=8","")</f>
      </c>
      <c r="J117" t="s" s="1">
        <f>HYPERLINK("http://141.218.60.56/~jnz1568/discussion.php?&amp;Z=8&amp;N=6&amp;Sheet=1&amp;Row=116&amp;Col=9","19969")</f>
      </c>
      <c r="K117" t="s" s="1">
        <f>HYPERLINK("http://141.218.60.56/~jnz1568/discussion.php?&amp;Z=8&amp;N=6&amp;Sheet=1&amp;Row=116&amp;Col=10","")</f>
      </c>
      <c r="L117" t="s" s="1">
        <f>HYPERLINK("http://141.218.60.56/~jnz1568/discussion.php?&amp;Z=8&amp;N=6&amp;Sheet=1&amp;Row=116&amp;Col=11","")</f>
      </c>
      <c r="M117" t="s" s="1">
        <f>HYPERLINK("http://141.218.60.56/~jnz1568/discussion.php?&amp;Z=8&amp;N=6&amp;Sheet=1&amp;Row=116&amp;Col=12","")</f>
      </c>
      <c r="N117" t="s" s="1">
        <f>HYPERLINK("http://141.218.60.56/~jnz1568/discussion.php?&amp;Z=8&amp;N=6&amp;Sheet=1&amp;Row=116&amp;Col=13","17050")</f>
      </c>
      <c r="O117" t="s" s="1">
        <f>HYPERLINK("http://141.218.60.56/~jnz1568/discussion.php?&amp;Z=8&amp;N=6&amp;Sheet=1&amp;Row=116&amp;Col=14","")</f>
      </c>
      <c r="P117" t="s" s="1">
        <f>HYPERLINK("http://141.218.60.56/~jnz1568/discussion.php?&amp;Z=8&amp;N=6&amp;Sheet=1&amp;Row=116&amp;Col=15","")</f>
      </c>
      <c r="Q117" t="s" s="1">
        <f>HYPERLINK("http://141.218.60.56/~jnz1568/discussion.php?&amp;Z=8&amp;N=6&amp;Sheet=1&amp;Row=116&amp;Col=16","")</f>
      </c>
    </row>
    <row r="118">
      <c r="A118" t="s">
        <v>15</v>
      </c>
      <c r="B118" t="s">
        <v>16</v>
      </c>
      <c r="C118" t="s">
        <v>94</v>
      </c>
      <c r="D118" t="s">
        <v>43</v>
      </c>
      <c r="E118" t="s">
        <v>656</v>
      </c>
      <c r="F118" t="s" s="1">
        <f>HYPERLINK("http://141.218.60.56/~jnz1568/discussion.php?&amp;Z=8&amp;N=6&amp;Sheet=1&amp;Row=117&amp;Col=5","4079500000")</f>
      </c>
      <c r="G118" t="s" s="1">
        <f>HYPERLINK("http://141.218.60.56/~jnz1568/discussion.php?&amp;Z=8&amp;N=6&amp;Sheet=1&amp;Row=117&amp;Col=6","")</f>
      </c>
      <c r="H118" t="s" s="1">
        <f>HYPERLINK("http://141.218.60.56/~jnz1568/discussion.php?&amp;Z=8&amp;N=6&amp;Sheet=1&amp;Row=117&amp;Col=7","")</f>
      </c>
      <c r="I118" t="s" s="1">
        <f>HYPERLINK("http://141.218.60.56/~jnz1568/discussion.php?&amp;Z=8&amp;N=6&amp;Sheet=1&amp;Row=117&amp;Col=8","")</f>
      </c>
      <c r="J118" t="s" s="1">
        <f>HYPERLINK("http://141.218.60.56/~jnz1568/discussion.php?&amp;Z=8&amp;N=6&amp;Sheet=1&amp;Row=117&amp;Col=9","4121100000")</f>
      </c>
      <c r="K118" t="s" s="1">
        <f>HYPERLINK("http://141.218.60.56/~jnz1568/discussion.php?&amp;Z=8&amp;N=6&amp;Sheet=1&amp;Row=117&amp;Col=10","")</f>
      </c>
      <c r="L118" t="s" s="1">
        <f>HYPERLINK("http://141.218.60.56/~jnz1568/discussion.php?&amp;Z=8&amp;N=6&amp;Sheet=1&amp;Row=117&amp;Col=11","")</f>
      </c>
      <c r="M118" t="s" s="1">
        <f>HYPERLINK("http://141.218.60.56/~jnz1568/discussion.php?&amp;Z=8&amp;N=6&amp;Sheet=1&amp;Row=117&amp;Col=12","")</f>
      </c>
      <c r="N118" t="s" s="1">
        <f>HYPERLINK("http://141.218.60.56/~jnz1568/discussion.php?&amp;Z=8&amp;N=6&amp;Sheet=1&amp;Row=117&amp;Col=13","4555000000")</f>
      </c>
      <c r="O118" t="s" s="1">
        <f>HYPERLINK("http://141.218.60.56/~jnz1568/discussion.php?&amp;Z=8&amp;N=6&amp;Sheet=1&amp;Row=117&amp;Col=14","")</f>
      </c>
      <c r="P118" t="s" s="1">
        <f>HYPERLINK("http://141.218.60.56/~jnz1568/discussion.php?&amp;Z=8&amp;N=6&amp;Sheet=1&amp;Row=117&amp;Col=15","")</f>
      </c>
      <c r="Q118" t="s" s="1">
        <f>HYPERLINK("http://141.218.60.56/~jnz1568/discussion.php?&amp;Z=8&amp;N=6&amp;Sheet=1&amp;Row=117&amp;Col=16","")</f>
      </c>
    </row>
    <row r="119">
      <c r="A119" t="s">
        <v>15</v>
      </c>
      <c r="B119" t="s">
        <v>16</v>
      </c>
      <c r="C119" t="s">
        <v>94</v>
      </c>
      <c r="D119" t="s">
        <v>15</v>
      </c>
      <c r="E119" t="s">
        <v>660</v>
      </c>
      <c r="F119" t="s" s="1">
        <f>HYPERLINK("http://141.218.60.56/~jnz1568/discussion.php?&amp;Z=8&amp;N=6&amp;Sheet=1&amp;Row=118&amp;Col=5","741900000")</f>
      </c>
      <c r="G119" t="s" s="1">
        <f>HYPERLINK("http://141.218.60.56/~jnz1568/discussion.php?&amp;Z=8&amp;N=6&amp;Sheet=1&amp;Row=118&amp;Col=6","")</f>
      </c>
      <c r="H119" t="s" s="1">
        <f>HYPERLINK("http://141.218.60.56/~jnz1568/discussion.php?&amp;Z=8&amp;N=6&amp;Sheet=1&amp;Row=118&amp;Col=7","")</f>
      </c>
      <c r="I119" t="s" s="1">
        <f>HYPERLINK("http://141.218.60.56/~jnz1568/discussion.php?&amp;Z=8&amp;N=6&amp;Sheet=1&amp;Row=118&amp;Col=8","")</f>
      </c>
      <c r="J119" t="s" s="1">
        <f>HYPERLINK("http://141.218.60.56/~jnz1568/discussion.php?&amp;Z=8&amp;N=6&amp;Sheet=1&amp;Row=118&amp;Col=9","749360000")</f>
      </c>
      <c r="K119" t="s" s="1">
        <f>HYPERLINK("http://141.218.60.56/~jnz1568/discussion.php?&amp;Z=8&amp;N=6&amp;Sheet=1&amp;Row=118&amp;Col=10","")</f>
      </c>
      <c r="L119" t="s" s="1">
        <f>HYPERLINK("http://141.218.60.56/~jnz1568/discussion.php?&amp;Z=8&amp;N=6&amp;Sheet=1&amp;Row=118&amp;Col=11","")</f>
      </c>
      <c r="M119" t="s" s="1">
        <f>HYPERLINK("http://141.218.60.56/~jnz1568/discussion.php?&amp;Z=8&amp;N=6&amp;Sheet=1&amp;Row=118&amp;Col=12","")</f>
      </c>
      <c r="N119" t="s" s="1">
        <f>HYPERLINK("http://141.218.60.56/~jnz1568/discussion.php?&amp;Z=8&amp;N=6&amp;Sheet=1&amp;Row=118&amp;Col=13","825000000")</f>
      </c>
      <c r="O119" t="s" s="1">
        <f>HYPERLINK("http://141.218.60.56/~jnz1568/discussion.php?&amp;Z=8&amp;N=6&amp;Sheet=1&amp;Row=118&amp;Col=14","")</f>
      </c>
      <c r="P119" t="s" s="1">
        <f>HYPERLINK("http://141.218.60.56/~jnz1568/discussion.php?&amp;Z=8&amp;N=6&amp;Sheet=1&amp;Row=118&amp;Col=15","")</f>
      </c>
      <c r="Q119" t="s" s="1">
        <f>HYPERLINK("http://141.218.60.56/~jnz1568/discussion.php?&amp;Z=8&amp;N=6&amp;Sheet=1&amp;Row=118&amp;Col=16","")</f>
      </c>
    </row>
    <row r="120">
      <c r="A120" t="s">
        <v>15</v>
      </c>
      <c r="B120" t="s">
        <v>16</v>
      </c>
      <c r="C120" t="s">
        <v>94</v>
      </c>
      <c r="D120" t="s">
        <v>50</v>
      </c>
      <c r="E120" t="s">
        <v>664</v>
      </c>
      <c r="F120" t="s" s="1">
        <f>HYPERLINK("http://141.218.60.56/~jnz1568/discussion.php?&amp;Z=8&amp;N=6&amp;Sheet=1&amp;Row=119&amp;Col=5","50127000")</f>
      </c>
      <c r="G120" t="s" s="1">
        <f>HYPERLINK("http://141.218.60.56/~jnz1568/discussion.php?&amp;Z=8&amp;N=6&amp;Sheet=1&amp;Row=119&amp;Col=6","")</f>
      </c>
      <c r="H120" t="s" s="1">
        <f>HYPERLINK("http://141.218.60.56/~jnz1568/discussion.php?&amp;Z=8&amp;N=6&amp;Sheet=1&amp;Row=119&amp;Col=7","")</f>
      </c>
      <c r="I120" t="s" s="1">
        <f>HYPERLINK("http://141.218.60.56/~jnz1568/discussion.php?&amp;Z=8&amp;N=6&amp;Sheet=1&amp;Row=119&amp;Col=8","")</f>
      </c>
      <c r="J120" t="s" s="1">
        <f>HYPERLINK("http://141.218.60.56/~jnz1568/discussion.php?&amp;Z=8&amp;N=6&amp;Sheet=1&amp;Row=119&amp;Col=9","50625000")</f>
      </c>
      <c r="K120" t="s" s="1">
        <f>HYPERLINK("http://141.218.60.56/~jnz1568/discussion.php?&amp;Z=8&amp;N=6&amp;Sheet=1&amp;Row=119&amp;Col=10","")</f>
      </c>
      <c r="L120" t="s" s="1">
        <f>HYPERLINK("http://141.218.60.56/~jnz1568/discussion.php?&amp;Z=8&amp;N=6&amp;Sheet=1&amp;Row=119&amp;Col=11","")</f>
      </c>
      <c r="M120" t="s" s="1">
        <f>HYPERLINK("http://141.218.60.56/~jnz1568/discussion.php?&amp;Z=8&amp;N=6&amp;Sheet=1&amp;Row=119&amp;Col=12","")</f>
      </c>
      <c r="N120" t="s" s="1">
        <f>HYPERLINK("http://141.218.60.56/~jnz1568/discussion.php?&amp;Z=8&amp;N=6&amp;Sheet=1&amp;Row=119&amp;Col=13","55580000")</f>
      </c>
      <c r="O120" t="s" s="1">
        <f>HYPERLINK("http://141.218.60.56/~jnz1568/discussion.php?&amp;Z=8&amp;N=6&amp;Sheet=1&amp;Row=119&amp;Col=14","")</f>
      </c>
      <c r="P120" t="s" s="1">
        <f>HYPERLINK("http://141.218.60.56/~jnz1568/discussion.php?&amp;Z=8&amp;N=6&amp;Sheet=1&amp;Row=119&amp;Col=15","")</f>
      </c>
      <c r="Q120" t="s" s="1">
        <f>HYPERLINK("http://141.218.60.56/~jnz1568/discussion.php?&amp;Z=8&amp;N=6&amp;Sheet=1&amp;Row=119&amp;Col=16","")</f>
      </c>
    </row>
    <row r="121">
      <c r="A121" t="s">
        <v>15</v>
      </c>
      <c r="B121" t="s">
        <v>16</v>
      </c>
      <c r="C121" t="s">
        <v>94</v>
      </c>
      <c r="D121" t="s">
        <v>53</v>
      </c>
      <c r="E121" t="s">
        <v>668</v>
      </c>
      <c r="F121" t="s" s="1">
        <f>HYPERLINK("http://141.218.60.56/~jnz1568/discussion.php?&amp;Z=8&amp;N=6&amp;Sheet=1&amp;Row=120&amp;Col=5","557020000")</f>
      </c>
      <c r="G121" t="s" s="1">
        <f>HYPERLINK("http://141.218.60.56/~jnz1568/discussion.php?&amp;Z=8&amp;N=6&amp;Sheet=1&amp;Row=120&amp;Col=6","")</f>
      </c>
      <c r="H121" t="s" s="1">
        <f>HYPERLINK("http://141.218.60.56/~jnz1568/discussion.php?&amp;Z=8&amp;N=6&amp;Sheet=1&amp;Row=120&amp;Col=7","")</f>
      </c>
      <c r="I121" t="s" s="1">
        <f>HYPERLINK("http://141.218.60.56/~jnz1568/discussion.php?&amp;Z=8&amp;N=6&amp;Sheet=1&amp;Row=120&amp;Col=8","")</f>
      </c>
      <c r="J121" t="s" s="1">
        <f>HYPERLINK("http://141.218.60.56/~jnz1568/discussion.php?&amp;Z=8&amp;N=6&amp;Sheet=1&amp;Row=120&amp;Col=9","560540000")</f>
      </c>
      <c r="K121" t="s" s="1">
        <f>HYPERLINK("http://141.218.60.56/~jnz1568/discussion.php?&amp;Z=8&amp;N=6&amp;Sheet=1&amp;Row=120&amp;Col=10","")</f>
      </c>
      <c r="L121" t="s" s="1">
        <f>HYPERLINK("http://141.218.60.56/~jnz1568/discussion.php?&amp;Z=8&amp;N=6&amp;Sheet=1&amp;Row=120&amp;Col=11","")</f>
      </c>
      <c r="M121" t="s" s="1">
        <f>HYPERLINK("http://141.218.60.56/~jnz1568/discussion.php?&amp;Z=8&amp;N=6&amp;Sheet=1&amp;Row=120&amp;Col=12","")</f>
      </c>
      <c r="N121" t="s" s="1">
        <f>HYPERLINK("http://141.218.60.56/~jnz1568/discussion.php?&amp;Z=8&amp;N=6&amp;Sheet=1&amp;Row=120&amp;Col=13","529700000")</f>
      </c>
      <c r="O121" t="s" s="1">
        <f>HYPERLINK("http://141.218.60.56/~jnz1568/discussion.php?&amp;Z=8&amp;N=6&amp;Sheet=1&amp;Row=120&amp;Col=14","")</f>
      </c>
      <c r="P121" t="s" s="1">
        <f>HYPERLINK("http://141.218.60.56/~jnz1568/discussion.php?&amp;Z=8&amp;N=6&amp;Sheet=1&amp;Row=120&amp;Col=15","")</f>
      </c>
      <c r="Q121" t="s" s="1">
        <f>HYPERLINK("http://141.218.60.56/~jnz1568/discussion.php?&amp;Z=8&amp;N=6&amp;Sheet=1&amp;Row=120&amp;Col=16","")</f>
      </c>
    </row>
    <row r="122">
      <c r="A122" t="s">
        <v>15</v>
      </c>
      <c r="B122" t="s">
        <v>16</v>
      </c>
      <c r="C122" t="s">
        <v>94</v>
      </c>
      <c r="D122" t="s">
        <v>58</v>
      </c>
      <c r="E122" t="s">
        <v>672</v>
      </c>
      <c r="F122" t="s" s="1">
        <f>HYPERLINK("http://141.218.60.56/~jnz1568/discussion.php?&amp;Z=8&amp;N=6&amp;Sheet=1&amp;Row=121&amp;Col=5","190340000")</f>
      </c>
      <c r="G122" t="s" s="1">
        <f>HYPERLINK("http://141.218.60.56/~jnz1568/discussion.php?&amp;Z=8&amp;N=6&amp;Sheet=1&amp;Row=121&amp;Col=6","")</f>
      </c>
      <c r="H122" t="s" s="1">
        <f>HYPERLINK("http://141.218.60.56/~jnz1568/discussion.php?&amp;Z=8&amp;N=6&amp;Sheet=1&amp;Row=121&amp;Col=7","")</f>
      </c>
      <c r="I122" t="s" s="1">
        <f>HYPERLINK("http://141.218.60.56/~jnz1568/discussion.php?&amp;Z=8&amp;N=6&amp;Sheet=1&amp;Row=121&amp;Col=8","")</f>
      </c>
      <c r="J122" t="s" s="1">
        <f>HYPERLINK("http://141.218.60.56/~jnz1568/discussion.php?&amp;Z=8&amp;N=6&amp;Sheet=1&amp;Row=121&amp;Col=9","191560000")</f>
      </c>
      <c r="K122" t="s" s="1">
        <f>HYPERLINK("http://141.218.60.56/~jnz1568/discussion.php?&amp;Z=8&amp;N=6&amp;Sheet=1&amp;Row=121&amp;Col=10","")</f>
      </c>
      <c r="L122" t="s" s="1">
        <f>HYPERLINK("http://141.218.60.56/~jnz1568/discussion.php?&amp;Z=8&amp;N=6&amp;Sheet=1&amp;Row=121&amp;Col=11","")</f>
      </c>
      <c r="M122" t="s" s="1">
        <f>HYPERLINK("http://141.218.60.56/~jnz1568/discussion.php?&amp;Z=8&amp;N=6&amp;Sheet=1&amp;Row=121&amp;Col=12","")</f>
      </c>
      <c r="N122" t="s" s="1">
        <f>HYPERLINK("http://141.218.60.56/~jnz1568/discussion.php?&amp;Z=8&amp;N=6&amp;Sheet=1&amp;Row=121&amp;Col=13","181000000")</f>
      </c>
      <c r="O122" t="s" s="1">
        <f>HYPERLINK("http://141.218.60.56/~jnz1568/discussion.php?&amp;Z=8&amp;N=6&amp;Sheet=1&amp;Row=121&amp;Col=14","")</f>
      </c>
      <c r="P122" t="s" s="1">
        <f>HYPERLINK("http://141.218.60.56/~jnz1568/discussion.php?&amp;Z=8&amp;N=6&amp;Sheet=1&amp;Row=121&amp;Col=15","")</f>
      </c>
      <c r="Q122" t="s" s="1">
        <f>HYPERLINK("http://141.218.60.56/~jnz1568/discussion.php?&amp;Z=8&amp;N=6&amp;Sheet=1&amp;Row=121&amp;Col=16","")</f>
      </c>
    </row>
    <row r="123">
      <c r="A123" t="s">
        <v>15</v>
      </c>
      <c r="B123" t="s">
        <v>16</v>
      </c>
      <c r="C123" t="s">
        <v>94</v>
      </c>
      <c r="D123" t="s">
        <v>64</v>
      </c>
      <c r="E123" t="s">
        <v>676</v>
      </c>
      <c r="F123" t="s" s="1">
        <f>HYPERLINK("http://141.218.60.56/~jnz1568/discussion.php?&amp;Z=8&amp;N=6&amp;Sheet=1&amp;Row=122&amp;Col=5","98629")</f>
      </c>
      <c r="G123" t="s" s="1">
        <f>HYPERLINK("http://141.218.60.56/~jnz1568/discussion.php?&amp;Z=8&amp;N=6&amp;Sheet=1&amp;Row=122&amp;Col=6","")</f>
      </c>
      <c r="H123" t="s" s="1">
        <f>HYPERLINK("http://141.218.60.56/~jnz1568/discussion.php?&amp;Z=8&amp;N=6&amp;Sheet=1&amp;Row=122&amp;Col=7","")</f>
      </c>
      <c r="I123" t="s" s="1">
        <f>HYPERLINK("http://141.218.60.56/~jnz1568/discussion.php?&amp;Z=8&amp;N=6&amp;Sheet=1&amp;Row=122&amp;Col=8","")</f>
      </c>
      <c r="J123" t="s" s="1">
        <f>HYPERLINK("http://141.218.60.56/~jnz1568/discussion.php?&amp;Z=8&amp;N=6&amp;Sheet=1&amp;Row=122&amp;Col=9","97053")</f>
      </c>
      <c r="K123" t="s" s="1">
        <f>HYPERLINK("http://141.218.60.56/~jnz1568/discussion.php?&amp;Z=8&amp;N=6&amp;Sheet=1&amp;Row=122&amp;Col=10","")</f>
      </c>
      <c r="L123" t="s" s="1">
        <f>HYPERLINK("http://141.218.60.56/~jnz1568/discussion.php?&amp;Z=8&amp;N=6&amp;Sheet=1&amp;Row=122&amp;Col=11","")</f>
      </c>
      <c r="M123" t="s" s="1">
        <f>HYPERLINK("http://141.218.60.56/~jnz1568/discussion.php?&amp;Z=8&amp;N=6&amp;Sheet=1&amp;Row=122&amp;Col=12","")</f>
      </c>
      <c r="N123" t="s" s="1">
        <f>HYPERLINK("http://141.218.60.56/~jnz1568/discussion.php?&amp;Z=8&amp;N=6&amp;Sheet=1&amp;Row=122&amp;Col=13","79550")</f>
      </c>
      <c r="O123" t="s" s="1">
        <f>HYPERLINK("http://141.218.60.56/~jnz1568/discussion.php?&amp;Z=8&amp;N=6&amp;Sheet=1&amp;Row=122&amp;Col=14","")</f>
      </c>
      <c r="P123" t="s" s="1">
        <f>HYPERLINK("http://141.218.60.56/~jnz1568/discussion.php?&amp;Z=8&amp;N=6&amp;Sheet=1&amp;Row=122&amp;Col=15","")</f>
      </c>
      <c r="Q123" t="s" s="1">
        <f>HYPERLINK("http://141.218.60.56/~jnz1568/discussion.php?&amp;Z=8&amp;N=6&amp;Sheet=1&amp;Row=122&amp;Col=16","")</f>
      </c>
    </row>
    <row r="124">
      <c r="A124" t="s">
        <v>15</v>
      </c>
      <c r="B124" t="s">
        <v>16</v>
      </c>
      <c r="C124" t="s">
        <v>94</v>
      </c>
      <c r="D124" t="s">
        <v>69</v>
      </c>
      <c r="E124" t="s">
        <v>680</v>
      </c>
      <c r="F124" t="s" s="1">
        <f>HYPERLINK("http://141.218.60.56/~jnz1568/discussion.php?&amp;Z=8&amp;N=6&amp;Sheet=1&amp;Row=123&amp;Col=5","431290000")</f>
      </c>
      <c r="G124" t="s" s="1">
        <f>HYPERLINK("http://141.218.60.56/~jnz1568/discussion.php?&amp;Z=8&amp;N=6&amp;Sheet=1&amp;Row=123&amp;Col=6","")</f>
      </c>
      <c r="H124" t="s" s="1">
        <f>HYPERLINK("http://141.218.60.56/~jnz1568/discussion.php?&amp;Z=8&amp;N=6&amp;Sheet=1&amp;Row=123&amp;Col=7","")</f>
      </c>
      <c r="I124" t="s" s="1">
        <f>HYPERLINK("http://141.218.60.56/~jnz1568/discussion.php?&amp;Z=8&amp;N=6&amp;Sheet=1&amp;Row=123&amp;Col=8","")</f>
      </c>
      <c r="J124" t="s" s="1">
        <f>HYPERLINK("http://141.218.60.56/~jnz1568/discussion.php?&amp;Z=8&amp;N=6&amp;Sheet=1&amp;Row=123&amp;Col=9","437630000")</f>
      </c>
      <c r="K124" t="s" s="1">
        <f>HYPERLINK("http://141.218.60.56/~jnz1568/discussion.php?&amp;Z=8&amp;N=6&amp;Sheet=1&amp;Row=123&amp;Col=10","")</f>
      </c>
      <c r="L124" t="s" s="1">
        <f>HYPERLINK("http://141.218.60.56/~jnz1568/discussion.php?&amp;Z=8&amp;N=6&amp;Sheet=1&amp;Row=123&amp;Col=11","")</f>
      </c>
      <c r="M124" t="s" s="1">
        <f>HYPERLINK("http://141.218.60.56/~jnz1568/discussion.php?&amp;Z=8&amp;N=6&amp;Sheet=1&amp;Row=123&amp;Col=12","")</f>
      </c>
      <c r="N124" t="s" s="1">
        <f>HYPERLINK("http://141.218.60.56/~jnz1568/discussion.php?&amp;Z=8&amp;N=6&amp;Sheet=1&amp;Row=123&amp;Col=13","448400000")</f>
      </c>
      <c r="O124" t="s" s="1">
        <f>HYPERLINK("http://141.218.60.56/~jnz1568/discussion.php?&amp;Z=8&amp;N=6&amp;Sheet=1&amp;Row=123&amp;Col=14","")</f>
      </c>
      <c r="P124" t="s" s="1">
        <f>HYPERLINK("http://141.218.60.56/~jnz1568/discussion.php?&amp;Z=8&amp;N=6&amp;Sheet=1&amp;Row=123&amp;Col=15","")</f>
      </c>
      <c r="Q124" t="s" s="1">
        <f>HYPERLINK("http://141.218.60.56/~jnz1568/discussion.php?&amp;Z=8&amp;N=6&amp;Sheet=1&amp;Row=123&amp;Col=16","")</f>
      </c>
    </row>
    <row r="125">
      <c r="A125" t="s">
        <v>15</v>
      </c>
      <c r="B125" t="s">
        <v>16</v>
      </c>
      <c r="C125" t="s">
        <v>94</v>
      </c>
      <c r="D125" t="s">
        <v>74</v>
      </c>
      <c r="E125" t="s">
        <v>684</v>
      </c>
      <c r="F125" t="s" s="1">
        <f>HYPERLINK("http://141.218.60.56/~jnz1568/discussion.php?&amp;Z=8&amp;N=6&amp;Sheet=1&amp;Row=124&amp;Col=5","14647")</f>
      </c>
      <c r="G125" t="s" s="1">
        <f>HYPERLINK("http://141.218.60.56/~jnz1568/discussion.php?&amp;Z=8&amp;N=6&amp;Sheet=1&amp;Row=124&amp;Col=6","")</f>
      </c>
      <c r="H125" t="s" s="1">
        <f>HYPERLINK("http://141.218.60.56/~jnz1568/discussion.php?&amp;Z=8&amp;N=6&amp;Sheet=1&amp;Row=124&amp;Col=7","")</f>
      </c>
      <c r="I125" t="s" s="1">
        <f>HYPERLINK("http://141.218.60.56/~jnz1568/discussion.php?&amp;Z=8&amp;N=6&amp;Sheet=1&amp;Row=124&amp;Col=8","")</f>
      </c>
      <c r="J125" t="s" s="1">
        <f>HYPERLINK("http://141.218.60.56/~jnz1568/discussion.php?&amp;Z=8&amp;N=6&amp;Sheet=1&amp;Row=124&amp;Col=9","14191")</f>
      </c>
      <c r="K125" t="s" s="1">
        <f>HYPERLINK("http://141.218.60.56/~jnz1568/discussion.php?&amp;Z=8&amp;N=6&amp;Sheet=1&amp;Row=124&amp;Col=10","")</f>
      </c>
      <c r="L125" t="s" s="1">
        <f>HYPERLINK("http://141.218.60.56/~jnz1568/discussion.php?&amp;Z=8&amp;N=6&amp;Sheet=1&amp;Row=124&amp;Col=11","")</f>
      </c>
      <c r="M125" t="s" s="1">
        <f>HYPERLINK("http://141.218.60.56/~jnz1568/discussion.php?&amp;Z=8&amp;N=6&amp;Sheet=1&amp;Row=124&amp;Col=12","")</f>
      </c>
      <c r="N125" t="s" s="1">
        <f>HYPERLINK("http://141.218.60.56/~jnz1568/discussion.php?&amp;Z=8&amp;N=6&amp;Sheet=1&amp;Row=124&amp;Col=13","4272")</f>
      </c>
      <c r="O125" t="s" s="1">
        <f>HYPERLINK("http://141.218.60.56/~jnz1568/discussion.php?&amp;Z=8&amp;N=6&amp;Sheet=1&amp;Row=124&amp;Col=14","")</f>
      </c>
      <c r="P125" t="s" s="1">
        <f>HYPERLINK("http://141.218.60.56/~jnz1568/discussion.php?&amp;Z=8&amp;N=6&amp;Sheet=1&amp;Row=124&amp;Col=15","")</f>
      </c>
      <c r="Q125" t="s" s="1">
        <f>HYPERLINK("http://141.218.60.56/~jnz1568/discussion.php?&amp;Z=8&amp;N=6&amp;Sheet=1&amp;Row=124&amp;Col=16","")</f>
      </c>
    </row>
    <row r="126">
      <c r="A126" t="s">
        <v>15</v>
      </c>
      <c r="B126" t="s">
        <v>16</v>
      </c>
      <c r="C126" t="s">
        <v>94</v>
      </c>
      <c r="D126" t="s">
        <v>84</v>
      </c>
      <c r="E126" t="s">
        <v>688</v>
      </c>
      <c r="F126" t="s" s="1">
        <f>HYPERLINK("http://141.218.60.56/~jnz1568/discussion.php?&amp;Z=8&amp;N=6&amp;Sheet=1&amp;Row=125&amp;Col=5","19030")</f>
      </c>
      <c r="G126" t="s" s="1">
        <f>HYPERLINK("http://141.218.60.56/~jnz1568/discussion.php?&amp;Z=8&amp;N=6&amp;Sheet=1&amp;Row=125&amp;Col=6","")</f>
      </c>
      <c r="H126" t="s" s="1">
        <f>HYPERLINK("http://141.218.60.56/~jnz1568/discussion.php?&amp;Z=8&amp;N=6&amp;Sheet=1&amp;Row=125&amp;Col=7","")</f>
      </c>
      <c r="I126" t="s" s="1">
        <f>HYPERLINK("http://141.218.60.56/~jnz1568/discussion.php?&amp;Z=8&amp;N=6&amp;Sheet=1&amp;Row=125&amp;Col=8","")</f>
      </c>
      <c r="J126" t="s" s="1">
        <f>HYPERLINK("http://141.218.60.56/~jnz1568/discussion.php?&amp;Z=8&amp;N=6&amp;Sheet=1&amp;Row=125&amp;Col=9","23480")</f>
      </c>
      <c r="K126" t="s" s="1">
        <f>HYPERLINK("http://141.218.60.56/~jnz1568/discussion.php?&amp;Z=8&amp;N=6&amp;Sheet=1&amp;Row=125&amp;Col=10","")</f>
      </c>
      <c r="L126" t="s" s="1">
        <f>HYPERLINK("http://141.218.60.56/~jnz1568/discussion.php?&amp;Z=8&amp;N=6&amp;Sheet=1&amp;Row=125&amp;Col=11","")</f>
      </c>
      <c r="M126" t="s" s="1">
        <f>HYPERLINK("http://141.218.60.56/~jnz1568/discussion.php?&amp;Z=8&amp;N=6&amp;Sheet=1&amp;Row=125&amp;Col=12","")</f>
      </c>
      <c r="N126" t="s" s="1">
        <f>HYPERLINK("http://141.218.60.56/~jnz1568/discussion.php?&amp;Z=8&amp;N=6&amp;Sheet=1&amp;Row=125&amp;Col=13","69800")</f>
      </c>
      <c r="O126" t="s" s="1">
        <f>HYPERLINK("http://141.218.60.56/~jnz1568/discussion.php?&amp;Z=8&amp;N=6&amp;Sheet=1&amp;Row=125&amp;Col=14","")</f>
      </c>
      <c r="P126" t="s" s="1">
        <f>HYPERLINK("http://141.218.60.56/~jnz1568/discussion.php?&amp;Z=8&amp;N=6&amp;Sheet=1&amp;Row=125&amp;Col=15","")</f>
      </c>
      <c r="Q126" t="s" s="1">
        <f>HYPERLINK("http://141.218.60.56/~jnz1568/discussion.php?&amp;Z=8&amp;N=6&amp;Sheet=1&amp;Row=125&amp;Col=16","")</f>
      </c>
    </row>
    <row r="127">
      <c r="A127" t="s">
        <v>15</v>
      </c>
      <c r="B127" t="s">
        <v>16</v>
      </c>
      <c r="C127" t="s">
        <v>94</v>
      </c>
      <c r="D127" t="s">
        <v>87</v>
      </c>
      <c r="E127" t="s">
        <v>692</v>
      </c>
      <c r="F127" t="s" s="1">
        <f>HYPERLINK("http://141.218.60.56/~jnz1568/discussion.php?&amp;Z=8&amp;N=6&amp;Sheet=1&amp;Row=126&amp;Col=5","52813")</f>
      </c>
      <c r="G127" t="s" s="1">
        <f>HYPERLINK("http://141.218.60.56/~jnz1568/discussion.php?&amp;Z=8&amp;N=6&amp;Sheet=1&amp;Row=126&amp;Col=6","")</f>
      </c>
      <c r="H127" t="s" s="1">
        <f>HYPERLINK("http://141.218.60.56/~jnz1568/discussion.php?&amp;Z=8&amp;N=6&amp;Sheet=1&amp;Row=126&amp;Col=7","")</f>
      </c>
      <c r="I127" t="s" s="1">
        <f>HYPERLINK("http://141.218.60.56/~jnz1568/discussion.php?&amp;Z=8&amp;N=6&amp;Sheet=1&amp;Row=126&amp;Col=8","")</f>
      </c>
      <c r="J127" t="s" s="1">
        <f>HYPERLINK("http://141.218.60.56/~jnz1568/discussion.php?&amp;Z=8&amp;N=6&amp;Sheet=1&amp;Row=126&amp;Col=9","64675")</f>
      </c>
      <c r="K127" t="s" s="1">
        <f>HYPERLINK("http://141.218.60.56/~jnz1568/discussion.php?&amp;Z=8&amp;N=6&amp;Sheet=1&amp;Row=126&amp;Col=10","")</f>
      </c>
      <c r="L127" t="s" s="1">
        <f>HYPERLINK("http://141.218.60.56/~jnz1568/discussion.php?&amp;Z=8&amp;N=6&amp;Sheet=1&amp;Row=126&amp;Col=11","")</f>
      </c>
      <c r="M127" t="s" s="1">
        <f>HYPERLINK("http://141.218.60.56/~jnz1568/discussion.php?&amp;Z=8&amp;N=6&amp;Sheet=1&amp;Row=126&amp;Col=12","")</f>
      </c>
      <c r="N127" t="s" s="1">
        <f>HYPERLINK("http://141.218.60.56/~jnz1568/discussion.php?&amp;Z=8&amp;N=6&amp;Sheet=1&amp;Row=126&amp;Col=13","188600")</f>
      </c>
      <c r="O127" t="s" s="1">
        <f>HYPERLINK("http://141.218.60.56/~jnz1568/discussion.php?&amp;Z=8&amp;N=6&amp;Sheet=1&amp;Row=126&amp;Col=14","")</f>
      </c>
      <c r="P127" t="s" s="1">
        <f>HYPERLINK("http://141.218.60.56/~jnz1568/discussion.php?&amp;Z=8&amp;N=6&amp;Sheet=1&amp;Row=126&amp;Col=15","")</f>
      </c>
      <c r="Q127" t="s" s="1">
        <f>HYPERLINK("http://141.218.60.56/~jnz1568/discussion.php?&amp;Z=8&amp;N=6&amp;Sheet=1&amp;Row=126&amp;Col=16","")</f>
      </c>
    </row>
    <row r="128">
      <c r="A128" t="s">
        <v>15</v>
      </c>
      <c r="B128" t="s">
        <v>16</v>
      </c>
      <c r="C128" t="s">
        <v>94</v>
      </c>
      <c r="D128" t="s">
        <v>90</v>
      </c>
      <c r="E128" t="s">
        <v>696</v>
      </c>
      <c r="F128" t="s" s="1">
        <f>HYPERLINK("http://141.218.60.56/~jnz1568/discussion.php?&amp;Z=8&amp;N=6&amp;Sheet=1&amp;Row=127&amp;Col=5","3.6896")</f>
      </c>
      <c r="G128" t="s" s="1">
        <f>HYPERLINK("http://141.218.60.56/~jnz1568/discussion.php?&amp;Z=8&amp;N=6&amp;Sheet=1&amp;Row=127&amp;Col=6","")</f>
      </c>
      <c r="H128" t="s" s="1">
        <f>HYPERLINK("http://141.218.60.56/~jnz1568/discussion.php?&amp;Z=8&amp;N=6&amp;Sheet=1&amp;Row=127&amp;Col=7","")</f>
      </c>
      <c r="I128" t="s" s="1">
        <f>HYPERLINK("http://141.218.60.56/~jnz1568/discussion.php?&amp;Z=8&amp;N=6&amp;Sheet=1&amp;Row=127&amp;Col=8","")</f>
      </c>
      <c r="J128" t="s" s="1">
        <f>HYPERLINK("http://141.218.60.56/~jnz1568/discussion.php?&amp;Z=8&amp;N=6&amp;Sheet=1&amp;Row=127&amp;Col=9","4.0483")</f>
      </c>
      <c r="K128" t="s" s="1">
        <f>HYPERLINK("http://141.218.60.56/~jnz1568/discussion.php?&amp;Z=8&amp;N=6&amp;Sheet=1&amp;Row=127&amp;Col=10","")</f>
      </c>
      <c r="L128" t="s" s="1">
        <f>HYPERLINK("http://141.218.60.56/~jnz1568/discussion.php?&amp;Z=8&amp;N=6&amp;Sheet=1&amp;Row=127&amp;Col=11","")</f>
      </c>
      <c r="M128" t="s" s="1">
        <f>HYPERLINK("http://141.218.60.56/~jnz1568/discussion.php?&amp;Z=8&amp;N=6&amp;Sheet=1&amp;Row=127&amp;Col=12","")</f>
      </c>
      <c r="N128" t="s" s="1">
        <f>HYPERLINK("http://141.218.60.56/~jnz1568/discussion.php?&amp;Z=8&amp;N=6&amp;Sheet=1&amp;Row=127&amp;Col=13","2.143")</f>
      </c>
      <c r="O128" t="s" s="1">
        <f>HYPERLINK("http://141.218.60.56/~jnz1568/discussion.php?&amp;Z=8&amp;N=6&amp;Sheet=1&amp;Row=127&amp;Col=14","")</f>
      </c>
      <c r="P128" t="s" s="1">
        <f>HYPERLINK("http://141.218.60.56/~jnz1568/discussion.php?&amp;Z=8&amp;N=6&amp;Sheet=1&amp;Row=127&amp;Col=15","")</f>
      </c>
      <c r="Q128" t="s" s="1">
        <f>HYPERLINK("http://141.218.60.56/~jnz1568/discussion.php?&amp;Z=8&amp;N=6&amp;Sheet=1&amp;Row=127&amp;Col=16","")</f>
      </c>
    </row>
    <row r="129">
      <c r="A129" t="s">
        <v>15</v>
      </c>
      <c r="B129" t="s">
        <v>16</v>
      </c>
      <c r="C129" t="s">
        <v>99</v>
      </c>
      <c r="D129" t="s">
        <v>16</v>
      </c>
      <c r="E129" t="s">
        <v>700</v>
      </c>
      <c r="F129" t="s" s="1">
        <f>HYPERLINK("http://141.218.60.56/~jnz1568/discussion.php?&amp;Z=8&amp;N=6&amp;Sheet=1&amp;Row=128&amp;Col=5","7840.9")</f>
      </c>
      <c r="G129" t="s" s="1">
        <f>HYPERLINK("http://141.218.60.56/~jnz1568/discussion.php?&amp;Z=8&amp;N=6&amp;Sheet=1&amp;Row=128&amp;Col=6","")</f>
      </c>
      <c r="H129" t="s" s="1">
        <f>HYPERLINK("http://141.218.60.56/~jnz1568/discussion.php?&amp;Z=8&amp;N=6&amp;Sheet=1&amp;Row=128&amp;Col=7","")</f>
      </c>
      <c r="I129" t="s" s="1">
        <f>HYPERLINK("http://141.218.60.56/~jnz1568/discussion.php?&amp;Z=8&amp;N=6&amp;Sheet=1&amp;Row=128&amp;Col=8","")</f>
      </c>
      <c r="J129" t="s" s="1">
        <f>HYPERLINK("http://141.218.60.56/~jnz1568/discussion.php?&amp;Z=8&amp;N=6&amp;Sheet=1&amp;Row=128&amp;Col=9","7851")</f>
      </c>
      <c r="K129" t="s" s="1">
        <f>HYPERLINK("http://141.218.60.56/~jnz1568/discussion.php?&amp;Z=8&amp;N=6&amp;Sheet=1&amp;Row=128&amp;Col=10","")</f>
      </c>
      <c r="L129" t="s" s="1">
        <f>HYPERLINK("http://141.218.60.56/~jnz1568/discussion.php?&amp;Z=8&amp;N=6&amp;Sheet=1&amp;Row=128&amp;Col=11","")</f>
      </c>
      <c r="M129" t="s" s="1">
        <f>HYPERLINK("http://141.218.60.56/~jnz1568/discussion.php?&amp;Z=8&amp;N=6&amp;Sheet=1&amp;Row=128&amp;Col=12","")</f>
      </c>
      <c r="N129" t="s" s="1">
        <f>HYPERLINK("http://141.218.60.56/~jnz1568/discussion.php?&amp;Z=8&amp;N=6&amp;Sheet=1&amp;Row=128&amp;Col=13","6406")</f>
      </c>
      <c r="O129" t="s" s="1">
        <f>HYPERLINK("http://141.218.60.56/~jnz1568/discussion.php?&amp;Z=8&amp;N=6&amp;Sheet=1&amp;Row=128&amp;Col=14","")</f>
      </c>
      <c r="P129" t="s" s="1">
        <f>HYPERLINK("http://141.218.60.56/~jnz1568/discussion.php?&amp;Z=8&amp;N=6&amp;Sheet=1&amp;Row=128&amp;Col=15","")</f>
      </c>
      <c r="Q129" t="s" s="1">
        <f>HYPERLINK("http://141.218.60.56/~jnz1568/discussion.php?&amp;Z=8&amp;N=6&amp;Sheet=1&amp;Row=128&amp;Col=16","")</f>
      </c>
    </row>
    <row r="130">
      <c r="A130" t="s">
        <v>15</v>
      </c>
      <c r="B130" t="s">
        <v>16</v>
      </c>
      <c r="C130" t="s">
        <v>99</v>
      </c>
      <c r="D130" t="s">
        <v>15</v>
      </c>
      <c r="E130" t="s">
        <v>704</v>
      </c>
      <c r="F130" t="s" s="1">
        <f>HYPERLINK("http://141.218.60.56/~jnz1568/discussion.php?&amp;Z=8&amp;N=6&amp;Sheet=1&amp;Row=129&amp;Col=5","3634800000")</f>
      </c>
      <c r="G130" t="s" s="1">
        <f>HYPERLINK("http://141.218.60.56/~jnz1568/discussion.php?&amp;Z=8&amp;N=6&amp;Sheet=1&amp;Row=129&amp;Col=6","")</f>
      </c>
      <c r="H130" t="s" s="1">
        <f>HYPERLINK("http://141.218.60.56/~jnz1568/discussion.php?&amp;Z=8&amp;N=6&amp;Sheet=1&amp;Row=129&amp;Col=7","")</f>
      </c>
      <c r="I130" t="s" s="1">
        <f>HYPERLINK("http://141.218.60.56/~jnz1568/discussion.php?&amp;Z=8&amp;N=6&amp;Sheet=1&amp;Row=129&amp;Col=8","")</f>
      </c>
      <c r="J130" t="s" s="1">
        <f>HYPERLINK("http://141.218.60.56/~jnz1568/discussion.php?&amp;Z=8&amp;N=6&amp;Sheet=1&amp;Row=129&amp;Col=9","3672200000")</f>
      </c>
      <c r="K130" t="s" s="1">
        <f>HYPERLINK("http://141.218.60.56/~jnz1568/discussion.php?&amp;Z=8&amp;N=6&amp;Sheet=1&amp;Row=129&amp;Col=10","")</f>
      </c>
      <c r="L130" t="s" s="1">
        <f>HYPERLINK("http://141.218.60.56/~jnz1568/discussion.php?&amp;Z=8&amp;N=6&amp;Sheet=1&amp;Row=129&amp;Col=11","")</f>
      </c>
      <c r="M130" t="s" s="1">
        <f>HYPERLINK("http://141.218.60.56/~jnz1568/discussion.php?&amp;Z=8&amp;N=6&amp;Sheet=1&amp;Row=129&amp;Col=12","")</f>
      </c>
      <c r="N130" t="s" s="1">
        <f>HYPERLINK("http://141.218.60.56/~jnz1568/discussion.php?&amp;Z=8&amp;N=6&amp;Sheet=1&amp;Row=129&amp;Col=13","4063000000")</f>
      </c>
      <c r="O130" t="s" s="1">
        <f>HYPERLINK("http://141.218.60.56/~jnz1568/discussion.php?&amp;Z=8&amp;N=6&amp;Sheet=1&amp;Row=129&amp;Col=14","")</f>
      </c>
      <c r="P130" t="s" s="1">
        <f>HYPERLINK("http://141.218.60.56/~jnz1568/discussion.php?&amp;Z=8&amp;N=6&amp;Sheet=1&amp;Row=129&amp;Col=15","")</f>
      </c>
      <c r="Q130" t="s" s="1">
        <f>HYPERLINK("http://141.218.60.56/~jnz1568/discussion.php?&amp;Z=8&amp;N=6&amp;Sheet=1&amp;Row=129&amp;Col=16","")</f>
      </c>
    </row>
    <row r="131">
      <c r="A131" t="s">
        <v>15</v>
      </c>
      <c r="B131" t="s">
        <v>16</v>
      </c>
      <c r="C131" t="s">
        <v>99</v>
      </c>
      <c r="D131" t="s">
        <v>50</v>
      </c>
      <c r="E131" t="s">
        <v>708</v>
      </c>
      <c r="F131" t="s" s="1">
        <f>HYPERLINK("http://141.218.60.56/~jnz1568/discussion.php?&amp;Z=8&amp;N=6&amp;Sheet=1&amp;Row=130&amp;Col=5","1226700000")</f>
      </c>
      <c r="G131" t="s" s="1">
        <f>HYPERLINK("http://141.218.60.56/~jnz1568/discussion.php?&amp;Z=8&amp;N=6&amp;Sheet=1&amp;Row=130&amp;Col=6","")</f>
      </c>
      <c r="H131" t="s" s="1">
        <f>HYPERLINK("http://141.218.60.56/~jnz1568/discussion.php?&amp;Z=8&amp;N=6&amp;Sheet=1&amp;Row=130&amp;Col=7","")</f>
      </c>
      <c r="I131" t="s" s="1">
        <f>HYPERLINK("http://141.218.60.56/~jnz1568/discussion.php?&amp;Z=8&amp;N=6&amp;Sheet=1&amp;Row=130&amp;Col=8","")</f>
      </c>
      <c r="J131" t="s" s="1">
        <f>HYPERLINK("http://141.218.60.56/~jnz1568/discussion.php?&amp;Z=8&amp;N=6&amp;Sheet=1&amp;Row=130&amp;Col=9","1239200000")</f>
      </c>
      <c r="K131" t="s" s="1">
        <f>HYPERLINK("http://141.218.60.56/~jnz1568/discussion.php?&amp;Z=8&amp;N=6&amp;Sheet=1&amp;Row=130&amp;Col=10","")</f>
      </c>
      <c r="L131" t="s" s="1">
        <f>HYPERLINK("http://141.218.60.56/~jnz1568/discussion.php?&amp;Z=8&amp;N=6&amp;Sheet=1&amp;Row=130&amp;Col=11","")</f>
      </c>
      <c r="M131" t="s" s="1">
        <f>HYPERLINK("http://141.218.60.56/~jnz1568/discussion.php?&amp;Z=8&amp;N=6&amp;Sheet=1&amp;Row=130&amp;Col=12","")</f>
      </c>
      <c r="N131" t="s" s="1">
        <f>HYPERLINK("http://141.218.60.56/~jnz1568/discussion.php?&amp;Z=8&amp;N=6&amp;Sheet=1&amp;Row=130&amp;Col=13","1367000000")</f>
      </c>
      <c r="O131" t="s" s="1">
        <f>HYPERLINK("http://141.218.60.56/~jnz1568/discussion.php?&amp;Z=8&amp;N=6&amp;Sheet=1&amp;Row=130&amp;Col=14","")</f>
      </c>
      <c r="P131" t="s" s="1">
        <f>HYPERLINK("http://141.218.60.56/~jnz1568/discussion.php?&amp;Z=8&amp;N=6&amp;Sheet=1&amp;Row=130&amp;Col=15","")</f>
      </c>
      <c r="Q131" t="s" s="1">
        <f>HYPERLINK("http://141.218.60.56/~jnz1568/discussion.php?&amp;Z=8&amp;N=6&amp;Sheet=1&amp;Row=130&amp;Col=16","")</f>
      </c>
    </row>
    <row r="132">
      <c r="A132" t="s">
        <v>15</v>
      </c>
      <c r="B132" t="s">
        <v>16</v>
      </c>
      <c r="C132" t="s">
        <v>99</v>
      </c>
      <c r="D132" t="s">
        <v>53</v>
      </c>
      <c r="E132" t="s">
        <v>712</v>
      </c>
      <c r="F132" t="s" s="1">
        <f>HYPERLINK("http://141.218.60.56/~jnz1568/discussion.php?&amp;Z=8&amp;N=6&amp;Sheet=1&amp;Row=131&amp;Col=5","329300000")</f>
      </c>
      <c r="G132" t="s" s="1">
        <f>HYPERLINK("http://141.218.60.56/~jnz1568/discussion.php?&amp;Z=8&amp;N=6&amp;Sheet=1&amp;Row=131&amp;Col=6","")</f>
      </c>
      <c r="H132" t="s" s="1">
        <f>HYPERLINK("http://141.218.60.56/~jnz1568/discussion.php?&amp;Z=8&amp;N=6&amp;Sheet=1&amp;Row=131&amp;Col=7","")</f>
      </c>
      <c r="I132" t="s" s="1">
        <f>HYPERLINK("http://141.218.60.56/~jnz1568/discussion.php?&amp;Z=8&amp;N=6&amp;Sheet=1&amp;Row=131&amp;Col=8","")</f>
      </c>
      <c r="J132" t="s" s="1">
        <f>HYPERLINK("http://141.218.60.56/~jnz1568/discussion.php?&amp;Z=8&amp;N=6&amp;Sheet=1&amp;Row=131&amp;Col=9","331250000")</f>
      </c>
      <c r="K132" t="s" s="1">
        <f>HYPERLINK("http://141.218.60.56/~jnz1568/discussion.php?&amp;Z=8&amp;N=6&amp;Sheet=1&amp;Row=131&amp;Col=10","")</f>
      </c>
      <c r="L132" t="s" s="1">
        <f>HYPERLINK("http://141.218.60.56/~jnz1568/discussion.php?&amp;Z=8&amp;N=6&amp;Sheet=1&amp;Row=131&amp;Col=11","")</f>
      </c>
      <c r="M132" t="s" s="1">
        <f>HYPERLINK("http://141.218.60.56/~jnz1568/discussion.php?&amp;Z=8&amp;N=6&amp;Sheet=1&amp;Row=131&amp;Col=12","")</f>
      </c>
      <c r="N132" t="s" s="1">
        <f>HYPERLINK("http://141.218.60.56/~jnz1568/discussion.php?&amp;Z=8&amp;N=6&amp;Sheet=1&amp;Row=131&amp;Col=13","310800000")</f>
      </c>
      <c r="O132" t="s" s="1">
        <f>HYPERLINK("http://141.218.60.56/~jnz1568/discussion.php?&amp;Z=8&amp;N=6&amp;Sheet=1&amp;Row=131&amp;Col=14","")</f>
      </c>
      <c r="P132" t="s" s="1">
        <f>HYPERLINK("http://141.218.60.56/~jnz1568/discussion.php?&amp;Z=8&amp;N=6&amp;Sheet=1&amp;Row=131&amp;Col=15","")</f>
      </c>
      <c r="Q132" t="s" s="1">
        <f>HYPERLINK("http://141.218.60.56/~jnz1568/discussion.php?&amp;Z=8&amp;N=6&amp;Sheet=1&amp;Row=131&amp;Col=16","")</f>
      </c>
    </row>
    <row r="133">
      <c r="A133" t="s">
        <v>15</v>
      </c>
      <c r="B133" t="s">
        <v>16</v>
      </c>
      <c r="C133" t="s">
        <v>99</v>
      </c>
      <c r="D133" t="s">
        <v>58</v>
      </c>
      <c r="E133" t="s">
        <v>716</v>
      </c>
      <c r="F133" t="s" s="1">
        <f>HYPERLINK("http://141.218.60.56/~jnz1568/discussion.php?&amp;Z=8&amp;N=6&amp;Sheet=1&amp;Row=132&amp;Col=5","181860000")</f>
      </c>
      <c r="G133" t="s" s="1">
        <f>HYPERLINK("http://141.218.60.56/~jnz1568/discussion.php?&amp;Z=8&amp;N=6&amp;Sheet=1&amp;Row=132&amp;Col=6","")</f>
      </c>
      <c r="H133" t="s" s="1">
        <f>HYPERLINK("http://141.218.60.56/~jnz1568/discussion.php?&amp;Z=8&amp;N=6&amp;Sheet=1&amp;Row=132&amp;Col=7","")</f>
      </c>
      <c r="I133" t="s" s="1">
        <f>HYPERLINK("http://141.218.60.56/~jnz1568/discussion.php?&amp;Z=8&amp;N=6&amp;Sheet=1&amp;Row=132&amp;Col=8","")</f>
      </c>
      <c r="J133" t="s" s="1">
        <f>HYPERLINK("http://141.218.60.56/~jnz1568/discussion.php?&amp;Z=8&amp;N=6&amp;Sheet=1&amp;Row=132&amp;Col=9","183010000")</f>
      </c>
      <c r="K133" t="s" s="1">
        <f>HYPERLINK("http://141.218.60.56/~jnz1568/discussion.php?&amp;Z=8&amp;N=6&amp;Sheet=1&amp;Row=132&amp;Col=10","")</f>
      </c>
      <c r="L133" t="s" s="1">
        <f>HYPERLINK("http://141.218.60.56/~jnz1568/discussion.php?&amp;Z=8&amp;N=6&amp;Sheet=1&amp;Row=132&amp;Col=11","")</f>
      </c>
      <c r="M133" t="s" s="1">
        <f>HYPERLINK("http://141.218.60.56/~jnz1568/discussion.php?&amp;Z=8&amp;N=6&amp;Sheet=1&amp;Row=132&amp;Col=12","")</f>
      </c>
      <c r="N133" t="s" s="1">
        <f>HYPERLINK("http://141.218.60.56/~jnz1568/discussion.php?&amp;Z=8&amp;N=6&amp;Sheet=1&amp;Row=132&amp;Col=13","173100000")</f>
      </c>
      <c r="O133" t="s" s="1">
        <f>HYPERLINK("http://141.218.60.56/~jnz1568/discussion.php?&amp;Z=8&amp;N=6&amp;Sheet=1&amp;Row=132&amp;Col=14","")</f>
      </c>
      <c r="P133" t="s" s="1">
        <f>HYPERLINK("http://141.218.60.56/~jnz1568/discussion.php?&amp;Z=8&amp;N=6&amp;Sheet=1&amp;Row=132&amp;Col=15","")</f>
      </c>
      <c r="Q133" t="s" s="1">
        <f>HYPERLINK("http://141.218.60.56/~jnz1568/discussion.php?&amp;Z=8&amp;N=6&amp;Sheet=1&amp;Row=132&amp;Col=16","")</f>
      </c>
    </row>
    <row r="134">
      <c r="A134" t="s">
        <v>15</v>
      </c>
      <c r="B134" t="s">
        <v>16</v>
      </c>
      <c r="C134" t="s">
        <v>99</v>
      </c>
      <c r="D134" t="s">
        <v>61</v>
      </c>
      <c r="E134" t="s">
        <v>720</v>
      </c>
      <c r="F134" t="s" s="1">
        <f>HYPERLINK("http://141.218.60.56/~jnz1568/discussion.php?&amp;Z=8&amp;N=6&amp;Sheet=1&amp;Row=133&amp;Col=5","252280000")</f>
      </c>
      <c r="G134" t="s" s="1">
        <f>HYPERLINK("http://141.218.60.56/~jnz1568/discussion.php?&amp;Z=8&amp;N=6&amp;Sheet=1&amp;Row=133&amp;Col=6","")</f>
      </c>
      <c r="H134" t="s" s="1">
        <f>HYPERLINK("http://141.218.60.56/~jnz1568/discussion.php?&amp;Z=8&amp;N=6&amp;Sheet=1&amp;Row=133&amp;Col=7","")</f>
      </c>
      <c r="I134" t="s" s="1">
        <f>HYPERLINK("http://141.218.60.56/~jnz1568/discussion.php?&amp;Z=8&amp;N=6&amp;Sheet=1&amp;Row=133&amp;Col=8","")</f>
      </c>
      <c r="J134" t="s" s="1">
        <f>HYPERLINK("http://141.218.60.56/~jnz1568/discussion.php?&amp;Z=8&amp;N=6&amp;Sheet=1&amp;Row=133&amp;Col=9","253870000")</f>
      </c>
      <c r="K134" t="s" s="1">
        <f>HYPERLINK("http://141.218.60.56/~jnz1568/discussion.php?&amp;Z=8&amp;N=6&amp;Sheet=1&amp;Row=133&amp;Col=10","")</f>
      </c>
      <c r="L134" t="s" s="1">
        <f>HYPERLINK("http://141.218.60.56/~jnz1568/discussion.php?&amp;Z=8&amp;N=6&amp;Sheet=1&amp;Row=133&amp;Col=11","")</f>
      </c>
      <c r="M134" t="s" s="1">
        <f>HYPERLINK("http://141.218.60.56/~jnz1568/discussion.php?&amp;Z=8&amp;N=6&amp;Sheet=1&amp;Row=133&amp;Col=12","")</f>
      </c>
      <c r="N134" t="s" s="1">
        <f>HYPERLINK("http://141.218.60.56/~jnz1568/discussion.php?&amp;Z=8&amp;N=6&amp;Sheet=1&amp;Row=133&amp;Col=13","239600000")</f>
      </c>
      <c r="O134" t="s" s="1">
        <f>HYPERLINK("http://141.218.60.56/~jnz1568/discussion.php?&amp;Z=8&amp;N=6&amp;Sheet=1&amp;Row=133&amp;Col=14","")</f>
      </c>
      <c r="P134" t="s" s="1">
        <f>HYPERLINK("http://141.218.60.56/~jnz1568/discussion.php?&amp;Z=8&amp;N=6&amp;Sheet=1&amp;Row=133&amp;Col=15","")</f>
      </c>
      <c r="Q134" t="s" s="1">
        <f>HYPERLINK("http://141.218.60.56/~jnz1568/discussion.php?&amp;Z=8&amp;N=6&amp;Sheet=1&amp;Row=133&amp;Col=16","")</f>
      </c>
    </row>
    <row r="135">
      <c r="A135" t="s">
        <v>15</v>
      </c>
      <c r="B135" t="s">
        <v>16</v>
      </c>
      <c r="C135" t="s">
        <v>99</v>
      </c>
      <c r="D135" t="s">
        <v>64</v>
      </c>
      <c r="E135" t="s">
        <v>724</v>
      </c>
      <c r="F135" t="s" s="1">
        <f>HYPERLINK("http://141.218.60.56/~jnz1568/discussion.php?&amp;Z=8&amp;N=6&amp;Sheet=1&amp;Row=134&amp;Col=5","1552.1")</f>
      </c>
      <c r="G135" t="s" s="1">
        <f>HYPERLINK("http://141.218.60.56/~jnz1568/discussion.php?&amp;Z=8&amp;N=6&amp;Sheet=1&amp;Row=134&amp;Col=6","")</f>
      </c>
      <c r="H135" t="s" s="1">
        <f>HYPERLINK("http://141.218.60.56/~jnz1568/discussion.php?&amp;Z=8&amp;N=6&amp;Sheet=1&amp;Row=134&amp;Col=7","")</f>
      </c>
      <c r="I135" t="s" s="1">
        <f>HYPERLINK("http://141.218.60.56/~jnz1568/discussion.php?&amp;Z=8&amp;N=6&amp;Sheet=1&amp;Row=134&amp;Col=8","")</f>
      </c>
      <c r="J135" t="s" s="1">
        <f>HYPERLINK("http://141.218.60.56/~jnz1568/discussion.php?&amp;Z=8&amp;N=6&amp;Sheet=1&amp;Row=134&amp;Col=9","1640.3")</f>
      </c>
      <c r="K135" t="s" s="1">
        <f>HYPERLINK("http://141.218.60.56/~jnz1568/discussion.php?&amp;Z=8&amp;N=6&amp;Sheet=1&amp;Row=134&amp;Col=10","")</f>
      </c>
      <c r="L135" t="s" s="1">
        <f>HYPERLINK("http://141.218.60.56/~jnz1568/discussion.php?&amp;Z=8&amp;N=6&amp;Sheet=1&amp;Row=134&amp;Col=11","")</f>
      </c>
      <c r="M135" t="s" s="1">
        <f>HYPERLINK("http://141.218.60.56/~jnz1568/discussion.php?&amp;Z=8&amp;N=6&amp;Sheet=1&amp;Row=134&amp;Col=12","")</f>
      </c>
      <c r="N135" t="s" s="1">
        <f>HYPERLINK("http://141.218.60.56/~jnz1568/discussion.php?&amp;Z=8&amp;N=6&amp;Sheet=1&amp;Row=134&amp;Col=13","5612")</f>
      </c>
      <c r="O135" t="s" s="1">
        <f>HYPERLINK("http://141.218.60.56/~jnz1568/discussion.php?&amp;Z=8&amp;N=6&amp;Sheet=1&amp;Row=134&amp;Col=14","")</f>
      </c>
      <c r="P135" t="s" s="1">
        <f>HYPERLINK("http://141.218.60.56/~jnz1568/discussion.php?&amp;Z=8&amp;N=6&amp;Sheet=1&amp;Row=134&amp;Col=15","")</f>
      </c>
      <c r="Q135" t="s" s="1">
        <f>HYPERLINK("http://141.218.60.56/~jnz1568/discussion.php?&amp;Z=8&amp;N=6&amp;Sheet=1&amp;Row=134&amp;Col=16","")</f>
      </c>
    </row>
    <row r="136">
      <c r="A136" t="s">
        <v>15</v>
      </c>
      <c r="B136" t="s">
        <v>16</v>
      </c>
      <c r="C136" t="s">
        <v>99</v>
      </c>
      <c r="D136" t="s">
        <v>69</v>
      </c>
      <c r="E136" t="s">
        <v>728</v>
      </c>
      <c r="F136" t="s" s="1">
        <f>HYPERLINK("http://141.218.60.56/~jnz1568/discussion.php?&amp;Z=8&amp;N=6&amp;Sheet=1&amp;Row=135&amp;Col=5","435700000")</f>
      </c>
      <c r="G136" t="s" s="1">
        <f>HYPERLINK("http://141.218.60.56/~jnz1568/discussion.php?&amp;Z=8&amp;N=6&amp;Sheet=1&amp;Row=135&amp;Col=6","")</f>
      </c>
      <c r="H136" t="s" s="1">
        <f>HYPERLINK("http://141.218.60.56/~jnz1568/discussion.php?&amp;Z=8&amp;N=6&amp;Sheet=1&amp;Row=135&amp;Col=7","")</f>
      </c>
      <c r="I136" t="s" s="1">
        <f>HYPERLINK("http://141.218.60.56/~jnz1568/discussion.php?&amp;Z=8&amp;N=6&amp;Sheet=1&amp;Row=135&amp;Col=8","")</f>
      </c>
      <c r="J136" t="s" s="1">
        <f>HYPERLINK("http://141.218.60.56/~jnz1568/discussion.php?&amp;Z=8&amp;N=6&amp;Sheet=1&amp;Row=135&amp;Col=9","442080000")</f>
      </c>
      <c r="K136" t="s" s="1">
        <f>HYPERLINK("http://141.218.60.56/~jnz1568/discussion.php?&amp;Z=8&amp;N=6&amp;Sheet=1&amp;Row=135&amp;Col=10","")</f>
      </c>
      <c r="L136" t="s" s="1">
        <f>HYPERLINK("http://141.218.60.56/~jnz1568/discussion.php?&amp;Z=8&amp;N=6&amp;Sheet=1&amp;Row=135&amp;Col=11","")</f>
      </c>
      <c r="M136" t="s" s="1">
        <f>HYPERLINK("http://141.218.60.56/~jnz1568/discussion.php?&amp;Z=8&amp;N=6&amp;Sheet=1&amp;Row=135&amp;Col=12","")</f>
      </c>
      <c r="N136" t="s" s="1">
        <f>HYPERLINK("http://141.218.60.56/~jnz1568/discussion.php?&amp;Z=8&amp;N=6&amp;Sheet=1&amp;Row=135&amp;Col=13","452500000")</f>
      </c>
      <c r="O136" t="s" s="1">
        <f>HYPERLINK("http://141.218.60.56/~jnz1568/discussion.php?&amp;Z=8&amp;N=6&amp;Sheet=1&amp;Row=135&amp;Col=14","")</f>
      </c>
      <c r="P136" t="s" s="1">
        <f>HYPERLINK("http://141.218.60.56/~jnz1568/discussion.php?&amp;Z=8&amp;N=6&amp;Sheet=1&amp;Row=135&amp;Col=15","")</f>
      </c>
      <c r="Q136" t="s" s="1">
        <f>HYPERLINK("http://141.218.60.56/~jnz1568/discussion.php?&amp;Z=8&amp;N=6&amp;Sheet=1&amp;Row=135&amp;Col=16","")</f>
      </c>
    </row>
    <row r="137">
      <c r="A137" t="s">
        <v>15</v>
      </c>
      <c r="B137" t="s">
        <v>16</v>
      </c>
      <c r="C137" t="s">
        <v>99</v>
      </c>
      <c r="D137" t="s">
        <v>74</v>
      </c>
      <c r="E137" t="s">
        <v>732</v>
      </c>
      <c r="F137" t="s" s="1">
        <f>HYPERLINK("http://141.218.60.56/~jnz1568/discussion.php?&amp;Z=8&amp;N=6&amp;Sheet=1&amp;Row=136&amp;Col=5","35898")</f>
      </c>
      <c r="G137" t="s" s="1">
        <f>HYPERLINK("http://141.218.60.56/~jnz1568/discussion.php?&amp;Z=8&amp;N=6&amp;Sheet=1&amp;Row=136&amp;Col=6","")</f>
      </c>
      <c r="H137" t="s" s="1">
        <f>HYPERLINK("http://141.218.60.56/~jnz1568/discussion.php?&amp;Z=8&amp;N=6&amp;Sheet=1&amp;Row=136&amp;Col=7","")</f>
      </c>
      <c r="I137" t="s" s="1">
        <f>HYPERLINK("http://141.218.60.56/~jnz1568/discussion.php?&amp;Z=8&amp;N=6&amp;Sheet=1&amp;Row=136&amp;Col=8","")</f>
      </c>
      <c r="J137" t="s" s="1">
        <f>HYPERLINK("http://141.218.60.56/~jnz1568/discussion.php?&amp;Z=8&amp;N=6&amp;Sheet=1&amp;Row=136&amp;Col=9","34511")</f>
      </c>
      <c r="K137" t="s" s="1">
        <f>HYPERLINK("http://141.218.60.56/~jnz1568/discussion.php?&amp;Z=8&amp;N=6&amp;Sheet=1&amp;Row=136&amp;Col=10","")</f>
      </c>
      <c r="L137" t="s" s="1">
        <f>HYPERLINK("http://141.218.60.56/~jnz1568/discussion.php?&amp;Z=8&amp;N=6&amp;Sheet=1&amp;Row=136&amp;Col=11","")</f>
      </c>
      <c r="M137" t="s" s="1">
        <f>HYPERLINK("http://141.218.60.56/~jnz1568/discussion.php?&amp;Z=8&amp;N=6&amp;Sheet=1&amp;Row=136&amp;Col=12","")</f>
      </c>
      <c r="N137" t="s" s="1">
        <f>HYPERLINK("http://141.218.60.56/~jnz1568/discussion.php?&amp;Z=8&amp;N=6&amp;Sheet=1&amp;Row=136&amp;Col=13","9579")</f>
      </c>
      <c r="O137" t="s" s="1">
        <f>HYPERLINK("http://141.218.60.56/~jnz1568/discussion.php?&amp;Z=8&amp;N=6&amp;Sheet=1&amp;Row=136&amp;Col=14","")</f>
      </c>
      <c r="P137" t="s" s="1">
        <f>HYPERLINK("http://141.218.60.56/~jnz1568/discussion.php?&amp;Z=8&amp;N=6&amp;Sheet=1&amp;Row=136&amp;Col=15","")</f>
      </c>
      <c r="Q137" t="s" s="1">
        <f>HYPERLINK("http://141.218.60.56/~jnz1568/discussion.php?&amp;Z=8&amp;N=6&amp;Sheet=1&amp;Row=136&amp;Col=16","")</f>
      </c>
    </row>
    <row r="138">
      <c r="A138" t="s">
        <v>15</v>
      </c>
      <c r="B138" t="s">
        <v>16</v>
      </c>
      <c r="C138" t="s">
        <v>99</v>
      </c>
      <c r="D138" t="s">
        <v>79</v>
      </c>
      <c r="E138" t="s">
        <v>736</v>
      </c>
      <c r="F138" t="s" s="1">
        <f>HYPERLINK("http://141.218.60.56/~jnz1568/discussion.php?&amp;Z=8&amp;N=6&amp;Sheet=1&amp;Row=137&amp;Col=5","27874")</f>
      </c>
      <c r="G138" t="s" s="1">
        <f>HYPERLINK("http://141.218.60.56/~jnz1568/discussion.php?&amp;Z=8&amp;N=6&amp;Sheet=1&amp;Row=137&amp;Col=6","")</f>
      </c>
      <c r="H138" t="s" s="1">
        <f>HYPERLINK("http://141.218.60.56/~jnz1568/discussion.php?&amp;Z=8&amp;N=6&amp;Sheet=1&amp;Row=137&amp;Col=7","")</f>
      </c>
      <c r="I138" t="s" s="1">
        <f>HYPERLINK("http://141.218.60.56/~jnz1568/discussion.php?&amp;Z=8&amp;N=6&amp;Sheet=1&amp;Row=137&amp;Col=8","")</f>
      </c>
      <c r="J138" t="s" s="1">
        <f>HYPERLINK("http://141.218.60.56/~jnz1568/discussion.php?&amp;Z=8&amp;N=6&amp;Sheet=1&amp;Row=137&amp;Col=9","34551")</f>
      </c>
      <c r="K138" t="s" s="1">
        <f>HYPERLINK("http://141.218.60.56/~jnz1568/discussion.php?&amp;Z=8&amp;N=6&amp;Sheet=1&amp;Row=137&amp;Col=10","")</f>
      </c>
      <c r="L138" t="s" s="1">
        <f>HYPERLINK("http://141.218.60.56/~jnz1568/discussion.php?&amp;Z=8&amp;N=6&amp;Sheet=1&amp;Row=137&amp;Col=11","")</f>
      </c>
      <c r="M138" t="s" s="1">
        <f>HYPERLINK("http://141.218.60.56/~jnz1568/discussion.php?&amp;Z=8&amp;N=6&amp;Sheet=1&amp;Row=137&amp;Col=12","")</f>
      </c>
      <c r="N138" t="s" s="1">
        <f>HYPERLINK("http://141.218.60.56/~jnz1568/discussion.php?&amp;Z=8&amp;N=6&amp;Sheet=1&amp;Row=137&amp;Col=13","102300")</f>
      </c>
      <c r="O138" t="s" s="1">
        <f>HYPERLINK("http://141.218.60.56/~jnz1568/discussion.php?&amp;Z=8&amp;N=6&amp;Sheet=1&amp;Row=137&amp;Col=14","")</f>
      </c>
      <c r="P138" t="s" s="1">
        <f>HYPERLINK("http://141.218.60.56/~jnz1568/discussion.php?&amp;Z=8&amp;N=6&amp;Sheet=1&amp;Row=137&amp;Col=15","")</f>
      </c>
      <c r="Q138" t="s" s="1">
        <f>HYPERLINK("http://141.218.60.56/~jnz1568/discussion.php?&amp;Z=8&amp;N=6&amp;Sheet=1&amp;Row=137&amp;Col=16","")</f>
      </c>
    </row>
    <row r="139">
      <c r="A139" t="s">
        <v>15</v>
      </c>
      <c r="B139" t="s">
        <v>16</v>
      </c>
      <c r="C139" t="s">
        <v>99</v>
      </c>
      <c r="D139" t="s">
        <v>84</v>
      </c>
      <c r="E139" t="s">
        <v>740</v>
      </c>
      <c r="F139" t="s" s="1">
        <f>HYPERLINK("http://141.218.60.56/~jnz1568/discussion.php?&amp;Z=8&amp;N=6&amp;Sheet=1&amp;Row=138&amp;Col=5","20098")</f>
      </c>
      <c r="G139" t="s" s="1">
        <f>HYPERLINK("http://141.218.60.56/~jnz1568/discussion.php?&amp;Z=8&amp;N=6&amp;Sheet=1&amp;Row=138&amp;Col=6","")</f>
      </c>
      <c r="H139" t="s" s="1">
        <f>HYPERLINK("http://141.218.60.56/~jnz1568/discussion.php?&amp;Z=8&amp;N=6&amp;Sheet=1&amp;Row=138&amp;Col=7","")</f>
      </c>
      <c r="I139" t="s" s="1">
        <f>HYPERLINK("http://141.218.60.56/~jnz1568/discussion.php?&amp;Z=8&amp;N=6&amp;Sheet=1&amp;Row=138&amp;Col=8","")</f>
      </c>
      <c r="J139" t="s" s="1">
        <f>HYPERLINK("http://141.218.60.56/~jnz1568/discussion.php?&amp;Z=8&amp;N=6&amp;Sheet=1&amp;Row=138&amp;Col=9","24802")</f>
      </c>
      <c r="K139" t="s" s="1">
        <f>HYPERLINK("http://141.218.60.56/~jnz1568/discussion.php?&amp;Z=8&amp;N=6&amp;Sheet=1&amp;Row=138&amp;Col=10","")</f>
      </c>
      <c r="L139" t="s" s="1">
        <f>HYPERLINK("http://141.218.60.56/~jnz1568/discussion.php?&amp;Z=8&amp;N=6&amp;Sheet=1&amp;Row=138&amp;Col=11","")</f>
      </c>
      <c r="M139" t="s" s="1">
        <f>HYPERLINK("http://141.218.60.56/~jnz1568/discussion.php?&amp;Z=8&amp;N=6&amp;Sheet=1&amp;Row=138&amp;Col=12","")</f>
      </c>
      <c r="N139" t="s" s="1">
        <f>HYPERLINK("http://141.218.60.56/~jnz1568/discussion.php?&amp;Z=8&amp;N=6&amp;Sheet=1&amp;Row=138&amp;Col=13","72630")</f>
      </c>
      <c r="O139" t="s" s="1">
        <f>HYPERLINK("http://141.218.60.56/~jnz1568/discussion.php?&amp;Z=8&amp;N=6&amp;Sheet=1&amp;Row=138&amp;Col=14","")</f>
      </c>
      <c r="P139" t="s" s="1">
        <f>HYPERLINK("http://141.218.60.56/~jnz1568/discussion.php?&amp;Z=8&amp;N=6&amp;Sheet=1&amp;Row=138&amp;Col=15","")</f>
      </c>
      <c r="Q139" t="s" s="1">
        <f>HYPERLINK("http://141.218.60.56/~jnz1568/discussion.php?&amp;Z=8&amp;N=6&amp;Sheet=1&amp;Row=138&amp;Col=16","")</f>
      </c>
    </row>
    <row r="140">
      <c r="A140" t="s">
        <v>15</v>
      </c>
      <c r="B140" t="s">
        <v>16</v>
      </c>
      <c r="C140" t="s">
        <v>99</v>
      </c>
      <c r="D140" t="s">
        <v>87</v>
      </c>
      <c r="E140" t="s">
        <v>744</v>
      </c>
      <c r="F140" t="s" s="1">
        <f>HYPERLINK("http://141.218.60.56/~jnz1568/discussion.php?&amp;Z=8&amp;N=6&amp;Sheet=1&amp;Row=139&amp;Col=5","31282")</f>
      </c>
      <c r="G140" t="s" s="1">
        <f>HYPERLINK("http://141.218.60.56/~jnz1568/discussion.php?&amp;Z=8&amp;N=6&amp;Sheet=1&amp;Row=139&amp;Col=6","")</f>
      </c>
      <c r="H140" t="s" s="1">
        <f>HYPERLINK("http://141.218.60.56/~jnz1568/discussion.php?&amp;Z=8&amp;N=6&amp;Sheet=1&amp;Row=139&amp;Col=7","")</f>
      </c>
      <c r="I140" t="s" s="1">
        <f>HYPERLINK("http://141.218.60.56/~jnz1568/discussion.php?&amp;Z=8&amp;N=6&amp;Sheet=1&amp;Row=139&amp;Col=8","")</f>
      </c>
      <c r="J140" t="s" s="1">
        <f>HYPERLINK("http://141.218.60.56/~jnz1568/discussion.php?&amp;Z=8&amp;N=6&amp;Sheet=1&amp;Row=139&amp;Col=9","38439")</f>
      </c>
      <c r="K140" t="s" s="1">
        <f>HYPERLINK("http://141.218.60.56/~jnz1568/discussion.php?&amp;Z=8&amp;N=6&amp;Sheet=1&amp;Row=139&amp;Col=10","")</f>
      </c>
      <c r="L140" t="s" s="1">
        <f>HYPERLINK("http://141.218.60.56/~jnz1568/discussion.php?&amp;Z=8&amp;N=6&amp;Sheet=1&amp;Row=139&amp;Col=11","")</f>
      </c>
      <c r="M140" t="s" s="1">
        <f>HYPERLINK("http://141.218.60.56/~jnz1568/discussion.php?&amp;Z=8&amp;N=6&amp;Sheet=1&amp;Row=139&amp;Col=12","")</f>
      </c>
      <c r="N140" t="s" s="1">
        <f>HYPERLINK("http://141.218.60.56/~jnz1568/discussion.php?&amp;Z=8&amp;N=6&amp;Sheet=1&amp;Row=139&amp;Col=13","112900")</f>
      </c>
      <c r="O140" t="s" s="1">
        <f>HYPERLINK("http://141.218.60.56/~jnz1568/discussion.php?&amp;Z=8&amp;N=6&amp;Sheet=1&amp;Row=139&amp;Col=14","")</f>
      </c>
      <c r="P140" t="s" s="1">
        <f>HYPERLINK("http://141.218.60.56/~jnz1568/discussion.php?&amp;Z=8&amp;N=6&amp;Sheet=1&amp;Row=139&amp;Col=15","")</f>
      </c>
      <c r="Q140" t="s" s="1">
        <f>HYPERLINK("http://141.218.60.56/~jnz1568/discussion.php?&amp;Z=8&amp;N=6&amp;Sheet=1&amp;Row=139&amp;Col=16","")</f>
      </c>
    </row>
    <row r="141">
      <c r="A141" t="s">
        <v>15</v>
      </c>
      <c r="B141" t="s">
        <v>16</v>
      </c>
      <c r="C141" t="s">
        <v>99</v>
      </c>
      <c r="D141" t="s">
        <v>90</v>
      </c>
      <c r="E141" t="s">
        <v>748</v>
      </c>
      <c r="F141" t="s" s="1">
        <f>HYPERLINK("http://141.218.60.56/~jnz1568/discussion.php?&amp;Z=8&amp;N=6&amp;Sheet=1&amp;Row=140&amp;Col=5","1.8097")</f>
      </c>
      <c r="G141" t="s" s="1">
        <f>HYPERLINK("http://141.218.60.56/~jnz1568/discussion.php?&amp;Z=8&amp;N=6&amp;Sheet=1&amp;Row=140&amp;Col=6","")</f>
      </c>
      <c r="H141" t="s" s="1">
        <f>HYPERLINK("http://141.218.60.56/~jnz1568/discussion.php?&amp;Z=8&amp;N=6&amp;Sheet=1&amp;Row=140&amp;Col=7","")</f>
      </c>
      <c r="I141" t="s" s="1">
        <f>HYPERLINK("http://141.218.60.56/~jnz1568/discussion.php?&amp;Z=8&amp;N=6&amp;Sheet=1&amp;Row=140&amp;Col=8","")</f>
      </c>
      <c r="J141" t="s" s="1">
        <f>HYPERLINK("http://141.218.60.56/~jnz1568/discussion.php?&amp;Z=8&amp;N=6&amp;Sheet=1&amp;Row=140&amp;Col=9","1.1063")</f>
      </c>
      <c r="K141" t="s" s="1">
        <f>HYPERLINK("http://141.218.60.56/~jnz1568/discussion.php?&amp;Z=8&amp;N=6&amp;Sheet=1&amp;Row=140&amp;Col=10","")</f>
      </c>
      <c r="L141" t="s" s="1">
        <f>HYPERLINK("http://141.218.60.56/~jnz1568/discussion.php?&amp;Z=8&amp;N=6&amp;Sheet=1&amp;Row=140&amp;Col=11","")</f>
      </c>
      <c r="M141" t="s" s="1">
        <f>HYPERLINK("http://141.218.60.56/~jnz1568/discussion.php?&amp;Z=8&amp;N=6&amp;Sheet=1&amp;Row=140&amp;Col=12","")</f>
      </c>
      <c r="N141" t="s" s="1">
        <f>HYPERLINK("http://141.218.60.56/~jnz1568/discussion.php?&amp;Z=8&amp;N=6&amp;Sheet=1&amp;Row=140&amp;Col=13","81.08")</f>
      </c>
      <c r="O141" t="s" s="1">
        <f>HYPERLINK("http://141.218.60.56/~jnz1568/discussion.php?&amp;Z=8&amp;N=6&amp;Sheet=1&amp;Row=140&amp;Col=14","")</f>
      </c>
      <c r="P141" t="s" s="1">
        <f>HYPERLINK("http://141.218.60.56/~jnz1568/discussion.php?&amp;Z=8&amp;N=6&amp;Sheet=1&amp;Row=140&amp;Col=15","")</f>
      </c>
      <c r="Q141" t="s" s="1">
        <f>HYPERLINK("http://141.218.60.56/~jnz1568/discussion.php?&amp;Z=8&amp;N=6&amp;Sheet=1&amp;Row=140&amp;Col=16","")</f>
      </c>
    </row>
    <row r="142">
      <c r="A142" t="s">
        <v>15</v>
      </c>
      <c r="B142" t="s">
        <v>16</v>
      </c>
      <c r="C142" t="s">
        <v>102</v>
      </c>
      <c r="D142" t="s">
        <v>50</v>
      </c>
      <c r="E142" t="s">
        <v>752</v>
      </c>
      <c r="F142" t="s" s="1">
        <f>HYPERLINK("http://141.218.60.56/~jnz1568/discussion.php?&amp;Z=8&amp;N=6&amp;Sheet=1&amp;Row=141&amp;Col=5","4857000000")</f>
      </c>
      <c r="G142" t="s" s="1">
        <f>HYPERLINK("http://141.218.60.56/~jnz1568/discussion.php?&amp;Z=8&amp;N=6&amp;Sheet=1&amp;Row=141&amp;Col=6","")</f>
      </c>
      <c r="H142" t="s" s="1">
        <f>HYPERLINK("http://141.218.60.56/~jnz1568/discussion.php?&amp;Z=8&amp;N=6&amp;Sheet=1&amp;Row=141&amp;Col=7","")</f>
      </c>
      <c r="I142" t="s" s="1">
        <f>HYPERLINK("http://141.218.60.56/~jnz1568/discussion.php?&amp;Z=8&amp;N=6&amp;Sheet=1&amp;Row=141&amp;Col=8","")</f>
      </c>
      <c r="J142" t="s" s="1">
        <f>HYPERLINK("http://141.218.60.56/~jnz1568/discussion.php?&amp;Z=8&amp;N=6&amp;Sheet=1&amp;Row=141&amp;Col=9","4907000000")</f>
      </c>
      <c r="K142" t="s" s="1">
        <f>HYPERLINK("http://141.218.60.56/~jnz1568/discussion.php?&amp;Z=8&amp;N=6&amp;Sheet=1&amp;Row=141&amp;Col=10","")</f>
      </c>
      <c r="L142" t="s" s="1">
        <f>HYPERLINK("http://141.218.60.56/~jnz1568/discussion.php?&amp;Z=8&amp;N=6&amp;Sheet=1&amp;Row=141&amp;Col=11","")</f>
      </c>
      <c r="M142" t="s" s="1">
        <f>HYPERLINK("http://141.218.60.56/~jnz1568/discussion.php?&amp;Z=8&amp;N=6&amp;Sheet=1&amp;Row=141&amp;Col=12","")</f>
      </c>
      <c r="N142" t="s" s="1">
        <f>HYPERLINK("http://141.218.60.56/~jnz1568/discussion.php?&amp;Z=8&amp;N=6&amp;Sheet=1&amp;Row=141&amp;Col=13","5429000000")</f>
      </c>
      <c r="O142" t="s" s="1">
        <f>HYPERLINK("http://141.218.60.56/~jnz1568/discussion.php?&amp;Z=8&amp;N=6&amp;Sheet=1&amp;Row=141&amp;Col=14","")</f>
      </c>
      <c r="P142" t="s" s="1">
        <f>HYPERLINK("http://141.218.60.56/~jnz1568/discussion.php?&amp;Z=8&amp;N=6&amp;Sheet=1&amp;Row=141&amp;Col=15","")</f>
      </c>
      <c r="Q142" t="s" s="1">
        <f>HYPERLINK("http://141.218.60.56/~jnz1568/discussion.php?&amp;Z=8&amp;N=6&amp;Sheet=1&amp;Row=141&amp;Col=16","")</f>
      </c>
    </row>
    <row r="143">
      <c r="A143" t="s">
        <v>15</v>
      </c>
      <c r="B143" t="s">
        <v>16</v>
      </c>
      <c r="C143" t="s">
        <v>102</v>
      </c>
      <c r="D143" t="s">
        <v>58</v>
      </c>
      <c r="E143" t="s">
        <v>756</v>
      </c>
      <c r="F143" t="s" s="1">
        <f>HYPERLINK("http://141.218.60.56/~jnz1568/discussion.php?&amp;Z=8&amp;N=6&amp;Sheet=1&amp;Row=142&amp;Col=5","771060000")</f>
      </c>
      <c r="G143" t="s" s="1">
        <f>HYPERLINK("http://141.218.60.56/~jnz1568/discussion.php?&amp;Z=8&amp;N=6&amp;Sheet=1&amp;Row=142&amp;Col=6","")</f>
      </c>
      <c r="H143" t="s" s="1">
        <f>HYPERLINK("http://141.218.60.56/~jnz1568/discussion.php?&amp;Z=8&amp;N=6&amp;Sheet=1&amp;Row=142&amp;Col=7","")</f>
      </c>
      <c r="I143" t="s" s="1">
        <f>HYPERLINK("http://141.218.60.56/~jnz1568/discussion.php?&amp;Z=8&amp;N=6&amp;Sheet=1&amp;Row=142&amp;Col=8","")</f>
      </c>
      <c r="J143" t="s" s="1">
        <f>HYPERLINK("http://141.218.60.56/~jnz1568/discussion.php?&amp;Z=8&amp;N=6&amp;Sheet=1&amp;Row=142&amp;Col=9","775750000")</f>
      </c>
      <c r="K143" t="s" s="1">
        <f>HYPERLINK("http://141.218.60.56/~jnz1568/discussion.php?&amp;Z=8&amp;N=6&amp;Sheet=1&amp;Row=142&amp;Col=10","")</f>
      </c>
      <c r="L143" t="s" s="1">
        <f>HYPERLINK("http://141.218.60.56/~jnz1568/discussion.php?&amp;Z=8&amp;N=6&amp;Sheet=1&amp;Row=142&amp;Col=11","")</f>
      </c>
      <c r="M143" t="s" s="1">
        <f>HYPERLINK("http://141.218.60.56/~jnz1568/discussion.php?&amp;Z=8&amp;N=6&amp;Sheet=1&amp;Row=142&amp;Col=12","")</f>
      </c>
      <c r="N143" t="s" s="1">
        <f>HYPERLINK("http://141.218.60.56/~jnz1568/discussion.php?&amp;Z=8&amp;N=6&amp;Sheet=1&amp;Row=142&amp;Col=13","729700000")</f>
      </c>
      <c r="O143" t="s" s="1">
        <f>HYPERLINK("http://141.218.60.56/~jnz1568/discussion.php?&amp;Z=8&amp;N=6&amp;Sheet=1&amp;Row=142&amp;Col=14","")</f>
      </c>
      <c r="P143" t="s" s="1">
        <f>HYPERLINK("http://141.218.60.56/~jnz1568/discussion.php?&amp;Z=8&amp;N=6&amp;Sheet=1&amp;Row=142&amp;Col=15","")</f>
      </c>
      <c r="Q143" t="s" s="1">
        <f>HYPERLINK("http://141.218.60.56/~jnz1568/discussion.php?&amp;Z=8&amp;N=6&amp;Sheet=1&amp;Row=142&amp;Col=16","")</f>
      </c>
    </row>
    <row r="144">
      <c r="A144" t="s">
        <v>15</v>
      </c>
      <c r="B144" t="s">
        <v>16</v>
      </c>
      <c r="C144" t="s">
        <v>102</v>
      </c>
      <c r="D144" t="s">
        <v>69</v>
      </c>
      <c r="E144" t="s">
        <v>760</v>
      </c>
      <c r="F144" t="s" s="1">
        <f>HYPERLINK("http://141.218.60.56/~jnz1568/discussion.php?&amp;Z=8&amp;N=6&amp;Sheet=1&amp;Row=143&amp;Col=5","437700000")</f>
      </c>
      <c r="G144" t="s" s="1">
        <f>HYPERLINK("http://141.218.60.56/~jnz1568/discussion.php?&amp;Z=8&amp;N=6&amp;Sheet=1&amp;Row=143&amp;Col=6","")</f>
      </c>
      <c r="H144" t="s" s="1">
        <f>HYPERLINK("http://141.218.60.56/~jnz1568/discussion.php?&amp;Z=8&amp;N=6&amp;Sheet=1&amp;Row=143&amp;Col=7","")</f>
      </c>
      <c r="I144" t="s" s="1">
        <f>HYPERLINK("http://141.218.60.56/~jnz1568/discussion.php?&amp;Z=8&amp;N=6&amp;Sheet=1&amp;Row=143&amp;Col=8","")</f>
      </c>
      <c r="J144" t="s" s="1">
        <f>HYPERLINK("http://141.218.60.56/~jnz1568/discussion.php?&amp;Z=8&amp;N=6&amp;Sheet=1&amp;Row=143&amp;Col=9","444090000")</f>
      </c>
      <c r="K144" t="s" s="1">
        <f>HYPERLINK("http://141.218.60.56/~jnz1568/discussion.php?&amp;Z=8&amp;N=6&amp;Sheet=1&amp;Row=143&amp;Col=10","")</f>
      </c>
      <c r="L144" t="s" s="1">
        <f>HYPERLINK("http://141.218.60.56/~jnz1568/discussion.php?&amp;Z=8&amp;N=6&amp;Sheet=1&amp;Row=143&amp;Col=11","")</f>
      </c>
      <c r="M144" t="s" s="1">
        <f>HYPERLINK("http://141.218.60.56/~jnz1568/discussion.php?&amp;Z=8&amp;N=6&amp;Sheet=1&amp;Row=143&amp;Col=12","")</f>
      </c>
      <c r="N144" t="s" s="1">
        <f>HYPERLINK("http://141.218.60.56/~jnz1568/discussion.php?&amp;Z=8&amp;N=6&amp;Sheet=1&amp;Row=143&amp;Col=13","454200000")</f>
      </c>
      <c r="O144" t="s" s="1">
        <f>HYPERLINK("http://141.218.60.56/~jnz1568/discussion.php?&amp;Z=8&amp;N=6&amp;Sheet=1&amp;Row=143&amp;Col=14","")</f>
      </c>
      <c r="P144" t="s" s="1">
        <f>HYPERLINK("http://141.218.60.56/~jnz1568/discussion.php?&amp;Z=8&amp;N=6&amp;Sheet=1&amp;Row=143&amp;Col=15","")</f>
      </c>
      <c r="Q144" t="s" s="1">
        <f>HYPERLINK("http://141.218.60.56/~jnz1568/discussion.php?&amp;Z=8&amp;N=6&amp;Sheet=1&amp;Row=143&amp;Col=16","")</f>
      </c>
    </row>
    <row r="145">
      <c r="A145" t="s">
        <v>15</v>
      </c>
      <c r="B145" t="s">
        <v>16</v>
      </c>
      <c r="C145" t="s">
        <v>102</v>
      </c>
      <c r="D145" t="s">
        <v>74</v>
      </c>
      <c r="E145" t="s">
        <v>764</v>
      </c>
      <c r="F145" t="s" s="1">
        <f>HYPERLINK("http://141.218.60.56/~jnz1568/discussion.php?&amp;Z=8&amp;N=6&amp;Sheet=1&amp;Row=144&amp;Col=5","8458.3")</f>
      </c>
      <c r="G145" t="s" s="1">
        <f>HYPERLINK("http://141.218.60.56/~jnz1568/discussion.php?&amp;Z=8&amp;N=6&amp;Sheet=1&amp;Row=144&amp;Col=6","")</f>
      </c>
      <c r="H145" t="s" s="1">
        <f>HYPERLINK("http://141.218.60.56/~jnz1568/discussion.php?&amp;Z=8&amp;N=6&amp;Sheet=1&amp;Row=144&amp;Col=7","")</f>
      </c>
      <c r="I145" t="s" s="1">
        <f>HYPERLINK("http://141.218.60.56/~jnz1568/discussion.php?&amp;Z=8&amp;N=6&amp;Sheet=1&amp;Row=144&amp;Col=8","")</f>
      </c>
      <c r="J145" t="s" s="1">
        <f>HYPERLINK("http://141.218.60.56/~jnz1568/discussion.php?&amp;Z=8&amp;N=6&amp;Sheet=1&amp;Row=144&amp;Col=9","8008")</f>
      </c>
      <c r="K145" t="s" s="1">
        <f>HYPERLINK("http://141.218.60.56/~jnz1568/discussion.php?&amp;Z=8&amp;N=6&amp;Sheet=1&amp;Row=144&amp;Col=10","")</f>
      </c>
      <c r="L145" t="s" s="1">
        <f>HYPERLINK("http://141.218.60.56/~jnz1568/discussion.php?&amp;Z=8&amp;N=6&amp;Sheet=1&amp;Row=144&amp;Col=11","")</f>
      </c>
      <c r="M145" t="s" s="1">
        <f>HYPERLINK("http://141.218.60.56/~jnz1568/discussion.php?&amp;Z=8&amp;N=6&amp;Sheet=1&amp;Row=144&amp;Col=12","")</f>
      </c>
      <c r="N145" t="s" s="1">
        <f>HYPERLINK("http://141.218.60.56/~jnz1568/discussion.php?&amp;Z=8&amp;N=6&amp;Sheet=1&amp;Row=144&amp;Col=13","1662")</f>
      </c>
      <c r="O145" t="s" s="1">
        <f>HYPERLINK("http://141.218.60.56/~jnz1568/discussion.php?&amp;Z=8&amp;N=6&amp;Sheet=1&amp;Row=144&amp;Col=14","")</f>
      </c>
      <c r="P145" t="s" s="1">
        <f>HYPERLINK("http://141.218.60.56/~jnz1568/discussion.php?&amp;Z=8&amp;N=6&amp;Sheet=1&amp;Row=144&amp;Col=15","")</f>
      </c>
      <c r="Q145" t="s" s="1">
        <f>HYPERLINK("http://141.218.60.56/~jnz1568/discussion.php?&amp;Z=8&amp;N=6&amp;Sheet=1&amp;Row=144&amp;Col=16","")</f>
      </c>
    </row>
    <row r="146">
      <c r="A146" t="s">
        <v>15</v>
      </c>
      <c r="B146" t="s">
        <v>16</v>
      </c>
      <c r="C146" t="s">
        <v>102</v>
      </c>
      <c r="D146" t="s">
        <v>84</v>
      </c>
      <c r="E146" t="s">
        <v>768</v>
      </c>
      <c r="F146" t="s" s="1">
        <f>HYPERLINK("http://141.218.60.56/~jnz1568/discussion.php?&amp;Z=8&amp;N=6&amp;Sheet=1&amp;Row=145&amp;Col=5","82882")</f>
      </c>
      <c r="G146" t="s" s="1">
        <f>HYPERLINK("http://141.218.60.56/~jnz1568/discussion.php?&amp;Z=8&amp;N=6&amp;Sheet=1&amp;Row=145&amp;Col=6","")</f>
      </c>
      <c r="H146" t="s" s="1">
        <f>HYPERLINK("http://141.218.60.56/~jnz1568/discussion.php?&amp;Z=8&amp;N=6&amp;Sheet=1&amp;Row=145&amp;Col=7","")</f>
      </c>
      <c r="I146" t="s" s="1">
        <f>HYPERLINK("http://141.218.60.56/~jnz1568/discussion.php?&amp;Z=8&amp;N=6&amp;Sheet=1&amp;Row=145&amp;Col=8","")</f>
      </c>
      <c r="J146" t="s" s="1">
        <f>HYPERLINK("http://141.218.60.56/~jnz1568/discussion.php?&amp;Z=8&amp;N=6&amp;Sheet=1&amp;Row=145&amp;Col=9","102500")</f>
      </c>
      <c r="K146" t="s" s="1">
        <f>HYPERLINK("http://141.218.60.56/~jnz1568/discussion.php?&amp;Z=8&amp;N=6&amp;Sheet=1&amp;Row=145&amp;Col=10","")</f>
      </c>
      <c r="L146" t="s" s="1">
        <f>HYPERLINK("http://141.218.60.56/~jnz1568/discussion.php?&amp;Z=8&amp;N=6&amp;Sheet=1&amp;Row=145&amp;Col=11","")</f>
      </c>
      <c r="M146" t="s" s="1">
        <f>HYPERLINK("http://141.218.60.56/~jnz1568/discussion.php?&amp;Z=8&amp;N=6&amp;Sheet=1&amp;Row=145&amp;Col=12","")</f>
      </c>
      <c r="N146" t="s" s="1">
        <f>HYPERLINK("http://141.218.60.56/~jnz1568/discussion.php?&amp;Z=8&amp;N=6&amp;Sheet=1&amp;Row=145&amp;Col=13","301800")</f>
      </c>
      <c r="O146" t="s" s="1">
        <f>HYPERLINK("http://141.218.60.56/~jnz1568/discussion.php?&amp;Z=8&amp;N=6&amp;Sheet=1&amp;Row=145&amp;Col=14","")</f>
      </c>
      <c r="P146" t="s" s="1">
        <f>HYPERLINK("http://141.218.60.56/~jnz1568/discussion.php?&amp;Z=8&amp;N=6&amp;Sheet=1&amp;Row=145&amp;Col=15","")</f>
      </c>
      <c r="Q146" t="s" s="1">
        <f>HYPERLINK("http://141.218.60.56/~jnz1568/discussion.php?&amp;Z=8&amp;N=6&amp;Sheet=1&amp;Row=145&amp;Col=16","")</f>
      </c>
    </row>
    <row r="147">
      <c r="A147" t="s">
        <v>15</v>
      </c>
      <c r="B147" t="s">
        <v>16</v>
      </c>
      <c r="C147" t="s">
        <v>102</v>
      </c>
      <c r="D147" t="s">
        <v>90</v>
      </c>
      <c r="E147" t="s">
        <v>772</v>
      </c>
      <c r="F147" t="s" s="1">
        <f>HYPERLINK("http://141.218.60.56/~jnz1568/discussion.php?&amp;Z=8&amp;N=6&amp;Sheet=1&amp;Row=146&amp;Col=5","15.912")</f>
      </c>
      <c r="G147" t="s" s="1">
        <f>HYPERLINK("http://141.218.60.56/~jnz1568/discussion.php?&amp;Z=8&amp;N=6&amp;Sheet=1&amp;Row=146&amp;Col=6","")</f>
      </c>
      <c r="H147" t="s" s="1">
        <f>HYPERLINK("http://141.218.60.56/~jnz1568/discussion.php?&amp;Z=8&amp;N=6&amp;Sheet=1&amp;Row=146&amp;Col=7","")</f>
      </c>
      <c r="I147" t="s" s="1">
        <f>HYPERLINK("http://141.218.60.56/~jnz1568/discussion.php?&amp;Z=8&amp;N=6&amp;Sheet=1&amp;Row=146&amp;Col=8","")</f>
      </c>
      <c r="J147" t="s" s="1">
        <f>HYPERLINK("http://141.218.60.56/~jnz1568/discussion.php?&amp;Z=8&amp;N=6&amp;Sheet=1&amp;Row=146&amp;Col=9","18.228")</f>
      </c>
      <c r="K147" t="s" s="1">
        <f>HYPERLINK("http://141.218.60.56/~jnz1568/discussion.php?&amp;Z=8&amp;N=6&amp;Sheet=1&amp;Row=146&amp;Col=10","")</f>
      </c>
      <c r="L147" t="s" s="1">
        <f>HYPERLINK("http://141.218.60.56/~jnz1568/discussion.php?&amp;Z=8&amp;N=6&amp;Sheet=1&amp;Row=146&amp;Col=11","")</f>
      </c>
      <c r="M147" t="s" s="1">
        <f>HYPERLINK("http://141.218.60.56/~jnz1568/discussion.php?&amp;Z=8&amp;N=6&amp;Sheet=1&amp;Row=146&amp;Col=12","")</f>
      </c>
      <c r="N147" t="s" s="1">
        <f>HYPERLINK("http://141.218.60.56/~jnz1568/discussion.php?&amp;Z=8&amp;N=6&amp;Sheet=1&amp;Row=146&amp;Col=13","10.75")</f>
      </c>
      <c r="O147" t="s" s="1">
        <f>HYPERLINK("http://141.218.60.56/~jnz1568/discussion.php?&amp;Z=8&amp;N=6&amp;Sheet=1&amp;Row=146&amp;Col=14","")</f>
      </c>
      <c r="P147" t="s" s="1">
        <f>HYPERLINK("http://141.218.60.56/~jnz1568/discussion.php?&amp;Z=8&amp;N=6&amp;Sheet=1&amp;Row=146&amp;Col=15","")</f>
      </c>
      <c r="Q147" t="s" s="1">
        <f>HYPERLINK("http://141.218.60.56/~jnz1568/discussion.php?&amp;Z=8&amp;N=6&amp;Sheet=1&amp;Row=146&amp;Col=16","")</f>
      </c>
    </row>
    <row r="148">
      <c r="A148" t="s">
        <v>15</v>
      </c>
      <c r="B148" t="s">
        <v>16</v>
      </c>
      <c r="C148" t="s">
        <v>105</v>
      </c>
      <c r="D148" t="s">
        <v>16</v>
      </c>
      <c r="E148" t="s">
        <v>776</v>
      </c>
      <c r="F148" t="s" s="1">
        <f>HYPERLINK("http://141.218.60.56/~jnz1568/discussion.php?&amp;Z=8&amp;N=6&amp;Sheet=1&amp;Row=147&amp;Col=5","0.0004494")</f>
      </c>
      <c r="G148" t="s" s="1">
        <f>HYPERLINK("http://141.218.60.56/~jnz1568/discussion.php?&amp;Z=8&amp;N=6&amp;Sheet=1&amp;Row=147&amp;Col=6","")</f>
      </c>
      <c r="H148" t="s" s="1">
        <f>HYPERLINK("http://141.218.60.56/~jnz1568/discussion.php?&amp;Z=8&amp;N=6&amp;Sheet=1&amp;Row=147&amp;Col=7","")</f>
      </c>
      <c r="I148" t="s" s="1">
        <f>HYPERLINK("http://141.218.60.56/~jnz1568/discussion.php?&amp;Z=8&amp;N=6&amp;Sheet=1&amp;Row=147&amp;Col=8","")</f>
      </c>
      <c r="J148" t="s" s="1">
        <f>HYPERLINK("http://141.218.60.56/~jnz1568/discussion.php?&amp;Z=8&amp;N=6&amp;Sheet=1&amp;Row=147&amp;Col=9","0.0006838")</f>
      </c>
      <c r="K148" t="s" s="1">
        <f>HYPERLINK("http://141.218.60.56/~jnz1568/discussion.php?&amp;Z=8&amp;N=6&amp;Sheet=1&amp;Row=147&amp;Col=10","")</f>
      </c>
      <c r="L148" t="s" s="1">
        <f>HYPERLINK("http://141.218.60.56/~jnz1568/discussion.php?&amp;Z=8&amp;N=6&amp;Sheet=1&amp;Row=147&amp;Col=11","")</f>
      </c>
      <c r="M148" t="s" s="1">
        <f>HYPERLINK("http://141.218.60.56/~jnz1568/discussion.php?&amp;Z=8&amp;N=6&amp;Sheet=1&amp;Row=147&amp;Col=12","")</f>
      </c>
      <c r="N148" t="s" s="1">
        <f>HYPERLINK("http://141.218.60.56/~jnz1568/discussion.php?&amp;Z=8&amp;N=6&amp;Sheet=1&amp;Row=147&amp;Col=13","0.02006")</f>
      </c>
      <c r="O148" t="s" s="1">
        <f>HYPERLINK("http://141.218.60.56/~jnz1568/discussion.php?&amp;Z=8&amp;N=6&amp;Sheet=1&amp;Row=147&amp;Col=14","")</f>
      </c>
      <c r="P148" t="s" s="1">
        <f>HYPERLINK("http://141.218.60.56/~jnz1568/discussion.php?&amp;Z=8&amp;N=6&amp;Sheet=1&amp;Row=147&amp;Col=15","")</f>
      </c>
      <c r="Q148" t="s" s="1">
        <f>HYPERLINK("http://141.218.60.56/~jnz1568/discussion.php?&amp;Z=8&amp;N=6&amp;Sheet=1&amp;Row=147&amp;Col=16","")</f>
      </c>
    </row>
    <row r="149">
      <c r="A149" t="s">
        <v>15</v>
      </c>
      <c r="B149" t="s">
        <v>16</v>
      </c>
      <c r="C149" t="s">
        <v>105</v>
      </c>
      <c r="D149" t="s">
        <v>15</v>
      </c>
      <c r="E149" t="s">
        <v>780</v>
      </c>
      <c r="F149" t="s" s="1">
        <f>HYPERLINK("http://141.218.60.56/~jnz1568/discussion.php?&amp;Z=8&amp;N=6&amp;Sheet=1&amp;Row=148&amp;Col=5","8368.8")</f>
      </c>
      <c r="G149" t="s" s="1">
        <f>HYPERLINK("http://141.218.60.56/~jnz1568/discussion.php?&amp;Z=8&amp;N=6&amp;Sheet=1&amp;Row=148&amp;Col=6","")</f>
      </c>
      <c r="H149" t="s" s="1">
        <f>HYPERLINK("http://141.218.60.56/~jnz1568/discussion.php?&amp;Z=8&amp;N=6&amp;Sheet=1&amp;Row=148&amp;Col=7","")</f>
      </c>
      <c r="I149" t="s" s="1">
        <f>HYPERLINK("http://141.218.60.56/~jnz1568/discussion.php?&amp;Z=8&amp;N=6&amp;Sheet=1&amp;Row=148&amp;Col=8","")</f>
      </c>
      <c r="J149" t="s" s="1">
        <f>HYPERLINK("http://141.218.60.56/~jnz1568/discussion.php?&amp;Z=8&amp;N=6&amp;Sheet=1&amp;Row=148&amp;Col=9","8575")</f>
      </c>
      <c r="K149" t="s" s="1">
        <f>HYPERLINK("http://141.218.60.56/~jnz1568/discussion.php?&amp;Z=8&amp;N=6&amp;Sheet=1&amp;Row=148&amp;Col=10","")</f>
      </c>
      <c r="L149" t="s" s="1">
        <f>HYPERLINK("http://141.218.60.56/~jnz1568/discussion.php?&amp;Z=8&amp;N=6&amp;Sheet=1&amp;Row=148&amp;Col=11","")</f>
      </c>
      <c r="M149" t="s" s="1">
        <f>HYPERLINK("http://141.218.60.56/~jnz1568/discussion.php?&amp;Z=8&amp;N=6&amp;Sheet=1&amp;Row=148&amp;Col=12","")</f>
      </c>
      <c r="N149" t="s" s="1">
        <f>HYPERLINK("http://141.218.60.56/~jnz1568/discussion.php?&amp;Z=8&amp;N=6&amp;Sheet=1&amp;Row=148&amp;Col=13","114200")</f>
      </c>
      <c r="O149" t="s" s="1">
        <f>HYPERLINK("http://141.218.60.56/~jnz1568/discussion.php?&amp;Z=8&amp;N=6&amp;Sheet=1&amp;Row=148&amp;Col=14","")</f>
      </c>
      <c r="P149" t="s" s="1">
        <f>HYPERLINK("http://141.218.60.56/~jnz1568/discussion.php?&amp;Z=8&amp;N=6&amp;Sheet=1&amp;Row=148&amp;Col=15","")</f>
      </c>
      <c r="Q149" t="s" s="1">
        <f>HYPERLINK("http://141.218.60.56/~jnz1568/discussion.php?&amp;Z=8&amp;N=6&amp;Sheet=1&amp;Row=148&amp;Col=16","")</f>
      </c>
    </row>
    <row r="150">
      <c r="A150" t="s">
        <v>15</v>
      </c>
      <c r="B150" t="s">
        <v>16</v>
      </c>
      <c r="C150" t="s">
        <v>105</v>
      </c>
      <c r="D150" t="s">
        <v>50</v>
      </c>
      <c r="E150" t="s">
        <v>784</v>
      </c>
      <c r="F150" t="s" s="1">
        <f>HYPERLINK("http://141.218.60.56/~jnz1568/discussion.php?&amp;Z=8&amp;N=6&amp;Sheet=1&amp;Row=149&amp;Col=5","52011")</f>
      </c>
      <c r="G150" t="s" s="1">
        <f>HYPERLINK("http://141.218.60.56/~jnz1568/discussion.php?&amp;Z=8&amp;N=6&amp;Sheet=1&amp;Row=149&amp;Col=6","")</f>
      </c>
      <c r="H150" t="s" s="1">
        <f>HYPERLINK("http://141.218.60.56/~jnz1568/discussion.php?&amp;Z=8&amp;N=6&amp;Sheet=1&amp;Row=149&amp;Col=7","")</f>
      </c>
      <c r="I150" t="s" s="1">
        <f>HYPERLINK("http://141.218.60.56/~jnz1568/discussion.php?&amp;Z=8&amp;N=6&amp;Sheet=1&amp;Row=149&amp;Col=8","")</f>
      </c>
      <c r="J150" t="s" s="1">
        <f>HYPERLINK("http://141.218.60.56/~jnz1568/discussion.php?&amp;Z=8&amp;N=6&amp;Sheet=1&amp;Row=149&amp;Col=9","52343")</f>
      </c>
      <c r="K150" t="s" s="1">
        <f>HYPERLINK("http://141.218.60.56/~jnz1568/discussion.php?&amp;Z=8&amp;N=6&amp;Sheet=1&amp;Row=149&amp;Col=10","")</f>
      </c>
      <c r="L150" t="s" s="1">
        <f>HYPERLINK("http://141.218.60.56/~jnz1568/discussion.php?&amp;Z=8&amp;N=6&amp;Sheet=1&amp;Row=149&amp;Col=11","")</f>
      </c>
      <c r="M150" t="s" s="1">
        <f>HYPERLINK("http://141.218.60.56/~jnz1568/discussion.php?&amp;Z=8&amp;N=6&amp;Sheet=1&amp;Row=149&amp;Col=12","")</f>
      </c>
      <c r="N150" t="s" s="1">
        <f>HYPERLINK("http://141.218.60.56/~jnz1568/discussion.php?&amp;Z=8&amp;N=6&amp;Sheet=1&amp;Row=149&amp;Col=13","1081")</f>
      </c>
      <c r="O150" t="s" s="1">
        <f>HYPERLINK("http://141.218.60.56/~jnz1568/discussion.php?&amp;Z=8&amp;N=6&amp;Sheet=1&amp;Row=149&amp;Col=14","")</f>
      </c>
      <c r="P150" t="s" s="1">
        <f>HYPERLINK("http://141.218.60.56/~jnz1568/discussion.php?&amp;Z=8&amp;N=6&amp;Sheet=1&amp;Row=149&amp;Col=15","")</f>
      </c>
      <c r="Q150" t="s" s="1">
        <f>HYPERLINK("http://141.218.60.56/~jnz1568/discussion.php?&amp;Z=8&amp;N=6&amp;Sheet=1&amp;Row=149&amp;Col=16","")</f>
      </c>
    </row>
    <row r="151">
      <c r="A151" t="s">
        <v>15</v>
      </c>
      <c r="B151" t="s">
        <v>16</v>
      </c>
      <c r="C151" t="s">
        <v>105</v>
      </c>
      <c r="D151" t="s">
        <v>53</v>
      </c>
      <c r="E151" t="s">
        <v>788</v>
      </c>
      <c r="F151" t="s" s="1">
        <f>HYPERLINK("http://141.218.60.56/~jnz1568/discussion.php?&amp;Z=8&amp;N=6&amp;Sheet=1&amp;Row=150&amp;Col=5","51750")</f>
      </c>
      <c r="G151" t="s" s="1">
        <f>HYPERLINK("http://141.218.60.56/~jnz1568/discussion.php?&amp;Z=8&amp;N=6&amp;Sheet=1&amp;Row=150&amp;Col=6","")</f>
      </c>
      <c r="H151" t="s" s="1">
        <f>HYPERLINK("http://141.218.60.56/~jnz1568/discussion.php?&amp;Z=8&amp;N=6&amp;Sheet=1&amp;Row=150&amp;Col=7","")</f>
      </c>
      <c r="I151" t="s" s="1">
        <f>HYPERLINK("http://141.218.60.56/~jnz1568/discussion.php?&amp;Z=8&amp;N=6&amp;Sheet=1&amp;Row=150&amp;Col=8","")</f>
      </c>
      <c r="J151" t="s" s="1">
        <f>HYPERLINK("http://141.218.60.56/~jnz1568/discussion.php?&amp;Z=8&amp;N=6&amp;Sheet=1&amp;Row=150&amp;Col=9","52675")</f>
      </c>
      <c r="K151" t="s" s="1">
        <f>HYPERLINK("http://141.218.60.56/~jnz1568/discussion.php?&amp;Z=8&amp;N=6&amp;Sheet=1&amp;Row=150&amp;Col=10","")</f>
      </c>
      <c r="L151" t="s" s="1">
        <f>HYPERLINK("http://141.218.60.56/~jnz1568/discussion.php?&amp;Z=8&amp;N=6&amp;Sheet=1&amp;Row=150&amp;Col=11","")</f>
      </c>
      <c r="M151" t="s" s="1">
        <f>HYPERLINK("http://141.218.60.56/~jnz1568/discussion.php?&amp;Z=8&amp;N=6&amp;Sheet=1&amp;Row=150&amp;Col=12","")</f>
      </c>
      <c r="N151" t="s" s="1">
        <f>HYPERLINK("http://141.218.60.56/~jnz1568/discussion.php?&amp;Z=8&amp;N=6&amp;Sheet=1&amp;Row=150&amp;Col=13","72720")</f>
      </c>
      <c r="O151" t="s" s="1">
        <f>HYPERLINK("http://141.218.60.56/~jnz1568/discussion.php?&amp;Z=8&amp;N=6&amp;Sheet=1&amp;Row=150&amp;Col=14","")</f>
      </c>
      <c r="P151" t="s" s="1">
        <f>HYPERLINK("http://141.218.60.56/~jnz1568/discussion.php?&amp;Z=8&amp;N=6&amp;Sheet=1&amp;Row=150&amp;Col=15","")</f>
      </c>
      <c r="Q151" t="s" s="1">
        <f>HYPERLINK("http://141.218.60.56/~jnz1568/discussion.php?&amp;Z=8&amp;N=6&amp;Sheet=1&amp;Row=150&amp;Col=16","")</f>
      </c>
    </row>
    <row r="152">
      <c r="A152" t="s">
        <v>15</v>
      </c>
      <c r="B152" t="s">
        <v>16</v>
      </c>
      <c r="C152" t="s">
        <v>105</v>
      </c>
      <c r="D152" t="s">
        <v>58</v>
      </c>
      <c r="E152" t="s">
        <v>792</v>
      </c>
      <c r="F152" t="s" s="1">
        <f>HYPERLINK("http://141.218.60.56/~jnz1568/discussion.php?&amp;Z=8&amp;N=6&amp;Sheet=1&amp;Row=151&amp;Col=5","139060")</f>
      </c>
      <c r="G152" t="s" s="1">
        <f>HYPERLINK("http://141.218.60.56/~jnz1568/discussion.php?&amp;Z=8&amp;N=6&amp;Sheet=1&amp;Row=151&amp;Col=6","")</f>
      </c>
      <c r="H152" t="s" s="1">
        <f>HYPERLINK("http://141.218.60.56/~jnz1568/discussion.php?&amp;Z=8&amp;N=6&amp;Sheet=1&amp;Row=151&amp;Col=7","")</f>
      </c>
      <c r="I152" t="s" s="1">
        <f>HYPERLINK("http://141.218.60.56/~jnz1568/discussion.php?&amp;Z=8&amp;N=6&amp;Sheet=1&amp;Row=151&amp;Col=8","")</f>
      </c>
      <c r="J152" t="s" s="1">
        <f>HYPERLINK("http://141.218.60.56/~jnz1568/discussion.php?&amp;Z=8&amp;N=6&amp;Sheet=1&amp;Row=151&amp;Col=9","140550")</f>
      </c>
      <c r="K152" t="s" s="1">
        <f>HYPERLINK("http://141.218.60.56/~jnz1568/discussion.php?&amp;Z=8&amp;N=6&amp;Sheet=1&amp;Row=151&amp;Col=10","")</f>
      </c>
      <c r="L152" t="s" s="1">
        <f>HYPERLINK("http://141.218.60.56/~jnz1568/discussion.php?&amp;Z=8&amp;N=6&amp;Sheet=1&amp;Row=151&amp;Col=11","")</f>
      </c>
      <c r="M152" t="s" s="1">
        <f>HYPERLINK("http://141.218.60.56/~jnz1568/discussion.php?&amp;Z=8&amp;N=6&amp;Sheet=1&amp;Row=151&amp;Col=12","")</f>
      </c>
      <c r="N152" t="s" s="1">
        <f>HYPERLINK("http://141.218.60.56/~jnz1568/discussion.php?&amp;Z=8&amp;N=6&amp;Sheet=1&amp;Row=151&amp;Col=13","55120")</f>
      </c>
      <c r="O152" t="s" s="1">
        <f>HYPERLINK("http://141.218.60.56/~jnz1568/discussion.php?&amp;Z=8&amp;N=6&amp;Sheet=1&amp;Row=151&amp;Col=14","")</f>
      </c>
      <c r="P152" t="s" s="1">
        <f>HYPERLINK("http://141.218.60.56/~jnz1568/discussion.php?&amp;Z=8&amp;N=6&amp;Sheet=1&amp;Row=151&amp;Col=15","")</f>
      </c>
      <c r="Q152" t="s" s="1">
        <f>HYPERLINK("http://141.218.60.56/~jnz1568/discussion.php?&amp;Z=8&amp;N=6&amp;Sheet=1&amp;Row=151&amp;Col=16","")</f>
      </c>
    </row>
    <row r="153">
      <c r="A153" t="s">
        <v>15</v>
      </c>
      <c r="B153" t="s">
        <v>16</v>
      </c>
      <c r="C153" t="s">
        <v>105</v>
      </c>
      <c r="D153" t="s">
        <v>61</v>
      </c>
      <c r="E153" t="s">
        <v>796</v>
      </c>
      <c r="F153" t="s" s="1">
        <f>HYPERLINK("http://141.218.60.56/~jnz1568/discussion.php?&amp;Z=8&amp;N=6&amp;Sheet=1&amp;Row=152&amp;Col=5","32334")</f>
      </c>
      <c r="G153" t="s" s="1">
        <f>HYPERLINK("http://141.218.60.56/~jnz1568/discussion.php?&amp;Z=8&amp;N=6&amp;Sheet=1&amp;Row=152&amp;Col=6","")</f>
      </c>
      <c r="H153" t="s" s="1">
        <f>HYPERLINK("http://141.218.60.56/~jnz1568/discussion.php?&amp;Z=8&amp;N=6&amp;Sheet=1&amp;Row=152&amp;Col=7","")</f>
      </c>
      <c r="I153" t="s" s="1">
        <f>HYPERLINK("http://141.218.60.56/~jnz1568/discussion.php?&amp;Z=8&amp;N=6&amp;Sheet=1&amp;Row=152&amp;Col=8","")</f>
      </c>
      <c r="J153" t="s" s="1">
        <f>HYPERLINK("http://141.218.60.56/~jnz1568/discussion.php?&amp;Z=8&amp;N=6&amp;Sheet=1&amp;Row=152&amp;Col=9","32525")</f>
      </c>
      <c r="K153" t="s" s="1">
        <f>HYPERLINK("http://141.218.60.56/~jnz1568/discussion.php?&amp;Z=8&amp;N=6&amp;Sheet=1&amp;Row=152&amp;Col=10","")</f>
      </c>
      <c r="L153" t="s" s="1">
        <f>HYPERLINK("http://141.218.60.56/~jnz1568/discussion.php?&amp;Z=8&amp;N=6&amp;Sheet=1&amp;Row=152&amp;Col=11","")</f>
      </c>
      <c r="M153" t="s" s="1">
        <f>HYPERLINK("http://141.218.60.56/~jnz1568/discussion.php?&amp;Z=8&amp;N=6&amp;Sheet=1&amp;Row=152&amp;Col=12","")</f>
      </c>
      <c r="N153" t="s" s="1">
        <f>HYPERLINK("http://141.218.60.56/~jnz1568/discussion.php?&amp;Z=8&amp;N=6&amp;Sheet=1&amp;Row=152&amp;Col=13","35550")</f>
      </c>
      <c r="O153" t="s" s="1">
        <f>HYPERLINK("http://141.218.60.56/~jnz1568/discussion.php?&amp;Z=8&amp;N=6&amp;Sheet=1&amp;Row=152&amp;Col=14","")</f>
      </c>
      <c r="P153" t="s" s="1">
        <f>HYPERLINK("http://141.218.60.56/~jnz1568/discussion.php?&amp;Z=8&amp;N=6&amp;Sheet=1&amp;Row=152&amp;Col=15","")</f>
      </c>
      <c r="Q153" t="s" s="1">
        <f>HYPERLINK("http://141.218.60.56/~jnz1568/discussion.php?&amp;Z=8&amp;N=6&amp;Sheet=1&amp;Row=152&amp;Col=16","")</f>
      </c>
    </row>
    <row r="154">
      <c r="A154" t="s">
        <v>15</v>
      </c>
      <c r="B154" t="s">
        <v>16</v>
      </c>
      <c r="C154" t="s">
        <v>105</v>
      </c>
      <c r="D154" t="s">
        <v>64</v>
      </c>
      <c r="E154" t="s">
        <v>800</v>
      </c>
      <c r="F154" t="s" s="1">
        <f>HYPERLINK("http://141.218.60.56/~jnz1568/discussion.php?&amp;Z=8&amp;N=6&amp;Sheet=1&amp;Row=153&amp;Col=5","56819000")</f>
      </c>
      <c r="G154" t="s" s="1">
        <f>HYPERLINK("http://141.218.60.56/~jnz1568/discussion.php?&amp;Z=8&amp;N=6&amp;Sheet=1&amp;Row=153&amp;Col=6","")</f>
      </c>
      <c r="H154" t="s" s="1">
        <f>HYPERLINK("http://141.218.60.56/~jnz1568/discussion.php?&amp;Z=8&amp;N=6&amp;Sheet=1&amp;Row=153&amp;Col=7","")</f>
      </c>
      <c r="I154" t="s" s="1">
        <f>HYPERLINK("http://141.218.60.56/~jnz1568/discussion.php?&amp;Z=8&amp;N=6&amp;Sheet=1&amp;Row=153&amp;Col=8","")</f>
      </c>
      <c r="J154" t="s" s="1">
        <f>HYPERLINK("http://141.218.60.56/~jnz1568/discussion.php?&amp;Z=8&amp;N=6&amp;Sheet=1&amp;Row=153&amp;Col=9","57030000")</f>
      </c>
      <c r="K154" t="s" s="1">
        <f>HYPERLINK("http://141.218.60.56/~jnz1568/discussion.php?&amp;Z=8&amp;N=6&amp;Sheet=1&amp;Row=153&amp;Col=10","")</f>
      </c>
      <c r="L154" t="s" s="1">
        <f>HYPERLINK("http://141.218.60.56/~jnz1568/discussion.php?&amp;Z=8&amp;N=6&amp;Sheet=1&amp;Row=153&amp;Col=11","")</f>
      </c>
      <c r="M154" t="s" s="1">
        <f>HYPERLINK("http://141.218.60.56/~jnz1568/discussion.php?&amp;Z=8&amp;N=6&amp;Sheet=1&amp;Row=153&amp;Col=12","")</f>
      </c>
      <c r="N154" t="s" s="1">
        <f>HYPERLINK("http://141.218.60.56/~jnz1568/discussion.php?&amp;Z=8&amp;N=6&amp;Sheet=1&amp;Row=153&amp;Col=13","77160000")</f>
      </c>
      <c r="O154" t="s" s="1">
        <f>HYPERLINK("http://141.218.60.56/~jnz1568/discussion.php?&amp;Z=8&amp;N=6&amp;Sheet=1&amp;Row=153&amp;Col=14","")</f>
      </c>
      <c r="P154" t="s" s="1">
        <f>HYPERLINK("http://141.218.60.56/~jnz1568/discussion.php?&amp;Z=8&amp;N=6&amp;Sheet=1&amp;Row=153&amp;Col=15","")</f>
      </c>
      <c r="Q154" t="s" s="1">
        <f>HYPERLINK("http://141.218.60.56/~jnz1568/discussion.php?&amp;Z=8&amp;N=6&amp;Sheet=1&amp;Row=153&amp;Col=16","")</f>
      </c>
    </row>
    <row r="155">
      <c r="A155" t="s">
        <v>15</v>
      </c>
      <c r="B155" t="s">
        <v>16</v>
      </c>
      <c r="C155" t="s">
        <v>105</v>
      </c>
      <c r="D155" t="s">
        <v>69</v>
      </c>
      <c r="E155" t="s">
        <v>804</v>
      </c>
      <c r="F155" t="s" s="1">
        <f>HYPERLINK("http://141.218.60.56/~jnz1568/discussion.php?&amp;Z=8&amp;N=6&amp;Sheet=1&amp;Row=154&amp;Col=5","3000")</f>
      </c>
      <c r="G155" t="s" s="1">
        <f>HYPERLINK("http://141.218.60.56/~jnz1568/discussion.php?&amp;Z=8&amp;N=6&amp;Sheet=1&amp;Row=154&amp;Col=6","")</f>
      </c>
      <c r="H155" t="s" s="1">
        <f>HYPERLINK("http://141.218.60.56/~jnz1568/discussion.php?&amp;Z=8&amp;N=6&amp;Sheet=1&amp;Row=154&amp;Col=7","")</f>
      </c>
      <c r="I155" t="s" s="1">
        <f>HYPERLINK("http://141.218.60.56/~jnz1568/discussion.php?&amp;Z=8&amp;N=6&amp;Sheet=1&amp;Row=154&amp;Col=8","")</f>
      </c>
      <c r="J155" t="s" s="1">
        <f>HYPERLINK("http://141.218.60.56/~jnz1568/discussion.php?&amp;Z=8&amp;N=6&amp;Sheet=1&amp;Row=154&amp;Col=9","2828")</f>
      </c>
      <c r="K155" t="s" s="1">
        <f>HYPERLINK("http://141.218.60.56/~jnz1568/discussion.php?&amp;Z=8&amp;N=6&amp;Sheet=1&amp;Row=154&amp;Col=10","")</f>
      </c>
      <c r="L155" t="s" s="1">
        <f>HYPERLINK("http://141.218.60.56/~jnz1568/discussion.php?&amp;Z=8&amp;N=6&amp;Sheet=1&amp;Row=154&amp;Col=11","")</f>
      </c>
      <c r="M155" t="s" s="1">
        <f>HYPERLINK("http://141.218.60.56/~jnz1568/discussion.php?&amp;Z=8&amp;N=6&amp;Sheet=1&amp;Row=154&amp;Col=12","")</f>
      </c>
      <c r="N155" t="s" s="1">
        <f>HYPERLINK("http://141.218.60.56/~jnz1568/discussion.php?&amp;Z=8&amp;N=6&amp;Sheet=1&amp;Row=154&amp;Col=13","2238")</f>
      </c>
      <c r="O155" t="s" s="1">
        <f>HYPERLINK("http://141.218.60.56/~jnz1568/discussion.php?&amp;Z=8&amp;N=6&amp;Sheet=1&amp;Row=154&amp;Col=14","")</f>
      </c>
      <c r="P155" t="s" s="1">
        <f>HYPERLINK("http://141.218.60.56/~jnz1568/discussion.php?&amp;Z=8&amp;N=6&amp;Sheet=1&amp;Row=154&amp;Col=15","")</f>
      </c>
      <c r="Q155" t="s" s="1">
        <f>HYPERLINK("http://141.218.60.56/~jnz1568/discussion.php?&amp;Z=8&amp;N=6&amp;Sheet=1&amp;Row=154&amp;Col=16","")</f>
      </c>
    </row>
    <row r="156">
      <c r="A156" t="s">
        <v>15</v>
      </c>
      <c r="B156" t="s">
        <v>16</v>
      </c>
      <c r="C156" t="s">
        <v>105</v>
      </c>
      <c r="D156" t="s">
        <v>74</v>
      </c>
      <c r="E156" t="s">
        <v>808</v>
      </c>
      <c r="F156" t="s" s="1">
        <f>HYPERLINK("http://141.218.60.56/~jnz1568/discussion.php?&amp;Z=8&amp;N=6&amp;Sheet=1&amp;Row=155&amp;Col=5","26121000")</f>
      </c>
      <c r="G156" t="s" s="1">
        <f>HYPERLINK("http://141.218.60.56/~jnz1568/discussion.php?&amp;Z=8&amp;N=6&amp;Sheet=1&amp;Row=155&amp;Col=6","")</f>
      </c>
      <c r="H156" t="s" s="1">
        <f>HYPERLINK("http://141.218.60.56/~jnz1568/discussion.php?&amp;Z=8&amp;N=6&amp;Sheet=1&amp;Row=155&amp;Col=7","")</f>
      </c>
      <c r="I156" t="s" s="1">
        <f>HYPERLINK("http://141.218.60.56/~jnz1568/discussion.php?&amp;Z=8&amp;N=6&amp;Sheet=1&amp;Row=155&amp;Col=8","")</f>
      </c>
      <c r="J156" t="s" s="1">
        <f>HYPERLINK("http://141.218.60.56/~jnz1568/discussion.php?&amp;Z=8&amp;N=6&amp;Sheet=1&amp;Row=155&amp;Col=9","26152000")</f>
      </c>
      <c r="K156" t="s" s="1">
        <f>HYPERLINK("http://141.218.60.56/~jnz1568/discussion.php?&amp;Z=8&amp;N=6&amp;Sheet=1&amp;Row=155&amp;Col=10","")</f>
      </c>
      <c r="L156" t="s" s="1">
        <f>HYPERLINK("http://141.218.60.56/~jnz1568/discussion.php?&amp;Z=8&amp;N=6&amp;Sheet=1&amp;Row=155&amp;Col=11","")</f>
      </c>
      <c r="M156" t="s" s="1">
        <f>HYPERLINK("http://141.218.60.56/~jnz1568/discussion.php?&amp;Z=8&amp;N=6&amp;Sheet=1&amp;Row=155&amp;Col=12","")</f>
      </c>
      <c r="N156" t="s" s="1">
        <f>HYPERLINK("http://141.218.60.56/~jnz1568/discussion.php?&amp;Z=8&amp;N=6&amp;Sheet=1&amp;Row=155&amp;Col=13","25700000")</f>
      </c>
      <c r="O156" t="s" s="1">
        <f>HYPERLINK("http://141.218.60.56/~jnz1568/discussion.php?&amp;Z=8&amp;N=6&amp;Sheet=1&amp;Row=155&amp;Col=14","")</f>
      </c>
      <c r="P156" t="s" s="1">
        <f>HYPERLINK("http://141.218.60.56/~jnz1568/discussion.php?&amp;Z=8&amp;N=6&amp;Sheet=1&amp;Row=155&amp;Col=15","")</f>
      </c>
      <c r="Q156" t="s" s="1">
        <f>HYPERLINK("http://141.218.60.56/~jnz1568/discussion.php?&amp;Z=8&amp;N=6&amp;Sheet=1&amp;Row=155&amp;Col=16","")</f>
      </c>
    </row>
    <row r="157">
      <c r="A157" t="s">
        <v>15</v>
      </c>
      <c r="B157" t="s">
        <v>16</v>
      </c>
      <c r="C157" t="s">
        <v>105</v>
      </c>
      <c r="D157" t="s">
        <v>79</v>
      </c>
      <c r="E157" t="s">
        <v>812</v>
      </c>
      <c r="F157" t="s" s="1">
        <f>HYPERLINK("http://141.218.60.56/~jnz1568/discussion.php?&amp;Z=8&amp;N=6&amp;Sheet=1&amp;Row=156&amp;Col=5","37203")</f>
      </c>
      <c r="G157" t="s" s="1">
        <f>HYPERLINK("http://141.218.60.56/~jnz1568/discussion.php?&amp;Z=8&amp;N=6&amp;Sheet=1&amp;Row=156&amp;Col=6","")</f>
      </c>
      <c r="H157" t="s" s="1">
        <f>HYPERLINK("http://141.218.60.56/~jnz1568/discussion.php?&amp;Z=8&amp;N=6&amp;Sheet=1&amp;Row=156&amp;Col=7","")</f>
      </c>
      <c r="I157" t="s" s="1">
        <f>HYPERLINK("http://141.218.60.56/~jnz1568/discussion.php?&amp;Z=8&amp;N=6&amp;Sheet=1&amp;Row=156&amp;Col=8","")</f>
      </c>
      <c r="J157" t="s" s="1">
        <f>HYPERLINK("http://141.218.60.56/~jnz1568/discussion.php?&amp;Z=8&amp;N=6&amp;Sheet=1&amp;Row=156&amp;Col=9","37853")</f>
      </c>
      <c r="K157" t="s" s="1">
        <f>HYPERLINK("http://141.218.60.56/~jnz1568/discussion.php?&amp;Z=8&amp;N=6&amp;Sheet=1&amp;Row=156&amp;Col=10","")</f>
      </c>
      <c r="L157" t="s" s="1">
        <f>HYPERLINK("http://141.218.60.56/~jnz1568/discussion.php?&amp;Z=8&amp;N=6&amp;Sheet=1&amp;Row=156&amp;Col=11","")</f>
      </c>
      <c r="M157" t="s" s="1">
        <f>HYPERLINK("http://141.218.60.56/~jnz1568/discussion.php?&amp;Z=8&amp;N=6&amp;Sheet=1&amp;Row=156&amp;Col=12","")</f>
      </c>
      <c r="N157" t="s" s="1">
        <f>HYPERLINK("http://141.218.60.56/~jnz1568/discussion.php?&amp;Z=8&amp;N=6&amp;Sheet=1&amp;Row=156&amp;Col=13","11970")</f>
      </c>
      <c r="O157" t="s" s="1">
        <f>HYPERLINK("http://141.218.60.56/~jnz1568/discussion.php?&amp;Z=8&amp;N=6&amp;Sheet=1&amp;Row=156&amp;Col=14","")</f>
      </c>
      <c r="P157" t="s" s="1">
        <f>HYPERLINK("http://141.218.60.56/~jnz1568/discussion.php?&amp;Z=8&amp;N=6&amp;Sheet=1&amp;Row=156&amp;Col=15","")</f>
      </c>
      <c r="Q157" t="s" s="1">
        <f>HYPERLINK("http://141.218.60.56/~jnz1568/discussion.php?&amp;Z=8&amp;N=6&amp;Sheet=1&amp;Row=156&amp;Col=16","")</f>
      </c>
    </row>
    <row r="158">
      <c r="A158" t="s">
        <v>15</v>
      </c>
      <c r="B158" t="s">
        <v>16</v>
      </c>
      <c r="C158" t="s">
        <v>105</v>
      </c>
      <c r="D158" t="s">
        <v>84</v>
      </c>
      <c r="E158" t="s">
        <v>816</v>
      </c>
      <c r="F158" t="s" s="1">
        <f>HYPERLINK("http://141.218.60.56/~jnz1568/discussion.php?&amp;Z=8&amp;N=6&amp;Sheet=1&amp;Row=157&amp;Col=5","377060")</f>
      </c>
      <c r="G158" t="s" s="1">
        <f>HYPERLINK("http://141.218.60.56/~jnz1568/discussion.php?&amp;Z=8&amp;N=6&amp;Sheet=1&amp;Row=157&amp;Col=6","")</f>
      </c>
      <c r="H158" t="s" s="1">
        <f>HYPERLINK("http://141.218.60.56/~jnz1568/discussion.php?&amp;Z=8&amp;N=6&amp;Sheet=1&amp;Row=157&amp;Col=7","")</f>
      </c>
      <c r="I158" t="s" s="1">
        <f>HYPERLINK("http://141.218.60.56/~jnz1568/discussion.php?&amp;Z=8&amp;N=6&amp;Sheet=1&amp;Row=157&amp;Col=8","")</f>
      </c>
      <c r="J158" t="s" s="1">
        <f>HYPERLINK("http://141.218.60.56/~jnz1568/discussion.php?&amp;Z=8&amp;N=6&amp;Sheet=1&amp;Row=157&amp;Col=9","381760")</f>
      </c>
      <c r="K158" t="s" s="1">
        <f>HYPERLINK("http://141.218.60.56/~jnz1568/discussion.php?&amp;Z=8&amp;N=6&amp;Sheet=1&amp;Row=157&amp;Col=10","")</f>
      </c>
      <c r="L158" t="s" s="1">
        <f>HYPERLINK("http://141.218.60.56/~jnz1568/discussion.php?&amp;Z=8&amp;N=6&amp;Sheet=1&amp;Row=157&amp;Col=11","")</f>
      </c>
      <c r="M158" t="s" s="1">
        <f>HYPERLINK("http://141.218.60.56/~jnz1568/discussion.php?&amp;Z=8&amp;N=6&amp;Sheet=1&amp;Row=157&amp;Col=12","")</f>
      </c>
      <c r="N158" t="s" s="1">
        <f>HYPERLINK("http://141.218.60.56/~jnz1568/discussion.php?&amp;Z=8&amp;N=6&amp;Sheet=1&amp;Row=157&amp;Col=13","103800")</f>
      </c>
      <c r="O158" t="s" s="1">
        <f>HYPERLINK("http://141.218.60.56/~jnz1568/discussion.php?&amp;Z=8&amp;N=6&amp;Sheet=1&amp;Row=157&amp;Col=14","")</f>
      </c>
      <c r="P158" t="s" s="1">
        <f>HYPERLINK("http://141.218.60.56/~jnz1568/discussion.php?&amp;Z=8&amp;N=6&amp;Sheet=1&amp;Row=157&amp;Col=15","")</f>
      </c>
      <c r="Q158" t="s" s="1">
        <f>HYPERLINK("http://141.218.60.56/~jnz1568/discussion.php?&amp;Z=8&amp;N=6&amp;Sheet=1&amp;Row=157&amp;Col=16","")</f>
      </c>
    </row>
    <row r="159">
      <c r="A159" t="s">
        <v>15</v>
      </c>
      <c r="B159" t="s">
        <v>16</v>
      </c>
      <c r="C159" t="s">
        <v>105</v>
      </c>
      <c r="D159" t="s">
        <v>87</v>
      </c>
      <c r="E159" t="s">
        <v>820</v>
      </c>
      <c r="F159" t="s" s="1">
        <f>HYPERLINK("http://141.218.60.56/~jnz1568/discussion.php?&amp;Z=8&amp;N=6&amp;Sheet=1&amp;Row=158&amp;Col=5","1.5517")</f>
      </c>
      <c r="G159" t="s" s="1">
        <f>HYPERLINK("http://141.218.60.56/~jnz1568/discussion.php?&amp;Z=8&amp;N=6&amp;Sheet=1&amp;Row=158&amp;Col=6","")</f>
      </c>
      <c r="H159" t="s" s="1">
        <f>HYPERLINK("http://141.218.60.56/~jnz1568/discussion.php?&amp;Z=8&amp;N=6&amp;Sheet=1&amp;Row=158&amp;Col=7","")</f>
      </c>
      <c r="I159" t="s" s="1">
        <f>HYPERLINK("http://141.218.60.56/~jnz1568/discussion.php?&amp;Z=8&amp;N=6&amp;Sheet=1&amp;Row=158&amp;Col=8","")</f>
      </c>
      <c r="J159" t="s" s="1">
        <f>HYPERLINK("http://141.218.60.56/~jnz1568/discussion.php?&amp;Z=8&amp;N=6&amp;Sheet=1&amp;Row=158&amp;Col=9","0.91352")</f>
      </c>
      <c r="K159" t="s" s="1">
        <f>HYPERLINK("http://141.218.60.56/~jnz1568/discussion.php?&amp;Z=8&amp;N=6&amp;Sheet=1&amp;Row=158&amp;Col=10","")</f>
      </c>
      <c r="L159" t="s" s="1">
        <f>HYPERLINK("http://141.218.60.56/~jnz1568/discussion.php?&amp;Z=8&amp;N=6&amp;Sheet=1&amp;Row=158&amp;Col=11","")</f>
      </c>
      <c r="M159" t="s" s="1">
        <f>HYPERLINK("http://141.218.60.56/~jnz1568/discussion.php?&amp;Z=8&amp;N=6&amp;Sheet=1&amp;Row=158&amp;Col=12","")</f>
      </c>
      <c r="N159" t="s" s="1">
        <f>HYPERLINK("http://141.218.60.56/~jnz1568/discussion.php?&amp;Z=8&amp;N=6&amp;Sheet=1&amp;Row=158&amp;Col=13","19.05")</f>
      </c>
      <c r="O159" t="s" s="1">
        <f>HYPERLINK("http://141.218.60.56/~jnz1568/discussion.php?&amp;Z=8&amp;N=6&amp;Sheet=1&amp;Row=158&amp;Col=14","")</f>
      </c>
      <c r="P159" t="s" s="1">
        <f>HYPERLINK("http://141.218.60.56/~jnz1568/discussion.php?&amp;Z=8&amp;N=6&amp;Sheet=1&amp;Row=158&amp;Col=15","")</f>
      </c>
      <c r="Q159" t="s" s="1">
        <f>HYPERLINK("http://141.218.60.56/~jnz1568/discussion.php?&amp;Z=8&amp;N=6&amp;Sheet=1&amp;Row=158&amp;Col=16","")</f>
      </c>
    </row>
    <row r="160">
      <c r="A160" t="s">
        <v>15</v>
      </c>
      <c r="B160" t="s">
        <v>16</v>
      </c>
      <c r="C160" t="s">
        <v>105</v>
      </c>
      <c r="D160" t="s">
        <v>90</v>
      </c>
      <c r="E160" t="s">
        <v>824</v>
      </c>
      <c r="F160" t="s" s="1">
        <f>HYPERLINK("http://141.218.60.56/~jnz1568/discussion.php?&amp;Z=8&amp;N=6&amp;Sheet=1&amp;Row=159&amp;Col=5","30926000")</f>
      </c>
      <c r="G160" t="s" s="1">
        <f>HYPERLINK("http://141.218.60.56/~jnz1568/discussion.php?&amp;Z=8&amp;N=6&amp;Sheet=1&amp;Row=159&amp;Col=6","")</f>
      </c>
      <c r="H160" t="s" s="1">
        <f>HYPERLINK("http://141.218.60.56/~jnz1568/discussion.php?&amp;Z=8&amp;N=6&amp;Sheet=1&amp;Row=159&amp;Col=7","")</f>
      </c>
      <c r="I160" t="s" s="1">
        <f>HYPERLINK("http://141.218.60.56/~jnz1568/discussion.php?&amp;Z=8&amp;N=6&amp;Sheet=1&amp;Row=159&amp;Col=8","")</f>
      </c>
      <c r="J160" t="s" s="1">
        <f>HYPERLINK("http://141.218.60.56/~jnz1568/discussion.php?&amp;Z=8&amp;N=6&amp;Sheet=1&amp;Row=159&amp;Col=9","31330000")</f>
      </c>
      <c r="K160" t="s" s="1">
        <f>HYPERLINK("http://141.218.60.56/~jnz1568/discussion.php?&amp;Z=8&amp;N=6&amp;Sheet=1&amp;Row=159&amp;Col=10","")</f>
      </c>
      <c r="L160" t="s" s="1">
        <f>HYPERLINK("http://141.218.60.56/~jnz1568/discussion.php?&amp;Z=8&amp;N=6&amp;Sheet=1&amp;Row=159&amp;Col=11","")</f>
      </c>
      <c r="M160" t="s" s="1">
        <f>HYPERLINK("http://141.218.60.56/~jnz1568/discussion.php?&amp;Z=8&amp;N=6&amp;Sheet=1&amp;Row=159&amp;Col=12","")</f>
      </c>
      <c r="N160" t="s" s="1">
        <f>HYPERLINK("http://141.218.60.56/~jnz1568/discussion.php?&amp;Z=8&amp;N=6&amp;Sheet=1&amp;Row=159&amp;Col=13","9267000")</f>
      </c>
      <c r="O160" t="s" s="1">
        <f>HYPERLINK("http://141.218.60.56/~jnz1568/discussion.php?&amp;Z=8&amp;N=6&amp;Sheet=1&amp;Row=159&amp;Col=14","")</f>
      </c>
      <c r="P160" t="s" s="1">
        <f>HYPERLINK("http://141.218.60.56/~jnz1568/discussion.php?&amp;Z=8&amp;N=6&amp;Sheet=1&amp;Row=159&amp;Col=15","")</f>
      </c>
      <c r="Q160" t="s" s="1">
        <f>HYPERLINK("http://141.218.60.56/~jnz1568/discussion.php?&amp;Z=8&amp;N=6&amp;Sheet=1&amp;Row=159&amp;Col=16","")</f>
      </c>
    </row>
    <row r="161">
      <c r="A161" t="s">
        <v>15</v>
      </c>
      <c r="B161" t="s">
        <v>16</v>
      </c>
      <c r="C161" t="s">
        <v>111</v>
      </c>
      <c r="D161" t="s">
        <v>16</v>
      </c>
      <c r="E161" t="s">
        <v>828</v>
      </c>
      <c r="F161" t="s" s="1">
        <f>HYPERLINK("http://141.218.60.56/~jnz1568/discussion.php?&amp;Z=8&amp;N=6&amp;Sheet=1&amp;Row=160&amp;Col=5","26.029")</f>
      </c>
      <c r="G161" t="s" s="1">
        <f>HYPERLINK("http://141.218.60.56/~jnz1568/discussion.php?&amp;Z=8&amp;N=6&amp;Sheet=1&amp;Row=160&amp;Col=6","")</f>
      </c>
      <c r="H161" t="s" s="1">
        <f>HYPERLINK("http://141.218.60.56/~jnz1568/discussion.php?&amp;Z=8&amp;N=6&amp;Sheet=1&amp;Row=160&amp;Col=7","")</f>
      </c>
      <c r="I161" t="s" s="1">
        <f>HYPERLINK("http://141.218.60.56/~jnz1568/discussion.php?&amp;Z=8&amp;N=6&amp;Sheet=1&amp;Row=160&amp;Col=8","")</f>
      </c>
      <c r="J161" t="s" s="1">
        <f>HYPERLINK("http://141.218.60.56/~jnz1568/discussion.php?&amp;Z=8&amp;N=6&amp;Sheet=1&amp;Row=160&amp;Col=9","25.943")</f>
      </c>
      <c r="K161" t="s" s="1">
        <f>HYPERLINK("http://141.218.60.56/~jnz1568/discussion.php?&amp;Z=8&amp;N=6&amp;Sheet=1&amp;Row=160&amp;Col=10","")</f>
      </c>
      <c r="L161" t="s" s="1">
        <f>HYPERLINK("http://141.218.60.56/~jnz1568/discussion.php?&amp;Z=8&amp;N=6&amp;Sheet=1&amp;Row=160&amp;Col=11","")</f>
      </c>
      <c r="M161" t="s" s="1">
        <f>HYPERLINK("http://141.218.60.56/~jnz1568/discussion.php?&amp;Z=8&amp;N=6&amp;Sheet=1&amp;Row=160&amp;Col=12","")</f>
      </c>
      <c r="N161" t="s" s="1">
        <f>HYPERLINK("http://141.218.60.56/~jnz1568/discussion.php?&amp;Z=8&amp;N=6&amp;Sheet=1&amp;Row=160&amp;Col=13","20.46")</f>
      </c>
      <c r="O161" t="s" s="1">
        <f>HYPERLINK("http://141.218.60.56/~jnz1568/discussion.php?&amp;Z=8&amp;N=6&amp;Sheet=1&amp;Row=160&amp;Col=14","")</f>
      </c>
      <c r="P161" t="s" s="1">
        <f>HYPERLINK("http://141.218.60.56/~jnz1568/discussion.php?&amp;Z=8&amp;N=6&amp;Sheet=1&amp;Row=160&amp;Col=15","")</f>
      </c>
      <c r="Q161" t="s" s="1">
        <f>HYPERLINK("http://141.218.60.56/~jnz1568/discussion.php?&amp;Z=8&amp;N=6&amp;Sheet=1&amp;Row=160&amp;Col=16","")</f>
      </c>
    </row>
    <row r="162">
      <c r="A162" t="s">
        <v>15</v>
      </c>
      <c r="B162" t="s">
        <v>16</v>
      </c>
      <c r="C162" t="s">
        <v>111</v>
      </c>
      <c r="D162" t="s">
        <v>15</v>
      </c>
      <c r="E162" t="s">
        <v>832</v>
      </c>
      <c r="F162" t="s" s="1">
        <f>HYPERLINK("http://141.218.60.56/~jnz1568/discussion.php?&amp;Z=8&amp;N=6&amp;Sheet=1&amp;Row=161&amp;Col=5","8683700")</f>
      </c>
      <c r="G162" t="s" s="1">
        <f>HYPERLINK("http://141.218.60.56/~jnz1568/discussion.php?&amp;Z=8&amp;N=6&amp;Sheet=1&amp;Row=161&amp;Col=6","")</f>
      </c>
      <c r="H162" t="s" s="1">
        <f>HYPERLINK("http://141.218.60.56/~jnz1568/discussion.php?&amp;Z=8&amp;N=6&amp;Sheet=1&amp;Row=161&amp;Col=7","")</f>
      </c>
      <c r="I162" t="s" s="1">
        <f>HYPERLINK("http://141.218.60.56/~jnz1568/discussion.php?&amp;Z=8&amp;N=6&amp;Sheet=1&amp;Row=161&amp;Col=8","")</f>
      </c>
      <c r="J162" t="s" s="1">
        <f>HYPERLINK("http://141.218.60.56/~jnz1568/discussion.php?&amp;Z=8&amp;N=6&amp;Sheet=1&amp;Row=161&amp;Col=9","8725900")</f>
      </c>
      <c r="K162" t="s" s="1">
        <f>HYPERLINK("http://141.218.60.56/~jnz1568/discussion.php?&amp;Z=8&amp;N=6&amp;Sheet=1&amp;Row=161&amp;Col=10","")</f>
      </c>
      <c r="L162" t="s" s="1">
        <f>HYPERLINK("http://141.218.60.56/~jnz1568/discussion.php?&amp;Z=8&amp;N=6&amp;Sheet=1&amp;Row=161&amp;Col=11","")</f>
      </c>
      <c r="M162" t="s" s="1">
        <f>HYPERLINK("http://141.218.60.56/~jnz1568/discussion.php?&amp;Z=8&amp;N=6&amp;Sheet=1&amp;Row=161&amp;Col=12","")</f>
      </c>
      <c r="N162" t="s" s="1">
        <f>HYPERLINK("http://141.218.60.56/~jnz1568/discussion.php?&amp;Z=8&amp;N=6&amp;Sheet=1&amp;Row=161&amp;Col=13","9711000")</f>
      </c>
      <c r="O162" t="s" s="1">
        <f>HYPERLINK("http://141.218.60.56/~jnz1568/discussion.php?&amp;Z=8&amp;N=6&amp;Sheet=1&amp;Row=161&amp;Col=14","")</f>
      </c>
      <c r="P162" t="s" s="1">
        <f>HYPERLINK("http://141.218.60.56/~jnz1568/discussion.php?&amp;Z=8&amp;N=6&amp;Sheet=1&amp;Row=161&amp;Col=15","")</f>
      </c>
      <c r="Q162" t="s" s="1">
        <f>HYPERLINK("http://141.218.60.56/~jnz1568/discussion.php?&amp;Z=8&amp;N=6&amp;Sheet=1&amp;Row=161&amp;Col=16","")</f>
      </c>
    </row>
    <row r="163">
      <c r="A163" t="s">
        <v>15</v>
      </c>
      <c r="B163" t="s">
        <v>16</v>
      </c>
      <c r="C163" t="s">
        <v>111</v>
      </c>
      <c r="D163" t="s">
        <v>50</v>
      </c>
      <c r="E163" t="s">
        <v>836</v>
      </c>
      <c r="F163" t="s" s="1">
        <f>HYPERLINK("http://141.218.60.56/~jnz1568/discussion.php?&amp;Z=8&amp;N=6&amp;Sheet=1&amp;Row=162&amp;Col=5","24391000")</f>
      </c>
      <c r="G163" t="s" s="1">
        <f>HYPERLINK("http://141.218.60.56/~jnz1568/discussion.php?&amp;Z=8&amp;N=6&amp;Sheet=1&amp;Row=162&amp;Col=6","")</f>
      </c>
      <c r="H163" t="s" s="1">
        <f>HYPERLINK("http://141.218.60.56/~jnz1568/discussion.php?&amp;Z=8&amp;N=6&amp;Sheet=1&amp;Row=162&amp;Col=7","")</f>
      </c>
      <c r="I163" t="s" s="1">
        <f>HYPERLINK("http://141.218.60.56/~jnz1568/discussion.php?&amp;Z=8&amp;N=6&amp;Sheet=1&amp;Row=162&amp;Col=8","")</f>
      </c>
      <c r="J163" t="s" s="1">
        <f>HYPERLINK("http://141.218.60.56/~jnz1568/discussion.php?&amp;Z=8&amp;N=6&amp;Sheet=1&amp;Row=162&amp;Col=9","24514000")</f>
      </c>
      <c r="K163" t="s" s="1">
        <f>HYPERLINK("http://141.218.60.56/~jnz1568/discussion.php?&amp;Z=8&amp;N=6&amp;Sheet=1&amp;Row=162&amp;Col=10","")</f>
      </c>
      <c r="L163" t="s" s="1">
        <f>HYPERLINK("http://141.218.60.56/~jnz1568/discussion.php?&amp;Z=8&amp;N=6&amp;Sheet=1&amp;Row=162&amp;Col=11","")</f>
      </c>
      <c r="M163" t="s" s="1">
        <f>HYPERLINK("http://141.218.60.56/~jnz1568/discussion.php?&amp;Z=8&amp;N=6&amp;Sheet=1&amp;Row=162&amp;Col=12","")</f>
      </c>
      <c r="N163" t="s" s="1">
        <f>HYPERLINK("http://141.218.60.56/~jnz1568/discussion.php?&amp;Z=8&amp;N=6&amp;Sheet=1&amp;Row=162&amp;Col=13","29690000")</f>
      </c>
      <c r="O163" t="s" s="1">
        <f>HYPERLINK("http://141.218.60.56/~jnz1568/discussion.php?&amp;Z=8&amp;N=6&amp;Sheet=1&amp;Row=162&amp;Col=14","")</f>
      </c>
      <c r="P163" t="s" s="1">
        <f>HYPERLINK("http://141.218.60.56/~jnz1568/discussion.php?&amp;Z=8&amp;N=6&amp;Sheet=1&amp;Row=162&amp;Col=15","")</f>
      </c>
      <c r="Q163" t="s" s="1">
        <f>HYPERLINK("http://141.218.60.56/~jnz1568/discussion.php?&amp;Z=8&amp;N=6&amp;Sheet=1&amp;Row=162&amp;Col=16","")</f>
      </c>
    </row>
    <row r="164">
      <c r="A164" t="s">
        <v>15</v>
      </c>
      <c r="B164" t="s">
        <v>16</v>
      </c>
      <c r="C164" t="s">
        <v>111</v>
      </c>
      <c r="D164" t="s">
        <v>53</v>
      </c>
      <c r="E164" t="s">
        <v>840</v>
      </c>
      <c r="F164" t="s" s="1">
        <f>HYPERLINK("http://141.218.60.56/~jnz1568/discussion.php?&amp;Z=8&amp;N=6&amp;Sheet=1&amp;Row=163&amp;Col=5","1685900")</f>
      </c>
      <c r="G164" t="s" s="1">
        <f>HYPERLINK("http://141.218.60.56/~jnz1568/discussion.php?&amp;Z=8&amp;N=6&amp;Sheet=1&amp;Row=163&amp;Col=6","")</f>
      </c>
      <c r="H164" t="s" s="1">
        <f>HYPERLINK("http://141.218.60.56/~jnz1568/discussion.php?&amp;Z=8&amp;N=6&amp;Sheet=1&amp;Row=163&amp;Col=7","")</f>
      </c>
      <c r="I164" t="s" s="1">
        <f>HYPERLINK("http://141.218.60.56/~jnz1568/discussion.php?&amp;Z=8&amp;N=6&amp;Sheet=1&amp;Row=163&amp;Col=8","")</f>
      </c>
      <c r="J164" t="s" s="1">
        <f>HYPERLINK("http://141.218.60.56/~jnz1568/discussion.php?&amp;Z=8&amp;N=6&amp;Sheet=1&amp;Row=163&amp;Col=9","1694300")</f>
      </c>
      <c r="K164" t="s" s="1">
        <f>HYPERLINK("http://141.218.60.56/~jnz1568/discussion.php?&amp;Z=8&amp;N=6&amp;Sheet=1&amp;Row=163&amp;Col=10","")</f>
      </c>
      <c r="L164" t="s" s="1">
        <f>HYPERLINK("http://141.218.60.56/~jnz1568/discussion.php?&amp;Z=8&amp;N=6&amp;Sheet=1&amp;Row=163&amp;Col=11","")</f>
      </c>
      <c r="M164" t="s" s="1">
        <f>HYPERLINK("http://141.218.60.56/~jnz1568/discussion.php?&amp;Z=8&amp;N=6&amp;Sheet=1&amp;Row=163&amp;Col=12","")</f>
      </c>
      <c r="N164" t="s" s="1">
        <f>HYPERLINK("http://141.218.60.56/~jnz1568/discussion.php?&amp;Z=8&amp;N=6&amp;Sheet=1&amp;Row=163&amp;Col=13","1637000")</f>
      </c>
      <c r="O164" t="s" s="1">
        <f>HYPERLINK("http://141.218.60.56/~jnz1568/discussion.php?&amp;Z=8&amp;N=6&amp;Sheet=1&amp;Row=163&amp;Col=14","")</f>
      </c>
      <c r="P164" t="s" s="1">
        <f>HYPERLINK("http://141.218.60.56/~jnz1568/discussion.php?&amp;Z=8&amp;N=6&amp;Sheet=1&amp;Row=163&amp;Col=15","")</f>
      </c>
      <c r="Q164" t="s" s="1">
        <f>HYPERLINK("http://141.218.60.56/~jnz1568/discussion.php?&amp;Z=8&amp;N=6&amp;Sheet=1&amp;Row=163&amp;Col=16","")</f>
      </c>
    </row>
    <row r="165">
      <c r="A165" t="s">
        <v>15</v>
      </c>
      <c r="B165" t="s">
        <v>16</v>
      </c>
      <c r="C165" t="s">
        <v>111</v>
      </c>
      <c r="D165" t="s">
        <v>58</v>
      </c>
      <c r="E165" t="s">
        <v>844</v>
      </c>
      <c r="F165" t="s" s="1">
        <f>HYPERLINK("http://141.218.60.56/~jnz1568/discussion.php?&amp;Z=8&amp;N=6&amp;Sheet=1&amp;Row=164&amp;Col=5","23797000")</f>
      </c>
      <c r="G165" t="s" s="1">
        <f>HYPERLINK("http://141.218.60.56/~jnz1568/discussion.php?&amp;Z=8&amp;N=6&amp;Sheet=1&amp;Row=164&amp;Col=6","")</f>
      </c>
      <c r="H165" t="s" s="1">
        <f>HYPERLINK("http://141.218.60.56/~jnz1568/discussion.php?&amp;Z=8&amp;N=6&amp;Sheet=1&amp;Row=164&amp;Col=7","")</f>
      </c>
      <c r="I165" t="s" s="1">
        <f>HYPERLINK("http://141.218.60.56/~jnz1568/discussion.php?&amp;Z=8&amp;N=6&amp;Sheet=1&amp;Row=164&amp;Col=8","")</f>
      </c>
      <c r="J165" t="s" s="1">
        <f>HYPERLINK("http://141.218.60.56/~jnz1568/discussion.php?&amp;Z=8&amp;N=6&amp;Sheet=1&amp;Row=164&amp;Col=9","23890000")</f>
      </c>
      <c r="K165" t="s" s="1">
        <f>HYPERLINK("http://141.218.60.56/~jnz1568/discussion.php?&amp;Z=8&amp;N=6&amp;Sheet=1&amp;Row=164&amp;Col=10","")</f>
      </c>
      <c r="L165" t="s" s="1">
        <f>HYPERLINK("http://141.218.60.56/~jnz1568/discussion.php?&amp;Z=8&amp;N=6&amp;Sheet=1&amp;Row=164&amp;Col=11","")</f>
      </c>
      <c r="M165" t="s" s="1">
        <f>HYPERLINK("http://141.218.60.56/~jnz1568/discussion.php?&amp;Z=8&amp;N=6&amp;Sheet=1&amp;Row=164&amp;Col=12","")</f>
      </c>
      <c r="N165" t="s" s="1">
        <f>HYPERLINK("http://141.218.60.56/~jnz1568/discussion.php?&amp;Z=8&amp;N=6&amp;Sheet=1&amp;Row=164&amp;Col=13","22990000")</f>
      </c>
      <c r="O165" t="s" s="1">
        <f>HYPERLINK("http://141.218.60.56/~jnz1568/discussion.php?&amp;Z=8&amp;N=6&amp;Sheet=1&amp;Row=164&amp;Col=14","")</f>
      </c>
      <c r="P165" t="s" s="1">
        <f>HYPERLINK("http://141.218.60.56/~jnz1568/discussion.php?&amp;Z=8&amp;N=6&amp;Sheet=1&amp;Row=164&amp;Col=15","")</f>
      </c>
      <c r="Q165" t="s" s="1">
        <f>HYPERLINK("http://141.218.60.56/~jnz1568/discussion.php?&amp;Z=8&amp;N=6&amp;Sheet=1&amp;Row=164&amp;Col=16","")</f>
      </c>
    </row>
    <row r="166">
      <c r="A166" t="s">
        <v>15</v>
      </c>
      <c r="B166" t="s">
        <v>16</v>
      </c>
      <c r="C166" t="s">
        <v>111</v>
      </c>
      <c r="D166" t="s">
        <v>61</v>
      </c>
      <c r="E166" t="s">
        <v>848</v>
      </c>
      <c r="F166" t="s" s="1">
        <f>HYPERLINK("http://141.218.60.56/~jnz1568/discussion.php?&amp;Z=8&amp;N=6&amp;Sheet=1&amp;Row=165&amp;Col=5","31780000")</f>
      </c>
      <c r="G166" t="s" s="1">
        <f>HYPERLINK("http://141.218.60.56/~jnz1568/discussion.php?&amp;Z=8&amp;N=6&amp;Sheet=1&amp;Row=165&amp;Col=6","")</f>
      </c>
      <c r="H166" t="s" s="1">
        <f>HYPERLINK("http://141.218.60.56/~jnz1568/discussion.php?&amp;Z=8&amp;N=6&amp;Sheet=1&amp;Row=165&amp;Col=7","")</f>
      </c>
      <c r="I166" t="s" s="1">
        <f>HYPERLINK("http://141.218.60.56/~jnz1568/discussion.php?&amp;Z=8&amp;N=6&amp;Sheet=1&amp;Row=165&amp;Col=8","")</f>
      </c>
      <c r="J166" t="s" s="1">
        <f>HYPERLINK("http://141.218.60.56/~jnz1568/discussion.php?&amp;Z=8&amp;N=6&amp;Sheet=1&amp;Row=165&amp;Col=9","31901000")</f>
      </c>
      <c r="K166" t="s" s="1">
        <f>HYPERLINK("http://141.218.60.56/~jnz1568/discussion.php?&amp;Z=8&amp;N=6&amp;Sheet=1&amp;Row=165&amp;Col=10","")</f>
      </c>
      <c r="L166" t="s" s="1">
        <f>HYPERLINK("http://141.218.60.56/~jnz1568/discussion.php?&amp;Z=8&amp;N=6&amp;Sheet=1&amp;Row=165&amp;Col=11","")</f>
      </c>
      <c r="M166" t="s" s="1">
        <f>HYPERLINK("http://141.218.60.56/~jnz1568/discussion.php?&amp;Z=8&amp;N=6&amp;Sheet=1&amp;Row=165&amp;Col=12","")</f>
      </c>
      <c r="N166" t="s" s="1">
        <f>HYPERLINK("http://141.218.60.56/~jnz1568/discussion.php?&amp;Z=8&amp;N=6&amp;Sheet=1&amp;Row=165&amp;Col=13","30290000")</f>
      </c>
      <c r="O166" t="s" s="1">
        <f>HYPERLINK("http://141.218.60.56/~jnz1568/discussion.php?&amp;Z=8&amp;N=6&amp;Sheet=1&amp;Row=165&amp;Col=14","")</f>
      </c>
      <c r="P166" t="s" s="1">
        <f>HYPERLINK("http://141.218.60.56/~jnz1568/discussion.php?&amp;Z=8&amp;N=6&amp;Sheet=1&amp;Row=165&amp;Col=15","")</f>
      </c>
      <c r="Q166" t="s" s="1">
        <f>HYPERLINK("http://141.218.60.56/~jnz1568/discussion.php?&amp;Z=8&amp;N=6&amp;Sheet=1&amp;Row=165&amp;Col=16","")</f>
      </c>
    </row>
    <row r="167">
      <c r="A167" t="s">
        <v>15</v>
      </c>
      <c r="B167" t="s">
        <v>16</v>
      </c>
      <c r="C167" t="s">
        <v>111</v>
      </c>
      <c r="D167" t="s">
        <v>64</v>
      </c>
      <c r="E167" t="s">
        <v>852</v>
      </c>
      <c r="F167" t="s" s="1">
        <f>HYPERLINK("http://141.218.60.56/~jnz1568/discussion.php?&amp;Z=8&amp;N=6&amp;Sheet=1&amp;Row=166&amp;Col=5","121360")</f>
      </c>
      <c r="G167" t="s" s="1">
        <f>HYPERLINK("http://141.218.60.56/~jnz1568/discussion.php?&amp;Z=8&amp;N=6&amp;Sheet=1&amp;Row=166&amp;Col=6","")</f>
      </c>
      <c r="H167" t="s" s="1">
        <f>HYPERLINK("http://141.218.60.56/~jnz1568/discussion.php?&amp;Z=8&amp;N=6&amp;Sheet=1&amp;Row=166&amp;Col=7","")</f>
      </c>
      <c r="I167" t="s" s="1">
        <f>HYPERLINK("http://141.218.60.56/~jnz1568/discussion.php?&amp;Z=8&amp;N=6&amp;Sheet=1&amp;Row=166&amp;Col=8","")</f>
      </c>
      <c r="J167" t="s" s="1">
        <f>HYPERLINK("http://141.218.60.56/~jnz1568/discussion.php?&amp;Z=8&amp;N=6&amp;Sheet=1&amp;Row=166&amp;Col=9","122260")</f>
      </c>
      <c r="K167" t="s" s="1">
        <f>HYPERLINK("http://141.218.60.56/~jnz1568/discussion.php?&amp;Z=8&amp;N=6&amp;Sheet=1&amp;Row=166&amp;Col=10","")</f>
      </c>
      <c r="L167" t="s" s="1">
        <f>HYPERLINK("http://141.218.60.56/~jnz1568/discussion.php?&amp;Z=8&amp;N=6&amp;Sheet=1&amp;Row=166&amp;Col=11","")</f>
      </c>
      <c r="M167" t="s" s="1">
        <f>HYPERLINK("http://141.218.60.56/~jnz1568/discussion.php?&amp;Z=8&amp;N=6&amp;Sheet=1&amp;Row=166&amp;Col=12","")</f>
      </c>
      <c r="N167" t="s" s="1">
        <f>HYPERLINK("http://141.218.60.56/~jnz1568/discussion.php?&amp;Z=8&amp;N=6&amp;Sheet=1&amp;Row=166&amp;Col=13","92980")</f>
      </c>
      <c r="O167" t="s" s="1">
        <f>HYPERLINK("http://141.218.60.56/~jnz1568/discussion.php?&amp;Z=8&amp;N=6&amp;Sheet=1&amp;Row=166&amp;Col=14","")</f>
      </c>
      <c r="P167" t="s" s="1">
        <f>HYPERLINK("http://141.218.60.56/~jnz1568/discussion.php?&amp;Z=8&amp;N=6&amp;Sheet=1&amp;Row=166&amp;Col=15","")</f>
      </c>
      <c r="Q167" t="s" s="1">
        <f>HYPERLINK("http://141.218.60.56/~jnz1568/discussion.php?&amp;Z=8&amp;N=6&amp;Sheet=1&amp;Row=166&amp;Col=16","")</f>
      </c>
    </row>
    <row r="168">
      <c r="A168" t="s">
        <v>15</v>
      </c>
      <c r="B168" t="s">
        <v>16</v>
      </c>
      <c r="C168" t="s">
        <v>111</v>
      </c>
      <c r="D168" t="s">
        <v>69</v>
      </c>
      <c r="E168" t="s">
        <v>856</v>
      </c>
      <c r="F168" t="s" s="1">
        <f>HYPERLINK("http://141.218.60.56/~jnz1568/discussion.php?&amp;Z=8&amp;N=6&amp;Sheet=1&amp;Row=167&amp;Col=5","547.93")</f>
      </c>
      <c r="G168" t="s" s="1">
        <f>HYPERLINK("http://141.218.60.56/~jnz1568/discussion.php?&amp;Z=8&amp;N=6&amp;Sheet=1&amp;Row=167&amp;Col=6","")</f>
      </c>
      <c r="H168" t="s" s="1">
        <f>HYPERLINK("http://141.218.60.56/~jnz1568/discussion.php?&amp;Z=8&amp;N=6&amp;Sheet=1&amp;Row=167&amp;Col=7","")</f>
      </c>
      <c r="I168" t="s" s="1">
        <f>HYPERLINK("http://141.218.60.56/~jnz1568/discussion.php?&amp;Z=8&amp;N=6&amp;Sheet=1&amp;Row=167&amp;Col=8","")</f>
      </c>
      <c r="J168" t="s" s="1">
        <f>HYPERLINK("http://141.218.60.56/~jnz1568/discussion.php?&amp;Z=8&amp;N=6&amp;Sheet=1&amp;Row=167&amp;Col=9","571.58")</f>
      </c>
      <c r="K168" t="s" s="1">
        <f>HYPERLINK("http://141.218.60.56/~jnz1568/discussion.php?&amp;Z=8&amp;N=6&amp;Sheet=1&amp;Row=167&amp;Col=10","")</f>
      </c>
      <c r="L168" t="s" s="1">
        <f>HYPERLINK("http://141.218.60.56/~jnz1568/discussion.php?&amp;Z=8&amp;N=6&amp;Sheet=1&amp;Row=167&amp;Col=11","")</f>
      </c>
      <c r="M168" t="s" s="1">
        <f>HYPERLINK("http://141.218.60.56/~jnz1568/discussion.php?&amp;Z=8&amp;N=6&amp;Sheet=1&amp;Row=167&amp;Col=12","")</f>
      </c>
      <c r="N168" t="s" s="1">
        <f>HYPERLINK("http://141.218.60.56/~jnz1568/discussion.php?&amp;Z=8&amp;N=6&amp;Sheet=1&amp;Row=167&amp;Col=13","2057")</f>
      </c>
      <c r="O168" t="s" s="1">
        <f>HYPERLINK("http://141.218.60.56/~jnz1568/discussion.php?&amp;Z=8&amp;N=6&amp;Sheet=1&amp;Row=167&amp;Col=14","")</f>
      </c>
      <c r="P168" t="s" s="1">
        <f>HYPERLINK("http://141.218.60.56/~jnz1568/discussion.php?&amp;Z=8&amp;N=6&amp;Sheet=1&amp;Row=167&amp;Col=15","")</f>
      </c>
      <c r="Q168" t="s" s="1">
        <f>HYPERLINK("http://141.218.60.56/~jnz1568/discussion.php?&amp;Z=8&amp;N=6&amp;Sheet=1&amp;Row=167&amp;Col=16","")</f>
      </c>
    </row>
    <row r="169">
      <c r="A169" t="s">
        <v>15</v>
      </c>
      <c r="B169" t="s">
        <v>16</v>
      </c>
      <c r="C169" t="s">
        <v>111</v>
      </c>
      <c r="D169" t="s">
        <v>74</v>
      </c>
      <c r="E169" t="s">
        <v>860</v>
      </c>
      <c r="F169" t="s" s="1">
        <f>HYPERLINK("http://141.218.60.56/~jnz1568/discussion.php?&amp;Z=8&amp;N=6&amp;Sheet=1&amp;Row=168&amp;Col=5","53331")</f>
      </c>
      <c r="G169" t="s" s="1">
        <f>HYPERLINK("http://141.218.60.56/~jnz1568/discussion.php?&amp;Z=8&amp;N=6&amp;Sheet=1&amp;Row=168&amp;Col=6","")</f>
      </c>
      <c r="H169" t="s" s="1">
        <f>HYPERLINK("http://141.218.60.56/~jnz1568/discussion.php?&amp;Z=8&amp;N=6&amp;Sheet=1&amp;Row=168&amp;Col=7","")</f>
      </c>
      <c r="I169" t="s" s="1">
        <f>HYPERLINK("http://141.218.60.56/~jnz1568/discussion.php?&amp;Z=8&amp;N=6&amp;Sheet=1&amp;Row=168&amp;Col=8","")</f>
      </c>
      <c r="J169" t="s" s="1">
        <f>HYPERLINK("http://141.218.60.56/~jnz1568/discussion.php?&amp;Z=8&amp;N=6&amp;Sheet=1&amp;Row=168&amp;Col=9","53585")</f>
      </c>
      <c r="K169" t="s" s="1">
        <f>HYPERLINK("http://141.218.60.56/~jnz1568/discussion.php?&amp;Z=8&amp;N=6&amp;Sheet=1&amp;Row=168&amp;Col=10","")</f>
      </c>
      <c r="L169" t="s" s="1">
        <f>HYPERLINK("http://141.218.60.56/~jnz1568/discussion.php?&amp;Z=8&amp;N=6&amp;Sheet=1&amp;Row=168&amp;Col=11","")</f>
      </c>
      <c r="M169" t="s" s="1">
        <f>HYPERLINK("http://141.218.60.56/~jnz1568/discussion.php?&amp;Z=8&amp;N=6&amp;Sheet=1&amp;Row=168&amp;Col=12","")</f>
      </c>
      <c r="N169" t="s" s="1">
        <f>HYPERLINK("http://141.218.60.56/~jnz1568/discussion.php?&amp;Z=8&amp;N=6&amp;Sheet=1&amp;Row=168&amp;Col=13","29970")</f>
      </c>
      <c r="O169" t="s" s="1">
        <f>HYPERLINK("http://141.218.60.56/~jnz1568/discussion.php?&amp;Z=8&amp;N=6&amp;Sheet=1&amp;Row=168&amp;Col=14","")</f>
      </c>
      <c r="P169" t="s" s="1">
        <f>HYPERLINK("http://141.218.60.56/~jnz1568/discussion.php?&amp;Z=8&amp;N=6&amp;Sheet=1&amp;Row=168&amp;Col=15","")</f>
      </c>
      <c r="Q169" t="s" s="1">
        <f>HYPERLINK("http://141.218.60.56/~jnz1568/discussion.php?&amp;Z=8&amp;N=6&amp;Sheet=1&amp;Row=168&amp;Col=16","")</f>
      </c>
    </row>
    <row r="170">
      <c r="A170" t="s">
        <v>15</v>
      </c>
      <c r="B170" t="s">
        <v>16</v>
      </c>
      <c r="C170" t="s">
        <v>111</v>
      </c>
      <c r="D170" t="s">
        <v>79</v>
      </c>
      <c r="E170" t="s">
        <v>864</v>
      </c>
      <c r="F170" t="s" s="1">
        <f>HYPERLINK("http://141.218.60.56/~jnz1568/discussion.php?&amp;Z=8&amp;N=6&amp;Sheet=1&amp;Row=169&amp;Col=5","54437000")</f>
      </c>
      <c r="G170" t="s" s="1">
        <f>HYPERLINK("http://141.218.60.56/~jnz1568/discussion.php?&amp;Z=8&amp;N=6&amp;Sheet=1&amp;Row=169&amp;Col=6","")</f>
      </c>
      <c r="H170" t="s" s="1">
        <f>HYPERLINK("http://141.218.60.56/~jnz1568/discussion.php?&amp;Z=8&amp;N=6&amp;Sheet=1&amp;Row=169&amp;Col=7","")</f>
      </c>
      <c r="I170" t="s" s="1">
        <f>HYPERLINK("http://141.218.60.56/~jnz1568/discussion.php?&amp;Z=8&amp;N=6&amp;Sheet=1&amp;Row=169&amp;Col=8","")</f>
      </c>
      <c r="J170" t="s" s="1">
        <f>HYPERLINK("http://141.218.60.56/~jnz1568/discussion.php?&amp;Z=8&amp;N=6&amp;Sheet=1&amp;Row=169&amp;Col=9","55224000")</f>
      </c>
      <c r="K170" t="s" s="1">
        <f>HYPERLINK("http://141.218.60.56/~jnz1568/discussion.php?&amp;Z=8&amp;N=6&amp;Sheet=1&amp;Row=169&amp;Col=10","")</f>
      </c>
      <c r="L170" t="s" s="1">
        <f>HYPERLINK("http://141.218.60.56/~jnz1568/discussion.php?&amp;Z=8&amp;N=6&amp;Sheet=1&amp;Row=169&amp;Col=11","")</f>
      </c>
      <c r="M170" t="s" s="1">
        <f>HYPERLINK("http://141.218.60.56/~jnz1568/discussion.php?&amp;Z=8&amp;N=6&amp;Sheet=1&amp;Row=169&amp;Col=12","")</f>
      </c>
      <c r="N170" t="s" s="1">
        <f>HYPERLINK("http://141.218.60.56/~jnz1568/discussion.php?&amp;Z=8&amp;N=6&amp;Sheet=1&amp;Row=169&amp;Col=13","34090000")</f>
      </c>
      <c r="O170" t="s" s="1">
        <f>HYPERLINK("http://141.218.60.56/~jnz1568/discussion.php?&amp;Z=8&amp;N=6&amp;Sheet=1&amp;Row=169&amp;Col=14","")</f>
      </c>
      <c r="P170" t="s" s="1">
        <f>HYPERLINK("http://141.218.60.56/~jnz1568/discussion.php?&amp;Z=8&amp;N=6&amp;Sheet=1&amp;Row=169&amp;Col=15","")</f>
      </c>
      <c r="Q170" t="s" s="1">
        <f>HYPERLINK("http://141.218.60.56/~jnz1568/discussion.php?&amp;Z=8&amp;N=6&amp;Sheet=1&amp;Row=169&amp;Col=16","")</f>
      </c>
    </row>
    <row r="171">
      <c r="A171" t="s">
        <v>15</v>
      </c>
      <c r="B171" t="s">
        <v>16</v>
      </c>
      <c r="C171" t="s">
        <v>111</v>
      </c>
      <c r="D171" t="s">
        <v>84</v>
      </c>
      <c r="E171" t="s">
        <v>868</v>
      </c>
      <c r="F171" t="s" s="1">
        <f>HYPERLINK("http://141.218.60.56/~jnz1568/discussion.php?&amp;Z=8&amp;N=6&amp;Sheet=1&amp;Row=170&amp;Col=5","38465000")</f>
      </c>
      <c r="G171" t="s" s="1">
        <f>HYPERLINK("http://141.218.60.56/~jnz1568/discussion.php?&amp;Z=8&amp;N=6&amp;Sheet=1&amp;Row=170&amp;Col=6","")</f>
      </c>
      <c r="H171" t="s" s="1">
        <f>HYPERLINK("http://141.218.60.56/~jnz1568/discussion.php?&amp;Z=8&amp;N=6&amp;Sheet=1&amp;Row=170&amp;Col=7","")</f>
      </c>
      <c r="I171" t="s" s="1">
        <f>HYPERLINK("http://141.218.60.56/~jnz1568/discussion.php?&amp;Z=8&amp;N=6&amp;Sheet=1&amp;Row=170&amp;Col=8","")</f>
      </c>
      <c r="J171" t="s" s="1">
        <f>HYPERLINK("http://141.218.60.56/~jnz1568/discussion.php?&amp;Z=8&amp;N=6&amp;Sheet=1&amp;Row=170&amp;Col=9","39014000")</f>
      </c>
      <c r="K171" t="s" s="1">
        <f>HYPERLINK("http://141.218.60.56/~jnz1568/discussion.php?&amp;Z=8&amp;N=6&amp;Sheet=1&amp;Row=170&amp;Col=10","")</f>
      </c>
      <c r="L171" t="s" s="1">
        <f>HYPERLINK("http://141.218.60.56/~jnz1568/discussion.php?&amp;Z=8&amp;N=6&amp;Sheet=1&amp;Row=170&amp;Col=11","")</f>
      </c>
      <c r="M171" t="s" s="1">
        <f>HYPERLINK("http://141.218.60.56/~jnz1568/discussion.php?&amp;Z=8&amp;N=6&amp;Sheet=1&amp;Row=170&amp;Col=12","")</f>
      </c>
      <c r="N171" t="s" s="1">
        <f>HYPERLINK("http://141.218.60.56/~jnz1568/discussion.php?&amp;Z=8&amp;N=6&amp;Sheet=1&amp;Row=170&amp;Col=13","24480000")</f>
      </c>
      <c r="O171" t="s" s="1">
        <f>HYPERLINK("http://141.218.60.56/~jnz1568/discussion.php?&amp;Z=8&amp;N=6&amp;Sheet=1&amp;Row=170&amp;Col=14","")</f>
      </c>
      <c r="P171" t="s" s="1">
        <f>HYPERLINK("http://141.218.60.56/~jnz1568/discussion.php?&amp;Z=8&amp;N=6&amp;Sheet=1&amp;Row=170&amp;Col=15","")</f>
      </c>
      <c r="Q171" t="s" s="1">
        <f>HYPERLINK("http://141.218.60.56/~jnz1568/discussion.php?&amp;Z=8&amp;N=6&amp;Sheet=1&amp;Row=170&amp;Col=16","")</f>
      </c>
    </row>
    <row r="172">
      <c r="A172" t="s">
        <v>15</v>
      </c>
      <c r="B172" t="s">
        <v>16</v>
      </c>
      <c r="C172" t="s">
        <v>111</v>
      </c>
      <c r="D172" t="s">
        <v>87</v>
      </c>
      <c r="E172" t="s">
        <v>872</v>
      </c>
      <c r="F172" t="s" s="1">
        <f>HYPERLINK("http://141.218.60.56/~jnz1568/discussion.php?&amp;Z=8&amp;N=6&amp;Sheet=1&amp;Row=171&amp;Col=5","2367700")</f>
      </c>
      <c r="G172" t="s" s="1">
        <f>HYPERLINK("http://141.218.60.56/~jnz1568/discussion.php?&amp;Z=8&amp;N=6&amp;Sheet=1&amp;Row=171&amp;Col=6","")</f>
      </c>
      <c r="H172" t="s" s="1">
        <f>HYPERLINK("http://141.218.60.56/~jnz1568/discussion.php?&amp;Z=8&amp;N=6&amp;Sheet=1&amp;Row=171&amp;Col=7","")</f>
      </c>
      <c r="I172" t="s" s="1">
        <f>HYPERLINK("http://141.218.60.56/~jnz1568/discussion.php?&amp;Z=8&amp;N=6&amp;Sheet=1&amp;Row=171&amp;Col=8","")</f>
      </c>
      <c r="J172" t="s" s="1">
        <f>HYPERLINK("http://141.218.60.56/~jnz1568/discussion.php?&amp;Z=8&amp;N=6&amp;Sheet=1&amp;Row=171&amp;Col=9","2401000")</f>
      </c>
      <c r="K172" t="s" s="1">
        <f>HYPERLINK("http://141.218.60.56/~jnz1568/discussion.php?&amp;Z=8&amp;N=6&amp;Sheet=1&amp;Row=171&amp;Col=10","")</f>
      </c>
      <c r="L172" t="s" s="1">
        <f>HYPERLINK("http://141.218.60.56/~jnz1568/discussion.php?&amp;Z=8&amp;N=6&amp;Sheet=1&amp;Row=171&amp;Col=11","")</f>
      </c>
      <c r="M172" t="s" s="1">
        <f>HYPERLINK("http://141.218.60.56/~jnz1568/discussion.php?&amp;Z=8&amp;N=6&amp;Sheet=1&amp;Row=171&amp;Col=12","")</f>
      </c>
      <c r="N172" t="s" s="1">
        <f>HYPERLINK("http://141.218.60.56/~jnz1568/discussion.php?&amp;Z=8&amp;N=6&amp;Sheet=1&amp;Row=171&amp;Col=13","1527000")</f>
      </c>
      <c r="O172" t="s" s="1">
        <f>HYPERLINK("http://141.218.60.56/~jnz1568/discussion.php?&amp;Z=8&amp;N=6&amp;Sheet=1&amp;Row=171&amp;Col=14","")</f>
      </c>
      <c r="P172" t="s" s="1">
        <f>HYPERLINK("http://141.218.60.56/~jnz1568/discussion.php?&amp;Z=8&amp;N=6&amp;Sheet=1&amp;Row=171&amp;Col=15","")</f>
      </c>
      <c r="Q172" t="s" s="1">
        <f>HYPERLINK("http://141.218.60.56/~jnz1568/discussion.php?&amp;Z=8&amp;N=6&amp;Sheet=1&amp;Row=171&amp;Col=16","")</f>
      </c>
    </row>
    <row r="173">
      <c r="A173" t="s">
        <v>15</v>
      </c>
      <c r="B173" t="s">
        <v>16</v>
      </c>
      <c r="C173" t="s">
        <v>111</v>
      </c>
      <c r="D173" t="s">
        <v>90</v>
      </c>
      <c r="E173" t="s">
        <v>876</v>
      </c>
      <c r="F173" t="s" s="1">
        <f>HYPERLINK("http://141.218.60.56/~jnz1568/discussion.php?&amp;Z=8&amp;N=6&amp;Sheet=1&amp;Row=172&amp;Col=5","202830")</f>
      </c>
      <c r="G173" t="s" s="1">
        <f>HYPERLINK("http://141.218.60.56/~jnz1568/discussion.php?&amp;Z=8&amp;N=6&amp;Sheet=1&amp;Row=172&amp;Col=6","")</f>
      </c>
      <c r="H173" t="s" s="1">
        <f>HYPERLINK("http://141.218.60.56/~jnz1568/discussion.php?&amp;Z=8&amp;N=6&amp;Sheet=1&amp;Row=172&amp;Col=7","")</f>
      </c>
      <c r="I173" t="s" s="1">
        <f>HYPERLINK("http://141.218.60.56/~jnz1568/discussion.php?&amp;Z=8&amp;N=6&amp;Sheet=1&amp;Row=172&amp;Col=8","")</f>
      </c>
      <c r="J173" t="s" s="1">
        <f>HYPERLINK("http://141.218.60.56/~jnz1568/discussion.php?&amp;Z=8&amp;N=6&amp;Sheet=1&amp;Row=172&amp;Col=9","204260")</f>
      </c>
      <c r="K173" t="s" s="1">
        <f>HYPERLINK("http://141.218.60.56/~jnz1568/discussion.php?&amp;Z=8&amp;N=6&amp;Sheet=1&amp;Row=172&amp;Col=10","")</f>
      </c>
      <c r="L173" t="s" s="1">
        <f>HYPERLINK("http://141.218.60.56/~jnz1568/discussion.php?&amp;Z=8&amp;N=6&amp;Sheet=1&amp;Row=172&amp;Col=11","")</f>
      </c>
      <c r="M173" t="s" s="1">
        <f>HYPERLINK("http://141.218.60.56/~jnz1568/discussion.php?&amp;Z=8&amp;N=6&amp;Sheet=1&amp;Row=172&amp;Col=12","")</f>
      </c>
      <c r="N173" t="s" s="1">
        <f>HYPERLINK("http://141.218.60.56/~jnz1568/discussion.php?&amp;Z=8&amp;N=6&amp;Sheet=1&amp;Row=172&amp;Col=13","41410")</f>
      </c>
      <c r="O173" t="s" s="1">
        <f>HYPERLINK("http://141.218.60.56/~jnz1568/discussion.php?&amp;Z=8&amp;N=6&amp;Sheet=1&amp;Row=172&amp;Col=14","")</f>
      </c>
      <c r="P173" t="s" s="1">
        <f>HYPERLINK("http://141.218.60.56/~jnz1568/discussion.php?&amp;Z=8&amp;N=6&amp;Sheet=1&amp;Row=172&amp;Col=15","")</f>
      </c>
      <c r="Q173" t="s" s="1">
        <f>HYPERLINK("http://141.218.60.56/~jnz1568/discussion.php?&amp;Z=8&amp;N=6&amp;Sheet=1&amp;Row=172&amp;Col=16","")</f>
      </c>
    </row>
    <row r="174">
      <c r="A174" t="s">
        <v>15</v>
      </c>
      <c r="B174" t="s">
        <v>16</v>
      </c>
      <c r="C174" t="s">
        <v>116</v>
      </c>
      <c r="D174" t="s">
        <v>16</v>
      </c>
      <c r="E174" t="s">
        <v>880</v>
      </c>
      <c r="F174" t="s" s="1">
        <f>HYPERLINK("http://141.218.60.56/~jnz1568/discussion.php?&amp;Z=8&amp;N=6&amp;Sheet=1&amp;Row=173&amp;Col=5","200.52")</f>
      </c>
      <c r="G174" t="s" s="1">
        <f>HYPERLINK("http://141.218.60.56/~jnz1568/discussion.php?&amp;Z=8&amp;N=6&amp;Sheet=1&amp;Row=173&amp;Col=6","")</f>
      </c>
      <c r="H174" t="s" s="1">
        <f>HYPERLINK("http://141.218.60.56/~jnz1568/discussion.php?&amp;Z=8&amp;N=6&amp;Sheet=1&amp;Row=173&amp;Col=7","")</f>
      </c>
      <c r="I174" t="s" s="1">
        <f>HYPERLINK("http://141.218.60.56/~jnz1568/discussion.php?&amp;Z=8&amp;N=6&amp;Sheet=1&amp;Row=173&amp;Col=8","")</f>
      </c>
      <c r="J174" t="s" s="1">
        <f>HYPERLINK("http://141.218.60.56/~jnz1568/discussion.php?&amp;Z=8&amp;N=6&amp;Sheet=1&amp;Row=173&amp;Col=9","199.69")</f>
      </c>
      <c r="K174" t="s" s="1">
        <f>HYPERLINK("http://141.218.60.56/~jnz1568/discussion.php?&amp;Z=8&amp;N=6&amp;Sheet=1&amp;Row=173&amp;Col=10","")</f>
      </c>
      <c r="L174" t="s" s="1">
        <f>HYPERLINK("http://141.218.60.56/~jnz1568/discussion.php?&amp;Z=8&amp;N=6&amp;Sheet=1&amp;Row=173&amp;Col=11","")</f>
      </c>
      <c r="M174" t="s" s="1">
        <f>HYPERLINK("http://141.218.60.56/~jnz1568/discussion.php?&amp;Z=8&amp;N=6&amp;Sheet=1&amp;Row=173&amp;Col=12","")</f>
      </c>
      <c r="N174" t="s" s="1">
        <f>HYPERLINK("http://141.218.60.56/~jnz1568/discussion.php?&amp;Z=8&amp;N=6&amp;Sheet=1&amp;Row=173&amp;Col=13","157.8")</f>
      </c>
      <c r="O174" t="s" s="1">
        <f>HYPERLINK("http://141.218.60.56/~jnz1568/discussion.php?&amp;Z=8&amp;N=6&amp;Sheet=1&amp;Row=173&amp;Col=14","")</f>
      </c>
      <c r="P174" t="s" s="1">
        <f>HYPERLINK("http://141.218.60.56/~jnz1568/discussion.php?&amp;Z=8&amp;N=6&amp;Sheet=1&amp;Row=173&amp;Col=15","")</f>
      </c>
      <c r="Q174" t="s" s="1">
        <f>HYPERLINK("http://141.218.60.56/~jnz1568/discussion.php?&amp;Z=8&amp;N=6&amp;Sheet=1&amp;Row=173&amp;Col=16","")</f>
      </c>
    </row>
    <row r="175">
      <c r="A175" t="s">
        <v>15</v>
      </c>
      <c r="B175" t="s">
        <v>16</v>
      </c>
      <c r="C175" t="s">
        <v>116</v>
      </c>
      <c r="D175" t="s">
        <v>43</v>
      </c>
      <c r="E175" t="s">
        <v>884</v>
      </c>
      <c r="F175" t="s" s="1">
        <f>HYPERLINK("http://141.218.60.56/~jnz1568/discussion.php?&amp;Z=8&amp;N=6&amp;Sheet=1&amp;Row=174&amp;Col=5","5601700")</f>
      </c>
      <c r="G175" t="s" s="1">
        <f>HYPERLINK("http://141.218.60.56/~jnz1568/discussion.php?&amp;Z=8&amp;N=6&amp;Sheet=1&amp;Row=174&amp;Col=6","")</f>
      </c>
      <c r="H175" t="s" s="1">
        <f>HYPERLINK("http://141.218.60.56/~jnz1568/discussion.php?&amp;Z=8&amp;N=6&amp;Sheet=1&amp;Row=174&amp;Col=7","")</f>
      </c>
      <c r="I175" t="s" s="1">
        <f>HYPERLINK("http://141.218.60.56/~jnz1568/discussion.php?&amp;Z=8&amp;N=6&amp;Sheet=1&amp;Row=174&amp;Col=8","")</f>
      </c>
      <c r="J175" t="s" s="1">
        <f>HYPERLINK("http://141.218.60.56/~jnz1568/discussion.php?&amp;Z=8&amp;N=6&amp;Sheet=1&amp;Row=174&amp;Col=9","5628800")</f>
      </c>
      <c r="K175" t="s" s="1">
        <f>HYPERLINK("http://141.218.60.56/~jnz1568/discussion.php?&amp;Z=8&amp;N=6&amp;Sheet=1&amp;Row=174&amp;Col=10","")</f>
      </c>
      <c r="L175" t="s" s="1">
        <f>HYPERLINK("http://141.218.60.56/~jnz1568/discussion.php?&amp;Z=8&amp;N=6&amp;Sheet=1&amp;Row=174&amp;Col=11","")</f>
      </c>
      <c r="M175" t="s" s="1">
        <f>HYPERLINK("http://141.218.60.56/~jnz1568/discussion.php?&amp;Z=8&amp;N=6&amp;Sheet=1&amp;Row=174&amp;Col=12","")</f>
      </c>
      <c r="N175" t="s" s="1">
        <f>HYPERLINK("http://141.218.60.56/~jnz1568/discussion.php?&amp;Z=8&amp;N=6&amp;Sheet=1&amp;Row=174&amp;Col=13","6011000")</f>
      </c>
      <c r="O175" t="s" s="1">
        <f>HYPERLINK("http://141.218.60.56/~jnz1568/discussion.php?&amp;Z=8&amp;N=6&amp;Sheet=1&amp;Row=174&amp;Col=14","")</f>
      </c>
      <c r="P175" t="s" s="1">
        <f>HYPERLINK("http://141.218.60.56/~jnz1568/discussion.php?&amp;Z=8&amp;N=6&amp;Sheet=1&amp;Row=174&amp;Col=15","")</f>
      </c>
      <c r="Q175" t="s" s="1">
        <f>HYPERLINK("http://141.218.60.56/~jnz1568/discussion.php?&amp;Z=8&amp;N=6&amp;Sheet=1&amp;Row=174&amp;Col=16","")</f>
      </c>
    </row>
    <row r="176">
      <c r="A176" t="s">
        <v>15</v>
      </c>
      <c r="B176" t="s">
        <v>16</v>
      </c>
      <c r="C176" t="s">
        <v>116</v>
      </c>
      <c r="D176" t="s">
        <v>15</v>
      </c>
      <c r="E176" t="s">
        <v>888</v>
      </c>
      <c r="F176" t="s" s="1">
        <f>HYPERLINK("http://141.218.60.56/~jnz1568/discussion.php?&amp;Z=8&amp;N=6&amp;Sheet=1&amp;Row=175&amp;Col=5","22656000")</f>
      </c>
      <c r="G176" t="s" s="1">
        <f>HYPERLINK("http://141.218.60.56/~jnz1568/discussion.php?&amp;Z=8&amp;N=6&amp;Sheet=1&amp;Row=175&amp;Col=6","")</f>
      </c>
      <c r="H176" t="s" s="1">
        <f>HYPERLINK("http://141.218.60.56/~jnz1568/discussion.php?&amp;Z=8&amp;N=6&amp;Sheet=1&amp;Row=175&amp;Col=7","")</f>
      </c>
      <c r="I176" t="s" s="1">
        <f>HYPERLINK("http://141.218.60.56/~jnz1568/discussion.php?&amp;Z=8&amp;N=6&amp;Sheet=1&amp;Row=175&amp;Col=8","")</f>
      </c>
      <c r="J176" t="s" s="1">
        <f>HYPERLINK("http://141.218.60.56/~jnz1568/discussion.php?&amp;Z=8&amp;N=6&amp;Sheet=1&amp;Row=175&amp;Col=9","22769000")</f>
      </c>
      <c r="K176" t="s" s="1">
        <f>HYPERLINK("http://141.218.60.56/~jnz1568/discussion.php?&amp;Z=8&amp;N=6&amp;Sheet=1&amp;Row=175&amp;Col=10","")</f>
      </c>
      <c r="L176" t="s" s="1">
        <f>HYPERLINK("http://141.218.60.56/~jnz1568/discussion.php?&amp;Z=8&amp;N=6&amp;Sheet=1&amp;Row=175&amp;Col=11","")</f>
      </c>
      <c r="M176" t="s" s="1">
        <f>HYPERLINK("http://141.218.60.56/~jnz1568/discussion.php?&amp;Z=8&amp;N=6&amp;Sheet=1&amp;Row=175&amp;Col=12","")</f>
      </c>
      <c r="N176" t="s" s="1">
        <f>HYPERLINK("http://141.218.60.56/~jnz1568/discussion.php?&amp;Z=8&amp;N=6&amp;Sheet=1&amp;Row=175&amp;Col=13","27530000")</f>
      </c>
      <c r="O176" t="s" s="1">
        <f>HYPERLINK("http://141.218.60.56/~jnz1568/discussion.php?&amp;Z=8&amp;N=6&amp;Sheet=1&amp;Row=175&amp;Col=14","")</f>
      </c>
      <c r="P176" t="s" s="1">
        <f>HYPERLINK("http://141.218.60.56/~jnz1568/discussion.php?&amp;Z=8&amp;N=6&amp;Sheet=1&amp;Row=175&amp;Col=15","")</f>
      </c>
      <c r="Q176" t="s" s="1">
        <f>HYPERLINK("http://141.218.60.56/~jnz1568/discussion.php?&amp;Z=8&amp;N=6&amp;Sheet=1&amp;Row=175&amp;Col=16","")</f>
      </c>
    </row>
    <row r="177">
      <c r="A177" t="s">
        <v>15</v>
      </c>
      <c r="B177" t="s">
        <v>16</v>
      </c>
      <c r="C177" t="s">
        <v>116</v>
      </c>
      <c r="D177" t="s">
        <v>50</v>
      </c>
      <c r="E177" t="s">
        <v>892</v>
      </c>
      <c r="F177" t="s" s="1">
        <f>HYPERLINK("http://141.218.60.56/~jnz1568/discussion.php?&amp;Z=8&amp;N=6&amp;Sheet=1&amp;Row=176&amp;Col=5","4660500")</f>
      </c>
      <c r="G177" t="s" s="1">
        <f>HYPERLINK("http://141.218.60.56/~jnz1568/discussion.php?&amp;Z=8&amp;N=6&amp;Sheet=1&amp;Row=176&amp;Col=6","")</f>
      </c>
      <c r="H177" t="s" s="1">
        <f>HYPERLINK("http://141.218.60.56/~jnz1568/discussion.php?&amp;Z=8&amp;N=6&amp;Sheet=1&amp;Row=176&amp;Col=7","")</f>
      </c>
      <c r="I177" t="s" s="1">
        <f>HYPERLINK("http://141.218.60.56/~jnz1568/discussion.php?&amp;Z=8&amp;N=6&amp;Sheet=1&amp;Row=176&amp;Col=8","")</f>
      </c>
      <c r="J177" t="s" s="1">
        <f>HYPERLINK("http://141.218.60.56/~jnz1568/discussion.php?&amp;Z=8&amp;N=6&amp;Sheet=1&amp;Row=176&amp;Col=9","4685100")</f>
      </c>
      <c r="K177" t="s" s="1">
        <f>HYPERLINK("http://141.218.60.56/~jnz1568/discussion.php?&amp;Z=8&amp;N=6&amp;Sheet=1&amp;Row=176&amp;Col=10","")</f>
      </c>
      <c r="L177" t="s" s="1">
        <f>HYPERLINK("http://141.218.60.56/~jnz1568/discussion.php?&amp;Z=8&amp;N=6&amp;Sheet=1&amp;Row=176&amp;Col=11","")</f>
      </c>
      <c r="M177" t="s" s="1">
        <f>HYPERLINK("http://141.218.60.56/~jnz1568/discussion.php?&amp;Z=8&amp;N=6&amp;Sheet=1&amp;Row=176&amp;Col=12","")</f>
      </c>
      <c r="N177" t="s" s="1">
        <f>HYPERLINK("http://141.218.60.56/~jnz1568/discussion.php?&amp;Z=8&amp;N=6&amp;Sheet=1&amp;Row=176&amp;Col=13","5680000")</f>
      </c>
      <c r="O177" t="s" s="1">
        <f>HYPERLINK("http://141.218.60.56/~jnz1568/discussion.php?&amp;Z=8&amp;N=6&amp;Sheet=1&amp;Row=176&amp;Col=14","")</f>
      </c>
      <c r="P177" t="s" s="1">
        <f>HYPERLINK("http://141.218.60.56/~jnz1568/discussion.php?&amp;Z=8&amp;N=6&amp;Sheet=1&amp;Row=176&amp;Col=15","")</f>
      </c>
      <c r="Q177" t="s" s="1">
        <f>HYPERLINK("http://141.218.60.56/~jnz1568/discussion.php?&amp;Z=8&amp;N=6&amp;Sheet=1&amp;Row=176&amp;Col=16","")</f>
      </c>
    </row>
    <row r="178">
      <c r="A178" t="s">
        <v>15</v>
      </c>
      <c r="B178" t="s">
        <v>16</v>
      </c>
      <c r="C178" t="s">
        <v>116</v>
      </c>
      <c r="D178" t="s">
        <v>53</v>
      </c>
      <c r="E178" t="s">
        <v>896</v>
      </c>
      <c r="F178" t="s" s="1">
        <f>HYPERLINK("http://141.218.60.56/~jnz1568/discussion.php?&amp;Z=8&amp;N=6&amp;Sheet=1&amp;Row=177&amp;Col=5","14584000")</f>
      </c>
      <c r="G178" t="s" s="1">
        <f>HYPERLINK("http://141.218.60.56/~jnz1568/discussion.php?&amp;Z=8&amp;N=6&amp;Sheet=1&amp;Row=177&amp;Col=6","")</f>
      </c>
      <c r="H178" t="s" s="1">
        <f>HYPERLINK("http://141.218.60.56/~jnz1568/discussion.php?&amp;Z=8&amp;N=6&amp;Sheet=1&amp;Row=177&amp;Col=7","")</f>
      </c>
      <c r="I178" t="s" s="1">
        <f>HYPERLINK("http://141.218.60.56/~jnz1568/discussion.php?&amp;Z=8&amp;N=6&amp;Sheet=1&amp;Row=177&amp;Col=8","")</f>
      </c>
      <c r="J178" t="s" s="1">
        <f>HYPERLINK("http://141.218.60.56/~jnz1568/discussion.php?&amp;Z=8&amp;N=6&amp;Sheet=1&amp;Row=177&amp;Col=9","14646000")</f>
      </c>
      <c r="K178" t="s" s="1">
        <f>HYPERLINK("http://141.218.60.56/~jnz1568/discussion.php?&amp;Z=8&amp;N=6&amp;Sheet=1&amp;Row=177&amp;Col=10","")</f>
      </c>
      <c r="L178" t="s" s="1">
        <f>HYPERLINK("http://141.218.60.56/~jnz1568/discussion.php?&amp;Z=8&amp;N=6&amp;Sheet=1&amp;Row=177&amp;Col=11","")</f>
      </c>
      <c r="M178" t="s" s="1">
        <f>HYPERLINK("http://141.218.60.56/~jnz1568/discussion.php?&amp;Z=8&amp;N=6&amp;Sheet=1&amp;Row=177&amp;Col=12","")</f>
      </c>
      <c r="N178" t="s" s="1">
        <f>HYPERLINK("http://141.218.60.56/~jnz1568/discussion.php?&amp;Z=8&amp;N=6&amp;Sheet=1&amp;Row=177&amp;Col=13","14160000")</f>
      </c>
      <c r="O178" t="s" s="1">
        <f>HYPERLINK("http://141.218.60.56/~jnz1568/discussion.php?&amp;Z=8&amp;N=6&amp;Sheet=1&amp;Row=177&amp;Col=14","")</f>
      </c>
      <c r="P178" t="s" s="1">
        <f>HYPERLINK("http://141.218.60.56/~jnz1568/discussion.php?&amp;Z=8&amp;N=6&amp;Sheet=1&amp;Row=177&amp;Col=15","")</f>
      </c>
      <c r="Q178" t="s" s="1">
        <f>HYPERLINK("http://141.218.60.56/~jnz1568/discussion.php?&amp;Z=8&amp;N=6&amp;Sheet=1&amp;Row=177&amp;Col=16","")</f>
      </c>
    </row>
    <row r="179">
      <c r="A179" t="s">
        <v>15</v>
      </c>
      <c r="B179" t="s">
        <v>16</v>
      </c>
      <c r="C179" t="s">
        <v>116</v>
      </c>
      <c r="D179" t="s">
        <v>58</v>
      </c>
      <c r="E179" t="s">
        <v>900</v>
      </c>
      <c r="F179" t="s" s="1">
        <f>HYPERLINK("http://141.218.60.56/~jnz1568/discussion.php?&amp;Z=8&amp;N=6&amp;Sheet=1&amp;Row=178&amp;Col=5","43078000")</f>
      </c>
      <c r="G179" t="s" s="1">
        <f>HYPERLINK("http://141.218.60.56/~jnz1568/discussion.php?&amp;Z=8&amp;N=6&amp;Sheet=1&amp;Row=178&amp;Col=6","")</f>
      </c>
      <c r="H179" t="s" s="1">
        <f>HYPERLINK("http://141.218.60.56/~jnz1568/discussion.php?&amp;Z=8&amp;N=6&amp;Sheet=1&amp;Row=178&amp;Col=7","")</f>
      </c>
      <c r="I179" t="s" s="1">
        <f>HYPERLINK("http://141.218.60.56/~jnz1568/discussion.php?&amp;Z=8&amp;N=6&amp;Sheet=1&amp;Row=178&amp;Col=8","")</f>
      </c>
      <c r="J179" t="s" s="1">
        <f>HYPERLINK("http://141.218.60.56/~jnz1568/discussion.php?&amp;Z=8&amp;N=6&amp;Sheet=1&amp;Row=178&amp;Col=9","43240000")</f>
      </c>
      <c r="K179" t="s" s="1">
        <f>HYPERLINK("http://141.218.60.56/~jnz1568/discussion.php?&amp;Z=8&amp;N=6&amp;Sheet=1&amp;Row=178&amp;Col=10","")</f>
      </c>
      <c r="L179" t="s" s="1">
        <f>HYPERLINK("http://141.218.60.56/~jnz1568/discussion.php?&amp;Z=8&amp;N=6&amp;Sheet=1&amp;Row=178&amp;Col=11","")</f>
      </c>
      <c r="M179" t="s" s="1">
        <f>HYPERLINK("http://141.218.60.56/~jnz1568/discussion.php?&amp;Z=8&amp;N=6&amp;Sheet=1&amp;Row=178&amp;Col=12","")</f>
      </c>
      <c r="N179" t="s" s="1">
        <f>HYPERLINK("http://141.218.60.56/~jnz1568/discussion.php?&amp;Z=8&amp;N=6&amp;Sheet=1&amp;Row=178&amp;Col=13","41090000")</f>
      </c>
      <c r="O179" t="s" s="1">
        <f>HYPERLINK("http://141.218.60.56/~jnz1568/discussion.php?&amp;Z=8&amp;N=6&amp;Sheet=1&amp;Row=178&amp;Col=14","")</f>
      </c>
      <c r="P179" t="s" s="1">
        <f>HYPERLINK("http://141.218.60.56/~jnz1568/discussion.php?&amp;Z=8&amp;N=6&amp;Sheet=1&amp;Row=178&amp;Col=15","")</f>
      </c>
      <c r="Q179" t="s" s="1">
        <f>HYPERLINK("http://141.218.60.56/~jnz1568/discussion.php?&amp;Z=8&amp;N=6&amp;Sheet=1&amp;Row=178&amp;Col=16","")</f>
      </c>
    </row>
    <row r="180">
      <c r="A180" t="s">
        <v>15</v>
      </c>
      <c r="B180" t="s">
        <v>16</v>
      </c>
      <c r="C180" t="s">
        <v>116</v>
      </c>
      <c r="D180" t="s">
        <v>64</v>
      </c>
      <c r="E180" t="s">
        <v>904</v>
      </c>
      <c r="F180" t="s" s="1">
        <f>HYPERLINK("http://141.218.60.56/~jnz1568/discussion.php?&amp;Z=8&amp;N=6&amp;Sheet=1&amp;Row=179&amp;Col=5","4490.7")</f>
      </c>
      <c r="G180" t="s" s="1">
        <f>HYPERLINK("http://141.218.60.56/~jnz1568/discussion.php?&amp;Z=8&amp;N=6&amp;Sheet=1&amp;Row=179&amp;Col=6","")</f>
      </c>
      <c r="H180" t="s" s="1">
        <f>HYPERLINK("http://141.218.60.56/~jnz1568/discussion.php?&amp;Z=8&amp;N=6&amp;Sheet=1&amp;Row=179&amp;Col=7","")</f>
      </c>
      <c r="I180" t="s" s="1">
        <f>HYPERLINK("http://141.218.60.56/~jnz1568/discussion.php?&amp;Z=8&amp;N=6&amp;Sheet=1&amp;Row=179&amp;Col=8","")</f>
      </c>
      <c r="J180" t="s" s="1">
        <f>HYPERLINK("http://141.218.60.56/~jnz1568/discussion.php?&amp;Z=8&amp;N=6&amp;Sheet=1&amp;Row=179&amp;Col=9","4358.1")</f>
      </c>
      <c r="K180" t="s" s="1">
        <f>HYPERLINK("http://141.218.60.56/~jnz1568/discussion.php?&amp;Z=8&amp;N=6&amp;Sheet=1&amp;Row=179&amp;Col=10","")</f>
      </c>
      <c r="L180" t="s" s="1">
        <f>HYPERLINK("http://141.218.60.56/~jnz1568/discussion.php?&amp;Z=8&amp;N=6&amp;Sheet=1&amp;Row=179&amp;Col=11","")</f>
      </c>
      <c r="M180" t="s" s="1">
        <f>HYPERLINK("http://141.218.60.56/~jnz1568/discussion.php?&amp;Z=8&amp;N=6&amp;Sheet=1&amp;Row=179&amp;Col=12","")</f>
      </c>
      <c r="N180" t="s" s="1">
        <f>HYPERLINK("http://141.218.60.56/~jnz1568/discussion.php?&amp;Z=8&amp;N=6&amp;Sheet=1&amp;Row=179&amp;Col=13","1149")</f>
      </c>
      <c r="O180" t="s" s="1">
        <f>HYPERLINK("http://141.218.60.56/~jnz1568/discussion.php?&amp;Z=8&amp;N=6&amp;Sheet=1&amp;Row=179&amp;Col=14","")</f>
      </c>
      <c r="P180" t="s" s="1">
        <f>HYPERLINK("http://141.218.60.56/~jnz1568/discussion.php?&amp;Z=8&amp;N=6&amp;Sheet=1&amp;Row=179&amp;Col=15","")</f>
      </c>
      <c r="Q180" t="s" s="1">
        <f>HYPERLINK("http://141.218.60.56/~jnz1568/discussion.php?&amp;Z=8&amp;N=6&amp;Sheet=1&amp;Row=179&amp;Col=16","")</f>
      </c>
    </row>
    <row r="181">
      <c r="A181" t="s">
        <v>15</v>
      </c>
      <c r="B181" t="s">
        <v>16</v>
      </c>
      <c r="C181" t="s">
        <v>116</v>
      </c>
      <c r="D181" t="s">
        <v>69</v>
      </c>
      <c r="E181" t="s">
        <v>908</v>
      </c>
      <c r="F181" t="s" s="1">
        <f>HYPERLINK("http://141.218.60.56/~jnz1568/discussion.php?&amp;Z=8&amp;N=6&amp;Sheet=1&amp;Row=180&amp;Col=5","1190.5")</f>
      </c>
      <c r="G181" t="s" s="1">
        <f>HYPERLINK("http://141.218.60.56/~jnz1568/discussion.php?&amp;Z=8&amp;N=6&amp;Sheet=1&amp;Row=180&amp;Col=6","")</f>
      </c>
      <c r="H181" t="s" s="1">
        <f>HYPERLINK("http://141.218.60.56/~jnz1568/discussion.php?&amp;Z=8&amp;N=6&amp;Sheet=1&amp;Row=180&amp;Col=7","")</f>
      </c>
      <c r="I181" t="s" s="1">
        <f>HYPERLINK("http://141.218.60.56/~jnz1568/discussion.php?&amp;Z=8&amp;N=6&amp;Sheet=1&amp;Row=180&amp;Col=8","")</f>
      </c>
      <c r="J181" t="s" s="1">
        <f>HYPERLINK("http://141.218.60.56/~jnz1568/discussion.php?&amp;Z=8&amp;N=6&amp;Sheet=1&amp;Row=180&amp;Col=9","1227.4")</f>
      </c>
      <c r="K181" t="s" s="1">
        <f>HYPERLINK("http://141.218.60.56/~jnz1568/discussion.php?&amp;Z=8&amp;N=6&amp;Sheet=1&amp;Row=180&amp;Col=10","")</f>
      </c>
      <c r="L181" t="s" s="1">
        <f>HYPERLINK("http://141.218.60.56/~jnz1568/discussion.php?&amp;Z=8&amp;N=6&amp;Sheet=1&amp;Row=180&amp;Col=11","")</f>
      </c>
      <c r="M181" t="s" s="1">
        <f>HYPERLINK("http://141.218.60.56/~jnz1568/discussion.php?&amp;Z=8&amp;N=6&amp;Sheet=1&amp;Row=180&amp;Col=12","")</f>
      </c>
      <c r="N181" t="s" s="1">
        <f>HYPERLINK("http://141.218.60.56/~jnz1568/discussion.php?&amp;Z=8&amp;N=6&amp;Sheet=1&amp;Row=180&amp;Col=13","3430")</f>
      </c>
      <c r="O181" t="s" s="1">
        <f>HYPERLINK("http://141.218.60.56/~jnz1568/discussion.php?&amp;Z=8&amp;N=6&amp;Sheet=1&amp;Row=180&amp;Col=14","")</f>
      </c>
      <c r="P181" t="s" s="1">
        <f>HYPERLINK("http://141.218.60.56/~jnz1568/discussion.php?&amp;Z=8&amp;N=6&amp;Sheet=1&amp;Row=180&amp;Col=15","")</f>
      </c>
      <c r="Q181" t="s" s="1">
        <f>HYPERLINK("http://141.218.60.56/~jnz1568/discussion.php?&amp;Z=8&amp;N=6&amp;Sheet=1&amp;Row=180&amp;Col=16","")</f>
      </c>
    </row>
    <row r="182">
      <c r="A182" t="s">
        <v>15</v>
      </c>
      <c r="B182" t="s">
        <v>16</v>
      </c>
      <c r="C182" t="s">
        <v>116</v>
      </c>
      <c r="D182" t="s">
        <v>74</v>
      </c>
      <c r="E182" t="s">
        <v>912</v>
      </c>
      <c r="F182" t="s" s="1">
        <f>HYPERLINK("http://141.218.60.56/~jnz1568/discussion.php?&amp;Z=8&amp;N=6&amp;Sheet=1&amp;Row=181&amp;Col=5","8715.2")</f>
      </c>
      <c r="G182" t="s" s="1">
        <f>HYPERLINK("http://141.218.60.56/~jnz1568/discussion.php?&amp;Z=8&amp;N=6&amp;Sheet=1&amp;Row=181&amp;Col=6","")</f>
      </c>
      <c r="H182" t="s" s="1">
        <f>HYPERLINK("http://141.218.60.56/~jnz1568/discussion.php?&amp;Z=8&amp;N=6&amp;Sheet=1&amp;Row=181&amp;Col=7","")</f>
      </c>
      <c r="I182" t="s" s="1">
        <f>HYPERLINK("http://141.218.60.56/~jnz1568/discussion.php?&amp;Z=8&amp;N=6&amp;Sheet=1&amp;Row=181&amp;Col=8","")</f>
      </c>
      <c r="J182" t="s" s="1">
        <f>HYPERLINK("http://141.218.60.56/~jnz1568/discussion.php?&amp;Z=8&amp;N=6&amp;Sheet=1&amp;Row=181&amp;Col=9","8644.3")</f>
      </c>
      <c r="K182" t="s" s="1">
        <f>HYPERLINK("http://141.218.60.56/~jnz1568/discussion.php?&amp;Z=8&amp;N=6&amp;Sheet=1&amp;Row=181&amp;Col=10","")</f>
      </c>
      <c r="L182" t="s" s="1">
        <f>HYPERLINK("http://141.218.60.56/~jnz1568/discussion.php?&amp;Z=8&amp;N=6&amp;Sheet=1&amp;Row=181&amp;Col=11","")</f>
      </c>
      <c r="M182" t="s" s="1">
        <f>HYPERLINK("http://141.218.60.56/~jnz1568/discussion.php?&amp;Z=8&amp;N=6&amp;Sheet=1&amp;Row=181&amp;Col=12","")</f>
      </c>
      <c r="N182" t="s" s="1">
        <f>HYPERLINK("http://141.218.60.56/~jnz1568/discussion.php?&amp;Z=8&amp;N=6&amp;Sheet=1&amp;Row=181&amp;Col=13","4147")</f>
      </c>
      <c r="O182" t="s" s="1">
        <f>HYPERLINK("http://141.218.60.56/~jnz1568/discussion.php?&amp;Z=8&amp;N=6&amp;Sheet=1&amp;Row=181&amp;Col=14","")</f>
      </c>
      <c r="P182" t="s" s="1">
        <f>HYPERLINK("http://141.218.60.56/~jnz1568/discussion.php?&amp;Z=8&amp;N=6&amp;Sheet=1&amp;Row=181&amp;Col=15","")</f>
      </c>
      <c r="Q182" t="s" s="1">
        <f>HYPERLINK("http://141.218.60.56/~jnz1568/discussion.php?&amp;Z=8&amp;N=6&amp;Sheet=1&amp;Row=181&amp;Col=16","")</f>
      </c>
    </row>
    <row r="183">
      <c r="A183" t="s">
        <v>15</v>
      </c>
      <c r="B183" t="s">
        <v>16</v>
      </c>
      <c r="C183" t="s">
        <v>116</v>
      </c>
      <c r="D183" t="s">
        <v>84</v>
      </c>
      <c r="E183" t="s">
        <v>916</v>
      </c>
      <c r="F183" t="s" s="1">
        <f>HYPERLINK("http://141.218.60.56/~jnz1568/discussion.php?&amp;Z=8&amp;N=6&amp;Sheet=1&amp;Row=182&amp;Col=5","73600000")</f>
      </c>
      <c r="G183" t="s" s="1">
        <f>HYPERLINK("http://141.218.60.56/~jnz1568/discussion.php?&amp;Z=8&amp;N=6&amp;Sheet=1&amp;Row=182&amp;Col=6","")</f>
      </c>
      <c r="H183" t="s" s="1">
        <f>HYPERLINK("http://141.218.60.56/~jnz1568/discussion.php?&amp;Z=8&amp;N=6&amp;Sheet=1&amp;Row=182&amp;Col=7","")</f>
      </c>
      <c r="I183" t="s" s="1">
        <f>HYPERLINK("http://141.218.60.56/~jnz1568/discussion.php?&amp;Z=8&amp;N=6&amp;Sheet=1&amp;Row=182&amp;Col=8","")</f>
      </c>
      <c r="J183" t="s" s="1">
        <f>HYPERLINK("http://141.218.60.56/~jnz1568/discussion.php?&amp;Z=8&amp;N=6&amp;Sheet=1&amp;Row=182&amp;Col=9","74661000")</f>
      </c>
      <c r="K183" t="s" s="1">
        <f>HYPERLINK("http://141.218.60.56/~jnz1568/discussion.php?&amp;Z=8&amp;N=6&amp;Sheet=1&amp;Row=182&amp;Col=10","")</f>
      </c>
      <c r="L183" t="s" s="1">
        <f>HYPERLINK("http://141.218.60.56/~jnz1568/discussion.php?&amp;Z=8&amp;N=6&amp;Sheet=1&amp;Row=182&amp;Col=11","")</f>
      </c>
      <c r="M183" t="s" s="1">
        <f>HYPERLINK("http://141.218.60.56/~jnz1568/discussion.php?&amp;Z=8&amp;N=6&amp;Sheet=1&amp;Row=182&amp;Col=12","")</f>
      </c>
      <c r="N183" t="s" s="1">
        <f>HYPERLINK("http://141.218.60.56/~jnz1568/discussion.php?&amp;Z=8&amp;N=6&amp;Sheet=1&amp;Row=182&amp;Col=13","46130000")</f>
      </c>
      <c r="O183" t="s" s="1">
        <f>HYPERLINK("http://141.218.60.56/~jnz1568/discussion.php?&amp;Z=8&amp;N=6&amp;Sheet=1&amp;Row=182&amp;Col=14","")</f>
      </c>
      <c r="P183" t="s" s="1">
        <f>HYPERLINK("http://141.218.60.56/~jnz1568/discussion.php?&amp;Z=8&amp;N=6&amp;Sheet=1&amp;Row=182&amp;Col=15","")</f>
      </c>
      <c r="Q183" t="s" s="1">
        <f>HYPERLINK("http://141.218.60.56/~jnz1568/discussion.php?&amp;Z=8&amp;N=6&amp;Sheet=1&amp;Row=182&amp;Col=16","")</f>
      </c>
    </row>
    <row r="184">
      <c r="A184" t="s">
        <v>15</v>
      </c>
      <c r="B184" t="s">
        <v>16</v>
      </c>
      <c r="C184" t="s">
        <v>116</v>
      </c>
      <c r="D184" t="s">
        <v>87</v>
      </c>
      <c r="E184" t="s">
        <v>920</v>
      </c>
      <c r="F184" t="s" s="1">
        <f>HYPERLINK("http://141.218.60.56/~jnz1568/discussion.php?&amp;Z=8&amp;N=6&amp;Sheet=1&amp;Row=183&amp;Col=5","22217000")</f>
      </c>
      <c r="G184" t="s" s="1">
        <f>HYPERLINK("http://141.218.60.56/~jnz1568/discussion.php?&amp;Z=8&amp;N=6&amp;Sheet=1&amp;Row=183&amp;Col=6","")</f>
      </c>
      <c r="H184" t="s" s="1">
        <f>HYPERLINK("http://141.218.60.56/~jnz1568/discussion.php?&amp;Z=8&amp;N=6&amp;Sheet=1&amp;Row=183&amp;Col=7","")</f>
      </c>
      <c r="I184" t="s" s="1">
        <f>HYPERLINK("http://141.218.60.56/~jnz1568/discussion.php?&amp;Z=8&amp;N=6&amp;Sheet=1&amp;Row=183&amp;Col=8","")</f>
      </c>
      <c r="J184" t="s" s="1">
        <f>HYPERLINK("http://141.218.60.56/~jnz1568/discussion.php?&amp;Z=8&amp;N=6&amp;Sheet=1&amp;Row=183&amp;Col=9","22531000")</f>
      </c>
      <c r="K184" t="s" s="1">
        <f>HYPERLINK("http://141.218.60.56/~jnz1568/discussion.php?&amp;Z=8&amp;N=6&amp;Sheet=1&amp;Row=183&amp;Col=10","")</f>
      </c>
      <c r="L184" t="s" s="1">
        <f>HYPERLINK("http://141.218.60.56/~jnz1568/discussion.php?&amp;Z=8&amp;N=6&amp;Sheet=1&amp;Row=183&amp;Col=11","")</f>
      </c>
      <c r="M184" t="s" s="1">
        <f>HYPERLINK("http://141.218.60.56/~jnz1568/discussion.php?&amp;Z=8&amp;N=6&amp;Sheet=1&amp;Row=183&amp;Col=12","")</f>
      </c>
      <c r="N184" t="s" s="1">
        <f>HYPERLINK("http://141.218.60.56/~jnz1568/discussion.php?&amp;Z=8&amp;N=6&amp;Sheet=1&amp;Row=183&amp;Col=13","14230000")</f>
      </c>
      <c r="O184" t="s" s="1">
        <f>HYPERLINK("http://141.218.60.56/~jnz1568/discussion.php?&amp;Z=8&amp;N=6&amp;Sheet=1&amp;Row=183&amp;Col=14","")</f>
      </c>
      <c r="P184" t="s" s="1">
        <f>HYPERLINK("http://141.218.60.56/~jnz1568/discussion.php?&amp;Z=8&amp;N=6&amp;Sheet=1&amp;Row=183&amp;Col=15","")</f>
      </c>
      <c r="Q184" t="s" s="1">
        <f>HYPERLINK("http://141.218.60.56/~jnz1568/discussion.php?&amp;Z=8&amp;N=6&amp;Sheet=1&amp;Row=183&amp;Col=16","")</f>
      </c>
    </row>
    <row r="185">
      <c r="A185" t="s">
        <v>15</v>
      </c>
      <c r="B185" t="s">
        <v>16</v>
      </c>
      <c r="C185" t="s">
        <v>116</v>
      </c>
      <c r="D185" t="s">
        <v>90</v>
      </c>
      <c r="E185" t="s">
        <v>924</v>
      </c>
      <c r="F185" t="s" s="1">
        <f>HYPERLINK("http://141.218.60.56/~jnz1568/discussion.php?&amp;Z=8&amp;N=6&amp;Sheet=1&amp;Row=184&amp;Col=5","12001")</f>
      </c>
      <c r="G185" t="s" s="1">
        <f>HYPERLINK("http://141.218.60.56/~jnz1568/discussion.php?&amp;Z=8&amp;N=6&amp;Sheet=1&amp;Row=184&amp;Col=6","")</f>
      </c>
      <c r="H185" t="s" s="1">
        <f>HYPERLINK("http://141.218.60.56/~jnz1568/discussion.php?&amp;Z=8&amp;N=6&amp;Sheet=1&amp;Row=184&amp;Col=7","")</f>
      </c>
      <c r="I185" t="s" s="1">
        <f>HYPERLINK("http://141.218.60.56/~jnz1568/discussion.php?&amp;Z=8&amp;N=6&amp;Sheet=1&amp;Row=184&amp;Col=8","")</f>
      </c>
      <c r="J185" t="s" s="1">
        <f>HYPERLINK("http://141.218.60.56/~jnz1568/discussion.php?&amp;Z=8&amp;N=6&amp;Sheet=1&amp;Row=184&amp;Col=9","11772")</f>
      </c>
      <c r="K185" t="s" s="1">
        <f>HYPERLINK("http://141.218.60.56/~jnz1568/discussion.php?&amp;Z=8&amp;N=6&amp;Sheet=1&amp;Row=184&amp;Col=10","")</f>
      </c>
      <c r="L185" t="s" s="1">
        <f>HYPERLINK("http://141.218.60.56/~jnz1568/discussion.php?&amp;Z=8&amp;N=6&amp;Sheet=1&amp;Row=184&amp;Col=11","")</f>
      </c>
      <c r="M185" t="s" s="1">
        <f>HYPERLINK("http://141.218.60.56/~jnz1568/discussion.php?&amp;Z=8&amp;N=6&amp;Sheet=1&amp;Row=184&amp;Col=12","")</f>
      </c>
      <c r="N185" t="s" s="1">
        <f>HYPERLINK("http://141.218.60.56/~jnz1568/discussion.php?&amp;Z=8&amp;N=6&amp;Sheet=1&amp;Row=184&amp;Col=13","1435")</f>
      </c>
      <c r="O185" t="s" s="1">
        <f>HYPERLINK("http://141.218.60.56/~jnz1568/discussion.php?&amp;Z=8&amp;N=6&amp;Sheet=1&amp;Row=184&amp;Col=14","")</f>
      </c>
      <c r="P185" t="s" s="1">
        <f>HYPERLINK("http://141.218.60.56/~jnz1568/discussion.php?&amp;Z=8&amp;N=6&amp;Sheet=1&amp;Row=184&amp;Col=15","")</f>
      </c>
      <c r="Q185" t="s" s="1">
        <f>HYPERLINK("http://141.218.60.56/~jnz1568/discussion.php?&amp;Z=8&amp;N=6&amp;Sheet=1&amp;Row=184&amp;Col=16","")</f>
      </c>
    </row>
    <row r="186">
      <c r="A186" t="s">
        <v>15</v>
      </c>
      <c r="B186" t="s">
        <v>16</v>
      </c>
      <c r="C186" t="s">
        <v>119</v>
      </c>
      <c r="D186" t="s">
        <v>16</v>
      </c>
      <c r="E186" t="s">
        <v>928</v>
      </c>
      <c r="F186" t="s" s="1">
        <f>HYPERLINK("http://141.218.60.56/~jnz1568/discussion.php?&amp;Z=8&amp;N=6&amp;Sheet=1&amp;Row=185&amp;Col=5","655.86")</f>
      </c>
      <c r="G186" t="s" s="1">
        <f>HYPERLINK("http://141.218.60.56/~jnz1568/discussion.php?&amp;Z=8&amp;N=6&amp;Sheet=1&amp;Row=185&amp;Col=6","")</f>
      </c>
      <c r="H186" t="s" s="1">
        <f>HYPERLINK("http://141.218.60.56/~jnz1568/discussion.php?&amp;Z=8&amp;N=6&amp;Sheet=1&amp;Row=185&amp;Col=7","")</f>
      </c>
      <c r="I186" t="s" s="1">
        <f>HYPERLINK("http://141.218.60.56/~jnz1568/discussion.php?&amp;Z=8&amp;N=6&amp;Sheet=1&amp;Row=185&amp;Col=8","")</f>
      </c>
      <c r="J186" t="s" s="1">
        <f>HYPERLINK("http://141.218.60.56/~jnz1568/discussion.php?&amp;Z=8&amp;N=6&amp;Sheet=1&amp;Row=185&amp;Col=9","652.73")</f>
      </c>
      <c r="K186" t="s" s="1">
        <f>HYPERLINK("http://141.218.60.56/~jnz1568/discussion.php?&amp;Z=8&amp;N=6&amp;Sheet=1&amp;Row=185&amp;Col=10","")</f>
      </c>
      <c r="L186" t="s" s="1">
        <f>HYPERLINK("http://141.218.60.56/~jnz1568/discussion.php?&amp;Z=8&amp;N=6&amp;Sheet=1&amp;Row=185&amp;Col=11","")</f>
      </c>
      <c r="M186" t="s" s="1">
        <f>HYPERLINK("http://141.218.60.56/~jnz1568/discussion.php?&amp;Z=8&amp;N=6&amp;Sheet=1&amp;Row=185&amp;Col=12","")</f>
      </c>
      <c r="N186" t="s" s="1">
        <f>HYPERLINK("http://141.218.60.56/~jnz1568/discussion.php?&amp;Z=8&amp;N=6&amp;Sheet=1&amp;Row=185&amp;Col=13","504.6")</f>
      </c>
      <c r="O186" t="s" s="1">
        <f>HYPERLINK("http://141.218.60.56/~jnz1568/discussion.php?&amp;Z=8&amp;N=6&amp;Sheet=1&amp;Row=185&amp;Col=14","")</f>
      </c>
      <c r="P186" t="s" s="1">
        <f>HYPERLINK("http://141.218.60.56/~jnz1568/discussion.php?&amp;Z=8&amp;N=6&amp;Sheet=1&amp;Row=185&amp;Col=15","")</f>
      </c>
      <c r="Q186" t="s" s="1">
        <f>HYPERLINK("http://141.218.60.56/~jnz1568/discussion.php?&amp;Z=8&amp;N=6&amp;Sheet=1&amp;Row=185&amp;Col=16","")</f>
      </c>
    </row>
    <row r="187">
      <c r="A187" t="s">
        <v>15</v>
      </c>
      <c r="B187" t="s">
        <v>16</v>
      </c>
      <c r="C187" t="s">
        <v>119</v>
      </c>
      <c r="D187" t="s">
        <v>43</v>
      </c>
      <c r="E187" t="s">
        <v>932</v>
      </c>
      <c r="F187" t="s" s="1">
        <f>HYPERLINK("http://141.218.60.56/~jnz1568/discussion.php?&amp;Z=8&amp;N=6&amp;Sheet=1&amp;Row=186&amp;Col=5","29227000")</f>
      </c>
      <c r="G187" t="s" s="1">
        <f>HYPERLINK("http://141.218.60.56/~jnz1568/discussion.php?&amp;Z=8&amp;N=6&amp;Sheet=1&amp;Row=186&amp;Col=6","")</f>
      </c>
      <c r="H187" t="s" s="1">
        <f>HYPERLINK("http://141.218.60.56/~jnz1568/discussion.php?&amp;Z=8&amp;N=6&amp;Sheet=1&amp;Row=186&amp;Col=7","")</f>
      </c>
      <c r="I187" t="s" s="1">
        <f>HYPERLINK("http://141.218.60.56/~jnz1568/discussion.php?&amp;Z=8&amp;N=6&amp;Sheet=1&amp;Row=186&amp;Col=8","")</f>
      </c>
      <c r="J187" t="s" s="1">
        <f>HYPERLINK("http://141.218.60.56/~jnz1568/discussion.php?&amp;Z=8&amp;N=6&amp;Sheet=1&amp;Row=186&amp;Col=9","29374000")</f>
      </c>
      <c r="K187" t="s" s="1">
        <f>HYPERLINK("http://141.218.60.56/~jnz1568/discussion.php?&amp;Z=8&amp;N=6&amp;Sheet=1&amp;Row=186&amp;Col=10","")</f>
      </c>
      <c r="L187" t="s" s="1">
        <f>HYPERLINK("http://141.218.60.56/~jnz1568/discussion.php?&amp;Z=8&amp;N=6&amp;Sheet=1&amp;Row=186&amp;Col=11","")</f>
      </c>
      <c r="M187" t="s" s="1">
        <f>HYPERLINK("http://141.218.60.56/~jnz1568/discussion.php?&amp;Z=8&amp;N=6&amp;Sheet=1&amp;Row=186&amp;Col=12","")</f>
      </c>
      <c r="N187" t="s" s="1">
        <f>HYPERLINK("http://141.218.60.56/~jnz1568/discussion.php?&amp;Z=8&amp;N=6&amp;Sheet=1&amp;Row=186&amp;Col=13","34840000")</f>
      </c>
      <c r="O187" t="s" s="1">
        <f>HYPERLINK("http://141.218.60.56/~jnz1568/discussion.php?&amp;Z=8&amp;N=6&amp;Sheet=1&amp;Row=186&amp;Col=14","")</f>
      </c>
      <c r="P187" t="s" s="1">
        <f>HYPERLINK("http://141.218.60.56/~jnz1568/discussion.php?&amp;Z=8&amp;N=6&amp;Sheet=1&amp;Row=186&amp;Col=15","")</f>
      </c>
      <c r="Q187" t="s" s="1">
        <f>HYPERLINK("http://141.218.60.56/~jnz1568/discussion.php?&amp;Z=8&amp;N=6&amp;Sheet=1&amp;Row=186&amp;Col=16","")</f>
      </c>
    </row>
    <row r="188">
      <c r="A188" t="s">
        <v>15</v>
      </c>
      <c r="B188" t="s">
        <v>16</v>
      </c>
      <c r="C188" t="s">
        <v>119</v>
      </c>
      <c r="D188" t="s">
        <v>15</v>
      </c>
      <c r="E188" t="s">
        <v>936</v>
      </c>
      <c r="F188" t="s" s="1">
        <f>HYPERLINK("http://141.218.60.56/~jnz1568/discussion.php?&amp;Z=8&amp;N=6&amp;Sheet=1&amp;Row=187&amp;Col=5","3380100")</f>
      </c>
      <c r="G188" t="s" s="1">
        <f>HYPERLINK("http://141.218.60.56/~jnz1568/discussion.php?&amp;Z=8&amp;N=6&amp;Sheet=1&amp;Row=187&amp;Col=6","")</f>
      </c>
      <c r="H188" t="s" s="1">
        <f>HYPERLINK("http://141.218.60.56/~jnz1568/discussion.php?&amp;Z=8&amp;N=6&amp;Sheet=1&amp;Row=187&amp;Col=7","")</f>
      </c>
      <c r="I188" t="s" s="1">
        <f>HYPERLINK("http://141.218.60.56/~jnz1568/discussion.php?&amp;Z=8&amp;N=6&amp;Sheet=1&amp;Row=187&amp;Col=8","")</f>
      </c>
      <c r="J188" t="s" s="1">
        <f>HYPERLINK("http://141.218.60.56/~jnz1568/discussion.php?&amp;Z=8&amp;N=6&amp;Sheet=1&amp;Row=187&amp;Col=9","3398400")</f>
      </c>
      <c r="K188" t="s" s="1">
        <f>HYPERLINK("http://141.218.60.56/~jnz1568/discussion.php?&amp;Z=8&amp;N=6&amp;Sheet=1&amp;Row=187&amp;Col=10","")</f>
      </c>
      <c r="L188" t="s" s="1">
        <f>HYPERLINK("http://141.218.60.56/~jnz1568/discussion.php?&amp;Z=8&amp;N=6&amp;Sheet=1&amp;Row=187&amp;Col=11","")</f>
      </c>
      <c r="M188" t="s" s="1">
        <f>HYPERLINK("http://141.218.60.56/~jnz1568/discussion.php?&amp;Z=8&amp;N=6&amp;Sheet=1&amp;Row=187&amp;Col=12","")</f>
      </c>
      <c r="N188" t="s" s="1">
        <f>HYPERLINK("http://141.218.60.56/~jnz1568/discussion.php?&amp;Z=8&amp;N=6&amp;Sheet=1&amp;Row=187&amp;Col=13","4097000")</f>
      </c>
      <c r="O188" t="s" s="1">
        <f>HYPERLINK("http://141.218.60.56/~jnz1568/discussion.php?&amp;Z=8&amp;N=6&amp;Sheet=1&amp;Row=187&amp;Col=14","")</f>
      </c>
      <c r="P188" t="s" s="1">
        <f>HYPERLINK("http://141.218.60.56/~jnz1568/discussion.php?&amp;Z=8&amp;N=6&amp;Sheet=1&amp;Row=187&amp;Col=15","")</f>
      </c>
      <c r="Q188" t="s" s="1">
        <f>HYPERLINK("http://141.218.60.56/~jnz1568/discussion.php?&amp;Z=8&amp;N=6&amp;Sheet=1&amp;Row=187&amp;Col=16","")</f>
      </c>
    </row>
    <row r="189">
      <c r="A189" t="s">
        <v>15</v>
      </c>
      <c r="B189" t="s">
        <v>16</v>
      </c>
      <c r="C189" t="s">
        <v>119</v>
      </c>
      <c r="D189" t="s">
        <v>53</v>
      </c>
      <c r="E189" t="s">
        <v>940</v>
      </c>
      <c r="F189" t="s" s="1">
        <f>HYPERLINK("http://141.218.60.56/~jnz1568/discussion.php?&amp;Z=8&amp;N=6&amp;Sheet=1&amp;Row=188&amp;Col=5","58127000")</f>
      </c>
      <c r="G189" t="s" s="1">
        <f>HYPERLINK("http://141.218.60.56/~jnz1568/discussion.php?&amp;Z=8&amp;N=6&amp;Sheet=1&amp;Row=188&amp;Col=6","")</f>
      </c>
      <c r="H189" t="s" s="1">
        <f>HYPERLINK("http://141.218.60.56/~jnz1568/discussion.php?&amp;Z=8&amp;N=6&amp;Sheet=1&amp;Row=188&amp;Col=7","")</f>
      </c>
      <c r="I189" t="s" s="1">
        <f>HYPERLINK("http://141.218.60.56/~jnz1568/discussion.php?&amp;Z=8&amp;N=6&amp;Sheet=1&amp;Row=188&amp;Col=8","")</f>
      </c>
      <c r="J189" t="s" s="1">
        <f>HYPERLINK("http://141.218.60.56/~jnz1568/discussion.php?&amp;Z=8&amp;N=6&amp;Sheet=1&amp;Row=188&amp;Col=9","58350000")</f>
      </c>
      <c r="K189" t="s" s="1">
        <f>HYPERLINK("http://141.218.60.56/~jnz1568/discussion.php?&amp;Z=8&amp;N=6&amp;Sheet=1&amp;Row=188&amp;Col=10","")</f>
      </c>
      <c r="L189" t="s" s="1">
        <f>HYPERLINK("http://141.218.60.56/~jnz1568/discussion.php?&amp;Z=8&amp;N=6&amp;Sheet=1&amp;Row=188&amp;Col=11","")</f>
      </c>
      <c r="M189" t="s" s="1">
        <f>HYPERLINK("http://141.218.60.56/~jnz1568/discussion.php?&amp;Z=8&amp;N=6&amp;Sheet=1&amp;Row=188&amp;Col=12","")</f>
      </c>
      <c r="N189" t="s" s="1">
        <f>HYPERLINK("http://141.218.60.56/~jnz1568/discussion.php?&amp;Z=8&amp;N=6&amp;Sheet=1&amp;Row=188&amp;Col=13","55670000")</f>
      </c>
      <c r="O189" t="s" s="1">
        <f>HYPERLINK("http://141.218.60.56/~jnz1568/discussion.php?&amp;Z=8&amp;N=6&amp;Sheet=1&amp;Row=188&amp;Col=14","")</f>
      </c>
      <c r="P189" t="s" s="1">
        <f>HYPERLINK("http://141.218.60.56/~jnz1568/discussion.php?&amp;Z=8&amp;N=6&amp;Sheet=1&amp;Row=188&amp;Col=15","")</f>
      </c>
      <c r="Q189" t="s" s="1">
        <f>HYPERLINK("http://141.218.60.56/~jnz1568/discussion.php?&amp;Z=8&amp;N=6&amp;Sheet=1&amp;Row=188&amp;Col=16","")</f>
      </c>
    </row>
    <row r="190">
      <c r="A190" t="s">
        <v>15</v>
      </c>
      <c r="B190" t="s">
        <v>16</v>
      </c>
      <c r="C190" t="s">
        <v>119</v>
      </c>
      <c r="D190" t="s">
        <v>64</v>
      </c>
      <c r="E190" t="s">
        <v>944</v>
      </c>
      <c r="F190" t="s" s="1">
        <f>HYPERLINK("http://141.218.60.56/~jnz1568/discussion.php?&amp;Z=8&amp;N=6&amp;Sheet=1&amp;Row=189&amp;Col=5","280.7")</f>
      </c>
      <c r="G190" t="s" s="1">
        <f>HYPERLINK("http://141.218.60.56/~jnz1568/discussion.php?&amp;Z=8&amp;N=6&amp;Sheet=1&amp;Row=189&amp;Col=6","")</f>
      </c>
      <c r="H190" t="s" s="1">
        <f>HYPERLINK("http://141.218.60.56/~jnz1568/discussion.php?&amp;Z=8&amp;N=6&amp;Sheet=1&amp;Row=189&amp;Col=7","")</f>
      </c>
      <c r="I190" t="s" s="1">
        <f>HYPERLINK("http://141.218.60.56/~jnz1568/discussion.php?&amp;Z=8&amp;N=6&amp;Sheet=1&amp;Row=189&amp;Col=8","")</f>
      </c>
      <c r="J190" t="s" s="1">
        <f>HYPERLINK("http://141.218.60.56/~jnz1568/discussion.php?&amp;Z=8&amp;N=6&amp;Sheet=1&amp;Row=189&amp;Col=9","280.23")</f>
      </c>
      <c r="K190" t="s" s="1">
        <f>HYPERLINK("http://141.218.60.56/~jnz1568/discussion.php?&amp;Z=8&amp;N=6&amp;Sheet=1&amp;Row=189&amp;Col=10","")</f>
      </c>
      <c r="L190" t="s" s="1">
        <f>HYPERLINK("http://141.218.60.56/~jnz1568/discussion.php?&amp;Z=8&amp;N=6&amp;Sheet=1&amp;Row=189&amp;Col=11","")</f>
      </c>
      <c r="M190" t="s" s="1">
        <f>HYPERLINK("http://141.218.60.56/~jnz1568/discussion.php?&amp;Z=8&amp;N=6&amp;Sheet=1&amp;Row=189&amp;Col=12","")</f>
      </c>
      <c r="N190" t="s" s="1">
        <f>HYPERLINK("http://141.218.60.56/~jnz1568/discussion.php?&amp;Z=8&amp;N=6&amp;Sheet=1&amp;Row=189&amp;Col=13","247.4")</f>
      </c>
      <c r="O190" t="s" s="1">
        <f>HYPERLINK("http://141.218.60.56/~jnz1568/discussion.php?&amp;Z=8&amp;N=6&amp;Sheet=1&amp;Row=189&amp;Col=14","")</f>
      </c>
      <c r="P190" t="s" s="1">
        <f>HYPERLINK("http://141.218.60.56/~jnz1568/discussion.php?&amp;Z=8&amp;N=6&amp;Sheet=1&amp;Row=189&amp;Col=15","")</f>
      </c>
      <c r="Q190" t="s" s="1">
        <f>HYPERLINK("http://141.218.60.56/~jnz1568/discussion.php?&amp;Z=8&amp;N=6&amp;Sheet=1&amp;Row=189&amp;Col=16","")</f>
      </c>
    </row>
    <row r="191">
      <c r="A191" t="s">
        <v>15</v>
      </c>
      <c r="B191" t="s">
        <v>16</v>
      </c>
      <c r="C191" t="s">
        <v>119</v>
      </c>
      <c r="D191" t="s">
        <v>87</v>
      </c>
      <c r="E191" t="s">
        <v>948</v>
      </c>
      <c r="F191" t="s" s="1">
        <f>HYPERLINK("http://141.218.60.56/~jnz1568/discussion.php?&amp;Z=8&amp;N=6&amp;Sheet=1&amp;Row=190&amp;Col=5","96090000")</f>
      </c>
      <c r="G191" t="s" s="1">
        <f>HYPERLINK("http://141.218.60.56/~jnz1568/discussion.php?&amp;Z=8&amp;N=6&amp;Sheet=1&amp;Row=190&amp;Col=6","")</f>
      </c>
      <c r="H191" t="s" s="1">
        <f>HYPERLINK("http://141.218.60.56/~jnz1568/discussion.php?&amp;Z=8&amp;N=6&amp;Sheet=1&amp;Row=190&amp;Col=7","")</f>
      </c>
      <c r="I191" t="s" s="1">
        <f>HYPERLINK("http://141.218.60.56/~jnz1568/discussion.php?&amp;Z=8&amp;N=6&amp;Sheet=1&amp;Row=190&amp;Col=8","")</f>
      </c>
      <c r="J191" t="s" s="1">
        <f>HYPERLINK("http://141.218.60.56/~jnz1568/discussion.php?&amp;Z=8&amp;N=6&amp;Sheet=1&amp;Row=190&amp;Col=9","97466000")</f>
      </c>
      <c r="K191" t="s" s="1">
        <f>HYPERLINK("http://141.218.60.56/~jnz1568/discussion.php?&amp;Z=8&amp;N=6&amp;Sheet=1&amp;Row=190&amp;Col=10","")</f>
      </c>
      <c r="L191" t="s" s="1">
        <f>HYPERLINK("http://141.218.60.56/~jnz1568/discussion.php?&amp;Z=8&amp;N=6&amp;Sheet=1&amp;Row=190&amp;Col=11","")</f>
      </c>
      <c r="M191" t="s" s="1">
        <f>HYPERLINK("http://141.218.60.56/~jnz1568/discussion.php?&amp;Z=8&amp;N=6&amp;Sheet=1&amp;Row=190&amp;Col=12","")</f>
      </c>
      <c r="N191" t="s" s="1">
        <f>HYPERLINK("http://141.218.60.56/~jnz1568/discussion.php?&amp;Z=8&amp;N=6&amp;Sheet=1&amp;Row=190&amp;Col=13","60580000")</f>
      </c>
      <c r="O191" t="s" s="1">
        <f>HYPERLINK("http://141.218.60.56/~jnz1568/discussion.php?&amp;Z=8&amp;N=6&amp;Sheet=1&amp;Row=190&amp;Col=14","")</f>
      </c>
      <c r="P191" t="s" s="1">
        <f>HYPERLINK("http://141.218.60.56/~jnz1568/discussion.php?&amp;Z=8&amp;N=6&amp;Sheet=1&amp;Row=190&amp;Col=15","")</f>
      </c>
      <c r="Q191" t="s" s="1">
        <f>HYPERLINK("http://141.218.60.56/~jnz1568/discussion.php?&amp;Z=8&amp;N=6&amp;Sheet=1&amp;Row=190&amp;Col=16","")</f>
      </c>
    </row>
    <row r="192">
      <c r="A192" t="s">
        <v>15</v>
      </c>
      <c r="B192" t="s">
        <v>16</v>
      </c>
      <c r="C192" t="s">
        <v>122</v>
      </c>
      <c r="D192" t="s">
        <v>16</v>
      </c>
      <c r="E192" t="s">
        <v>952</v>
      </c>
      <c r="F192" t="s" s="1">
        <f>HYPERLINK("http://141.218.60.56/~jnz1568/discussion.php?&amp;Z=8&amp;N=6&amp;Sheet=1&amp;Row=191&amp;Col=5","2220.1")</f>
      </c>
      <c r="G192" t="s" s="1">
        <f>HYPERLINK("http://141.218.60.56/~jnz1568/discussion.php?&amp;Z=8&amp;N=6&amp;Sheet=1&amp;Row=191&amp;Col=6","")</f>
      </c>
      <c r="H192" t="s" s="1">
        <f>HYPERLINK("http://141.218.60.56/~jnz1568/discussion.php?&amp;Z=8&amp;N=6&amp;Sheet=1&amp;Row=191&amp;Col=7","")</f>
      </c>
      <c r="I192" t="s" s="1">
        <f>HYPERLINK("http://141.218.60.56/~jnz1568/discussion.php?&amp;Z=8&amp;N=6&amp;Sheet=1&amp;Row=191&amp;Col=8","")</f>
      </c>
      <c r="J192" t="s" s="1">
        <f>HYPERLINK("http://141.218.60.56/~jnz1568/discussion.php?&amp;Z=8&amp;N=6&amp;Sheet=1&amp;Row=191&amp;Col=9","2209.9")</f>
      </c>
      <c r="K192" t="s" s="1">
        <f>HYPERLINK("http://141.218.60.56/~jnz1568/discussion.php?&amp;Z=8&amp;N=6&amp;Sheet=1&amp;Row=191&amp;Col=10","")</f>
      </c>
      <c r="L192" t="s" s="1">
        <f>HYPERLINK("http://141.218.60.56/~jnz1568/discussion.php?&amp;Z=8&amp;N=6&amp;Sheet=1&amp;Row=191&amp;Col=11","")</f>
      </c>
      <c r="M192" t="s" s="1">
        <f>HYPERLINK("http://141.218.60.56/~jnz1568/discussion.php?&amp;Z=8&amp;N=6&amp;Sheet=1&amp;Row=191&amp;Col=12","")</f>
      </c>
      <c r="N192" t="s" s="1">
        <f>HYPERLINK("http://141.218.60.56/~jnz1568/discussion.php?&amp;Z=8&amp;N=6&amp;Sheet=1&amp;Row=191&amp;Col=13","1780")</f>
      </c>
      <c r="O192" t="s" s="1">
        <f>HYPERLINK("http://141.218.60.56/~jnz1568/discussion.php?&amp;Z=8&amp;N=6&amp;Sheet=1&amp;Row=191&amp;Col=14","")</f>
      </c>
      <c r="P192" t="s" s="1">
        <f>HYPERLINK("http://141.218.60.56/~jnz1568/discussion.php?&amp;Z=8&amp;N=6&amp;Sheet=1&amp;Row=191&amp;Col=15","")</f>
      </c>
      <c r="Q192" t="s" s="1">
        <f>HYPERLINK("http://141.218.60.56/~jnz1568/discussion.php?&amp;Z=8&amp;N=6&amp;Sheet=1&amp;Row=191&amp;Col=16","")</f>
      </c>
    </row>
    <row r="193">
      <c r="A193" t="s">
        <v>15</v>
      </c>
      <c r="B193" t="s">
        <v>16</v>
      </c>
      <c r="C193" t="s">
        <v>122</v>
      </c>
      <c r="D193" t="s">
        <v>15</v>
      </c>
      <c r="E193" t="s">
        <v>956</v>
      </c>
      <c r="F193" t="s" s="1">
        <f>HYPERLINK("http://141.218.60.56/~jnz1568/discussion.php?&amp;Z=8&amp;N=6&amp;Sheet=1&amp;Row=192&amp;Col=5","256960")</f>
      </c>
      <c r="G193" t="s" s="1">
        <f>HYPERLINK("http://141.218.60.56/~jnz1568/discussion.php?&amp;Z=8&amp;N=6&amp;Sheet=1&amp;Row=192&amp;Col=6","")</f>
      </c>
      <c r="H193" t="s" s="1">
        <f>HYPERLINK("http://141.218.60.56/~jnz1568/discussion.php?&amp;Z=8&amp;N=6&amp;Sheet=1&amp;Row=192&amp;Col=7","")</f>
      </c>
      <c r="I193" t="s" s="1">
        <f>HYPERLINK("http://141.218.60.56/~jnz1568/discussion.php?&amp;Z=8&amp;N=6&amp;Sheet=1&amp;Row=192&amp;Col=8","")</f>
      </c>
      <c r="J193" t="s" s="1">
        <f>HYPERLINK("http://141.218.60.56/~jnz1568/discussion.php?&amp;Z=8&amp;N=6&amp;Sheet=1&amp;Row=192&amp;Col=9","255370")</f>
      </c>
      <c r="K193" t="s" s="1">
        <f>HYPERLINK("http://141.218.60.56/~jnz1568/discussion.php?&amp;Z=8&amp;N=6&amp;Sheet=1&amp;Row=192&amp;Col=10","")</f>
      </c>
      <c r="L193" t="s" s="1">
        <f>HYPERLINK("http://141.218.60.56/~jnz1568/discussion.php?&amp;Z=8&amp;N=6&amp;Sheet=1&amp;Row=192&amp;Col=11","")</f>
      </c>
      <c r="M193" t="s" s="1">
        <f>HYPERLINK("http://141.218.60.56/~jnz1568/discussion.php?&amp;Z=8&amp;N=6&amp;Sheet=1&amp;Row=192&amp;Col=12","")</f>
      </c>
      <c r="N193" t="s" s="1">
        <f>HYPERLINK("http://141.218.60.56/~jnz1568/discussion.php?&amp;Z=8&amp;N=6&amp;Sheet=1&amp;Row=192&amp;Col=13","56610")</f>
      </c>
      <c r="O193" t="s" s="1">
        <f>HYPERLINK("http://141.218.60.56/~jnz1568/discussion.php?&amp;Z=8&amp;N=6&amp;Sheet=1&amp;Row=192&amp;Col=14","")</f>
      </c>
      <c r="P193" t="s" s="1">
        <f>HYPERLINK("http://141.218.60.56/~jnz1568/discussion.php?&amp;Z=8&amp;N=6&amp;Sheet=1&amp;Row=192&amp;Col=15","")</f>
      </c>
      <c r="Q193" t="s" s="1">
        <f>HYPERLINK("http://141.218.60.56/~jnz1568/discussion.php?&amp;Z=8&amp;N=6&amp;Sheet=1&amp;Row=192&amp;Col=16","")</f>
      </c>
    </row>
    <row r="194">
      <c r="A194" t="s">
        <v>15</v>
      </c>
      <c r="B194" t="s">
        <v>16</v>
      </c>
      <c r="C194" t="s">
        <v>122</v>
      </c>
      <c r="D194" t="s">
        <v>50</v>
      </c>
      <c r="E194" t="s">
        <v>960</v>
      </c>
      <c r="F194" t="s" s="1">
        <f>HYPERLINK("http://141.218.60.56/~jnz1568/discussion.php?&amp;Z=8&amp;N=6&amp;Sheet=1&amp;Row=193&amp;Col=5","90464")</f>
      </c>
      <c r="G194" t="s" s="1">
        <f>HYPERLINK("http://141.218.60.56/~jnz1568/discussion.php?&amp;Z=8&amp;N=6&amp;Sheet=1&amp;Row=193&amp;Col=6","")</f>
      </c>
      <c r="H194" t="s" s="1">
        <f>HYPERLINK("http://141.218.60.56/~jnz1568/discussion.php?&amp;Z=8&amp;N=6&amp;Sheet=1&amp;Row=193&amp;Col=7","")</f>
      </c>
      <c r="I194" t="s" s="1">
        <f>HYPERLINK("http://141.218.60.56/~jnz1568/discussion.php?&amp;Z=8&amp;N=6&amp;Sheet=1&amp;Row=193&amp;Col=8","")</f>
      </c>
      <c r="J194" t="s" s="1">
        <f>HYPERLINK("http://141.218.60.56/~jnz1568/discussion.php?&amp;Z=8&amp;N=6&amp;Sheet=1&amp;Row=193&amp;Col=9","90006")</f>
      </c>
      <c r="K194" t="s" s="1">
        <f>HYPERLINK("http://141.218.60.56/~jnz1568/discussion.php?&amp;Z=8&amp;N=6&amp;Sheet=1&amp;Row=193&amp;Col=10","")</f>
      </c>
      <c r="L194" t="s" s="1">
        <f>HYPERLINK("http://141.218.60.56/~jnz1568/discussion.php?&amp;Z=8&amp;N=6&amp;Sheet=1&amp;Row=193&amp;Col=11","")</f>
      </c>
      <c r="M194" t="s" s="1">
        <f>HYPERLINK("http://141.218.60.56/~jnz1568/discussion.php?&amp;Z=8&amp;N=6&amp;Sheet=1&amp;Row=193&amp;Col=12","")</f>
      </c>
      <c r="N194" t="s" s="1">
        <f>HYPERLINK("http://141.218.60.56/~jnz1568/discussion.php?&amp;Z=8&amp;N=6&amp;Sheet=1&amp;Row=193&amp;Col=13","20070")</f>
      </c>
      <c r="O194" t="s" s="1">
        <f>HYPERLINK("http://141.218.60.56/~jnz1568/discussion.php?&amp;Z=8&amp;N=6&amp;Sheet=1&amp;Row=193&amp;Col=14","")</f>
      </c>
      <c r="P194" t="s" s="1">
        <f>HYPERLINK("http://141.218.60.56/~jnz1568/discussion.php?&amp;Z=8&amp;N=6&amp;Sheet=1&amp;Row=193&amp;Col=15","")</f>
      </c>
      <c r="Q194" t="s" s="1">
        <f>HYPERLINK("http://141.218.60.56/~jnz1568/discussion.php?&amp;Z=8&amp;N=6&amp;Sheet=1&amp;Row=193&amp;Col=16","")</f>
      </c>
    </row>
    <row r="195">
      <c r="A195" t="s">
        <v>15</v>
      </c>
      <c r="B195" t="s">
        <v>16</v>
      </c>
      <c r="C195" t="s">
        <v>122</v>
      </c>
      <c r="D195" t="s">
        <v>53</v>
      </c>
      <c r="E195" t="s">
        <v>964</v>
      </c>
      <c r="F195" t="s" s="1">
        <f>HYPERLINK("http://141.218.60.56/~jnz1568/discussion.php?&amp;Z=8&amp;N=6&amp;Sheet=1&amp;Row=194&amp;Col=5","166570000")</f>
      </c>
      <c r="G195" t="s" s="1">
        <f>HYPERLINK("http://141.218.60.56/~jnz1568/discussion.php?&amp;Z=8&amp;N=6&amp;Sheet=1&amp;Row=194&amp;Col=6","")</f>
      </c>
      <c r="H195" t="s" s="1">
        <f>HYPERLINK("http://141.218.60.56/~jnz1568/discussion.php?&amp;Z=8&amp;N=6&amp;Sheet=1&amp;Row=194&amp;Col=7","")</f>
      </c>
      <c r="I195" t="s" s="1">
        <f>HYPERLINK("http://141.218.60.56/~jnz1568/discussion.php?&amp;Z=8&amp;N=6&amp;Sheet=1&amp;Row=194&amp;Col=8","")</f>
      </c>
      <c r="J195" t="s" s="1">
        <f>HYPERLINK("http://141.218.60.56/~jnz1568/discussion.php?&amp;Z=8&amp;N=6&amp;Sheet=1&amp;Row=194&amp;Col=9","167080000")</f>
      </c>
      <c r="K195" t="s" s="1">
        <f>HYPERLINK("http://141.218.60.56/~jnz1568/discussion.php?&amp;Z=8&amp;N=6&amp;Sheet=1&amp;Row=194&amp;Col=10","")</f>
      </c>
      <c r="L195" t="s" s="1">
        <f>HYPERLINK("http://141.218.60.56/~jnz1568/discussion.php?&amp;Z=8&amp;N=6&amp;Sheet=1&amp;Row=194&amp;Col=11","")</f>
      </c>
      <c r="M195" t="s" s="1">
        <f>HYPERLINK("http://141.218.60.56/~jnz1568/discussion.php?&amp;Z=8&amp;N=6&amp;Sheet=1&amp;Row=194&amp;Col=12","")</f>
      </c>
      <c r="N195" t="s" s="1">
        <f>HYPERLINK("http://141.218.60.56/~jnz1568/discussion.php?&amp;Z=8&amp;N=6&amp;Sheet=1&amp;Row=194&amp;Col=13","176300000")</f>
      </c>
      <c r="O195" t="s" s="1">
        <f>HYPERLINK("http://141.218.60.56/~jnz1568/discussion.php?&amp;Z=8&amp;N=6&amp;Sheet=1&amp;Row=194&amp;Col=14","")</f>
      </c>
      <c r="P195" t="s" s="1">
        <f>HYPERLINK("http://141.218.60.56/~jnz1568/discussion.php?&amp;Z=8&amp;N=6&amp;Sheet=1&amp;Row=194&amp;Col=15","")</f>
      </c>
      <c r="Q195" t="s" s="1">
        <f>HYPERLINK("http://141.218.60.56/~jnz1568/discussion.php?&amp;Z=8&amp;N=6&amp;Sheet=1&amp;Row=194&amp;Col=16","")</f>
      </c>
    </row>
    <row r="196">
      <c r="A196" t="s">
        <v>15</v>
      </c>
      <c r="B196" t="s">
        <v>16</v>
      </c>
      <c r="C196" t="s">
        <v>122</v>
      </c>
      <c r="D196" t="s">
        <v>58</v>
      </c>
      <c r="E196" t="s">
        <v>968</v>
      </c>
      <c r="F196" t="s" s="1">
        <f>HYPERLINK("http://141.218.60.56/~jnz1568/discussion.php?&amp;Z=8&amp;N=6&amp;Sheet=1&amp;Row=195&amp;Col=5","96668000")</f>
      </c>
      <c r="G196" t="s" s="1">
        <f>HYPERLINK("http://141.218.60.56/~jnz1568/discussion.php?&amp;Z=8&amp;N=6&amp;Sheet=1&amp;Row=195&amp;Col=6","")</f>
      </c>
      <c r="H196" t="s" s="1">
        <f>HYPERLINK("http://141.218.60.56/~jnz1568/discussion.php?&amp;Z=8&amp;N=6&amp;Sheet=1&amp;Row=195&amp;Col=7","")</f>
      </c>
      <c r="I196" t="s" s="1">
        <f>HYPERLINK("http://141.218.60.56/~jnz1568/discussion.php?&amp;Z=8&amp;N=6&amp;Sheet=1&amp;Row=195&amp;Col=8","")</f>
      </c>
      <c r="J196" t="s" s="1">
        <f>HYPERLINK("http://141.218.60.56/~jnz1568/discussion.php?&amp;Z=8&amp;N=6&amp;Sheet=1&amp;Row=195&amp;Col=9","96950000")</f>
      </c>
      <c r="K196" t="s" s="1">
        <f>HYPERLINK("http://141.218.60.56/~jnz1568/discussion.php?&amp;Z=8&amp;N=6&amp;Sheet=1&amp;Row=195&amp;Col=10","")</f>
      </c>
      <c r="L196" t="s" s="1">
        <f>HYPERLINK("http://141.218.60.56/~jnz1568/discussion.php?&amp;Z=8&amp;N=6&amp;Sheet=1&amp;Row=195&amp;Col=11","")</f>
      </c>
      <c r="M196" t="s" s="1">
        <f>HYPERLINK("http://141.218.60.56/~jnz1568/discussion.php?&amp;Z=8&amp;N=6&amp;Sheet=1&amp;Row=195&amp;Col=12","")</f>
      </c>
      <c r="N196" t="s" s="1">
        <f>HYPERLINK("http://141.218.60.56/~jnz1568/discussion.php?&amp;Z=8&amp;N=6&amp;Sheet=1&amp;Row=195&amp;Col=13","102400000")</f>
      </c>
      <c r="O196" t="s" s="1">
        <f>HYPERLINK("http://141.218.60.56/~jnz1568/discussion.php?&amp;Z=8&amp;N=6&amp;Sheet=1&amp;Row=195&amp;Col=14","")</f>
      </c>
      <c r="P196" t="s" s="1">
        <f>HYPERLINK("http://141.218.60.56/~jnz1568/discussion.php?&amp;Z=8&amp;N=6&amp;Sheet=1&amp;Row=195&amp;Col=15","")</f>
      </c>
      <c r="Q196" t="s" s="1">
        <f>HYPERLINK("http://141.218.60.56/~jnz1568/discussion.php?&amp;Z=8&amp;N=6&amp;Sheet=1&amp;Row=195&amp;Col=16","")</f>
      </c>
    </row>
    <row r="197">
      <c r="A197" t="s">
        <v>15</v>
      </c>
      <c r="B197" t="s">
        <v>16</v>
      </c>
      <c r="C197" t="s">
        <v>122</v>
      </c>
      <c r="D197" t="s">
        <v>61</v>
      </c>
      <c r="E197" t="s">
        <v>972</v>
      </c>
      <c r="F197" t="s" s="1">
        <f>HYPERLINK("http://141.218.60.56/~jnz1568/discussion.php?&amp;Z=8&amp;N=6&amp;Sheet=1&amp;Row=196&amp;Col=5","31506000")</f>
      </c>
      <c r="G197" t="s" s="1">
        <f>HYPERLINK("http://141.218.60.56/~jnz1568/discussion.php?&amp;Z=8&amp;N=6&amp;Sheet=1&amp;Row=196&amp;Col=6","")</f>
      </c>
      <c r="H197" t="s" s="1">
        <f>HYPERLINK("http://141.218.60.56/~jnz1568/discussion.php?&amp;Z=8&amp;N=6&amp;Sheet=1&amp;Row=196&amp;Col=7","")</f>
      </c>
      <c r="I197" t="s" s="1">
        <f>HYPERLINK("http://141.218.60.56/~jnz1568/discussion.php?&amp;Z=8&amp;N=6&amp;Sheet=1&amp;Row=196&amp;Col=8","")</f>
      </c>
      <c r="J197" t="s" s="1">
        <f>HYPERLINK("http://141.218.60.56/~jnz1568/discussion.php?&amp;Z=8&amp;N=6&amp;Sheet=1&amp;Row=196&amp;Col=9","31593000")</f>
      </c>
      <c r="K197" t="s" s="1">
        <f>HYPERLINK("http://141.218.60.56/~jnz1568/discussion.php?&amp;Z=8&amp;N=6&amp;Sheet=1&amp;Row=196&amp;Col=10","")</f>
      </c>
      <c r="L197" t="s" s="1">
        <f>HYPERLINK("http://141.218.60.56/~jnz1568/discussion.php?&amp;Z=8&amp;N=6&amp;Sheet=1&amp;Row=196&amp;Col=11","")</f>
      </c>
      <c r="M197" t="s" s="1">
        <f>HYPERLINK("http://141.218.60.56/~jnz1568/discussion.php?&amp;Z=8&amp;N=6&amp;Sheet=1&amp;Row=196&amp;Col=12","")</f>
      </c>
      <c r="N197" t="s" s="1">
        <f>HYPERLINK("http://141.218.60.56/~jnz1568/discussion.php?&amp;Z=8&amp;N=6&amp;Sheet=1&amp;Row=196&amp;Col=13","33450000")</f>
      </c>
      <c r="O197" t="s" s="1">
        <f>HYPERLINK("http://141.218.60.56/~jnz1568/discussion.php?&amp;Z=8&amp;N=6&amp;Sheet=1&amp;Row=196&amp;Col=14","")</f>
      </c>
      <c r="P197" t="s" s="1">
        <f>HYPERLINK("http://141.218.60.56/~jnz1568/discussion.php?&amp;Z=8&amp;N=6&amp;Sheet=1&amp;Row=196&amp;Col=15","")</f>
      </c>
      <c r="Q197" t="s" s="1">
        <f>HYPERLINK("http://141.218.60.56/~jnz1568/discussion.php?&amp;Z=8&amp;N=6&amp;Sheet=1&amp;Row=196&amp;Col=16","")</f>
      </c>
    </row>
    <row r="198">
      <c r="A198" t="s">
        <v>15</v>
      </c>
      <c r="B198" t="s">
        <v>16</v>
      </c>
      <c r="C198" t="s">
        <v>122</v>
      </c>
      <c r="D198" t="s">
        <v>64</v>
      </c>
      <c r="E198" t="s">
        <v>976</v>
      </c>
      <c r="F198" t="s" s="1">
        <f>HYPERLINK("http://141.218.60.56/~jnz1568/discussion.php?&amp;Z=8&amp;N=6&amp;Sheet=1&amp;Row=197&amp;Col=5","31300")</f>
      </c>
      <c r="G198" t="s" s="1">
        <f>HYPERLINK("http://141.218.60.56/~jnz1568/discussion.php?&amp;Z=8&amp;N=6&amp;Sheet=1&amp;Row=197&amp;Col=6","")</f>
      </c>
      <c r="H198" t="s" s="1">
        <f>HYPERLINK("http://141.218.60.56/~jnz1568/discussion.php?&amp;Z=8&amp;N=6&amp;Sheet=1&amp;Row=197&amp;Col=7","")</f>
      </c>
      <c r="I198" t="s" s="1">
        <f>HYPERLINK("http://141.218.60.56/~jnz1568/discussion.php?&amp;Z=8&amp;N=6&amp;Sheet=1&amp;Row=197&amp;Col=8","")</f>
      </c>
      <c r="J198" t="s" s="1">
        <f>HYPERLINK("http://141.218.60.56/~jnz1568/discussion.php?&amp;Z=8&amp;N=6&amp;Sheet=1&amp;Row=197&amp;Col=9","31702")</f>
      </c>
      <c r="K198" t="s" s="1">
        <f>HYPERLINK("http://141.218.60.56/~jnz1568/discussion.php?&amp;Z=8&amp;N=6&amp;Sheet=1&amp;Row=197&amp;Col=10","")</f>
      </c>
      <c r="L198" t="s" s="1">
        <f>HYPERLINK("http://141.218.60.56/~jnz1568/discussion.php?&amp;Z=8&amp;N=6&amp;Sheet=1&amp;Row=197&amp;Col=11","")</f>
      </c>
      <c r="M198" t="s" s="1">
        <f>HYPERLINK("http://141.218.60.56/~jnz1568/discussion.php?&amp;Z=8&amp;N=6&amp;Sheet=1&amp;Row=197&amp;Col=12","")</f>
      </c>
      <c r="N198" t="s" s="1">
        <f>HYPERLINK("http://141.218.60.56/~jnz1568/discussion.php?&amp;Z=8&amp;N=6&amp;Sheet=1&amp;Row=197&amp;Col=13","27530")</f>
      </c>
      <c r="O198" t="s" s="1">
        <f>HYPERLINK("http://141.218.60.56/~jnz1568/discussion.php?&amp;Z=8&amp;N=6&amp;Sheet=1&amp;Row=197&amp;Col=14","")</f>
      </c>
      <c r="P198" t="s" s="1">
        <f>HYPERLINK("http://141.218.60.56/~jnz1568/discussion.php?&amp;Z=8&amp;N=6&amp;Sheet=1&amp;Row=197&amp;Col=15","")</f>
      </c>
      <c r="Q198" t="s" s="1">
        <f>HYPERLINK("http://141.218.60.56/~jnz1568/discussion.php?&amp;Z=8&amp;N=6&amp;Sheet=1&amp;Row=197&amp;Col=16","")</f>
      </c>
    </row>
    <row r="199">
      <c r="A199" t="s">
        <v>15</v>
      </c>
      <c r="B199" t="s">
        <v>16</v>
      </c>
      <c r="C199" t="s">
        <v>122</v>
      </c>
      <c r="D199" t="s">
        <v>69</v>
      </c>
      <c r="E199" t="s">
        <v>980</v>
      </c>
      <c r="F199" t="s" s="1">
        <f>HYPERLINK("http://141.218.60.56/~jnz1568/discussion.php?&amp;Z=8&amp;N=6&amp;Sheet=1&amp;Row=198&amp;Col=5","2249.2")</f>
      </c>
      <c r="G199" t="s" s="1">
        <f>HYPERLINK("http://141.218.60.56/~jnz1568/discussion.php?&amp;Z=8&amp;N=6&amp;Sheet=1&amp;Row=198&amp;Col=6","")</f>
      </c>
      <c r="H199" t="s" s="1">
        <f>HYPERLINK("http://141.218.60.56/~jnz1568/discussion.php?&amp;Z=8&amp;N=6&amp;Sheet=1&amp;Row=198&amp;Col=7","")</f>
      </c>
      <c r="I199" t="s" s="1">
        <f>HYPERLINK("http://141.218.60.56/~jnz1568/discussion.php?&amp;Z=8&amp;N=6&amp;Sheet=1&amp;Row=198&amp;Col=8","")</f>
      </c>
      <c r="J199" t="s" s="1">
        <f>HYPERLINK("http://141.218.60.56/~jnz1568/discussion.php?&amp;Z=8&amp;N=6&amp;Sheet=1&amp;Row=198&amp;Col=9","2336.5")</f>
      </c>
      <c r="K199" t="s" s="1">
        <f>HYPERLINK("http://141.218.60.56/~jnz1568/discussion.php?&amp;Z=8&amp;N=6&amp;Sheet=1&amp;Row=198&amp;Col=10","")</f>
      </c>
      <c r="L199" t="s" s="1">
        <f>HYPERLINK("http://141.218.60.56/~jnz1568/discussion.php?&amp;Z=8&amp;N=6&amp;Sheet=1&amp;Row=198&amp;Col=11","")</f>
      </c>
      <c r="M199" t="s" s="1">
        <f>HYPERLINK("http://141.218.60.56/~jnz1568/discussion.php?&amp;Z=8&amp;N=6&amp;Sheet=1&amp;Row=198&amp;Col=12","")</f>
      </c>
      <c r="N199" t="s" s="1">
        <f>HYPERLINK("http://141.218.60.56/~jnz1568/discussion.php?&amp;Z=8&amp;N=6&amp;Sheet=1&amp;Row=198&amp;Col=13","4502")</f>
      </c>
      <c r="O199" t="s" s="1">
        <f>HYPERLINK("http://141.218.60.56/~jnz1568/discussion.php?&amp;Z=8&amp;N=6&amp;Sheet=1&amp;Row=198&amp;Col=14","")</f>
      </c>
      <c r="P199" t="s" s="1">
        <f>HYPERLINK("http://141.218.60.56/~jnz1568/discussion.php?&amp;Z=8&amp;N=6&amp;Sheet=1&amp;Row=198&amp;Col=15","")</f>
      </c>
      <c r="Q199" t="s" s="1">
        <f>HYPERLINK("http://141.218.60.56/~jnz1568/discussion.php?&amp;Z=8&amp;N=6&amp;Sheet=1&amp;Row=198&amp;Col=16","")</f>
      </c>
    </row>
    <row r="200">
      <c r="A200" t="s">
        <v>15</v>
      </c>
      <c r="B200" t="s">
        <v>16</v>
      </c>
      <c r="C200" t="s">
        <v>122</v>
      </c>
      <c r="D200" t="s">
        <v>74</v>
      </c>
      <c r="E200" t="s">
        <v>984</v>
      </c>
      <c r="F200" t="s" s="1">
        <f>HYPERLINK("http://141.218.60.56/~jnz1568/discussion.php?&amp;Z=8&amp;N=6&amp;Sheet=1&amp;Row=199&amp;Col=5","9757.8")</f>
      </c>
      <c r="G200" t="s" s="1">
        <f>HYPERLINK("http://141.218.60.56/~jnz1568/discussion.php?&amp;Z=8&amp;N=6&amp;Sheet=1&amp;Row=199&amp;Col=6","")</f>
      </c>
      <c r="H200" t="s" s="1">
        <f>HYPERLINK("http://141.218.60.56/~jnz1568/discussion.php?&amp;Z=8&amp;N=6&amp;Sheet=1&amp;Row=199&amp;Col=7","")</f>
      </c>
      <c r="I200" t="s" s="1">
        <f>HYPERLINK("http://141.218.60.56/~jnz1568/discussion.php?&amp;Z=8&amp;N=6&amp;Sheet=1&amp;Row=199&amp;Col=8","")</f>
      </c>
      <c r="J200" t="s" s="1">
        <f>HYPERLINK("http://141.218.60.56/~jnz1568/discussion.php?&amp;Z=8&amp;N=6&amp;Sheet=1&amp;Row=199&amp;Col=9","9884")</f>
      </c>
      <c r="K200" t="s" s="1">
        <f>HYPERLINK("http://141.218.60.56/~jnz1568/discussion.php?&amp;Z=8&amp;N=6&amp;Sheet=1&amp;Row=199&amp;Col=10","")</f>
      </c>
      <c r="L200" t="s" s="1">
        <f>HYPERLINK("http://141.218.60.56/~jnz1568/discussion.php?&amp;Z=8&amp;N=6&amp;Sheet=1&amp;Row=199&amp;Col=11","")</f>
      </c>
      <c r="M200" t="s" s="1">
        <f>HYPERLINK("http://141.218.60.56/~jnz1568/discussion.php?&amp;Z=8&amp;N=6&amp;Sheet=1&amp;Row=199&amp;Col=12","")</f>
      </c>
      <c r="N200" t="s" s="1">
        <f>HYPERLINK("http://141.218.60.56/~jnz1568/discussion.php?&amp;Z=8&amp;N=6&amp;Sheet=1&amp;Row=199&amp;Col=13","6181")</f>
      </c>
      <c r="O200" t="s" s="1">
        <f>HYPERLINK("http://141.218.60.56/~jnz1568/discussion.php?&amp;Z=8&amp;N=6&amp;Sheet=1&amp;Row=199&amp;Col=14","")</f>
      </c>
      <c r="P200" t="s" s="1">
        <f>HYPERLINK("http://141.218.60.56/~jnz1568/discussion.php?&amp;Z=8&amp;N=6&amp;Sheet=1&amp;Row=199&amp;Col=15","")</f>
      </c>
      <c r="Q200" t="s" s="1">
        <f>HYPERLINK("http://141.218.60.56/~jnz1568/discussion.php?&amp;Z=8&amp;N=6&amp;Sheet=1&amp;Row=199&amp;Col=16","")</f>
      </c>
    </row>
    <row r="201">
      <c r="A201" t="s">
        <v>15</v>
      </c>
      <c r="B201" t="s">
        <v>16</v>
      </c>
      <c r="C201" t="s">
        <v>122</v>
      </c>
      <c r="D201" t="s">
        <v>79</v>
      </c>
      <c r="E201" t="s">
        <v>988</v>
      </c>
      <c r="F201" t="s" s="1">
        <f>HYPERLINK("http://141.218.60.56/~jnz1568/discussion.php?&amp;Z=8&amp;N=6&amp;Sheet=1&amp;Row=200&amp;Col=5","16760000")</f>
      </c>
      <c r="G201" t="s" s="1">
        <f>HYPERLINK("http://141.218.60.56/~jnz1568/discussion.php?&amp;Z=8&amp;N=6&amp;Sheet=1&amp;Row=200&amp;Col=6","")</f>
      </c>
      <c r="H201" t="s" s="1">
        <f>HYPERLINK("http://141.218.60.56/~jnz1568/discussion.php?&amp;Z=8&amp;N=6&amp;Sheet=1&amp;Row=200&amp;Col=7","")</f>
      </c>
      <c r="I201" t="s" s="1">
        <f>HYPERLINK("http://141.218.60.56/~jnz1568/discussion.php?&amp;Z=8&amp;N=6&amp;Sheet=1&amp;Row=200&amp;Col=8","")</f>
      </c>
      <c r="J201" t="s" s="1">
        <f>HYPERLINK("http://141.218.60.56/~jnz1568/discussion.php?&amp;Z=8&amp;N=6&amp;Sheet=1&amp;Row=200&amp;Col=9","16907000")</f>
      </c>
      <c r="K201" t="s" s="1">
        <f>HYPERLINK("http://141.218.60.56/~jnz1568/discussion.php?&amp;Z=8&amp;N=6&amp;Sheet=1&amp;Row=200&amp;Col=10","")</f>
      </c>
      <c r="L201" t="s" s="1">
        <f>HYPERLINK("http://141.218.60.56/~jnz1568/discussion.php?&amp;Z=8&amp;N=6&amp;Sheet=1&amp;Row=200&amp;Col=11","")</f>
      </c>
      <c r="M201" t="s" s="1">
        <f>HYPERLINK("http://141.218.60.56/~jnz1568/discussion.php?&amp;Z=8&amp;N=6&amp;Sheet=1&amp;Row=200&amp;Col=12","")</f>
      </c>
      <c r="N201" t="s" s="1">
        <f>HYPERLINK("http://141.218.60.56/~jnz1568/discussion.php?&amp;Z=8&amp;N=6&amp;Sheet=1&amp;Row=200&amp;Col=13","10540000")</f>
      </c>
      <c r="O201" t="s" s="1">
        <f>HYPERLINK("http://141.218.60.56/~jnz1568/discussion.php?&amp;Z=8&amp;N=6&amp;Sheet=1&amp;Row=200&amp;Col=14","")</f>
      </c>
      <c r="P201" t="s" s="1">
        <f>HYPERLINK("http://141.218.60.56/~jnz1568/discussion.php?&amp;Z=8&amp;N=6&amp;Sheet=1&amp;Row=200&amp;Col=15","")</f>
      </c>
      <c r="Q201" t="s" s="1">
        <f>HYPERLINK("http://141.218.60.56/~jnz1568/discussion.php?&amp;Z=8&amp;N=6&amp;Sheet=1&amp;Row=200&amp;Col=16","")</f>
      </c>
    </row>
    <row r="202">
      <c r="A202" t="s">
        <v>15</v>
      </c>
      <c r="B202" t="s">
        <v>16</v>
      </c>
      <c r="C202" t="s">
        <v>122</v>
      </c>
      <c r="D202" t="s">
        <v>84</v>
      </c>
      <c r="E202" t="s">
        <v>992</v>
      </c>
      <c r="F202" t="s" s="1">
        <f>HYPERLINK("http://141.218.60.56/~jnz1568/discussion.php?&amp;Z=8&amp;N=6&amp;Sheet=1&amp;Row=201&amp;Col=5","46183000")</f>
      </c>
      <c r="G202" t="s" s="1">
        <f>HYPERLINK("http://141.218.60.56/~jnz1568/discussion.php?&amp;Z=8&amp;N=6&amp;Sheet=1&amp;Row=201&amp;Col=6","")</f>
      </c>
      <c r="H202" t="s" s="1">
        <f>HYPERLINK("http://141.218.60.56/~jnz1568/discussion.php?&amp;Z=8&amp;N=6&amp;Sheet=1&amp;Row=201&amp;Col=7","")</f>
      </c>
      <c r="I202" t="s" s="1">
        <f>HYPERLINK("http://141.218.60.56/~jnz1568/discussion.php?&amp;Z=8&amp;N=6&amp;Sheet=1&amp;Row=201&amp;Col=8","")</f>
      </c>
      <c r="J202" t="s" s="1">
        <f>HYPERLINK("http://141.218.60.56/~jnz1568/discussion.php?&amp;Z=8&amp;N=6&amp;Sheet=1&amp;Row=201&amp;Col=9","46594000")</f>
      </c>
      <c r="K202" t="s" s="1">
        <f>HYPERLINK("http://141.218.60.56/~jnz1568/discussion.php?&amp;Z=8&amp;N=6&amp;Sheet=1&amp;Row=201&amp;Col=10","")</f>
      </c>
      <c r="L202" t="s" s="1">
        <f>HYPERLINK("http://141.218.60.56/~jnz1568/discussion.php?&amp;Z=8&amp;N=6&amp;Sheet=1&amp;Row=201&amp;Col=11","")</f>
      </c>
      <c r="M202" t="s" s="1">
        <f>HYPERLINK("http://141.218.60.56/~jnz1568/discussion.php?&amp;Z=8&amp;N=6&amp;Sheet=1&amp;Row=201&amp;Col=12","")</f>
      </c>
      <c r="N202" t="s" s="1">
        <f>HYPERLINK("http://141.218.60.56/~jnz1568/discussion.php?&amp;Z=8&amp;N=6&amp;Sheet=1&amp;Row=201&amp;Col=13","29860000")</f>
      </c>
      <c r="O202" t="s" s="1">
        <f>HYPERLINK("http://141.218.60.56/~jnz1568/discussion.php?&amp;Z=8&amp;N=6&amp;Sheet=1&amp;Row=201&amp;Col=14","")</f>
      </c>
      <c r="P202" t="s" s="1">
        <f>HYPERLINK("http://141.218.60.56/~jnz1568/discussion.php?&amp;Z=8&amp;N=6&amp;Sheet=1&amp;Row=201&amp;Col=15","")</f>
      </c>
      <c r="Q202" t="s" s="1">
        <f>HYPERLINK("http://141.218.60.56/~jnz1568/discussion.php?&amp;Z=8&amp;N=6&amp;Sheet=1&amp;Row=201&amp;Col=16","")</f>
      </c>
    </row>
    <row r="203">
      <c r="A203" t="s">
        <v>15</v>
      </c>
      <c r="B203" t="s">
        <v>16</v>
      </c>
      <c r="C203" t="s">
        <v>122</v>
      </c>
      <c r="D203" t="s">
        <v>87</v>
      </c>
      <c r="E203" t="s">
        <v>996</v>
      </c>
      <c r="F203" t="s" s="1">
        <f>HYPERLINK("http://141.218.60.56/~jnz1568/discussion.php?&amp;Z=8&amp;N=6&amp;Sheet=1&amp;Row=202&amp;Col=5","63264000")</f>
      </c>
      <c r="G203" t="s" s="1">
        <f>HYPERLINK("http://141.218.60.56/~jnz1568/discussion.php?&amp;Z=8&amp;N=6&amp;Sheet=1&amp;Row=202&amp;Col=6","")</f>
      </c>
      <c r="H203" t="s" s="1">
        <f>HYPERLINK("http://141.218.60.56/~jnz1568/discussion.php?&amp;Z=8&amp;N=6&amp;Sheet=1&amp;Row=202&amp;Col=7","")</f>
      </c>
      <c r="I203" t="s" s="1">
        <f>HYPERLINK("http://141.218.60.56/~jnz1568/discussion.php?&amp;Z=8&amp;N=6&amp;Sheet=1&amp;Row=202&amp;Col=8","")</f>
      </c>
      <c r="J203" t="s" s="1">
        <f>HYPERLINK("http://141.218.60.56/~jnz1568/discussion.php?&amp;Z=8&amp;N=6&amp;Sheet=1&amp;Row=202&amp;Col=9","63822000")</f>
      </c>
      <c r="K203" t="s" s="1">
        <f>HYPERLINK("http://141.218.60.56/~jnz1568/discussion.php?&amp;Z=8&amp;N=6&amp;Sheet=1&amp;Row=202&amp;Col=10","")</f>
      </c>
      <c r="L203" t="s" s="1">
        <f>HYPERLINK("http://141.218.60.56/~jnz1568/discussion.php?&amp;Z=8&amp;N=6&amp;Sheet=1&amp;Row=202&amp;Col=11","")</f>
      </c>
      <c r="M203" t="s" s="1">
        <f>HYPERLINK("http://141.218.60.56/~jnz1568/discussion.php?&amp;Z=8&amp;N=6&amp;Sheet=1&amp;Row=202&amp;Col=12","")</f>
      </c>
      <c r="N203" t="s" s="1">
        <f>HYPERLINK("http://141.218.60.56/~jnz1568/discussion.php?&amp;Z=8&amp;N=6&amp;Sheet=1&amp;Row=202&amp;Col=13","43730000")</f>
      </c>
      <c r="O203" t="s" s="1">
        <f>HYPERLINK("http://141.218.60.56/~jnz1568/discussion.php?&amp;Z=8&amp;N=6&amp;Sheet=1&amp;Row=202&amp;Col=14","")</f>
      </c>
      <c r="P203" t="s" s="1">
        <f>HYPERLINK("http://141.218.60.56/~jnz1568/discussion.php?&amp;Z=8&amp;N=6&amp;Sheet=1&amp;Row=202&amp;Col=15","")</f>
      </c>
      <c r="Q203" t="s" s="1">
        <f>HYPERLINK("http://141.218.60.56/~jnz1568/discussion.php?&amp;Z=8&amp;N=6&amp;Sheet=1&amp;Row=202&amp;Col=16","")</f>
      </c>
    </row>
    <row r="204">
      <c r="A204" t="s">
        <v>15</v>
      </c>
      <c r="B204" t="s">
        <v>16</v>
      </c>
      <c r="C204" t="s">
        <v>122</v>
      </c>
      <c r="D204" t="s">
        <v>90</v>
      </c>
      <c r="E204" t="s">
        <v>1000</v>
      </c>
      <c r="F204" t="s" s="1">
        <f>HYPERLINK("http://141.218.60.56/~jnz1568/discussion.php?&amp;Z=8&amp;N=6&amp;Sheet=1&amp;Row=203&amp;Col=5","100830")</f>
      </c>
      <c r="G204" t="s" s="1">
        <f>HYPERLINK("http://141.218.60.56/~jnz1568/discussion.php?&amp;Z=8&amp;N=6&amp;Sheet=1&amp;Row=203&amp;Col=6","")</f>
      </c>
      <c r="H204" t="s" s="1">
        <f>HYPERLINK("http://141.218.60.56/~jnz1568/discussion.php?&amp;Z=8&amp;N=6&amp;Sheet=1&amp;Row=203&amp;Col=7","")</f>
      </c>
      <c r="I204" t="s" s="1">
        <f>HYPERLINK("http://141.218.60.56/~jnz1568/discussion.php?&amp;Z=8&amp;N=6&amp;Sheet=1&amp;Row=203&amp;Col=8","")</f>
      </c>
      <c r="J204" t="s" s="1">
        <f>HYPERLINK("http://141.218.60.56/~jnz1568/discussion.php?&amp;Z=8&amp;N=6&amp;Sheet=1&amp;Row=203&amp;Col=9","100970")</f>
      </c>
      <c r="K204" t="s" s="1">
        <f>HYPERLINK("http://141.218.60.56/~jnz1568/discussion.php?&amp;Z=8&amp;N=6&amp;Sheet=1&amp;Row=203&amp;Col=10","")</f>
      </c>
      <c r="L204" t="s" s="1">
        <f>HYPERLINK("http://141.218.60.56/~jnz1568/discussion.php?&amp;Z=8&amp;N=6&amp;Sheet=1&amp;Row=203&amp;Col=11","")</f>
      </c>
      <c r="M204" t="s" s="1">
        <f>HYPERLINK("http://141.218.60.56/~jnz1568/discussion.php?&amp;Z=8&amp;N=6&amp;Sheet=1&amp;Row=203&amp;Col=12","")</f>
      </c>
      <c r="N204" t="s" s="1">
        <f>HYPERLINK("http://141.218.60.56/~jnz1568/discussion.php?&amp;Z=8&amp;N=6&amp;Sheet=1&amp;Row=203&amp;Col=13","23300")</f>
      </c>
      <c r="O204" t="s" s="1">
        <f>HYPERLINK("http://141.218.60.56/~jnz1568/discussion.php?&amp;Z=8&amp;N=6&amp;Sheet=1&amp;Row=203&amp;Col=14","")</f>
      </c>
      <c r="P204" t="s" s="1">
        <f>HYPERLINK("http://141.218.60.56/~jnz1568/discussion.php?&amp;Z=8&amp;N=6&amp;Sheet=1&amp;Row=203&amp;Col=15","")</f>
      </c>
      <c r="Q204" t="s" s="1">
        <f>HYPERLINK("http://141.218.60.56/~jnz1568/discussion.php?&amp;Z=8&amp;N=6&amp;Sheet=1&amp;Row=203&amp;Col=16","")</f>
      </c>
    </row>
    <row r="205">
      <c r="A205" t="s">
        <v>15</v>
      </c>
      <c r="B205" t="s">
        <v>16</v>
      </c>
      <c r="C205" t="s">
        <v>127</v>
      </c>
      <c r="D205" t="s">
        <v>16</v>
      </c>
      <c r="E205" t="s">
        <v>1004</v>
      </c>
      <c r="F205" t="s" s="1">
        <f>HYPERLINK("http://141.218.60.56/~jnz1568/discussion.php?&amp;Z=8&amp;N=6&amp;Sheet=1&amp;Row=204&amp;Col=5","0.75358")</f>
      </c>
      <c r="G205" t="s" s="1">
        <f>HYPERLINK("http://141.218.60.56/~jnz1568/discussion.php?&amp;Z=8&amp;N=6&amp;Sheet=1&amp;Row=204&amp;Col=6","")</f>
      </c>
      <c r="H205" t="s" s="1">
        <f>HYPERLINK("http://141.218.60.56/~jnz1568/discussion.php?&amp;Z=8&amp;N=6&amp;Sheet=1&amp;Row=204&amp;Col=7","")</f>
      </c>
      <c r="I205" t="s" s="1">
        <f>HYPERLINK("http://141.218.60.56/~jnz1568/discussion.php?&amp;Z=8&amp;N=6&amp;Sheet=1&amp;Row=204&amp;Col=8","")</f>
      </c>
      <c r="J205" t="s" s="1">
        <f>HYPERLINK("http://141.218.60.56/~jnz1568/discussion.php?&amp;Z=8&amp;N=6&amp;Sheet=1&amp;Row=204&amp;Col=9","0.65972")</f>
      </c>
      <c r="K205" t="s" s="1">
        <f>HYPERLINK("http://141.218.60.56/~jnz1568/discussion.php?&amp;Z=8&amp;N=6&amp;Sheet=1&amp;Row=204&amp;Col=10","")</f>
      </c>
      <c r="L205" t="s" s="1">
        <f>HYPERLINK("http://141.218.60.56/~jnz1568/discussion.php?&amp;Z=8&amp;N=6&amp;Sheet=1&amp;Row=204&amp;Col=11","")</f>
      </c>
      <c r="M205" t="s" s="1">
        <f>HYPERLINK("http://141.218.60.56/~jnz1568/discussion.php?&amp;Z=8&amp;N=6&amp;Sheet=1&amp;Row=204&amp;Col=12","")</f>
      </c>
      <c r="N205" t="s" s="1">
        <f>HYPERLINK("http://141.218.60.56/~jnz1568/discussion.php?&amp;Z=8&amp;N=6&amp;Sheet=1&amp;Row=204&amp;Col=13","0.4794")</f>
      </c>
      <c r="O205" t="s" s="1">
        <f>HYPERLINK("http://141.218.60.56/~jnz1568/discussion.php?&amp;Z=8&amp;N=6&amp;Sheet=1&amp;Row=204&amp;Col=14","")</f>
      </c>
      <c r="P205" t="s" s="1">
        <f>HYPERLINK("http://141.218.60.56/~jnz1568/discussion.php?&amp;Z=8&amp;N=6&amp;Sheet=1&amp;Row=204&amp;Col=15","")</f>
      </c>
      <c r="Q205" t="s" s="1">
        <f>HYPERLINK("http://141.218.60.56/~jnz1568/discussion.php?&amp;Z=8&amp;N=6&amp;Sheet=1&amp;Row=204&amp;Col=16","")</f>
      </c>
    </row>
    <row r="206">
      <c r="A206" t="s">
        <v>15</v>
      </c>
      <c r="B206" t="s">
        <v>16</v>
      </c>
      <c r="C206" t="s">
        <v>127</v>
      </c>
      <c r="D206" t="s">
        <v>43</v>
      </c>
      <c r="E206" t="s">
        <v>1008</v>
      </c>
      <c r="F206" t="s" s="1">
        <f>HYPERLINK("http://141.218.60.56/~jnz1568/discussion.php?&amp;Z=8&amp;N=6&amp;Sheet=1&amp;Row=205&amp;Col=5","539800")</f>
      </c>
      <c r="G206" t="s" s="1">
        <f>HYPERLINK("http://141.218.60.56/~jnz1568/discussion.php?&amp;Z=8&amp;N=6&amp;Sheet=1&amp;Row=205&amp;Col=6","")</f>
      </c>
      <c r="H206" t="s" s="1">
        <f>HYPERLINK("http://141.218.60.56/~jnz1568/discussion.php?&amp;Z=8&amp;N=6&amp;Sheet=1&amp;Row=205&amp;Col=7","")</f>
      </c>
      <c r="I206" t="s" s="1">
        <f>HYPERLINK("http://141.218.60.56/~jnz1568/discussion.php?&amp;Z=8&amp;N=6&amp;Sheet=1&amp;Row=205&amp;Col=8","")</f>
      </c>
      <c r="J206" t="s" s="1">
        <f>HYPERLINK("http://141.218.60.56/~jnz1568/discussion.php?&amp;Z=8&amp;N=6&amp;Sheet=1&amp;Row=205&amp;Col=9","605050")</f>
      </c>
      <c r="K206" t="s" s="1">
        <f>HYPERLINK("http://141.218.60.56/~jnz1568/discussion.php?&amp;Z=8&amp;N=6&amp;Sheet=1&amp;Row=205&amp;Col=10","")</f>
      </c>
      <c r="L206" t="s" s="1">
        <f>HYPERLINK("http://141.218.60.56/~jnz1568/discussion.php?&amp;Z=8&amp;N=6&amp;Sheet=1&amp;Row=205&amp;Col=11","")</f>
      </c>
      <c r="M206" t="s" s="1">
        <f>HYPERLINK("http://141.218.60.56/~jnz1568/discussion.php?&amp;Z=8&amp;N=6&amp;Sheet=1&amp;Row=205&amp;Col=12","")</f>
      </c>
      <c r="N206" t="s" s="1">
        <f>HYPERLINK("http://141.218.60.56/~jnz1568/discussion.php?&amp;Z=8&amp;N=6&amp;Sheet=1&amp;Row=205&amp;Col=13","371000")</f>
      </c>
      <c r="O206" t="s" s="1">
        <f>HYPERLINK("http://141.218.60.56/~jnz1568/discussion.php?&amp;Z=8&amp;N=6&amp;Sheet=1&amp;Row=205&amp;Col=14","")</f>
      </c>
      <c r="P206" t="s" s="1">
        <f>HYPERLINK("http://141.218.60.56/~jnz1568/discussion.php?&amp;Z=8&amp;N=6&amp;Sheet=1&amp;Row=205&amp;Col=15","")</f>
      </c>
      <c r="Q206" t="s" s="1">
        <f>HYPERLINK("http://141.218.60.56/~jnz1568/discussion.php?&amp;Z=8&amp;N=6&amp;Sheet=1&amp;Row=205&amp;Col=16","")</f>
      </c>
    </row>
    <row r="207">
      <c r="A207" t="s">
        <v>15</v>
      </c>
      <c r="B207" t="s">
        <v>16</v>
      </c>
      <c r="C207" t="s">
        <v>127</v>
      </c>
      <c r="D207" t="s">
        <v>15</v>
      </c>
      <c r="E207" t="s">
        <v>1012</v>
      </c>
      <c r="F207" t="s" s="1">
        <f>HYPERLINK("http://141.218.60.56/~jnz1568/discussion.php?&amp;Z=8&amp;N=6&amp;Sheet=1&amp;Row=206&amp;Col=5","105190")</f>
      </c>
      <c r="G207" t="s" s="1">
        <f>HYPERLINK("http://141.218.60.56/~jnz1568/discussion.php?&amp;Z=8&amp;N=6&amp;Sheet=1&amp;Row=206&amp;Col=6","")</f>
      </c>
      <c r="H207" t="s" s="1">
        <f>HYPERLINK("http://141.218.60.56/~jnz1568/discussion.php?&amp;Z=8&amp;N=6&amp;Sheet=1&amp;Row=206&amp;Col=7","")</f>
      </c>
      <c r="I207" t="s" s="1">
        <f>HYPERLINK("http://141.218.60.56/~jnz1568/discussion.php?&amp;Z=8&amp;N=6&amp;Sheet=1&amp;Row=206&amp;Col=8","")</f>
      </c>
      <c r="J207" t="s" s="1">
        <f>HYPERLINK("http://141.218.60.56/~jnz1568/discussion.php?&amp;Z=8&amp;N=6&amp;Sheet=1&amp;Row=206&amp;Col=9","114850")</f>
      </c>
      <c r="K207" t="s" s="1">
        <f>HYPERLINK("http://141.218.60.56/~jnz1568/discussion.php?&amp;Z=8&amp;N=6&amp;Sheet=1&amp;Row=206&amp;Col=10","")</f>
      </c>
      <c r="L207" t="s" s="1">
        <f>HYPERLINK("http://141.218.60.56/~jnz1568/discussion.php?&amp;Z=8&amp;N=6&amp;Sheet=1&amp;Row=206&amp;Col=11","")</f>
      </c>
      <c r="M207" t="s" s="1">
        <f>HYPERLINK("http://141.218.60.56/~jnz1568/discussion.php?&amp;Z=8&amp;N=6&amp;Sheet=1&amp;Row=206&amp;Col=12","")</f>
      </c>
      <c r="N207" t="s" s="1">
        <f>HYPERLINK("http://141.218.60.56/~jnz1568/discussion.php?&amp;Z=8&amp;N=6&amp;Sheet=1&amp;Row=206&amp;Col=13","71580")</f>
      </c>
      <c r="O207" t="s" s="1">
        <f>HYPERLINK("http://141.218.60.56/~jnz1568/discussion.php?&amp;Z=8&amp;N=6&amp;Sheet=1&amp;Row=206&amp;Col=14","")</f>
      </c>
      <c r="P207" t="s" s="1">
        <f>HYPERLINK("http://141.218.60.56/~jnz1568/discussion.php?&amp;Z=8&amp;N=6&amp;Sheet=1&amp;Row=206&amp;Col=15","")</f>
      </c>
      <c r="Q207" t="s" s="1">
        <f>HYPERLINK("http://141.218.60.56/~jnz1568/discussion.php?&amp;Z=8&amp;N=6&amp;Sheet=1&amp;Row=206&amp;Col=16","")</f>
      </c>
    </row>
    <row r="208">
      <c r="A208" t="s">
        <v>15</v>
      </c>
      <c r="B208" t="s">
        <v>16</v>
      </c>
      <c r="C208" t="s">
        <v>127</v>
      </c>
      <c r="D208" t="s">
        <v>50</v>
      </c>
      <c r="E208" t="s">
        <v>1016</v>
      </c>
      <c r="F208" t="s" s="1">
        <f>HYPERLINK("http://141.218.60.56/~jnz1568/discussion.php?&amp;Z=8&amp;N=6&amp;Sheet=1&amp;Row=207&amp;Col=5","99.069")</f>
      </c>
      <c r="G208" t="s" s="1">
        <f>HYPERLINK("http://141.218.60.56/~jnz1568/discussion.php?&amp;Z=8&amp;N=6&amp;Sheet=1&amp;Row=207&amp;Col=6","")</f>
      </c>
      <c r="H208" t="s" s="1">
        <f>HYPERLINK("http://141.218.60.56/~jnz1568/discussion.php?&amp;Z=8&amp;N=6&amp;Sheet=1&amp;Row=207&amp;Col=7","")</f>
      </c>
      <c r="I208" t="s" s="1">
        <f>HYPERLINK("http://141.218.60.56/~jnz1568/discussion.php?&amp;Z=8&amp;N=6&amp;Sheet=1&amp;Row=207&amp;Col=8","")</f>
      </c>
      <c r="J208" t="s" s="1">
        <f>HYPERLINK("http://141.218.60.56/~jnz1568/discussion.php?&amp;Z=8&amp;N=6&amp;Sheet=1&amp;Row=207&amp;Col=9","52.168")</f>
      </c>
      <c r="K208" t="s" s="1">
        <f>HYPERLINK("http://141.218.60.56/~jnz1568/discussion.php?&amp;Z=8&amp;N=6&amp;Sheet=1&amp;Row=207&amp;Col=10","")</f>
      </c>
      <c r="L208" t="s" s="1">
        <f>HYPERLINK("http://141.218.60.56/~jnz1568/discussion.php?&amp;Z=8&amp;N=6&amp;Sheet=1&amp;Row=207&amp;Col=11","")</f>
      </c>
      <c r="M208" t="s" s="1">
        <f>HYPERLINK("http://141.218.60.56/~jnz1568/discussion.php?&amp;Z=8&amp;N=6&amp;Sheet=1&amp;Row=207&amp;Col=12","")</f>
      </c>
      <c r="N208" t="s" s="1">
        <f>HYPERLINK("http://141.218.60.56/~jnz1568/discussion.php?&amp;Z=8&amp;N=6&amp;Sheet=1&amp;Row=207&amp;Col=13","426.5")</f>
      </c>
      <c r="O208" t="s" s="1">
        <f>HYPERLINK("http://141.218.60.56/~jnz1568/discussion.php?&amp;Z=8&amp;N=6&amp;Sheet=1&amp;Row=207&amp;Col=14","")</f>
      </c>
      <c r="P208" t="s" s="1">
        <f>HYPERLINK("http://141.218.60.56/~jnz1568/discussion.php?&amp;Z=8&amp;N=6&amp;Sheet=1&amp;Row=207&amp;Col=15","")</f>
      </c>
      <c r="Q208" t="s" s="1">
        <f>HYPERLINK("http://141.218.60.56/~jnz1568/discussion.php?&amp;Z=8&amp;N=6&amp;Sheet=1&amp;Row=207&amp;Col=16","")</f>
      </c>
    </row>
    <row r="209">
      <c r="A209" t="s">
        <v>15</v>
      </c>
      <c r="B209" t="s">
        <v>16</v>
      </c>
      <c r="C209" t="s">
        <v>127</v>
      </c>
      <c r="D209" t="s">
        <v>53</v>
      </c>
      <c r="E209" t="s">
        <v>1020</v>
      </c>
      <c r="F209" t="s" s="1">
        <f>HYPERLINK("http://141.218.60.56/~jnz1568/discussion.php?&amp;Z=8&amp;N=6&amp;Sheet=1&amp;Row=208&amp;Col=5","308.27")</f>
      </c>
      <c r="G209" t="s" s="1">
        <f>HYPERLINK("http://141.218.60.56/~jnz1568/discussion.php?&amp;Z=8&amp;N=6&amp;Sheet=1&amp;Row=208&amp;Col=6","")</f>
      </c>
      <c r="H209" t="s" s="1">
        <f>HYPERLINK("http://141.218.60.56/~jnz1568/discussion.php?&amp;Z=8&amp;N=6&amp;Sheet=1&amp;Row=208&amp;Col=7","")</f>
      </c>
      <c r="I209" t="s" s="1">
        <f>HYPERLINK("http://141.218.60.56/~jnz1568/discussion.php?&amp;Z=8&amp;N=6&amp;Sheet=1&amp;Row=208&amp;Col=8","")</f>
      </c>
      <c r="J209" t="s" s="1">
        <f>HYPERLINK("http://141.218.60.56/~jnz1568/discussion.php?&amp;Z=8&amp;N=6&amp;Sheet=1&amp;Row=208&amp;Col=9","1357")</f>
      </c>
      <c r="K209" t="s" s="1">
        <f>HYPERLINK("http://141.218.60.56/~jnz1568/discussion.php?&amp;Z=8&amp;N=6&amp;Sheet=1&amp;Row=208&amp;Col=10","")</f>
      </c>
      <c r="L209" t="s" s="1">
        <f>HYPERLINK("http://141.218.60.56/~jnz1568/discussion.php?&amp;Z=8&amp;N=6&amp;Sheet=1&amp;Row=208&amp;Col=11","")</f>
      </c>
      <c r="M209" t="s" s="1">
        <f>HYPERLINK("http://141.218.60.56/~jnz1568/discussion.php?&amp;Z=8&amp;N=6&amp;Sheet=1&amp;Row=208&amp;Col=12","")</f>
      </c>
      <c r="N209" t="s" s="1">
        <f>HYPERLINK("http://141.218.60.56/~jnz1568/discussion.php?&amp;Z=8&amp;N=6&amp;Sheet=1&amp;Row=208&amp;Col=13","107.5")</f>
      </c>
      <c r="O209" t="s" s="1">
        <f>HYPERLINK("http://141.218.60.56/~jnz1568/discussion.php?&amp;Z=8&amp;N=6&amp;Sheet=1&amp;Row=208&amp;Col=14","")</f>
      </c>
      <c r="P209" t="s" s="1">
        <f>HYPERLINK("http://141.218.60.56/~jnz1568/discussion.php?&amp;Z=8&amp;N=6&amp;Sheet=1&amp;Row=208&amp;Col=15","")</f>
      </c>
      <c r="Q209" t="s" s="1">
        <f>HYPERLINK("http://141.218.60.56/~jnz1568/discussion.php?&amp;Z=8&amp;N=6&amp;Sheet=1&amp;Row=208&amp;Col=16","")</f>
      </c>
    </row>
    <row r="210">
      <c r="A210" t="s">
        <v>15</v>
      </c>
      <c r="B210" t="s">
        <v>16</v>
      </c>
      <c r="C210" t="s">
        <v>127</v>
      </c>
      <c r="D210" t="s">
        <v>58</v>
      </c>
      <c r="E210" t="s">
        <v>1024</v>
      </c>
      <c r="F210" t="s" s="1">
        <f>HYPERLINK("http://141.218.60.56/~jnz1568/discussion.php?&amp;Z=8&amp;N=6&amp;Sheet=1&amp;Row=209&amp;Col=5","18483")</f>
      </c>
      <c r="G210" t="s" s="1">
        <f>HYPERLINK("http://141.218.60.56/~jnz1568/discussion.php?&amp;Z=8&amp;N=6&amp;Sheet=1&amp;Row=209&amp;Col=6","")</f>
      </c>
      <c r="H210" t="s" s="1">
        <f>HYPERLINK("http://141.218.60.56/~jnz1568/discussion.php?&amp;Z=8&amp;N=6&amp;Sheet=1&amp;Row=209&amp;Col=7","")</f>
      </c>
      <c r="I210" t="s" s="1">
        <f>HYPERLINK("http://141.218.60.56/~jnz1568/discussion.php?&amp;Z=8&amp;N=6&amp;Sheet=1&amp;Row=209&amp;Col=8","")</f>
      </c>
      <c r="J210" t="s" s="1">
        <f>HYPERLINK("http://141.218.60.56/~jnz1568/discussion.php?&amp;Z=8&amp;N=6&amp;Sheet=1&amp;Row=209&amp;Col=9","16894")</f>
      </c>
      <c r="K210" t="s" s="1">
        <f>HYPERLINK("http://141.218.60.56/~jnz1568/discussion.php?&amp;Z=8&amp;N=6&amp;Sheet=1&amp;Row=209&amp;Col=10","")</f>
      </c>
      <c r="L210" t="s" s="1">
        <f>HYPERLINK("http://141.218.60.56/~jnz1568/discussion.php?&amp;Z=8&amp;N=6&amp;Sheet=1&amp;Row=209&amp;Col=11","")</f>
      </c>
      <c r="M210" t="s" s="1">
        <f>HYPERLINK("http://141.218.60.56/~jnz1568/discussion.php?&amp;Z=8&amp;N=6&amp;Sheet=1&amp;Row=209&amp;Col=12","")</f>
      </c>
      <c r="N210" t="s" s="1">
        <f>HYPERLINK("http://141.218.60.56/~jnz1568/discussion.php?&amp;Z=8&amp;N=6&amp;Sheet=1&amp;Row=209&amp;Col=13","20490")</f>
      </c>
      <c r="O210" t="s" s="1">
        <f>HYPERLINK("http://141.218.60.56/~jnz1568/discussion.php?&amp;Z=8&amp;N=6&amp;Sheet=1&amp;Row=209&amp;Col=14","")</f>
      </c>
      <c r="P210" t="s" s="1">
        <f>HYPERLINK("http://141.218.60.56/~jnz1568/discussion.php?&amp;Z=8&amp;N=6&amp;Sheet=1&amp;Row=209&amp;Col=15","")</f>
      </c>
      <c r="Q210" t="s" s="1">
        <f>HYPERLINK("http://141.218.60.56/~jnz1568/discussion.php?&amp;Z=8&amp;N=6&amp;Sheet=1&amp;Row=209&amp;Col=16","")</f>
      </c>
    </row>
    <row r="211">
      <c r="A211" t="s">
        <v>15</v>
      </c>
      <c r="B211" t="s">
        <v>16</v>
      </c>
      <c r="C211" t="s">
        <v>127</v>
      </c>
      <c r="D211" t="s">
        <v>64</v>
      </c>
      <c r="E211" t="s">
        <v>1028</v>
      </c>
      <c r="F211" t="s" s="1">
        <f>HYPERLINK("http://141.218.60.56/~jnz1568/discussion.php?&amp;Z=8&amp;N=6&amp;Sheet=1&amp;Row=210&amp;Col=5","2164000000")</f>
      </c>
      <c r="G211" t="s" s="1">
        <f>HYPERLINK("http://141.218.60.56/~jnz1568/discussion.php?&amp;Z=8&amp;N=6&amp;Sheet=1&amp;Row=210&amp;Col=6","")</f>
      </c>
      <c r="H211" t="s" s="1">
        <f>HYPERLINK("http://141.218.60.56/~jnz1568/discussion.php?&amp;Z=8&amp;N=6&amp;Sheet=1&amp;Row=210&amp;Col=7","")</f>
      </c>
      <c r="I211" t="s" s="1">
        <f>HYPERLINK("http://141.218.60.56/~jnz1568/discussion.php?&amp;Z=8&amp;N=6&amp;Sheet=1&amp;Row=210&amp;Col=8","")</f>
      </c>
      <c r="J211" t="s" s="1">
        <f>HYPERLINK("http://141.218.60.56/~jnz1568/discussion.php?&amp;Z=8&amp;N=6&amp;Sheet=1&amp;Row=210&amp;Col=9","2196000000")</f>
      </c>
      <c r="K211" t="s" s="1">
        <f>HYPERLINK("http://141.218.60.56/~jnz1568/discussion.php?&amp;Z=8&amp;N=6&amp;Sheet=1&amp;Row=210&amp;Col=10","")</f>
      </c>
      <c r="L211" t="s" s="1">
        <f>HYPERLINK("http://141.218.60.56/~jnz1568/discussion.php?&amp;Z=8&amp;N=6&amp;Sheet=1&amp;Row=210&amp;Col=11","")</f>
      </c>
      <c r="M211" t="s" s="1">
        <f>HYPERLINK("http://141.218.60.56/~jnz1568/discussion.php?&amp;Z=8&amp;N=6&amp;Sheet=1&amp;Row=210&amp;Col=12","")</f>
      </c>
      <c r="N211" t="s" s="1">
        <f>HYPERLINK("http://141.218.60.56/~jnz1568/discussion.php?&amp;Z=8&amp;N=6&amp;Sheet=1&amp;Row=210&amp;Col=13","2298000000")</f>
      </c>
      <c r="O211" t="s" s="1">
        <f>HYPERLINK("http://141.218.60.56/~jnz1568/discussion.php?&amp;Z=8&amp;N=6&amp;Sheet=1&amp;Row=210&amp;Col=14","")</f>
      </c>
      <c r="P211" t="s" s="1">
        <f>HYPERLINK("http://141.218.60.56/~jnz1568/discussion.php?&amp;Z=8&amp;N=6&amp;Sheet=1&amp;Row=210&amp;Col=15","")</f>
      </c>
      <c r="Q211" t="s" s="1">
        <f>HYPERLINK("http://141.218.60.56/~jnz1568/discussion.php?&amp;Z=8&amp;N=6&amp;Sheet=1&amp;Row=210&amp;Col=16","")</f>
      </c>
    </row>
    <row r="212">
      <c r="A212" t="s">
        <v>15</v>
      </c>
      <c r="B212" t="s">
        <v>16</v>
      </c>
      <c r="C212" t="s">
        <v>127</v>
      </c>
      <c r="D212" t="s">
        <v>69</v>
      </c>
      <c r="E212" t="s">
        <v>1032</v>
      </c>
      <c r="F212" t="s" s="1">
        <f>HYPERLINK("http://141.218.60.56/~jnz1568/discussion.php?&amp;Z=8&amp;N=6&amp;Sheet=1&amp;Row=211&amp;Col=5","563.33")</f>
      </c>
      <c r="G212" t="s" s="1">
        <f>HYPERLINK("http://141.218.60.56/~jnz1568/discussion.php?&amp;Z=8&amp;N=6&amp;Sheet=1&amp;Row=211&amp;Col=6","")</f>
      </c>
      <c r="H212" t="s" s="1">
        <f>HYPERLINK("http://141.218.60.56/~jnz1568/discussion.php?&amp;Z=8&amp;N=6&amp;Sheet=1&amp;Row=211&amp;Col=7","")</f>
      </c>
      <c r="I212" t="s" s="1">
        <f>HYPERLINK("http://141.218.60.56/~jnz1568/discussion.php?&amp;Z=8&amp;N=6&amp;Sheet=1&amp;Row=211&amp;Col=8","")</f>
      </c>
      <c r="J212" t="s" s="1">
        <f>HYPERLINK("http://141.218.60.56/~jnz1568/discussion.php?&amp;Z=8&amp;N=6&amp;Sheet=1&amp;Row=211&amp;Col=9","361.95")</f>
      </c>
      <c r="K212" t="s" s="1">
        <f>HYPERLINK("http://141.218.60.56/~jnz1568/discussion.php?&amp;Z=8&amp;N=6&amp;Sheet=1&amp;Row=211&amp;Col=10","")</f>
      </c>
      <c r="L212" t="s" s="1">
        <f>HYPERLINK("http://141.218.60.56/~jnz1568/discussion.php?&amp;Z=8&amp;N=6&amp;Sheet=1&amp;Row=211&amp;Col=11","")</f>
      </c>
      <c r="M212" t="s" s="1">
        <f>HYPERLINK("http://141.218.60.56/~jnz1568/discussion.php?&amp;Z=8&amp;N=6&amp;Sheet=1&amp;Row=211&amp;Col=12","")</f>
      </c>
      <c r="N212" t="s" s="1">
        <f>HYPERLINK("http://141.218.60.56/~jnz1568/discussion.php?&amp;Z=8&amp;N=6&amp;Sheet=1&amp;Row=211&amp;Col=13","5015")</f>
      </c>
      <c r="O212" t="s" s="1">
        <f>HYPERLINK("http://141.218.60.56/~jnz1568/discussion.php?&amp;Z=8&amp;N=6&amp;Sheet=1&amp;Row=211&amp;Col=14","")</f>
      </c>
      <c r="P212" t="s" s="1">
        <f>HYPERLINK("http://141.218.60.56/~jnz1568/discussion.php?&amp;Z=8&amp;N=6&amp;Sheet=1&amp;Row=211&amp;Col=15","")</f>
      </c>
      <c r="Q212" t="s" s="1">
        <f>HYPERLINK("http://141.218.60.56/~jnz1568/discussion.php?&amp;Z=8&amp;N=6&amp;Sheet=1&amp;Row=211&amp;Col=16","")</f>
      </c>
    </row>
    <row r="213">
      <c r="A213" t="s">
        <v>15</v>
      </c>
      <c r="B213" t="s">
        <v>16</v>
      </c>
      <c r="C213" t="s">
        <v>127</v>
      </c>
      <c r="D213" t="s">
        <v>74</v>
      </c>
      <c r="E213" t="s">
        <v>1036</v>
      </c>
      <c r="F213" t="s" s="1">
        <f>HYPERLINK("http://141.218.60.56/~jnz1568/discussion.php?&amp;Z=8&amp;N=6&amp;Sheet=1&amp;Row=212&amp;Col=5","185100000")</f>
      </c>
      <c r="G213" t="s" s="1">
        <f>HYPERLINK("http://141.218.60.56/~jnz1568/discussion.php?&amp;Z=8&amp;N=6&amp;Sheet=1&amp;Row=212&amp;Col=6","")</f>
      </c>
      <c r="H213" t="s" s="1">
        <f>HYPERLINK("http://141.218.60.56/~jnz1568/discussion.php?&amp;Z=8&amp;N=6&amp;Sheet=1&amp;Row=212&amp;Col=7","")</f>
      </c>
      <c r="I213" t="s" s="1">
        <f>HYPERLINK("http://141.218.60.56/~jnz1568/discussion.php?&amp;Z=8&amp;N=6&amp;Sheet=1&amp;Row=212&amp;Col=8","")</f>
      </c>
      <c r="J213" t="s" s="1">
        <f>HYPERLINK("http://141.218.60.56/~jnz1568/discussion.php?&amp;Z=8&amp;N=6&amp;Sheet=1&amp;Row=212&amp;Col=9","189240000")</f>
      </c>
      <c r="K213" t="s" s="1">
        <f>HYPERLINK("http://141.218.60.56/~jnz1568/discussion.php?&amp;Z=8&amp;N=6&amp;Sheet=1&amp;Row=212&amp;Col=10","")</f>
      </c>
      <c r="L213" t="s" s="1">
        <f>HYPERLINK("http://141.218.60.56/~jnz1568/discussion.php?&amp;Z=8&amp;N=6&amp;Sheet=1&amp;Row=212&amp;Col=11","")</f>
      </c>
      <c r="M213" t="s" s="1">
        <f>HYPERLINK("http://141.218.60.56/~jnz1568/discussion.php?&amp;Z=8&amp;N=6&amp;Sheet=1&amp;Row=212&amp;Col=12","")</f>
      </c>
      <c r="N213" t="s" s="1">
        <f>HYPERLINK("http://141.218.60.56/~jnz1568/discussion.php?&amp;Z=8&amp;N=6&amp;Sheet=1&amp;Row=212&amp;Col=13","180000000")</f>
      </c>
      <c r="O213" t="s" s="1">
        <f>HYPERLINK("http://141.218.60.56/~jnz1568/discussion.php?&amp;Z=8&amp;N=6&amp;Sheet=1&amp;Row=212&amp;Col=14","")</f>
      </c>
      <c r="P213" t="s" s="1">
        <f>HYPERLINK("http://141.218.60.56/~jnz1568/discussion.php?&amp;Z=8&amp;N=6&amp;Sheet=1&amp;Row=212&amp;Col=15","")</f>
      </c>
      <c r="Q213" t="s" s="1">
        <f>HYPERLINK("http://141.218.60.56/~jnz1568/discussion.php?&amp;Z=8&amp;N=6&amp;Sheet=1&amp;Row=212&amp;Col=16","")</f>
      </c>
    </row>
    <row r="214">
      <c r="A214" t="s">
        <v>15</v>
      </c>
      <c r="B214" t="s">
        <v>16</v>
      </c>
      <c r="C214" t="s">
        <v>127</v>
      </c>
      <c r="D214" t="s">
        <v>84</v>
      </c>
      <c r="E214" t="s">
        <v>1040</v>
      </c>
      <c r="F214" t="s" s="1">
        <f>HYPERLINK("http://141.218.60.56/~jnz1568/discussion.php?&amp;Z=8&amp;N=6&amp;Sheet=1&amp;Row=213&amp;Col=5","65.46")</f>
      </c>
      <c r="G214" t="s" s="1">
        <f>HYPERLINK("http://141.218.60.56/~jnz1568/discussion.php?&amp;Z=8&amp;N=6&amp;Sheet=1&amp;Row=213&amp;Col=6","")</f>
      </c>
      <c r="H214" t="s" s="1">
        <f>HYPERLINK("http://141.218.60.56/~jnz1568/discussion.php?&amp;Z=8&amp;N=6&amp;Sheet=1&amp;Row=213&amp;Col=7","")</f>
      </c>
      <c r="I214" t="s" s="1">
        <f>HYPERLINK("http://141.218.60.56/~jnz1568/discussion.php?&amp;Z=8&amp;N=6&amp;Sheet=1&amp;Row=213&amp;Col=8","")</f>
      </c>
      <c r="J214" t="s" s="1">
        <f>HYPERLINK("http://141.218.60.56/~jnz1568/discussion.php?&amp;Z=8&amp;N=6&amp;Sheet=1&amp;Row=213&amp;Col=9","2314.1")</f>
      </c>
      <c r="K214" t="s" s="1">
        <f>HYPERLINK("http://141.218.60.56/~jnz1568/discussion.php?&amp;Z=8&amp;N=6&amp;Sheet=1&amp;Row=213&amp;Col=10","")</f>
      </c>
      <c r="L214" t="s" s="1">
        <f>HYPERLINK("http://141.218.60.56/~jnz1568/discussion.php?&amp;Z=8&amp;N=6&amp;Sheet=1&amp;Row=213&amp;Col=11","")</f>
      </c>
      <c r="M214" t="s" s="1">
        <f>HYPERLINK("http://141.218.60.56/~jnz1568/discussion.php?&amp;Z=8&amp;N=6&amp;Sheet=1&amp;Row=213&amp;Col=12","")</f>
      </c>
      <c r="N214" t="s" s="1">
        <f>HYPERLINK("http://141.218.60.56/~jnz1568/discussion.php?&amp;Z=8&amp;N=6&amp;Sheet=1&amp;Row=213&amp;Col=13","1293")</f>
      </c>
      <c r="O214" t="s" s="1">
        <f>HYPERLINK("http://141.218.60.56/~jnz1568/discussion.php?&amp;Z=8&amp;N=6&amp;Sheet=1&amp;Row=213&amp;Col=14","")</f>
      </c>
      <c r="P214" t="s" s="1">
        <f>HYPERLINK("http://141.218.60.56/~jnz1568/discussion.php?&amp;Z=8&amp;N=6&amp;Sheet=1&amp;Row=213&amp;Col=15","")</f>
      </c>
      <c r="Q214" t="s" s="1">
        <f>HYPERLINK("http://141.218.60.56/~jnz1568/discussion.php?&amp;Z=8&amp;N=6&amp;Sheet=1&amp;Row=213&amp;Col=16","")</f>
      </c>
    </row>
    <row r="215">
      <c r="A215" t="s">
        <v>15</v>
      </c>
      <c r="B215" t="s">
        <v>16</v>
      </c>
      <c r="C215" t="s">
        <v>127</v>
      </c>
      <c r="D215" t="s">
        <v>87</v>
      </c>
      <c r="E215" t="s">
        <v>1044</v>
      </c>
      <c r="F215" t="s" s="1">
        <f>HYPERLINK("http://141.218.60.56/~jnz1568/discussion.php?&amp;Z=8&amp;N=6&amp;Sheet=1&amp;Row=214&amp;Col=5","1743.6")</f>
      </c>
      <c r="G215" t="s" s="1">
        <f>HYPERLINK("http://141.218.60.56/~jnz1568/discussion.php?&amp;Z=8&amp;N=6&amp;Sheet=1&amp;Row=214&amp;Col=6","")</f>
      </c>
      <c r="H215" t="s" s="1">
        <f>HYPERLINK("http://141.218.60.56/~jnz1568/discussion.php?&amp;Z=8&amp;N=6&amp;Sheet=1&amp;Row=214&amp;Col=7","")</f>
      </c>
      <c r="I215" t="s" s="1">
        <f>HYPERLINK("http://141.218.60.56/~jnz1568/discussion.php?&amp;Z=8&amp;N=6&amp;Sheet=1&amp;Row=214&amp;Col=8","")</f>
      </c>
      <c r="J215" t="s" s="1">
        <f>HYPERLINK("http://141.218.60.56/~jnz1568/discussion.php?&amp;Z=8&amp;N=6&amp;Sheet=1&amp;Row=214&amp;Col=9","8936.8")</f>
      </c>
      <c r="K215" t="s" s="1">
        <f>HYPERLINK("http://141.218.60.56/~jnz1568/discussion.php?&amp;Z=8&amp;N=6&amp;Sheet=1&amp;Row=214&amp;Col=10","")</f>
      </c>
      <c r="L215" t="s" s="1">
        <f>HYPERLINK("http://141.218.60.56/~jnz1568/discussion.php?&amp;Z=8&amp;N=6&amp;Sheet=1&amp;Row=214&amp;Col=11","")</f>
      </c>
      <c r="M215" t="s" s="1">
        <f>HYPERLINK("http://141.218.60.56/~jnz1568/discussion.php?&amp;Z=8&amp;N=6&amp;Sheet=1&amp;Row=214&amp;Col=12","")</f>
      </c>
      <c r="N215" t="s" s="1">
        <f>HYPERLINK("http://141.218.60.56/~jnz1568/discussion.php?&amp;Z=8&amp;N=6&amp;Sheet=1&amp;Row=214&amp;Col=13","4280")</f>
      </c>
      <c r="O215" t="s" s="1">
        <f>HYPERLINK("http://141.218.60.56/~jnz1568/discussion.php?&amp;Z=8&amp;N=6&amp;Sheet=1&amp;Row=214&amp;Col=14","")</f>
      </c>
      <c r="P215" t="s" s="1">
        <f>HYPERLINK("http://141.218.60.56/~jnz1568/discussion.php?&amp;Z=8&amp;N=6&amp;Sheet=1&amp;Row=214&amp;Col=15","")</f>
      </c>
      <c r="Q215" t="s" s="1">
        <f>HYPERLINK("http://141.218.60.56/~jnz1568/discussion.php?&amp;Z=8&amp;N=6&amp;Sheet=1&amp;Row=214&amp;Col=16","")</f>
      </c>
    </row>
    <row r="216">
      <c r="A216" t="s">
        <v>15</v>
      </c>
      <c r="B216" t="s">
        <v>16</v>
      </c>
      <c r="C216" t="s">
        <v>127</v>
      </c>
      <c r="D216" t="s">
        <v>90</v>
      </c>
      <c r="E216" t="s">
        <v>1048</v>
      </c>
      <c r="F216" t="s" s="1">
        <f>HYPERLINK("http://141.218.60.56/~jnz1568/discussion.php?&amp;Z=8&amp;N=6&amp;Sheet=1&amp;Row=215&amp;Col=5","32268")</f>
      </c>
      <c r="G216" t="s" s="1">
        <f>HYPERLINK("http://141.218.60.56/~jnz1568/discussion.php?&amp;Z=8&amp;N=6&amp;Sheet=1&amp;Row=215&amp;Col=6","")</f>
      </c>
      <c r="H216" t="s" s="1">
        <f>HYPERLINK("http://141.218.60.56/~jnz1568/discussion.php?&amp;Z=8&amp;N=6&amp;Sheet=1&amp;Row=215&amp;Col=7","")</f>
      </c>
      <c r="I216" t="s" s="1">
        <f>HYPERLINK("http://141.218.60.56/~jnz1568/discussion.php?&amp;Z=8&amp;N=6&amp;Sheet=1&amp;Row=215&amp;Col=8","")</f>
      </c>
      <c r="J216" t="s" s="1">
        <f>HYPERLINK("http://141.218.60.56/~jnz1568/discussion.php?&amp;Z=8&amp;N=6&amp;Sheet=1&amp;Row=215&amp;Col=9","72164")</f>
      </c>
      <c r="K216" t="s" s="1">
        <f>HYPERLINK("http://141.218.60.56/~jnz1568/discussion.php?&amp;Z=8&amp;N=6&amp;Sheet=1&amp;Row=215&amp;Col=10","")</f>
      </c>
      <c r="L216" t="s" s="1">
        <f>HYPERLINK("http://141.218.60.56/~jnz1568/discussion.php?&amp;Z=8&amp;N=6&amp;Sheet=1&amp;Row=215&amp;Col=11","")</f>
      </c>
      <c r="M216" t="s" s="1">
        <f>HYPERLINK("http://141.218.60.56/~jnz1568/discussion.php?&amp;Z=8&amp;N=6&amp;Sheet=1&amp;Row=215&amp;Col=12","")</f>
      </c>
      <c r="N216" t="s" s="1">
        <f>HYPERLINK("http://141.218.60.56/~jnz1568/discussion.php?&amp;Z=8&amp;N=6&amp;Sheet=1&amp;Row=215&amp;Col=13","124900")</f>
      </c>
      <c r="O216" t="s" s="1">
        <f>HYPERLINK("http://141.218.60.56/~jnz1568/discussion.php?&amp;Z=8&amp;N=6&amp;Sheet=1&amp;Row=215&amp;Col=14","")</f>
      </c>
      <c r="P216" t="s" s="1">
        <f>HYPERLINK("http://141.218.60.56/~jnz1568/discussion.php?&amp;Z=8&amp;N=6&amp;Sheet=1&amp;Row=215&amp;Col=15","")</f>
      </c>
      <c r="Q216" t="s" s="1">
        <f>HYPERLINK("http://141.218.60.56/~jnz1568/discussion.php?&amp;Z=8&amp;N=6&amp;Sheet=1&amp;Row=215&amp;Col=16","")</f>
      </c>
    </row>
    <row r="217">
      <c r="A217" t="s">
        <v>15</v>
      </c>
      <c r="B217" t="s">
        <v>16</v>
      </c>
      <c r="C217" t="s">
        <v>131</v>
      </c>
      <c r="D217" t="s">
        <v>50</v>
      </c>
      <c r="E217" t="s">
        <v>1052</v>
      </c>
      <c r="F217" t="s" s="1">
        <f>HYPERLINK("http://141.218.60.56/~jnz1568/discussion.php?&amp;Z=8&amp;N=6&amp;Sheet=1&amp;Row=216&amp;Col=5","128860000")</f>
      </c>
      <c r="G217" t="s" s="1">
        <f>HYPERLINK("http://141.218.60.56/~jnz1568/discussion.php?&amp;Z=8&amp;N=6&amp;Sheet=1&amp;Row=216&amp;Col=6","")</f>
      </c>
      <c r="H217" t="s" s="1">
        <f>HYPERLINK("http://141.218.60.56/~jnz1568/discussion.php?&amp;Z=8&amp;N=6&amp;Sheet=1&amp;Row=216&amp;Col=7","")</f>
      </c>
      <c r="I217" t="s" s="1">
        <f>HYPERLINK("http://141.218.60.56/~jnz1568/discussion.php?&amp;Z=8&amp;N=6&amp;Sheet=1&amp;Row=216&amp;Col=8","")</f>
      </c>
      <c r="J217" t="s" s="1">
        <f>HYPERLINK("http://141.218.60.56/~jnz1568/discussion.php?&amp;Z=8&amp;N=6&amp;Sheet=1&amp;Row=216&amp;Col=9","128420000")</f>
      </c>
      <c r="K217" t="s" s="1">
        <f>HYPERLINK("http://141.218.60.56/~jnz1568/discussion.php?&amp;Z=8&amp;N=6&amp;Sheet=1&amp;Row=216&amp;Col=10","")</f>
      </c>
      <c r="L217" t="s" s="1">
        <f>HYPERLINK("http://141.218.60.56/~jnz1568/discussion.php?&amp;Z=8&amp;N=6&amp;Sheet=1&amp;Row=216&amp;Col=11","")</f>
      </c>
      <c r="M217" t="s" s="1">
        <f>HYPERLINK("http://141.218.60.56/~jnz1568/discussion.php?&amp;Z=8&amp;N=6&amp;Sheet=1&amp;Row=216&amp;Col=12","")</f>
      </c>
      <c r="N217" t="s" s="1">
        <f>HYPERLINK("http://141.218.60.56/~jnz1568/discussion.php?&amp;Z=8&amp;N=6&amp;Sheet=1&amp;Row=216&amp;Col=13","89870000")</f>
      </c>
      <c r="O217" t="s" s="1">
        <f>HYPERLINK("http://141.218.60.56/~jnz1568/discussion.php?&amp;Z=8&amp;N=6&amp;Sheet=1&amp;Row=216&amp;Col=14","")</f>
      </c>
      <c r="P217" t="s" s="1">
        <f>HYPERLINK("http://141.218.60.56/~jnz1568/discussion.php?&amp;Z=8&amp;N=6&amp;Sheet=1&amp;Row=216&amp;Col=15","")</f>
      </c>
      <c r="Q217" t="s" s="1">
        <f>HYPERLINK("http://141.218.60.56/~jnz1568/discussion.php?&amp;Z=8&amp;N=6&amp;Sheet=1&amp;Row=216&amp;Col=16","")</f>
      </c>
    </row>
    <row r="218">
      <c r="A218" t="s">
        <v>15</v>
      </c>
      <c r="B218" t="s">
        <v>16</v>
      </c>
      <c r="C218" t="s">
        <v>131</v>
      </c>
      <c r="D218" t="s">
        <v>58</v>
      </c>
      <c r="E218" t="s">
        <v>1056</v>
      </c>
      <c r="F218" t="s" s="1">
        <f>HYPERLINK("http://141.218.60.56/~jnz1568/discussion.php?&amp;Z=8&amp;N=6&amp;Sheet=1&amp;Row=217&amp;Col=5","13032000")</f>
      </c>
      <c r="G218" t="s" s="1">
        <f>HYPERLINK("http://141.218.60.56/~jnz1568/discussion.php?&amp;Z=8&amp;N=6&amp;Sheet=1&amp;Row=217&amp;Col=6","")</f>
      </c>
      <c r="H218" t="s" s="1">
        <f>HYPERLINK("http://141.218.60.56/~jnz1568/discussion.php?&amp;Z=8&amp;N=6&amp;Sheet=1&amp;Row=217&amp;Col=7","")</f>
      </c>
      <c r="I218" t="s" s="1">
        <f>HYPERLINK("http://141.218.60.56/~jnz1568/discussion.php?&amp;Z=8&amp;N=6&amp;Sheet=1&amp;Row=217&amp;Col=8","")</f>
      </c>
      <c r="J218" t="s" s="1">
        <f>HYPERLINK("http://141.218.60.56/~jnz1568/discussion.php?&amp;Z=8&amp;N=6&amp;Sheet=1&amp;Row=217&amp;Col=9","13158000")</f>
      </c>
      <c r="K218" t="s" s="1">
        <f>HYPERLINK("http://141.218.60.56/~jnz1568/discussion.php?&amp;Z=8&amp;N=6&amp;Sheet=1&amp;Row=217&amp;Col=10","")</f>
      </c>
      <c r="L218" t="s" s="1">
        <f>HYPERLINK("http://141.218.60.56/~jnz1568/discussion.php?&amp;Z=8&amp;N=6&amp;Sheet=1&amp;Row=217&amp;Col=11","")</f>
      </c>
      <c r="M218" t="s" s="1">
        <f>HYPERLINK("http://141.218.60.56/~jnz1568/discussion.php?&amp;Z=8&amp;N=6&amp;Sheet=1&amp;Row=217&amp;Col=12","")</f>
      </c>
      <c r="N218" t="s" s="1">
        <f>HYPERLINK("http://141.218.60.56/~jnz1568/discussion.php?&amp;Z=8&amp;N=6&amp;Sheet=1&amp;Row=217&amp;Col=13","29430000")</f>
      </c>
      <c r="O218" t="s" s="1">
        <f>HYPERLINK("http://141.218.60.56/~jnz1568/discussion.php?&amp;Z=8&amp;N=6&amp;Sheet=1&amp;Row=217&amp;Col=14","")</f>
      </c>
      <c r="P218" t="s" s="1">
        <f>HYPERLINK("http://141.218.60.56/~jnz1568/discussion.php?&amp;Z=8&amp;N=6&amp;Sheet=1&amp;Row=217&amp;Col=15","")</f>
      </c>
      <c r="Q218" t="s" s="1">
        <f>HYPERLINK("http://141.218.60.56/~jnz1568/discussion.php?&amp;Z=8&amp;N=6&amp;Sheet=1&amp;Row=217&amp;Col=16","")</f>
      </c>
    </row>
    <row r="219">
      <c r="A219" t="s">
        <v>15</v>
      </c>
      <c r="B219" t="s">
        <v>16</v>
      </c>
      <c r="C219" t="s">
        <v>131</v>
      </c>
      <c r="D219" t="s">
        <v>69</v>
      </c>
      <c r="E219" t="s">
        <v>1060</v>
      </c>
      <c r="F219" t="s" s="1">
        <f>HYPERLINK("http://141.218.60.56/~jnz1568/discussion.php?&amp;Z=8&amp;N=6&amp;Sheet=1&amp;Row=218&amp;Col=5","990490")</f>
      </c>
      <c r="G219" t="s" s="1">
        <f>HYPERLINK("http://141.218.60.56/~jnz1568/discussion.php?&amp;Z=8&amp;N=6&amp;Sheet=1&amp;Row=218&amp;Col=6","")</f>
      </c>
      <c r="H219" t="s" s="1">
        <f>HYPERLINK("http://141.218.60.56/~jnz1568/discussion.php?&amp;Z=8&amp;N=6&amp;Sheet=1&amp;Row=218&amp;Col=7","")</f>
      </c>
      <c r="I219" t="s" s="1">
        <f>HYPERLINK("http://141.218.60.56/~jnz1568/discussion.php?&amp;Z=8&amp;N=6&amp;Sheet=1&amp;Row=218&amp;Col=8","")</f>
      </c>
      <c r="J219" t="s" s="1">
        <f>HYPERLINK("http://141.218.60.56/~jnz1568/discussion.php?&amp;Z=8&amp;N=6&amp;Sheet=1&amp;Row=218&amp;Col=9","1022100")</f>
      </c>
      <c r="K219" t="s" s="1">
        <f>HYPERLINK("http://141.218.60.56/~jnz1568/discussion.php?&amp;Z=8&amp;N=6&amp;Sheet=1&amp;Row=218&amp;Col=10","")</f>
      </c>
      <c r="L219" t="s" s="1">
        <f>HYPERLINK("http://141.218.60.56/~jnz1568/discussion.php?&amp;Z=8&amp;N=6&amp;Sheet=1&amp;Row=218&amp;Col=11","")</f>
      </c>
      <c r="M219" t="s" s="1">
        <f>HYPERLINK("http://141.218.60.56/~jnz1568/discussion.php?&amp;Z=8&amp;N=6&amp;Sheet=1&amp;Row=218&amp;Col=12","")</f>
      </c>
      <c r="N219" t="s" s="1">
        <f>HYPERLINK("http://141.218.60.56/~jnz1568/discussion.php?&amp;Z=8&amp;N=6&amp;Sheet=1&amp;Row=218&amp;Col=13","4262000")</f>
      </c>
      <c r="O219" t="s" s="1">
        <f>HYPERLINK("http://141.218.60.56/~jnz1568/discussion.php?&amp;Z=8&amp;N=6&amp;Sheet=1&amp;Row=218&amp;Col=14","")</f>
      </c>
      <c r="P219" t="s" s="1">
        <f>HYPERLINK("http://141.218.60.56/~jnz1568/discussion.php?&amp;Z=8&amp;N=6&amp;Sheet=1&amp;Row=218&amp;Col=15","")</f>
      </c>
      <c r="Q219" t="s" s="1">
        <f>HYPERLINK("http://141.218.60.56/~jnz1568/discussion.php?&amp;Z=8&amp;N=6&amp;Sheet=1&amp;Row=218&amp;Col=16","")</f>
      </c>
    </row>
    <row r="220">
      <c r="A220" t="s">
        <v>15</v>
      </c>
      <c r="B220" t="s">
        <v>16</v>
      </c>
      <c r="C220" t="s">
        <v>131</v>
      </c>
      <c r="D220" t="s">
        <v>74</v>
      </c>
      <c r="E220" t="s">
        <v>1064</v>
      </c>
      <c r="F220" t="s" s="1">
        <f>HYPERLINK("http://141.218.60.56/~jnz1568/discussion.php?&amp;Z=8&amp;N=6&amp;Sheet=1&amp;Row=219&amp;Col=5","31768")</f>
      </c>
      <c r="G220" t="s" s="1">
        <f>HYPERLINK("http://141.218.60.56/~jnz1568/discussion.php?&amp;Z=8&amp;N=6&amp;Sheet=1&amp;Row=219&amp;Col=6","")</f>
      </c>
      <c r="H220" t="s" s="1">
        <f>HYPERLINK("http://141.218.60.56/~jnz1568/discussion.php?&amp;Z=8&amp;N=6&amp;Sheet=1&amp;Row=219&amp;Col=7","")</f>
      </c>
      <c r="I220" t="s" s="1">
        <f>HYPERLINK("http://141.218.60.56/~jnz1568/discussion.php?&amp;Z=8&amp;N=6&amp;Sheet=1&amp;Row=219&amp;Col=8","")</f>
      </c>
      <c r="J220" t="s" s="1">
        <f>HYPERLINK("http://141.218.60.56/~jnz1568/discussion.php?&amp;Z=8&amp;N=6&amp;Sheet=1&amp;Row=219&amp;Col=9","30830")</f>
      </c>
      <c r="K220" t="s" s="1">
        <f>HYPERLINK("http://141.218.60.56/~jnz1568/discussion.php?&amp;Z=8&amp;N=6&amp;Sheet=1&amp;Row=219&amp;Col=10","")</f>
      </c>
      <c r="L220" t="s" s="1">
        <f>HYPERLINK("http://141.218.60.56/~jnz1568/discussion.php?&amp;Z=8&amp;N=6&amp;Sheet=1&amp;Row=219&amp;Col=11","")</f>
      </c>
      <c r="M220" t="s" s="1">
        <f>HYPERLINK("http://141.218.60.56/~jnz1568/discussion.php?&amp;Z=8&amp;N=6&amp;Sheet=1&amp;Row=219&amp;Col=12","")</f>
      </c>
      <c r="N220" t="s" s="1">
        <f>HYPERLINK("http://141.218.60.56/~jnz1568/discussion.php?&amp;Z=8&amp;N=6&amp;Sheet=1&amp;Row=219&amp;Col=13","17700")</f>
      </c>
      <c r="O220" t="s" s="1">
        <f>HYPERLINK("http://141.218.60.56/~jnz1568/discussion.php?&amp;Z=8&amp;N=6&amp;Sheet=1&amp;Row=219&amp;Col=14","")</f>
      </c>
      <c r="P220" t="s" s="1">
        <f>HYPERLINK("http://141.218.60.56/~jnz1568/discussion.php?&amp;Z=8&amp;N=6&amp;Sheet=1&amp;Row=219&amp;Col=15","")</f>
      </c>
      <c r="Q220" t="s" s="1">
        <f>HYPERLINK("http://141.218.60.56/~jnz1568/discussion.php?&amp;Z=8&amp;N=6&amp;Sheet=1&amp;Row=219&amp;Col=16","")</f>
      </c>
    </row>
    <row r="221">
      <c r="A221" t="s">
        <v>15</v>
      </c>
      <c r="B221" t="s">
        <v>16</v>
      </c>
      <c r="C221" t="s">
        <v>131</v>
      </c>
      <c r="D221" t="s">
        <v>84</v>
      </c>
      <c r="E221" t="s">
        <v>1068</v>
      </c>
      <c r="F221" t="s" s="1">
        <f>HYPERLINK("http://141.218.60.56/~jnz1568/discussion.php?&amp;Z=8&amp;N=6&amp;Sheet=1&amp;Row=220&amp;Col=5","196070000")</f>
      </c>
      <c r="G221" t="s" s="1">
        <f>HYPERLINK("http://141.218.60.56/~jnz1568/discussion.php?&amp;Z=8&amp;N=6&amp;Sheet=1&amp;Row=220&amp;Col=6","")</f>
      </c>
      <c r="H221" t="s" s="1">
        <f>HYPERLINK("http://141.218.60.56/~jnz1568/discussion.php?&amp;Z=8&amp;N=6&amp;Sheet=1&amp;Row=220&amp;Col=7","")</f>
      </c>
      <c r="I221" t="s" s="1">
        <f>HYPERLINK("http://141.218.60.56/~jnz1568/discussion.php?&amp;Z=8&amp;N=6&amp;Sheet=1&amp;Row=220&amp;Col=8","")</f>
      </c>
      <c r="J221" t="s" s="1">
        <f>HYPERLINK("http://141.218.60.56/~jnz1568/discussion.php?&amp;Z=8&amp;N=6&amp;Sheet=1&amp;Row=220&amp;Col=9","197600000")</f>
      </c>
      <c r="K221" t="s" s="1">
        <f>HYPERLINK("http://141.218.60.56/~jnz1568/discussion.php?&amp;Z=8&amp;N=6&amp;Sheet=1&amp;Row=220&amp;Col=10","")</f>
      </c>
      <c r="L221" t="s" s="1">
        <f>HYPERLINK("http://141.218.60.56/~jnz1568/discussion.php?&amp;Z=8&amp;N=6&amp;Sheet=1&amp;Row=220&amp;Col=11","")</f>
      </c>
      <c r="M221" t="s" s="1">
        <f>HYPERLINK("http://141.218.60.56/~jnz1568/discussion.php?&amp;Z=8&amp;N=6&amp;Sheet=1&amp;Row=220&amp;Col=12","")</f>
      </c>
      <c r="N221" t="s" s="1">
        <f>HYPERLINK("http://141.218.60.56/~jnz1568/discussion.php?&amp;Z=8&amp;N=6&amp;Sheet=1&amp;Row=220&amp;Col=13","158800000")</f>
      </c>
      <c r="O221" t="s" s="1">
        <f>HYPERLINK("http://141.218.60.56/~jnz1568/discussion.php?&amp;Z=8&amp;N=6&amp;Sheet=1&amp;Row=220&amp;Col=14","")</f>
      </c>
      <c r="P221" t="s" s="1">
        <f>HYPERLINK("http://141.218.60.56/~jnz1568/discussion.php?&amp;Z=8&amp;N=6&amp;Sheet=1&amp;Row=220&amp;Col=15","")</f>
      </c>
      <c r="Q221" t="s" s="1">
        <f>HYPERLINK("http://141.218.60.56/~jnz1568/discussion.php?&amp;Z=8&amp;N=6&amp;Sheet=1&amp;Row=220&amp;Col=16","")</f>
      </c>
    </row>
    <row r="222">
      <c r="A222" t="s">
        <v>15</v>
      </c>
      <c r="B222" t="s">
        <v>16</v>
      </c>
      <c r="C222" t="s">
        <v>131</v>
      </c>
      <c r="D222" t="s">
        <v>90</v>
      </c>
      <c r="E222" t="s">
        <v>1072</v>
      </c>
      <c r="F222" t="s" s="1">
        <f>HYPERLINK("http://141.218.60.56/~jnz1568/discussion.php?&amp;Z=8&amp;N=6&amp;Sheet=1&amp;Row=221&amp;Col=5","31712")</f>
      </c>
      <c r="G222" t="s" s="1">
        <f>HYPERLINK("http://141.218.60.56/~jnz1568/discussion.php?&amp;Z=8&amp;N=6&amp;Sheet=1&amp;Row=221&amp;Col=6","")</f>
      </c>
      <c r="H222" t="s" s="1">
        <f>HYPERLINK("http://141.218.60.56/~jnz1568/discussion.php?&amp;Z=8&amp;N=6&amp;Sheet=1&amp;Row=221&amp;Col=7","")</f>
      </c>
      <c r="I222" t="s" s="1">
        <f>HYPERLINK("http://141.218.60.56/~jnz1568/discussion.php?&amp;Z=8&amp;N=6&amp;Sheet=1&amp;Row=221&amp;Col=8","")</f>
      </c>
      <c r="J222" t="s" s="1">
        <f>HYPERLINK("http://141.218.60.56/~jnz1568/discussion.php?&amp;Z=8&amp;N=6&amp;Sheet=1&amp;Row=221&amp;Col=9","31486")</f>
      </c>
      <c r="K222" t="s" s="1">
        <f>HYPERLINK("http://141.218.60.56/~jnz1568/discussion.php?&amp;Z=8&amp;N=6&amp;Sheet=1&amp;Row=221&amp;Col=10","")</f>
      </c>
      <c r="L222" t="s" s="1">
        <f>HYPERLINK("http://141.218.60.56/~jnz1568/discussion.php?&amp;Z=8&amp;N=6&amp;Sheet=1&amp;Row=221&amp;Col=11","")</f>
      </c>
      <c r="M222" t="s" s="1">
        <f>HYPERLINK("http://141.218.60.56/~jnz1568/discussion.php?&amp;Z=8&amp;N=6&amp;Sheet=1&amp;Row=221&amp;Col=12","")</f>
      </c>
      <c r="N222" t="s" s="1">
        <f>HYPERLINK("http://141.218.60.56/~jnz1568/discussion.php?&amp;Z=8&amp;N=6&amp;Sheet=1&amp;Row=221&amp;Col=13","6772")</f>
      </c>
      <c r="O222" t="s" s="1">
        <f>HYPERLINK("http://141.218.60.56/~jnz1568/discussion.php?&amp;Z=8&amp;N=6&amp;Sheet=1&amp;Row=221&amp;Col=14","")</f>
      </c>
      <c r="P222" t="s" s="1">
        <f>HYPERLINK("http://141.218.60.56/~jnz1568/discussion.php?&amp;Z=8&amp;N=6&amp;Sheet=1&amp;Row=221&amp;Col=15","")</f>
      </c>
      <c r="Q222" t="s" s="1">
        <f>HYPERLINK("http://141.218.60.56/~jnz1568/discussion.php?&amp;Z=8&amp;N=6&amp;Sheet=1&amp;Row=221&amp;Col=16","")</f>
      </c>
    </row>
    <row r="223">
      <c r="A223" t="s">
        <v>15</v>
      </c>
      <c r="B223" t="s">
        <v>16</v>
      </c>
      <c r="C223" t="s">
        <v>135</v>
      </c>
      <c r="D223" t="s">
        <v>16</v>
      </c>
      <c r="E223" t="s">
        <v>1076</v>
      </c>
      <c r="F223" t="s" s="1">
        <f>HYPERLINK("http://141.218.60.56/~jnz1568/discussion.php?&amp;Z=8&amp;N=6&amp;Sheet=1&amp;Row=222&amp;Col=5","45.066")</f>
      </c>
      <c r="G223" t="s" s="1">
        <f>HYPERLINK("http://141.218.60.56/~jnz1568/discussion.php?&amp;Z=8&amp;N=6&amp;Sheet=1&amp;Row=222&amp;Col=6","")</f>
      </c>
      <c r="H223" t="s" s="1">
        <f>HYPERLINK("http://141.218.60.56/~jnz1568/discussion.php?&amp;Z=8&amp;N=6&amp;Sheet=1&amp;Row=222&amp;Col=7","")</f>
      </c>
      <c r="I223" t="s" s="1">
        <f>HYPERLINK("http://141.218.60.56/~jnz1568/discussion.php?&amp;Z=8&amp;N=6&amp;Sheet=1&amp;Row=222&amp;Col=8","")</f>
      </c>
      <c r="J223" t="s" s="1">
        <f>HYPERLINK("http://141.218.60.56/~jnz1568/discussion.php?&amp;Z=8&amp;N=6&amp;Sheet=1&amp;Row=222&amp;Col=9","45.344")</f>
      </c>
      <c r="K223" t="s" s="1">
        <f>HYPERLINK("http://141.218.60.56/~jnz1568/discussion.php?&amp;Z=8&amp;N=6&amp;Sheet=1&amp;Row=222&amp;Col=10","")</f>
      </c>
      <c r="L223" t="s" s="1">
        <f>HYPERLINK("http://141.218.60.56/~jnz1568/discussion.php?&amp;Z=8&amp;N=6&amp;Sheet=1&amp;Row=222&amp;Col=11","")</f>
      </c>
      <c r="M223" t="s" s="1">
        <f>HYPERLINK("http://141.218.60.56/~jnz1568/discussion.php?&amp;Z=8&amp;N=6&amp;Sheet=1&amp;Row=222&amp;Col=12","")</f>
      </c>
      <c r="N223" t="s" s="1">
        <f>HYPERLINK("http://141.218.60.56/~jnz1568/discussion.php?&amp;Z=8&amp;N=6&amp;Sheet=1&amp;Row=222&amp;Col=13","87.98")</f>
      </c>
      <c r="O223" t="s" s="1">
        <f>HYPERLINK("http://141.218.60.56/~jnz1568/discussion.php?&amp;Z=8&amp;N=6&amp;Sheet=1&amp;Row=222&amp;Col=14","")</f>
      </c>
      <c r="P223" t="s" s="1">
        <f>HYPERLINK("http://141.218.60.56/~jnz1568/discussion.php?&amp;Z=8&amp;N=6&amp;Sheet=1&amp;Row=222&amp;Col=15","")</f>
      </c>
      <c r="Q223" t="s" s="1">
        <f>HYPERLINK("http://141.218.60.56/~jnz1568/discussion.php?&amp;Z=8&amp;N=6&amp;Sheet=1&amp;Row=222&amp;Col=16","")</f>
      </c>
    </row>
    <row r="224">
      <c r="A224" t="s">
        <v>15</v>
      </c>
      <c r="B224" t="s">
        <v>16</v>
      </c>
      <c r="C224" t="s">
        <v>135</v>
      </c>
      <c r="D224" t="s">
        <v>15</v>
      </c>
      <c r="E224" t="s">
        <v>1080</v>
      </c>
      <c r="F224" t="s" s="1">
        <f>HYPERLINK("http://141.218.60.56/~jnz1568/discussion.php?&amp;Z=8&amp;N=6&amp;Sheet=1&amp;Row=223&amp;Col=5","96644000")</f>
      </c>
      <c r="G224" t="s" s="1">
        <f>HYPERLINK("http://141.218.60.56/~jnz1568/discussion.php?&amp;Z=8&amp;N=6&amp;Sheet=1&amp;Row=223&amp;Col=6","")</f>
      </c>
      <c r="H224" t="s" s="1">
        <f>HYPERLINK("http://141.218.60.56/~jnz1568/discussion.php?&amp;Z=8&amp;N=6&amp;Sheet=1&amp;Row=223&amp;Col=7","")</f>
      </c>
      <c r="I224" t="s" s="1">
        <f>HYPERLINK("http://141.218.60.56/~jnz1568/discussion.php?&amp;Z=8&amp;N=6&amp;Sheet=1&amp;Row=223&amp;Col=8","")</f>
      </c>
      <c r="J224" t="s" s="1">
        <f>HYPERLINK("http://141.218.60.56/~jnz1568/discussion.php?&amp;Z=8&amp;N=6&amp;Sheet=1&amp;Row=223&amp;Col=9","96320000")</f>
      </c>
      <c r="K224" t="s" s="1">
        <f>HYPERLINK("http://141.218.60.56/~jnz1568/discussion.php?&amp;Z=8&amp;N=6&amp;Sheet=1&amp;Row=223&amp;Col=10","")</f>
      </c>
      <c r="L224" t="s" s="1">
        <f>HYPERLINK("http://141.218.60.56/~jnz1568/discussion.php?&amp;Z=8&amp;N=6&amp;Sheet=1&amp;Row=223&amp;Col=11","")</f>
      </c>
      <c r="M224" t="s" s="1">
        <f>HYPERLINK("http://141.218.60.56/~jnz1568/discussion.php?&amp;Z=8&amp;N=6&amp;Sheet=1&amp;Row=223&amp;Col=12","")</f>
      </c>
      <c r="N224" t="s" s="1">
        <f>HYPERLINK("http://141.218.60.56/~jnz1568/discussion.php?&amp;Z=8&amp;N=6&amp;Sheet=1&amp;Row=223&amp;Col=13","68390000")</f>
      </c>
      <c r="O224" t="s" s="1">
        <f>HYPERLINK("http://141.218.60.56/~jnz1568/discussion.php?&amp;Z=8&amp;N=6&amp;Sheet=1&amp;Row=223&amp;Col=14","")</f>
      </c>
      <c r="P224" t="s" s="1">
        <f>HYPERLINK("http://141.218.60.56/~jnz1568/discussion.php?&amp;Z=8&amp;N=6&amp;Sheet=1&amp;Row=223&amp;Col=15","")</f>
      </c>
      <c r="Q224" t="s" s="1">
        <f>HYPERLINK("http://141.218.60.56/~jnz1568/discussion.php?&amp;Z=8&amp;N=6&amp;Sheet=1&amp;Row=223&amp;Col=16","")</f>
      </c>
    </row>
    <row r="225">
      <c r="A225" t="s">
        <v>15</v>
      </c>
      <c r="B225" t="s">
        <v>16</v>
      </c>
      <c r="C225" t="s">
        <v>135</v>
      </c>
      <c r="D225" t="s">
        <v>50</v>
      </c>
      <c r="E225" t="s">
        <v>1084</v>
      </c>
      <c r="F225" t="s" s="1">
        <f>HYPERLINK("http://141.218.60.56/~jnz1568/discussion.php?&amp;Z=8&amp;N=6&amp;Sheet=1&amp;Row=224&amp;Col=5","32752000")</f>
      </c>
      <c r="G225" t="s" s="1">
        <f>HYPERLINK("http://141.218.60.56/~jnz1568/discussion.php?&amp;Z=8&amp;N=6&amp;Sheet=1&amp;Row=224&amp;Col=6","")</f>
      </c>
      <c r="H225" t="s" s="1">
        <f>HYPERLINK("http://141.218.60.56/~jnz1568/discussion.php?&amp;Z=8&amp;N=6&amp;Sheet=1&amp;Row=224&amp;Col=7","")</f>
      </c>
      <c r="I225" t="s" s="1">
        <f>HYPERLINK("http://141.218.60.56/~jnz1568/discussion.php?&amp;Z=8&amp;N=6&amp;Sheet=1&amp;Row=224&amp;Col=8","")</f>
      </c>
      <c r="J225" t="s" s="1">
        <f>HYPERLINK("http://141.218.60.56/~jnz1568/discussion.php?&amp;Z=8&amp;N=6&amp;Sheet=1&amp;Row=224&amp;Col=9","32650000")</f>
      </c>
      <c r="K225" t="s" s="1">
        <f>HYPERLINK("http://141.218.60.56/~jnz1568/discussion.php?&amp;Z=8&amp;N=6&amp;Sheet=1&amp;Row=224&amp;Col=10","")</f>
      </c>
      <c r="L225" t="s" s="1">
        <f>HYPERLINK("http://141.218.60.56/~jnz1568/discussion.php?&amp;Z=8&amp;N=6&amp;Sheet=1&amp;Row=224&amp;Col=11","")</f>
      </c>
      <c r="M225" t="s" s="1">
        <f>HYPERLINK("http://141.218.60.56/~jnz1568/discussion.php?&amp;Z=8&amp;N=6&amp;Sheet=1&amp;Row=224&amp;Col=12","")</f>
      </c>
      <c r="N225" t="s" s="1">
        <f>HYPERLINK("http://141.218.60.56/~jnz1568/discussion.php?&amp;Z=8&amp;N=6&amp;Sheet=1&amp;Row=224&amp;Col=13","23010000")</f>
      </c>
      <c r="O225" t="s" s="1">
        <f>HYPERLINK("http://141.218.60.56/~jnz1568/discussion.php?&amp;Z=8&amp;N=6&amp;Sheet=1&amp;Row=224&amp;Col=14","")</f>
      </c>
      <c r="P225" t="s" s="1">
        <f>HYPERLINK("http://141.218.60.56/~jnz1568/discussion.php?&amp;Z=8&amp;N=6&amp;Sheet=1&amp;Row=224&amp;Col=15","")</f>
      </c>
      <c r="Q225" t="s" s="1">
        <f>HYPERLINK("http://141.218.60.56/~jnz1568/discussion.php?&amp;Z=8&amp;N=6&amp;Sheet=1&amp;Row=224&amp;Col=16","")</f>
      </c>
    </row>
    <row r="226">
      <c r="A226" t="s">
        <v>15</v>
      </c>
      <c r="B226" t="s">
        <v>16</v>
      </c>
      <c r="C226" t="s">
        <v>135</v>
      </c>
      <c r="D226" t="s">
        <v>53</v>
      </c>
      <c r="E226" t="s">
        <v>1088</v>
      </c>
      <c r="F226" t="s" s="1">
        <f>HYPERLINK("http://141.218.60.56/~jnz1568/discussion.php?&amp;Z=8&amp;N=6&amp;Sheet=1&amp;Row=225&amp;Col=5","2848800")</f>
      </c>
      <c r="G226" t="s" s="1">
        <f>HYPERLINK("http://141.218.60.56/~jnz1568/discussion.php?&amp;Z=8&amp;N=6&amp;Sheet=1&amp;Row=225&amp;Col=6","")</f>
      </c>
      <c r="H226" t="s" s="1">
        <f>HYPERLINK("http://141.218.60.56/~jnz1568/discussion.php?&amp;Z=8&amp;N=6&amp;Sheet=1&amp;Row=225&amp;Col=7","")</f>
      </c>
      <c r="I226" t="s" s="1">
        <f>HYPERLINK("http://141.218.60.56/~jnz1568/discussion.php?&amp;Z=8&amp;N=6&amp;Sheet=1&amp;Row=225&amp;Col=8","")</f>
      </c>
      <c r="J226" t="s" s="1">
        <f>HYPERLINK("http://141.218.60.56/~jnz1568/discussion.php?&amp;Z=8&amp;N=6&amp;Sheet=1&amp;Row=225&amp;Col=9","2882800")</f>
      </c>
      <c r="K226" t="s" s="1">
        <f>HYPERLINK("http://141.218.60.56/~jnz1568/discussion.php?&amp;Z=8&amp;N=6&amp;Sheet=1&amp;Row=225&amp;Col=10","")</f>
      </c>
      <c r="L226" t="s" s="1">
        <f>HYPERLINK("http://141.218.60.56/~jnz1568/discussion.php?&amp;Z=8&amp;N=6&amp;Sheet=1&amp;Row=225&amp;Col=11","")</f>
      </c>
      <c r="M226" t="s" s="1">
        <f>HYPERLINK("http://141.218.60.56/~jnz1568/discussion.php?&amp;Z=8&amp;N=6&amp;Sheet=1&amp;Row=225&amp;Col=12","")</f>
      </c>
      <c r="N226" t="s" s="1">
        <f>HYPERLINK("http://141.218.60.56/~jnz1568/discussion.php?&amp;Z=8&amp;N=6&amp;Sheet=1&amp;Row=225&amp;Col=13","9539000")</f>
      </c>
      <c r="O226" t="s" s="1">
        <f>HYPERLINK("http://141.218.60.56/~jnz1568/discussion.php?&amp;Z=8&amp;N=6&amp;Sheet=1&amp;Row=225&amp;Col=14","")</f>
      </c>
      <c r="P226" t="s" s="1">
        <f>HYPERLINK("http://141.218.60.56/~jnz1568/discussion.php?&amp;Z=8&amp;N=6&amp;Sheet=1&amp;Row=225&amp;Col=15","")</f>
      </c>
      <c r="Q226" t="s" s="1">
        <f>HYPERLINK("http://141.218.60.56/~jnz1568/discussion.php?&amp;Z=8&amp;N=6&amp;Sheet=1&amp;Row=225&amp;Col=16","")</f>
      </c>
    </row>
    <row r="227">
      <c r="A227" t="s">
        <v>15</v>
      </c>
      <c r="B227" t="s">
        <v>16</v>
      </c>
      <c r="C227" t="s">
        <v>135</v>
      </c>
      <c r="D227" t="s">
        <v>58</v>
      </c>
      <c r="E227" t="s">
        <v>1092</v>
      </c>
      <c r="F227" t="s" s="1">
        <f>HYPERLINK("http://141.218.60.56/~jnz1568/discussion.php?&amp;Z=8&amp;N=6&amp;Sheet=1&amp;Row=226&amp;Col=5","5059600")</f>
      </c>
      <c r="G227" t="s" s="1">
        <f>HYPERLINK("http://141.218.60.56/~jnz1568/discussion.php?&amp;Z=8&amp;N=6&amp;Sheet=1&amp;Row=226&amp;Col=6","")</f>
      </c>
      <c r="H227" t="s" s="1">
        <f>HYPERLINK("http://141.218.60.56/~jnz1568/discussion.php?&amp;Z=8&amp;N=6&amp;Sheet=1&amp;Row=226&amp;Col=7","")</f>
      </c>
      <c r="I227" t="s" s="1">
        <f>HYPERLINK("http://141.218.60.56/~jnz1568/discussion.php?&amp;Z=8&amp;N=6&amp;Sheet=1&amp;Row=226&amp;Col=8","")</f>
      </c>
      <c r="J227" t="s" s="1">
        <f>HYPERLINK("http://141.218.60.56/~jnz1568/discussion.php?&amp;Z=8&amp;N=6&amp;Sheet=1&amp;Row=226&amp;Col=9","5098400")</f>
      </c>
      <c r="K227" t="s" s="1">
        <f>HYPERLINK("http://141.218.60.56/~jnz1568/discussion.php?&amp;Z=8&amp;N=6&amp;Sheet=1&amp;Row=226&amp;Col=10","")</f>
      </c>
      <c r="L227" t="s" s="1">
        <f>HYPERLINK("http://141.218.60.56/~jnz1568/discussion.php?&amp;Z=8&amp;N=6&amp;Sheet=1&amp;Row=226&amp;Col=11","")</f>
      </c>
      <c r="M227" t="s" s="1">
        <f>HYPERLINK("http://141.218.60.56/~jnz1568/discussion.php?&amp;Z=8&amp;N=6&amp;Sheet=1&amp;Row=226&amp;Col=12","")</f>
      </c>
      <c r="N227" t="s" s="1">
        <f>HYPERLINK("http://141.218.60.56/~jnz1568/discussion.php?&amp;Z=8&amp;N=6&amp;Sheet=1&amp;Row=226&amp;Col=13","8850000")</f>
      </c>
      <c r="O227" t="s" s="1">
        <f>HYPERLINK("http://141.218.60.56/~jnz1568/discussion.php?&amp;Z=8&amp;N=6&amp;Sheet=1&amp;Row=226&amp;Col=14","")</f>
      </c>
      <c r="P227" t="s" s="1">
        <f>HYPERLINK("http://141.218.60.56/~jnz1568/discussion.php?&amp;Z=8&amp;N=6&amp;Sheet=1&amp;Row=226&amp;Col=15","")</f>
      </c>
      <c r="Q227" t="s" s="1">
        <f>HYPERLINK("http://141.218.60.56/~jnz1568/discussion.php?&amp;Z=8&amp;N=6&amp;Sheet=1&amp;Row=226&amp;Col=16","")</f>
      </c>
    </row>
    <row r="228">
      <c r="A228" t="s">
        <v>15</v>
      </c>
      <c r="B228" t="s">
        <v>16</v>
      </c>
      <c r="C228" t="s">
        <v>135</v>
      </c>
      <c r="D228" t="s">
        <v>61</v>
      </c>
      <c r="E228" t="s">
        <v>1096</v>
      </c>
      <c r="F228" t="s" s="1">
        <f>HYPERLINK("http://141.218.60.56/~jnz1568/discussion.php?&amp;Z=8&amp;N=6&amp;Sheet=1&amp;Row=227&amp;Col=5","5932300")</f>
      </c>
      <c r="G228" t="s" s="1">
        <f>HYPERLINK("http://141.218.60.56/~jnz1568/discussion.php?&amp;Z=8&amp;N=6&amp;Sheet=1&amp;Row=227&amp;Col=6","")</f>
      </c>
      <c r="H228" t="s" s="1">
        <f>HYPERLINK("http://141.218.60.56/~jnz1568/discussion.php?&amp;Z=8&amp;N=6&amp;Sheet=1&amp;Row=227&amp;Col=7","")</f>
      </c>
      <c r="I228" t="s" s="1">
        <f>HYPERLINK("http://141.218.60.56/~jnz1568/discussion.php?&amp;Z=8&amp;N=6&amp;Sheet=1&amp;Row=227&amp;Col=8","")</f>
      </c>
      <c r="J228" t="s" s="1">
        <f>HYPERLINK("http://141.218.60.56/~jnz1568/discussion.php?&amp;Z=8&amp;N=6&amp;Sheet=1&amp;Row=227&amp;Col=9","5984400")</f>
      </c>
      <c r="K228" t="s" s="1">
        <f>HYPERLINK("http://141.218.60.56/~jnz1568/discussion.php?&amp;Z=8&amp;N=6&amp;Sheet=1&amp;Row=227&amp;Col=10","")</f>
      </c>
      <c r="L228" t="s" s="1">
        <f>HYPERLINK("http://141.218.60.56/~jnz1568/discussion.php?&amp;Z=8&amp;N=6&amp;Sheet=1&amp;Row=227&amp;Col=11","")</f>
      </c>
      <c r="M228" t="s" s="1">
        <f>HYPERLINK("http://141.218.60.56/~jnz1568/discussion.php?&amp;Z=8&amp;N=6&amp;Sheet=1&amp;Row=227&amp;Col=12","")</f>
      </c>
      <c r="N228" t="s" s="1">
        <f>HYPERLINK("http://141.218.60.56/~jnz1568/discussion.php?&amp;Z=8&amp;N=6&amp;Sheet=1&amp;Row=227&amp;Col=13","11200000")</f>
      </c>
      <c r="O228" t="s" s="1">
        <f>HYPERLINK("http://141.218.60.56/~jnz1568/discussion.php?&amp;Z=8&amp;N=6&amp;Sheet=1&amp;Row=227&amp;Col=14","")</f>
      </c>
      <c r="P228" t="s" s="1">
        <f>HYPERLINK("http://141.218.60.56/~jnz1568/discussion.php?&amp;Z=8&amp;N=6&amp;Sheet=1&amp;Row=227&amp;Col=15","")</f>
      </c>
      <c r="Q228" t="s" s="1">
        <f>HYPERLINK("http://141.218.60.56/~jnz1568/discussion.php?&amp;Z=8&amp;N=6&amp;Sheet=1&amp;Row=227&amp;Col=16","")</f>
      </c>
    </row>
    <row r="229">
      <c r="A229" t="s">
        <v>15</v>
      </c>
      <c r="B229" t="s">
        <v>16</v>
      </c>
      <c r="C229" t="s">
        <v>135</v>
      </c>
      <c r="D229" t="s">
        <v>64</v>
      </c>
      <c r="E229" t="s">
        <v>1100</v>
      </c>
      <c r="F229" t="s" s="1">
        <f>HYPERLINK("http://141.218.60.56/~jnz1568/discussion.php?&amp;Z=8&amp;N=6&amp;Sheet=1&amp;Row=228&amp;Col=5","4000.8")</f>
      </c>
      <c r="G229" t="s" s="1">
        <f>HYPERLINK("http://141.218.60.56/~jnz1568/discussion.php?&amp;Z=8&amp;N=6&amp;Sheet=1&amp;Row=228&amp;Col=6","")</f>
      </c>
      <c r="H229" t="s" s="1">
        <f>HYPERLINK("http://141.218.60.56/~jnz1568/discussion.php?&amp;Z=8&amp;N=6&amp;Sheet=1&amp;Row=228&amp;Col=7","")</f>
      </c>
      <c r="I229" t="s" s="1">
        <f>HYPERLINK("http://141.218.60.56/~jnz1568/discussion.php?&amp;Z=8&amp;N=6&amp;Sheet=1&amp;Row=228&amp;Col=8","")</f>
      </c>
      <c r="J229" t="s" s="1">
        <f>HYPERLINK("http://141.218.60.56/~jnz1568/discussion.php?&amp;Z=8&amp;N=6&amp;Sheet=1&amp;Row=228&amp;Col=9","4049.9")</f>
      </c>
      <c r="K229" t="s" s="1">
        <f>HYPERLINK("http://141.218.60.56/~jnz1568/discussion.php?&amp;Z=8&amp;N=6&amp;Sheet=1&amp;Row=228&amp;Col=10","")</f>
      </c>
      <c r="L229" t="s" s="1">
        <f>HYPERLINK("http://141.218.60.56/~jnz1568/discussion.php?&amp;Z=8&amp;N=6&amp;Sheet=1&amp;Row=228&amp;Col=11","")</f>
      </c>
      <c r="M229" t="s" s="1">
        <f>HYPERLINK("http://141.218.60.56/~jnz1568/discussion.php?&amp;Z=8&amp;N=6&amp;Sheet=1&amp;Row=228&amp;Col=12","")</f>
      </c>
      <c r="N229" t="s" s="1">
        <f>HYPERLINK("http://141.218.60.56/~jnz1568/discussion.php?&amp;Z=8&amp;N=6&amp;Sheet=1&amp;Row=228&amp;Col=13","2948")</f>
      </c>
      <c r="O229" t="s" s="1">
        <f>HYPERLINK("http://141.218.60.56/~jnz1568/discussion.php?&amp;Z=8&amp;N=6&amp;Sheet=1&amp;Row=228&amp;Col=14","")</f>
      </c>
      <c r="P229" t="s" s="1">
        <f>HYPERLINK("http://141.218.60.56/~jnz1568/discussion.php?&amp;Z=8&amp;N=6&amp;Sheet=1&amp;Row=228&amp;Col=15","")</f>
      </c>
      <c r="Q229" t="s" s="1">
        <f>HYPERLINK("http://141.218.60.56/~jnz1568/discussion.php?&amp;Z=8&amp;N=6&amp;Sheet=1&amp;Row=228&amp;Col=16","")</f>
      </c>
    </row>
    <row r="230">
      <c r="A230" t="s">
        <v>15</v>
      </c>
      <c r="B230" t="s">
        <v>16</v>
      </c>
      <c r="C230" t="s">
        <v>135</v>
      </c>
      <c r="D230" t="s">
        <v>69</v>
      </c>
      <c r="E230" t="s">
        <v>1104</v>
      </c>
      <c r="F230" t="s" s="1">
        <f>HYPERLINK("http://141.218.60.56/~jnz1568/discussion.php?&amp;Z=8&amp;N=6&amp;Sheet=1&amp;Row=229&amp;Col=5","952690")</f>
      </c>
      <c r="G230" t="s" s="1">
        <f>HYPERLINK("http://141.218.60.56/~jnz1568/discussion.php?&amp;Z=8&amp;N=6&amp;Sheet=1&amp;Row=229&amp;Col=6","")</f>
      </c>
      <c r="H230" t="s" s="1">
        <f>HYPERLINK("http://141.218.60.56/~jnz1568/discussion.php?&amp;Z=8&amp;N=6&amp;Sheet=1&amp;Row=229&amp;Col=7","")</f>
      </c>
      <c r="I230" t="s" s="1">
        <f>HYPERLINK("http://141.218.60.56/~jnz1568/discussion.php?&amp;Z=8&amp;N=6&amp;Sheet=1&amp;Row=229&amp;Col=8","")</f>
      </c>
      <c r="J230" t="s" s="1">
        <f>HYPERLINK("http://141.218.60.56/~jnz1568/discussion.php?&amp;Z=8&amp;N=6&amp;Sheet=1&amp;Row=229&amp;Col=9","982890")</f>
      </c>
      <c r="K230" t="s" s="1">
        <f>HYPERLINK("http://141.218.60.56/~jnz1568/discussion.php?&amp;Z=8&amp;N=6&amp;Sheet=1&amp;Row=229&amp;Col=10","")</f>
      </c>
      <c r="L230" t="s" s="1">
        <f>HYPERLINK("http://141.218.60.56/~jnz1568/discussion.php?&amp;Z=8&amp;N=6&amp;Sheet=1&amp;Row=229&amp;Col=11","")</f>
      </c>
      <c r="M230" t="s" s="1">
        <f>HYPERLINK("http://141.218.60.56/~jnz1568/discussion.php?&amp;Z=8&amp;N=6&amp;Sheet=1&amp;Row=229&amp;Col=12","")</f>
      </c>
      <c r="N230" t="s" s="1">
        <f>HYPERLINK("http://141.218.60.56/~jnz1568/discussion.php?&amp;Z=8&amp;N=6&amp;Sheet=1&amp;Row=229&amp;Col=13","4111000")</f>
      </c>
      <c r="O230" t="s" s="1">
        <f>HYPERLINK("http://141.218.60.56/~jnz1568/discussion.php?&amp;Z=8&amp;N=6&amp;Sheet=1&amp;Row=229&amp;Col=14","")</f>
      </c>
      <c r="P230" t="s" s="1">
        <f>HYPERLINK("http://141.218.60.56/~jnz1568/discussion.php?&amp;Z=8&amp;N=6&amp;Sheet=1&amp;Row=229&amp;Col=15","")</f>
      </c>
      <c r="Q230" t="s" s="1">
        <f>HYPERLINK("http://141.218.60.56/~jnz1568/discussion.php?&amp;Z=8&amp;N=6&amp;Sheet=1&amp;Row=229&amp;Col=16","")</f>
      </c>
    </row>
    <row r="231">
      <c r="A231" t="s">
        <v>15</v>
      </c>
      <c r="B231" t="s">
        <v>16</v>
      </c>
      <c r="C231" t="s">
        <v>135</v>
      </c>
      <c r="D231" t="s">
        <v>74</v>
      </c>
      <c r="E231" t="s">
        <v>1108</v>
      </c>
      <c r="F231" t="s" s="1">
        <f>HYPERLINK("http://141.218.60.56/~jnz1568/discussion.php?&amp;Z=8&amp;N=6&amp;Sheet=1&amp;Row=230&amp;Col=5","516.28")</f>
      </c>
      <c r="G231" t="s" s="1">
        <f>HYPERLINK("http://141.218.60.56/~jnz1568/discussion.php?&amp;Z=8&amp;N=6&amp;Sheet=1&amp;Row=230&amp;Col=6","")</f>
      </c>
      <c r="H231" t="s" s="1">
        <f>HYPERLINK("http://141.218.60.56/~jnz1568/discussion.php?&amp;Z=8&amp;N=6&amp;Sheet=1&amp;Row=230&amp;Col=7","")</f>
      </c>
      <c r="I231" t="s" s="1">
        <f>HYPERLINK("http://141.218.60.56/~jnz1568/discussion.php?&amp;Z=8&amp;N=6&amp;Sheet=1&amp;Row=230&amp;Col=8","")</f>
      </c>
      <c r="J231" t="s" s="1">
        <f>HYPERLINK("http://141.218.60.56/~jnz1568/discussion.php?&amp;Z=8&amp;N=6&amp;Sheet=1&amp;Row=230&amp;Col=9","528.39")</f>
      </c>
      <c r="K231" t="s" s="1">
        <f>HYPERLINK("http://141.218.60.56/~jnz1568/discussion.php?&amp;Z=8&amp;N=6&amp;Sheet=1&amp;Row=230&amp;Col=10","")</f>
      </c>
      <c r="L231" t="s" s="1">
        <f>HYPERLINK("http://141.218.60.56/~jnz1568/discussion.php?&amp;Z=8&amp;N=6&amp;Sheet=1&amp;Row=230&amp;Col=11","")</f>
      </c>
      <c r="M231" t="s" s="1">
        <f>HYPERLINK("http://141.218.60.56/~jnz1568/discussion.php?&amp;Z=8&amp;N=6&amp;Sheet=1&amp;Row=230&amp;Col=12","")</f>
      </c>
      <c r="N231" t="s" s="1">
        <f>HYPERLINK("http://141.218.60.56/~jnz1568/discussion.php?&amp;Z=8&amp;N=6&amp;Sheet=1&amp;Row=230&amp;Col=13","47.21")</f>
      </c>
      <c r="O231" t="s" s="1">
        <f>HYPERLINK("http://141.218.60.56/~jnz1568/discussion.php?&amp;Z=8&amp;N=6&amp;Sheet=1&amp;Row=230&amp;Col=14","")</f>
      </c>
      <c r="P231" t="s" s="1">
        <f>HYPERLINK("http://141.218.60.56/~jnz1568/discussion.php?&amp;Z=8&amp;N=6&amp;Sheet=1&amp;Row=230&amp;Col=15","")</f>
      </c>
      <c r="Q231" t="s" s="1">
        <f>HYPERLINK("http://141.218.60.56/~jnz1568/discussion.php?&amp;Z=8&amp;N=6&amp;Sheet=1&amp;Row=230&amp;Col=16","")</f>
      </c>
    </row>
    <row r="232">
      <c r="A232" t="s">
        <v>15</v>
      </c>
      <c r="B232" t="s">
        <v>16</v>
      </c>
      <c r="C232" t="s">
        <v>135</v>
      </c>
      <c r="D232" t="s">
        <v>79</v>
      </c>
      <c r="E232" t="s">
        <v>1112</v>
      </c>
      <c r="F232" t="s" s="1">
        <f>HYPERLINK("http://141.218.60.56/~jnz1568/discussion.php?&amp;Z=8&amp;N=6&amp;Sheet=1&amp;Row=231&amp;Col=5","61582000")</f>
      </c>
      <c r="G232" t="s" s="1">
        <f>HYPERLINK("http://141.218.60.56/~jnz1568/discussion.php?&amp;Z=8&amp;N=6&amp;Sheet=1&amp;Row=231&amp;Col=6","")</f>
      </c>
      <c r="H232" t="s" s="1">
        <f>HYPERLINK("http://141.218.60.56/~jnz1568/discussion.php?&amp;Z=8&amp;N=6&amp;Sheet=1&amp;Row=231&amp;Col=7","")</f>
      </c>
      <c r="I232" t="s" s="1">
        <f>HYPERLINK("http://141.218.60.56/~jnz1568/discussion.php?&amp;Z=8&amp;N=6&amp;Sheet=1&amp;Row=231&amp;Col=8","")</f>
      </c>
      <c r="J232" t="s" s="1">
        <f>HYPERLINK("http://141.218.60.56/~jnz1568/discussion.php?&amp;Z=8&amp;N=6&amp;Sheet=1&amp;Row=231&amp;Col=9","62046000")</f>
      </c>
      <c r="K232" t="s" s="1">
        <f>HYPERLINK("http://141.218.60.56/~jnz1568/discussion.php?&amp;Z=8&amp;N=6&amp;Sheet=1&amp;Row=231&amp;Col=10","")</f>
      </c>
      <c r="L232" t="s" s="1">
        <f>HYPERLINK("http://141.218.60.56/~jnz1568/discussion.php?&amp;Z=8&amp;N=6&amp;Sheet=1&amp;Row=231&amp;Col=11","")</f>
      </c>
      <c r="M232" t="s" s="1">
        <f>HYPERLINK("http://141.218.60.56/~jnz1568/discussion.php?&amp;Z=8&amp;N=6&amp;Sheet=1&amp;Row=231&amp;Col=12","")</f>
      </c>
      <c r="N232" t="s" s="1">
        <f>HYPERLINK("http://141.218.60.56/~jnz1568/discussion.php?&amp;Z=8&amp;N=6&amp;Sheet=1&amp;Row=231&amp;Col=13","51340000")</f>
      </c>
      <c r="O232" t="s" s="1">
        <f>HYPERLINK("http://141.218.60.56/~jnz1568/discussion.php?&amp;Z=8&amp;N=6&amp;Sheet=1&amp;Row=231&amp;Col=14","")</f>
      </c>
      <c r="P232" t="s" s="1">
        <f>HYPERLINK("http://141.218.60.56/~jnz1568/discussion.php?&amp;Z=8&amp;N=6&amp;Sheet=1&amp;Row=231&amp;Col=15","")</f>
      </c>
      <c r="Q232" t="s" s="1">
        <f>HYPERLINK("http://141.218.60.56/~jnz1568/discussion.php?&amp;Z=8&amp;N=6&amp;Sheet=1&amp;Row=231&amp;Col=16","")</f>
      </c>
    </row>
    <row r="233">
      <c r="A233" t="s">
        <v>15</v>
      </c>
      <c r="B233" t="s">
        <v>16</v>
      </c>
      <c r="C233" t="s">
        <v>135</v>
      </c>
      <c r="D233" t="s">
        <v>84</v>
      </c>
      <c r="E233" t="s">
        <v>1116</v>
      </c>
      <c r="F233" t="s" s="1">
        <f>HYPERLINK("http://141.218.60.56/~jnz1568/discussion.php?&amp;Z=8&amp;N=6&amp;Sheet=1&amp;Row=232&amp;Col=5","45889000")</f>
      </c>
      <c r="G233" t="s" s="1">
        <f>HYPERLINK("http://141.218.60.56/~jnz1568/discussion.php?&amp;Z=8&amp;N=6&amp;Sheet=1&amp;Row=232&amp;Col=6","")</f>
      </c>
      <c r="H233" t="s" s="1">
        <f>HYPERLINK("http://141.218.60.56/~jnz1568/discussion.php?&amp;Z=8&amp;N=6&amp;Sheet=1&amp;Row=232&amp;Col=7","")</f>
      </c>
      <c r="I233" t="s" s="1">
        <f>HYPERLINK("http://141.218.60.56/~jnz1568/discussion.php?&amp;Z=8&amp;N=6&amp;Sheet=1&amp;Row=232&amp;Col=8","")</f>
      </c>
      <c r="J233" t="s" s="1">
        <f>HYPERLINK("http://141.218.60.56/~jnz1568/discussion.php?&amp;Z=8&amp;N=6&amp;Sheet=1&amp;Row=232&amp;Col=9","46252000")</f>
      </c>
      <c r="K233" t="s" s="1">
        <f>HYPERLINK("http://141.218.60.56/~jnz1568/discussion.php?&amp;Z=8&amp;N=6&amp;Sheet=1&amp;Row=232&amp;Col=10","")</f>
      </c>
      <c r="L233" t="s" s="1">
        <f>HYPERLINK("http://141.218.60.56/~jnz1568/discussion.php?&amp;Z=8&amp;N=6&amp;Sheet=1&amp;Row=232&amp;Col=11","")</f>
      </c>
      <c r="M233" t="s" s="1">
        <f>HYPERLINK("http://141.218.60.56/~jnz1568/discussion.php?&amp;Z=8&amp;N=6&amp;Sheet=1&amp;Row=232&amp;Col=12","")</f>
      </c>
      <c r="N233" t="s" s="1">
        <f>HYPERLINK("http://141.218.60.56/~jnz1568/discussion.php?&amp;Z=8&amp;N=6&amp;Sheet=1&amp;Row=232&amp;Col=13","38440000")</f>
      </c>
      <c r="O233" t="s" s="1">
        <f>HYPERLINK("http://141.218.60.56/~jnz1568/discussion.php?&amp;Z=8&amp;N=6&amp;Sheet=1&amp;Row=232&amp;Col=14","")</f>
      </c>
      <c r="P233" t="s" s="1">
        <f>HYPERLINK("http://141.218.60.56/~jnz1568/discussion.php?&amp;Z=8&amp;N=6&amp;Sheet=1&amp;Row=232&amp;Col=15","")</f>
      </c>
      <c r="Q233" t="s" s="1">
        <f>HYPERLINK("http://141.218.60.56/~jnz1568/discussion.php?&amp;Z=8&amp;N=6&amp;Sheet=1&amp;Row=232&amp;Col=16","")</f>
      </c>
    </row>
    <row r="234">
      <c r="A234" t="s">
        <v>15</v>
      </c>
      <c r="B234" t="s">
        <v>16</v>
      </c>
      <c r="C234" t="s">
        <v>135</v>
      </c>
      <c r="D234" t="s">
        <v>87</v>
      </c>
      <c r="E234" t="s">
        <v>1120</v>
      </c>
      <c r="F234" t="s" s="1">
        <f>HYPERLINK("http://141.218.60.56/~jnz1568/discussion.php?&amp;Z=8&amp;N=6&amp;Sheet=1&amp;Row=233&amp;Col=5","88529000")</f>
      </c>
      <c r="G234" t="s" s="1">
        <f>HYPERLINK("http://141.218.60.56/~jnz1568/discussion.php?&amp;Z=8&amp;N=6&amp;Sheet=1&amp;Row=233&amp;Col=6","")</f>
      </c>
      <c r="H234" t="s" s="1">
        <f>HYPERLINK("http://141.218.60.56/~jnz1568/discussion.php?&amp;Z=8&amp;N=6&amp;Sheet=1&amp;Row=233&amp;Col=7","")</f>
      </c>
      <c r="I234" t="s" s="1">
        <f>HYPERLINK("http://141.218.60.56/~jnz1568/discussion.php?&amp;Z=8&amp;N=6&amp;Sheet=1&amp;Row=233&amp;Col=8","")</f>
      </c>
      <c r="J234" t="s" s="1">
        <f>HYPERLINK("http://141.218.60.56/~jnz1568/discussion.php?&amp;Z=8&amp;N=6&amp;Sheet=1&amp;Row=233&amp;Col=9","89230000")</f>
      </c>
      <c r="K234" t="s" s="1">
        <f>HYPERLINK("http://141.218.60.56/~jnz1568/discussion.php?&amp;Z=8&amp;N=6&amp;Sheet=1&amp;Row=233&amp;Col=10","")</f>
      </c>
      <c r="L234" t="s" s="1">
        <f>HYPERLINK("http://141.218.60.56/~jnz1568/discussion.php?&amp;Z=8&amp;N=6&amp;Sheet=1&amp;Row=233&amp;Col=11","")</f>
      </c>
      <c r="M234" t="s" s="1">
        <f>HYPERLINK("http://141.218.60.56/~jnz1568/discussion.php?&amp;Z=8&amp;N=6&amp;Sheet=1&amp;Row=233&amp;Col=12","")</f>
      </c>
      <c r="N234" t="s" s="1">
        <f>HYPERLINK("http://141.218.60.56/~jnz1568/discussion.php?&amp;Z=8&amp;N=6&amp;Sheet=1&amp;Row=233&amp;Col=13","69080000")</f>
      </c>
      <c r="O234" t="s" s="1">
        <f>HYPERLINK("http://141.218.60.56/~jnz1568/discussion.php?&amp;Z=8&amp;N=6&amp;Sheet=1&amp;Row=233&amp;Col=14","")</f>
      </c>
      <c r="P234" t="s" s="1">
        <f>HYPERLINK("http://141.218.60.56/~jnz1568/discussion.php?&amp;Z=8&amp;N=6&amp;Sheet=1&amp;Row=233&amp;Col=15","")</f>
      </c>
      <c r="Q234" t="s" s="1">
        <f>HYPERLINK("http://141.218.60.56/~jnz1568/discussion.php?&amp;Z=8&amp;N=6&amp;Sheet=1&amp;Row=233&amp;Col=16","")</f>
      </c>
    </row>
    <row r="235">
      <c r="A235" t="s">
        <v>15</v>
      </c>
      <c r="B235" t="s">
        <v>16</v>
      </c>
      <c r="C235" t="s">
        <v>135</v>
      </c>
      <c r="D235" t="s">
        <v>90</v>
      </c>
      <c r="E235" t="s">
        <v>1124</v>
      </c>
      <c r="F235" t="s" s="1">
        <f>HYPERLINK("http://141.218.60.56/~jnz1568/discussion.php?&amp;Z=8&amp;N=6&amp;Sheet=1&amp;Row=234&amp;Col=5","55952")</f>
      </c>
      <c r="G235" t="s" s="1">
        <f>HYPERLINK("http://141.218.60.56/~jnz1568/discussion.php?&amp;Z=8&amp;N=6&amp;Sheet=1&amp;Row=234&amp;Col=6","")</f>
      </c>
      <c r="H235" t="s" s="1">
        <f>HYPERLINK("http://141.218.60.56/~jnz1568/discussion.php?&amp;Z=8&amp;N=6&amp;Sheet=1&amp;Row=234&amp;Col=7","")</f>
      </c>
      <c r="I235" t="s" s="1">
        <f>HYPERLINK("http://141.218.60.56/~jnz1568/discussion.php?&amp;Z=8&amp;N=6&amp;Sheet=1&amp;Row=234&amp;Col=8","")</f>
      </c>
      <c r="J235" t="s" s="1">
        <f>HYPERLINK("http://141.218.60.56/~jnz1568/discussion.php?&amp;Z=8&amp;N=6&amp;Sheet=1&amp;Row=234&amp;Col=9","55591")</f>
      </c>
      <c r="K235" t="s" s="1">
        <f>HYPERLINK("http://141.218.60.56/~jnz1568/discussion.php?&amp;Z=8&amp;N=6&amp;Sheet=1&amp;Row=234&amp;Col=10","")</f>
      </c>
      <c r="L235" t="s" s="1">
        <f>HYPERLINK("http://141.218.60.56/~jnz1568/discussion.php?&amp;Z=8&amp;N=6&amp;Sheet=1&amp;Row=234&amp;Col=11","")</f>
      </c>
      <c r="M235" t="s" s="1">
        <f>HYPERLINK("http://141.218.60.56/~jnz1568/discussion.php?&amp;Z=8&amp;N=6&amp;Sheet=1&amp;Row=234&amp;Col=12","")</f>
      </c>
      <c r="N235" t="s" s="1">
        <f>HYPERLINK("http://141.218.60.56/~jnz1568/discussion.php?&amp;Z=8&amp;N=6&amp;Sheet=1&amp;Row=234&amp;Col=13","14430")</f>
      </c>
      <c r="O235" t="s" s="1">
        <f>HYPERLINK("http://141.218.60.56/~jnz1568/discussion.php?&amp;Z=8&amp;N=6&amp;Sheet=1&amp;Row=234&amp;Col=14","")</f>
      </c>
      <c r="P235" t="s" s="1">
        <f>HYPERLINK("http://141.218.60.56/~jnz1568/discussion.php?&amp;Z=8&amp;N=6&amp;Sheet=1&amp;Row=234&amp;Col=15","")</f>
      </c>
      <c r="Q235" t="s" s="1">
        <f>HYPERLINK("http://141.218.60.56/~jnz1568/discussion.php?&amp;Z=8&amp;N=6&amp;Sheet=1&amp;Row=234&amp;Col=16","")</f>
      </c>
    </row>
    <row r="236">
      <c r="A236" t="s">
        <v>15</v>
      </c>
      <c r="B236" t="s">
        <v>16</v>
      </c>
      <c r="C236" t="s">
        <v>138</v>
      </c>
      <c r="D236" t="s">
        <v>16</v>
      </c>
      <c r="E236" t="s">
        <v>1128</v>
      </c>
      <c r="F236" t="s" s="1">
        <f>HYPERLINK("http://141.218.60.56/~jnz1568/discussion.php?&amp;Z=8&amp;N=6&amp;Sheet=1&amp;Row=235&amp;Col=5","55.517")</f>
      </c>
      <c r="G236" t="s" s="1">
        <f>HYPERLINK("http://141.218.60.56/~jnz1568/discussion.php?&amp;Z=8&amp;N=6&amp;Sheet=1&amp;Row=235&amp;Col=6","")</f>
      </c>
      <c r="H236" t="s" s="1">
        <f>HYPERLINK("http://141.218.60.56/~jnz1568/discussion.php?&amp;Z=8&amp;N=6&amp;Sheet=1&amp;Row=235&amp;Col=7","")</f>
      </c>
      <c r="I236" t="s" s="1">
        <f>HYPERLINK("http://141.218.60.56/~jnz1568/discussion.php?&amp;Z=8&amp;N=6&amp;Sheet=1&amp;Row=235&amp;Col=8","")</f>
      </c>
      <c r="J236" t="s" s="1">
        <f>HYPERLINK("http://141.218.60.56/~jnz1568/discussion.php?&amp;Z=8&amp;N=6&amp;Sheet=1&amp;Row=235&amp;Col=9","56.036")</f>
      </c>
      <c r="K236" t="s" s="1">
        <f>HYPERLINK("http://141.218.60.56/~jnz1568/discussion.php?&amp;Z=8&amp;N=6&amp;Sheet=1&amp;Row=235&amp;Col=10","")</f>
      </c>
      <c r="L236" t="s" s="1">
        <f>HYPERLINK("http://141.218.60.56/~jnz1568/discussion.php?&amp;Z=8&amp;N=6&amp;Sheet=1&amp;Row=235&amp;Col=11","")</f>
      </c>
      <c r="M236" t="s" s="1">
        <f>HYPERLINK("http://141.218.60.56/~jnz1568/discussion.php?&amp;Z=8&amp;N=6&amp;Sheet=1&amp;Row=235&amp;Col=12","")</f>
      </c>
      <c r="N236" t="s" s="1">
        <f>HYPERLINK("http://141.218.60.56/~jnz1568/discussion.php?&amp;Z=8&amp;N=6&amp;Sheet=1&amp;Row=235&amp;Col=13","112.6")</f>
      </c>
      <c r="O236" t="s" s="1">
        <f>HYPERLINK("http://141.218.60.56/~jnz1568/discussion.php?&amp;Z=8&amp;N=6&amp;Sheet=1&amp;Row=235&amp;Col=14","")</f>
      </c>
      <c r="P236" t="s" s="1">
        <f>HYPERLINK("http://141.218.60.56/~jnz1568/discussion.php?&amp;Z=8&amp;N=6&amp;Sheet=1&amp;Row=235&amp;Col=15","")</f>
      </c>
      <c r="Q236" t="s" s="1">
        <f>HYPERLINK("http://141.218.60.56/~jnz1568/discussion.php?&amp;Z=8&amp;N=6&amp;Sheet=1&amp;Row=235&amp;Col=16","")</f>
      </c>
    </row>
    <row r="237">
      <c r="A237" t="s">
        <v>15</v>
      </c>
      <c r="B237" t="s">
        <v>16</v>
      </c>
      <c r="C237" t="s">
        <v>138</v>
      </c>
      <c r="D237" t="s">
        <v>43</v>
      </c>
      <c r="E237" t="s">
        <v>1132</v>
      </c>
      <c r="F237" t="s" s="1">
        <f>HYPERLINK("http://141.218.60.56/~jnz1568/discussion.php?&amp;Z=8&amp;N=6&amp;Sheet=1&amp;Row=236&amp;Col=5","109900000")</f>
      </c>
      <c r="G237" t="s" s="1">
        <f>HYPERLINK("http://141.218.60.56/~jnz1568/discussion.php?&amp;Z=8&amp;N=6&amp;Sheet=1&amp;Row=236&amp;Col=6","")</f>
      </c>
      <c r="H237" t="s" s="1">
        <f>HYPERLINK("http://141.218.60.56/~jnz1568/discussion.php?&amp;Z=8&amp;N=6&amp;Sheet=1&amp;Row=236&amp;Col=7","")</f>
      </c>
      <c r="I237" t="s" s="1">
        <f>HYPERLINK("http://141.218.60.56/~jnz1568/discussion.php?&amp;Z=8&amp;N=6&amp;Sheet=1&amp;Row=236&amp;Col=8","")</f>
      </c>
      <c r="J237" t="s" s="1">
        <f>HYPERLINK("http://141.218.60.56/~jnz1568/discussion.php?&amp;Z=8&amp;N=6&amp;Sheet=1&amp;Row=236&amp;Col=9","109550000")</f>
      </c>
      <c r="K237" t="s" s="1">
        <f>HYPERLINK("http://141.218.60.56/~jnz1568/discussion.php?&amp;Z=8&amp;N=6&amp;Sheet=1&amp;Row=236&amp;Col=10","")</f>
      </c>
      <c r="L237" t="s" s="1">
        <f>HYPERLINK("http://141.218.60.56/~jnz1568/discussion.php?&amp;Z=8&amp;N=6&amp;Sheet=1&amp;Row=236&amp;Col=11","")</f>
      </c>
      <c r="M237" t="s" s="1">
        <f>HYPERLINK("http://141.218.60.56/~jnz1568/discussion.php?&amp;Z=8&amp;N=6&amp;Sheet=1&amp;Row=236&amp;Col=12","")</f>
      </c>
      <c r="N237" t="s" s="1">
        <f>HYPERLINK("http://141.218.60.56/~jnz1568/discussion.php?&amp;Z=8&amp;N=6&amp;Sheet=1&amp;Row=236&amp;Col=13","79500000")</f>
      </c>
      <c r="O237" t="s" s="1">
        <f>HYPERLINK("http://141.218.60.56/~jnz1568/discussion.php?&amp;Z=8&amp;N=6&amp;Sheet=1&amp;Row=236&amp;Col=14","")</f>
      </c>
      <c r="P237" t="s" s="1">
        <f>HYPERLINK("http://141.218.60.56/~jnz1568/discussion.php?&amp;Z=8&amp;N=6&amp;Sheet=1&amp;Row=236&amp;Col=15","")</f>
      </c>
      <c r="Q237" t="s" s="1">
        <f>HYPERLINK("http://141.218.60.56/~jnz1568/discussion.php?&amp;Z=8&amp;N=6&amp;Sheet=1&amp;Row=236&amp;Col=16","")</f>
      </c>
    </row>
    <row r="238">
      <c r="A238" t="s">
        <v>15</v>
      </c>
      <c r="B238" t="s">
        <v>16</v>
      </c>
      <c r="C238" t="s">
        <v>138</v>
      </c>
      <c r="D238" t="s">
        <v>15</v>
      </c>
      <c r="E238" t="s">
        <v>1136</v>
      </c>
      <c r="F238" t="s" s="1">
        <f>HYPERLINK("http://141.218.60.56/~jnz1568/discussion.php?&amp;Z=8&amp;N=6&amp;Sheet=1&amp;Row=237&amp;Col=5","20099000")</f>
      </c>
      <c r="G238" t="s" s="1">
        <f>HYPERLINK("http://141.218.60.56/~jnz1568/discussion.php?&amp;Z=8&amp;N=6&amp;Sheet=1&amp;Row=237&amp;Col=6","")</f>
      </c>
      <c r="H238" t="s" s="1">
        <f>HYPERLINK("http://141.218.60.56/~jnz1568/discussion.php?&amp;Z=8&amp;N=6&amp;Sheet=1&amp;Row=237&amp;Col=7","")</f>
      </c>
      <c r="I238" t="s" s="1">
        <f>HYPERLINK("http://141.218.60.56/~jnz1568/discussion.php?&amp;Z=8&amp;N=6&amp;Sheet=1&amp;Row=237&amp;Col=8","")</f>
      </c>
      <c r="J238" t="s" s="1">
        <f>HYPERLINK("http://141.218.60.56/~jnz1568/discussion.php?&amp;Z=8&amp;N=6&amp;Sheet=1&amp;Row=237&amp;Col=9","20043000")</f>
      </c>
      <c r="K238" t="s" s="1">
        <f>HYPERLINK("http://141.218.60.56/~jnz1568/discussion.php?&amp;Z=8&amp;N=6&amp;Sheet=1&amp;Row=237&amp;Col=10","")</f>
      </c>
      <c r="L238" t="s" s="1">
        <f>HYPERLINK("http://141.218.60.56/~jnz1568/discussion.php?&amp;Z=8&amp;N=6&amp;Sheet=1&amp;Row=237&amp;Col=11","")</f>
      </c>
      <c r="M238" t="s" s="1">
        <f>HYPERLINK("http://141.218.60.56/~jnz1568/discussion.php?&amp;Z=8&amp;N=6&amp;Sheet=1&amp;Row=237&amp;Col=12","")</f>
      </c>
      <c r="N238" t="s" s="1">
        <f>HYPERLINK("http://141.218.60.56/~jnz1568/discussion.php?&amp;Z=8&amp;N=6&amp;Sheet=1&amp;Row=237&amp;Col=13","14380000")</f>
      </c>
      <c r="O238" t="s" s="1">
        <f>HYPERLINK("http://141.218.60.56/~jnz1568/discussion.php?&amp;Z=8&amp;N=6&amp;Sheet=1&amp;Row=237&amp;Col=14","")</f>
      </c>
      <c r="P238" t="s" s="1">
        <f>HYPERLINK("http://141.218.60.56/~jnz1568/discussion.php?&amp;Z=8&amp;N=6&amp;Sheet=1&amp;Row=237&amp;Col=15","")</f>
      </c>
      <c r="Q238" t="s" s="1">
        <f>HYPERLINK("http://141.218.60.56/~jnz1568/discussion.php?&amp;Z=8&amp;N=6&amp;Sheet=1&amp;Row=237&amp;Col=16","")</f>
      </c>
    </row>
    <row r="239">
      <c r="A239" t="s">
        <v>15</v>
      </c>
      <c r="B239" t="s">
        <v>16</v>
      </c>
      <c r="C239" t="s">
        <v>138</v>
      </c>
      <c r="D239" t="s">
        <v>50</v>
      </c>
      <c r="E239" t="s">
        <v>1140</v>
      </c>
      <c r="F239" t="s" s="1">
        <f>HYPERLINK("http://141.218.60.56/~jnz1568/discussion.php?&amp;Z=8&amp;N=6&amp;Sheet=1&amp;Row=238&amp;Col=5","1360300")</f>
      </c>
      <c r="G239" t="s" s="1">
        <f>HYPERLINK("http://141.218.60.56/~jnz1568/discussion.php?&amp;Z=8&amp;N=6&amp;Sheet=1&amp;Row=238&amp;Col=6","")</f>
      </c>
      <c r="H239" t="s" s="1">
        <f>HYPERLINK("http://141.218.60.56/~jnz1568/discussion.php?&amp;Z=8&amp;N=6&amp;Sheet=1&amp;Row=238&amp;Col=7","")</f>
      </c>
      <c r="I239" t="s" s="1">
        <f>HYPERLINK("http://141.218.60.56/~jnz1568/discussion.php?&amp;Z=8&amp;N=6&amp;Sheet=1&amp;Row=238&amp;Col=8","")</f>
      </c>
      <c r="J239" t="s" s="1">
        <f>HYPERLINK("http://141.218.60.56/~jnz1568/discussion.php?&amp;Z=8&amp;N=6&amp;Sheet=1&amp;Row=238&amp;Col=9","1356900")</f>
      </c>
      <c r="K239" t="s" s="1">
        <f>HYPERLINK("http://141.218.60.56/~jnz1568/discussion.php?&amp;Z=8&amp;N=6&amp;Sheet=1&amp;Row=238&amp;Col=10","")</f>
      </c>
      <c r="L239" t="s" s="1">
        <f>HYPERLINK("http://141.218.60.56/~jnz1568/discussion.php?&amp;Z=8&amp;N=6&amp;Sheet=1&amp;Row=238&amp;Col=11","")</f>
      </c>
      <c r="M239" t="s" s="1">
        <f>HYPERLINK("http://141.218.60.56/~jnz1568/discussion.php?&amp;Z=8&amp;N=6&amp;Sheet=1&amp;Row=238&amp;Col=12","")</f>
      </c>
      <c r="N239" t="s" s="1">
        <f>HYPERLINK("http://141.218.60.56/~jnz1568/discussion.php?&amp;Z=8&amp;N=6&amp;Sheet=1&amp;Row=238&amp;Col=13","964500")</f>
      </c>
      <c r="O239" t="s" s="1">
        <f>HYPERLINK("http://141.218.60.56/~jnz1568/discussion.php?&amp;Z=8&amp;N=6&amp;Sheet=1&amp;Row=238&amp;Col=14","")</f>
      </c>
      <c r="P239" t="s" s="1">
        <f>HYPERLINK("http://141.218.60.56/~jnz1568/discussion.php?&amp;Z=8&amp;N=6&amp;Sheet=1&amp;Row=238&amp;Col=15","")</f>
      </c>
      <c r="Q239" t="s" s="1">
        <f>HYPERLINK("http://141.218.60.56/~jnz1568/discussion.php?&amp;Z=8&amp;N=6&amp;Sheet=1&amp;Row=238&amp;Col=16","")</f>
      </c>
    </row>
    <row r="240">
      <c r="A240" t="s">
        <v>15</v>
      </c>
      <c r="B240" t="s">
        <v>16</v>
      </c>
      <c r="C240" t="s">
        <v>138</v>
      </c>
      <c r="D240" t="s">
        <v>53</v>
      </c>
      <c r="E240" t="s">
        <v>1144</v>
      </c>
      <c r="F240" t="s" s="1">
        <f>HYPERLINK("http://141.218.60.56/~jnz1568/discussion.php?&amp;Z=8&amp;N=6&amp;Sheet=1&amp;Row=239&amp;Col=5","9668600")</f>
      </c>
      <c r="G240" t="s" s="1">
        <f>HYPERLINK("http://141.218.60.56/~jnz1568/discussion.php?&amp;Z=8&amp;N=6&amp;Sheet=1&amp;Row=239&amp;Col=6","")</f>
      </c>
      <c r="H240" t="s" s="1">
        <f>HYPERLINK("http://141.218.60.56/~jnz1568/discussion.php?&amp;Z=8&amp;N=6&amp;Sheet=1&amp;Row=239&amp;Col=7","")</f>
      </c>
      <c r="I240" t="s" s="1">
        <f>HYPERLINK("http://141.218.60.56/~jnz1568/discussion.php?&amp;Z=8&amp;N=6&amp;Sheet=1&amp;Row=239&amp;Col=8","")</f>
      </c>
      <c r="J240" t="s" s="1">
        <f>HYPERLINK("http://141.218.60.56/~jnz1568/discussion.php?&amp;Z=8&amp;N=6&amp;Sheet=1&amp;Row=239&amp;Col=9","9751900")</f>
      </c>
      <c r="K240" t="s" s="1">
        <f>HYPERLINK("http://141.218.60.56/~jnz1568/discussion.php?&amp;Z=8&amp;N=6&amp;Sheet=1&amp;Row=239&amp;Col=10","")</f>
      </c>
      <c r="L240" t="s" s="1">
        <f>HYPERLINK("http://141.218.60.56/~jnz1568/discussion.php?&amp;Z=8&amp;N=6&amp;Sheet=1&amp;Row=239&amp;Col=11","")</f>
      </c>
      <c r="M240" t="s" s="1">
        <f>HYPERLINK("http://141.218.60.56/~jnz1568/discussion.php?&amp;Z=8&amp;N=6&amp;Sheet=1&amp;Row=239&amp;Col=12","")</f>
      </c>
      <c r="N240" t="s" s="1">
        <f>HYPERLINK("http://141.218.60.56/~jnz1568/discussion.php?&amp;Z=8&amp;N=6&amp;Sheet=1&amp;Row=239&amp;Col=13","21490000")</f>
      </c>
      <c r="O240" t="s" s="1">
        <f>HYPERLINK("http://141.218.60.56/~jnz1568/discussion.php?&amp;Z=8&amp;N=6&amp;Sheet=1&amp;Row=239&amp;Col=14","")</f>
      </c>
      <c r="P240" t="s" s="1">
        <f>HYPERLINK("http://141.218.60.56/~jnz1568/discussion.php?&amp;Z=8&amp;N=6&amp;Sheet=1&amp;Row=239&amp;Col=15","")</f>
      </c>
      <c r="Q240" t="s" s="1">
        <f>HYPERLINK("http://141.218.60.56/~jnz1568/discussion.php?&amp;Z=8&amp;N=6&amp;Sheet=1&amp;Row=239&amp;Col=16","")</f>
      </c>
    </row>
    <row r="241">
      <c r="A241" t="s">
        <v>15</v>
      </c>
      <c r="B241" t="s">
        <v>16</v>
      </c>
      <c r="C241" t="s">
        <v>138</v>
      </c>
      <c r="D241" t="s">
        <v>58</v>
      </c>
      <c r="E241" t="s">
        <v>1148</v>
      </c>
      <c r="F241" t="s" s="1">
        <f>HYPERLINK("http://141.218.60.56/~jnz1568/discussion.php?&amp;Z=8&amp;N=6&amp;Sheet=1&amp;Row=240&amp;Col=5","3713600")</f>
      </c>
      <c r="G241" t="s" s="1">
        <f>HYPERLINK("http://141.218.60.56/~jnz1568/discussion.php?&amp;Z=8&amp;N=6&amp;Sheet=1&amp;Row=240&amp;Col=6","")</f>
      </c>
      <c r="H241" t="s" s="1">
        <f>HYPERLINK("http://141.218.60.56/~jnz1568/discussion.php?&amp;Z=8&amp;N=6&amp;Sheet=1&amp;Row=240&amp;Col=7","")</f>
      </c>
      <c r="I241" t="s" s="1">
        <f>HYPERLINK("http://141.218.60.56/~jnz1568/discussion.php?&amp;Z=8&amp;N=6&amp;Sheet=1&amp;Row=240&amp;Col=8","")</f>
      </c>
      <c r="J241" t="s" s="1">
        <f>HYPERLINK("http://141.218.60.56/~jnz1568/discussion.php?&amp;Z=8&amp;N=6&amp;Sheet=1&amp;Row=240&amp;Col=9","3748100")</f>
      </c>
      <c r="K241" t="s" s="1">
        <f>HYPERLINK("http://141.218.60.56/~jnz1568/discussion.php?&amp;Z=8&amp;N=6&amp;Sheet=1&amp;Row=240&amp;Col=10","")</f>
      </c>
      <c r="L241" t="s" s="1">
        <f>HYPERLINK("http://141.218.60.56/~jnz1568/discussion.php?&amp;Z=8&amp;N=6&amp;Sheet=1&amp;Row=240&amp;Col=11","")</f>
      </c>
      <c r="M241" t="s" s="1">
        <f>HYPERLINK("http://141.218.60.56/~jnz1568/discussion.php?&amp;Z=8&amp;N=6&amp;Sheet=1&amp;Row=240&amp;Col=12","")</f>
      </c>
      <c r="N241" t="s" s="1">
        <f>HYPERLINK("http://141.218.60.56/~jnz1568/discussion.php?&amp;Z=8&amp;N=6&amp;Sheet=1&amp;Row=240&amp;Col=13","7676000")</f>
      </c>
      <c r="O241" t="s" s="1">
        <f>HYPERLINK("http://141.218.60.56/~jnz1568/discussion.php?&amp;Z=8&amp;N=6&amp;Sheet=1&amp;Row=240&amp;Col=14","")</f>
      </c>
      <c r="P241" t="s" s="1">
        <f>HYPERLINK("http://141.218.60.56/~jnz1568/discussion.php?&amp;Z=8&amp;N=6&amp;Sheet=1&amp;Row=240&amp;Col=15","")</f>
      </c>
      <c r="Q241" t="s" s="1">
        <f>HYPERLINK("http://141.218.60.56/~jnz1568/discussion.php?&amp;Z=8&amp;N=6&amp;Sheet=1&amp;Row=240&amp;Col=16","")</f>
      </c>
    </row>
    <row r="242">
      <c r="A242" t="s">
        <v>15</v>
      </c>
      <c r="B242" t="s">
        <v>16</v>
      </c>
      <c r="C242" t="s">
        <v>138</v>
      </c>
      <c r="D242" t="s">
        <v>64</v>
      </c>
      <c r="E242" t="s">
        <v>1152</v>
      </c>
      <c r="F242" t="s" s="1">
        <f>HYPERLINK("http://141.218.60.56/~jnz1568/discussion.php?&amp;Z=8&amp;N=6&amp;Sheet=1&amp;Row=241&amp;Col=5","76847")</f>
      </c>
      <c r="G242" t="s" s="1">
        <f>HYPERLINK("http://141.218.60.56/~jnz1568/discussion.php?&amp;Z=8&amp;N=6&amp;Sheet=1&amp;Row=241&amp;Col=6","")</f>
      </c>
      <c r="H242" t="s" s="1">
        <f>HYPERLINK("http://141.218.60.56/~jnz1568/discussion.php?&amp;Z=8&amp;N=6&amp;Sheet=1&amp;Row=241&amp;Col=7","")</f>
      </c>
      <c r="I242" t="s" s="1">
        <f>HYPERLINK("http://141.218.60.56/~jnz1568/discussion.php?&amp;Z=8&amp;N=6&amp;Sheet=1&amp;Row=241&amp;Col=8","")</f>
      </c>
      <c r="J242" t="s" s="1">
        <f>HYPERLINK("http://141.218.60.56/~jnz1568/discussion.php?&amp;Z=8&amp;N=6&amp;Sheet=1&amp;Row=241&amp;Col=9","98714")</f>
      </c>
      <c r="K242" t="s" s="1">
        <f>HYPERLINK("http://141.218.60.56/~jnz1568/discussion.php?&amp;Z=8&amp;N=6&amp;Sheet=1&amp;Row=241&amp;Col=10","")</f>
      </c>
      <c r="L242" t="s" s="1">
        <f>HYPERLINK("http://141.218.60.56/~jnz1568/discussion.php?&amp;Z=8&amp;N=6&amp;Sheet=1&amp;Row=241&amp;Col=11","")</f>
      </c>
      <c r="M242" t="s" s="1">
        <f>HYPERLINK("http://141.218.60.56/~jnz1568/discussion.php?&amp;Z=8&amp;N=6&amp;Sheet=1&amp;Row=241&amp;Col=12","")</f>
      </c>
      <c r="N242" t="s" s="1">
        <f>HYPERLINK("http://141.218.60.56/~jnz1568/discussion.php?&amp;Z=8&amp;N=6&amp;Sheet=1&amp;Row=241&amp;Col=13","90810")</f>
      </c>
      <c r="O242" t="s" s="1">
        <f>HYPERLINK("http://141.218.60.56/~jnz1568/discussion.php?&amp;Z=8&amp;N=6&amp;Sheet=1&amp;Row=241&amp;Col=14","")</f>
      </c>
      <c r="P242" t="s" s="1">
        <f>HYPERLINK("http://141.218.60.56/~jnz1568/discussion.php?&amp;Z=8&amp;N=6&amp;Sheet=1&amp;Row=241&amp;Col=15","")</f>
      </c>
      <c r="Q242" t="s" s="1">
        <f>HYPERLINK("http://141.218.60.56/~jnz1568/discussion.php?&amp;Z=8&amp;N=6&amp;Sheet=1&amp;Row=241&amp;Col=16","")</f>
      </c>
    </row>
    <row r="243">
      <c r="A243" t="s">
        <v>15</v>
      </c>
      <c r="B243" t="s">
        <v>16</v>
      </c>
      <c r="C243" t="s">
        <v>138</v>
      </c>
      <c r="D243" t="s">
        <v>69</v>
      </c>
      <c r="E243" t="s">
        <v>1156</v>
      </c>
      <c r="F243" t="s" s="1">
        <f>HYPERLINK("http://141.218.60.56/~jnz1568/discussion.php?&amp;Z=8&amp;N=6&amp;Sheet=1&amp;Row=242&amp;Col=5","880790")</f>
      </c>
      <c r="G243" t="s" s="1">
        <f>HYPERLINK("http://141.218.60.56/~jnz1568/discussion.php?&amp;Z=8&amp;N=6&amp;Sheet=1&amp;Row=242&amp;Col=6","")</f>
      </c>
      <c r="H243" t="s" s="1">
        <f>HYPERLINK("http://141.218.60.56/~jnz1568/discussion.php?&amp;Z=8&amp;N=6&amp;Sheet=1&amp;Row=242&amp;Col=7","")</f>
      </c>
      <c r="I243" t="s" s="1">
        <f>HYPERLINK("http://141.218.60.56/~jnz1568/discussion.php?&amp;Z=8&amp;N=6&amp;Sheet=1&amp;Row=242&amp;Col=8","")</f>
      </c>
      <c r="J243" t="s" s="1">
        <f>HYPERLINK("http://141.218.60.56/~jnz1568/discussion.php?&amp;Z=8&amp;N=6&amp;Sheet=1&amp;Row=242&amp;Col=9","908710")</f>
      </c>
      <c r="K243" t="s" s="1">
        <f>HYPERLINK("http://141.218.60.56/~jnz1568/discussion.php?&amp;Z=8&amp;N=6&amp;Sheet=1&amp;Row=242&amp;Col=10","")</f>
      </c>
      <c r="L243" t="s" s="1">
        <f>HYPERLINK("http://141.218.60.56/~jnz1568/discussion.php?&amp;Z=8&amp;N=6&amp;Sheet=1&amp;Row=242&amp;Col=11","")</f>
      </c>
      <c r="M243" t="s" s="1">
        <f>HYPERLINK("http://141.218.60.56/~jnz1568/discussion.php?&amp;Z=8&amp;N=6&amp;Sheet=1&amp;Row=242&amp;Col=12","")</f>
      </c>
      <c r="N243" t="s" s="1">
        <f>HYPERLINK("http://141.218.60.56/~jnz1568/discussion.php?&amp;Z=8&amp;N=6&amp;Sheet=1&amp;Row=242&amp;Col=13","3825000")</f>
      </c>
      <c r="O243" t="s" s="1">
        <f>HYPERLINK("http://141.218.60.56/~jnz1568/discussion.php?&amp;Z=8&amp;N=6&amp;Sheet=1&amp;Row=242&amp;Col=14","")</f>
      </c>
      <c r="P243" t="s" s="1">
        <f>HYPERLINK("http://141.218.60.56/~jnz1568/discussion.php?&amp;Z=8&amp;N=6&amp;Sheet=1&amp;Row=242&amp;Col=15","")</f>
      </c>
      <c r="Q243" t="s" s="1">
        <f>HYPERLINK("http://141.218.60.56/~jnz1568/discussion.php?&amp;Z=8&amp;N=6&amp;Sheet=1&amp;Row=242&amp;Col=16","")</f>
      </c>
    </row>
    <row r="244">
      <c r="A244" t="s">
        <v>15</v>
      </c>
      <c r="B244" t="s">
        <v>16</v>
      </c>
      <c r="C244" t="s">
        <v>138</v>
      </c>
      <c r="D244" t="s">
        <v>74</v>
      </c>
      <c r="E244" t="s">
        <v>1160</v>
      </c>
      <c r="F244" t="s" s="1">
        <f>HYPERLINK("http://141.218.60.56/~jnz1568/discussion.php?&amp;Z=8&amp;N=6&amp;Sheet=1&amp;Row=243&amp;Col=5","731.47")</f>
      </c>
      <c r="G244" t="s" s="1">
        <f>HYPERLINK("http://141.218.60.56/~jnz1568/discussion.php?&amp;Z=8&amp;N=6&amp;Sheet=1&amp;Row=243&amp;Col=6","")</f>
      </c>
      <c r="H244" t="s" s="1">
        <f>HYPERLINK("http://141.218.60.56/~jnz1568/discussion.php?&amp;Z=8&amp;N=6&amp;Sheet=1&amp;Row=243&amp;Col=7","")</f>
      </c>
      <c r="I244" t="s" s="1">
        <f>HYPERLINK("http://141.218.60.56/~jnz1568/discussion.php?&amp;Z=8&amp;N=6&amp;Sheet=1&amp;Row=243&amp;Col=8","")</f>
      </c>
      <c r="J244" t="s" s="1">
        <f>HYPERLINK("http://141.218.60.56/~jnz1568/discussion.php?&amp;Z=8&amp;N=6&amp;Sheet=1&amp;Row=243&amp;Col=9","225.42")</f>
      </c>
      <c r="K244" t="s" s="1">
        <f>HYPERLINK("http://141.218.60.56/~jnz1568/discussion.php?&amp;Z=8&amp;N=6&amp;Sheet=1&amp;Row=243&amp;Col=10","")</f>
      </c>
      <c r="L244" t="s" s="1">
        <f>HYPERLINK("http://141.218.60.56/~jnz1568/discussion.php?&amp;Z=8&amp;N=6&amp;Sheet=1&amp;Row=243&amp;Col=11","")</f>
      </c>
      <c r="M244" t="s" s="1">
        <f>HYPERLINK("http://141.218.60.56/~jnz1568/discussion.php?&amp;Z=8&amp;N=6&amp;Sheet=1&amp;Row=243&amp;Col=12","")</f>
      </c>
      <c r="N244" t="s" s="1">
        <f>HYPERLINK("http://141.218.60.56/~jnz1568/discussion.php?&amp;Z=8&amp;N=6&amp;Sheet=1&amp;Row=243&amp;Col=13","27280")</f>
      </c>
      <c r="O244" t="s" s="1">
        <f>HYPERLINK("http://141.218.60.56/~jnz1568/discussion.php?&amp;Z=8&amp;N=6&amp;Sheet=1&amp;Row=243&amp;Col=14","")</f>
      </c>
      <c r="P244" t="s" s="1">
        <f>HYPERLINK("http://141.218.60.56/~jnz1568/discussion.php?&amp;Z=8&amp;N=6&amp;Sheet=1&amp;Row=243&amp;Col=15","")</f>
      </c>
      <c r="Q244" t="s" s="1">
        <f>HYPERLINK("http://141.218.60.56/~jnz1568/discussion.php?&amp;Z=8&amp;N=6&amp;Sheet=1&amp;Row=243&amp;Col=16","")</f>
      </c>
    </row>
    <row r="245">
      <c r="A245" t="s">
        <v>15</v>
      </c>
      <c r="B245" t="s">
        <v>16</v>
      </c>
      <c r="C245" t="s">
        <v>138</v>
      </c>
      <c r="D245" t="s">
        <v>84</v>
      </c>
      <c r="E245" t="s">
        <v>1164</v>
      </c>
      <c r="F245" t="s" s="1">
        <f>HYPERLINK("http://141.218.60.56/~jnz1568/discussion.php?&amp;Z=8&amp;N=6&amp;Sheet=1&amp;Row=244&amp;Col=5","47613000")</f>
      </c>
      <c r="G245" t="s" s="1">
        <f>HYPERLINK("http://141.218.60.56/~jnz1568/discussion.php?&amp;Z=8&amp;N=6&amp;Sheet=1&amp;Row=244&amp;Col=6","")</f>
      </c>
      <c r="H245" t="s" s="1">
        <f>HYPERLINK("http://141.218.60.56/~jnz1568/discussion.php?&amp;Z=8&amp;N=6&amp;Sheet=1&amp;Row=244&amp;Col=7","")</f>
      </c>
      <c r="I245" t="s" s="1">
        <f>HYPERLINK("http://141.218.60.56/~jnz1568/discussion.php?&amp;Z=8&amp;N=6&amp;Sheet=1&amp;Row=244&amp;Col=8","")</f>
      </c>
      <c r="J245" t="s" s="1">
        <f>HYPERLINK("http://141.218.60.56/~jnz1568/discussion.php?&amp;Z=8&amp;N=6&amp;Sheet=1&amp;Row=244&amp;Col=9","47966000")</f>
      </c>
      <c r="K245" t="s" s="1">
        <f>HYPERLINK("http://141.218.60.56/~jnz1568/discussion.php?&amp;Z=8&amp;N=6&amp;Sheet=1&amp;Row=244&amp;Col=10","")</f>
      </c>
      <c r="L245" t="s" s="1">
        <f>HYPERLINK("http://141.218.60.56/~jnz1568/discussion.php?&amp;Z=8&amp;N=6&amp;Sheet=1&amp;Row=244&amp;Col=11","")</f>
      </c>
      <c r="M245" t="s" s="1">
        <f>HYPERLINK("http://141.218.60.56/~jnz1568/discussion.php?&amp;Z=8&amp;N=6&amp;Sheet=1&amp;Row=244&amp;Col=12","")</f>
      </c>
      <c r="N245" t="s" s="1">
        <f>HYPERLINK("http://141.218.60.56/~jnz1568/discussion.php?&amp;Z=8&amp;N=6&amp;Sheet=1&amp;Row=244&amp;Col=13","39110000")</f>
      </c>
      <c r="O245" t="s" s="1">
        <f>HYPERLINK("http://141.218.60.56/~jnz1568/discussion.php?&amp;Z=8&amp;N=6&amp;Sheet=1&amp;Row=244&amp;Col=14","")</f>
      </c>
      <c r="P245" t="s" s="1">
        <f>HYPERLINK("http://141.218.60.56/~jnz1568/discussion.php?&amp;Z=8&amp;N=6&amp;Sheet=1&amp;Row=244&amp;Col=15","")</f>
      </c>
      <c r="Q245" t="s" s="1">
        <f>HYPERLINK("http://141.218.60.56/~jnz1568/discussion.php?&amp;Z=8&amp;N=6&amp;Sheet=1&amp;Row=244&amp;Col=16","")</f>
      </c>
    </row>
    <row r="246">
      <c r="A246" t="s">
        <v>15</v>
      </c>
      <c r="B246" t="s">
        <v>16</v>
      </c>
      <c r="C246" t="s">
        <v>138</v>
      </c>
      <c r="D246" t="s">
        <v>87</v>
      </c>
      <c r="E246" t="s">
        <v>1168</v>
      </c>
      <c r="F246" t="s" s="1">
        <f>HYPERLINK("http://141.218.60.56/~jnz1568/discussion.php?&amp;Z=8&amp;N=6&amp;Sheet=1&amp;Row=245&amp;Col=5","148830000")</f>
      </c>
      <c r="G246" t="s" s="1">
        <f>HYPERLINK("http://141.218.60.56/~jnz1568/discussion.php?&amp;Z=8&amp;N=6&amp;Sheet=1&amp;Row=245&amp;Col=6","")</f>
      </c>
      <c r="H246" t="s" s="1">
        <f>HYPERLINK("http://141.218.60.56/~jnz1568/discussion.php?&amp;Z=8&amp;N=6&amp;Sheet=1&amp;Row=245&amp;Col=7","")</f>
      </c>
      <c r="I246" t="s" s="1">
        <f>HYPERLINK("http://141.218.60.56/~jnz1568/discussion.php?&amp;Z=8&amp;N=6&amp;Sheet=1&amp;Row=245&amp;Col=8","")</f>
      </c>
      <c r="J246" t="s" s="1">
        <f>HYPERLINK("http://141.218.60.56/~jnz1568/discussion.php?&amp;Z=8&amp;N=6&amp;Sheet=1&amp;Row=245&amp;Col=9","150000000")</f>
      </c>
      <c r="K246" t="s" s="1">
        <f>HYPERLINK("http://141.218.60.56/~jnz1568/discussion.php?&amp;Z=8&amp;N=6&amp;Sheet=1&amp;Row=245&amp;Col=10","")</f>
      </c>
      <c r="L246" t="s" s="1">
        <f>HYPERLINK("http://141.218.60.56/~jnz1568/discussion.php?&amp;Z=8&amp;N=6&amp;Sheet=1&amp;Row=245&amp;Col=11","")</f>
      </c>
      <c r="M246" t="s" s="1">
        <f>HYPERLINK("http://141.218.60.56/~jnz1568/discussion.php?&amp;Z=8&amp;N=6&amp;Sheet=1&amp;Row=245&amp;Col=12","")</f>
      </c>
      <c r="N246" t="s" s="1">
        <f>HYPERLINK("http://141.218.60.56/~jnz1568/discussion.php?&amp;Z=8&amp;N=6&amp;Sheet=1&amp;Row=245&amp;Col=13","120000000")</f>
      </c>
      <c r="O246" t="s" s="1">
        <f>HYPERLINK("http://141.218.60.56/~jnz1568/discussion.php?&amp;Z=8&amp;N=6&amp;Sheet=1&amp;Row=245&amp;Col=14","")</f>
      </c>
      <c r="P246" t="s" s="1">
        <f>HYPERLINK("http://141.218.60.56/~jnz1568/discussion.php?&amp;Z=8&amp;N=6&amp;Sheet=1&amp;Row=245&amp;Col=15","")</f>
      </c>
      <c r="Q246" t="s" s="1">
        <f>HYPERLINK("http://141.218.60.56/~jnz1568/discussion.php?&amp;Z=8&amp;N=6&amp;Sheet=1&amp;Row=245&amp;Col=16","")</f>
      </c>
    </row>
    <row r="247">
      <c r="A247" t="s">
        <v>15</v>
      </c>
      <c r="B247" t="s">
        <v>16</v>
      </c>
      <c r="C247" t="s">
        <v>138</v>
      </c>
      <c r="D247" t="s">
        <v>90</v>
      </c>
      <c r="E247" t="s">
        <v>1172</v>
      </c>
      <c r="F247" t="s" s="1">
        <f>HYPERLINK("http://141.218.60.56/~jnz1568/discussion.php?&amp;Z=8&amp;N=6&amp;Sheet=1&amp;Row=246&amp;Col=5","128.19")</f>
      </c>
      <c r="G247" t="s" s="1">
        <f>HYPERLINK("http://141.218.60.56/~jnz1568/discussion.php?&amp;Z=8&amp;N=6&amp;Sheet=1&amp;Row=246&amp;Col=6","")</f>
      </c>
      <c r="H247" t="s" s="1">
        <f>HYPERLINK("http://141.218.60.56/~jnz1568/discussion.php?&amp;Z=8&amp;N=6&amp;Sheet=1&amp;Row=246&amp;Col=7","")</f>
      </c>
      <c r="I247" t="s" s="1">
        <f>HYPERLINK("http://141.218.60.56/~jnz1568/discussion.php?&amp;Z=8&amp;N=6&amp;Sheet=1&amp;Row=246&amp;Col=8","")</f>
      </c>
      <c r="J247" t="s" s="1">
        <f>HYPERLINK("http://141.218.60.56/~jnz1568/discussion.php?&amp;Z=8&amp;N=6&amp;Sheet=1&amp;Row=246&amp;Col=9","112.82")</f>
      </c>
      <c r="K247" t="s" s="1">
        <f>HYPERLINK("http://141.218.60.56/~jnz1568/discussion.php?&amp;Z=8&amp;N=6&amp;Sheet=1&amp;Row=246&amp;Col=10","")</f>
      </c>
      <c r="L247" t="s" s="1">
        <f>HYPERLINK("http://141.218.60.56/~jnz1568/discussion.php?&amp;Z=8&amp;N=6&amp;Sheet=1&amp;Row=246&amp;Col=11","")</f>
      </c>
      <c r="M247" t="s" s="1">
        <f>HYPERLINK("http://141.218.60.56/~jnz1568/discussion.php?&amp;Z=8&amp;N=6&amp;Sheet=1&amp;Row=246&amp;Col=12","")</f>
      </c>
      <c r="N247" t="s" s="1">
        <f>HYPERLINK("http://141.218.60.56/~jnz1568/discussion.php?&amp;Z=8&amp;N=6&amp;Sheet=1&amp;Row=246&amp;Col=13","242.4")</f>
      </c>
      <c r="O247" t="s" s="1">
        <f>HYPERLINK("http://141.218.60.56/~jnz1568/discussion.php?&amp;Z=8&amp;N=6&amp;Sheet=1&amp;Row=246&amp;Col=14","")</f>
      </c>
      <c r="P247" t="s" s="1">
        <f>HYPERLINK("http://141.218.60.56/~jnz1568/discussion.php?&amp;Z=8&amp;N=6&amp;Sheet=1&amp;Row=246&amp;Col=15","")</f>
      </c>
      <c r="Q247" t="s" s="1">
        <f>HYPERLINK("http://141.218.60.56/~jnz1568/discussion.php?&amp;Z=8&amp;N=6&amp;Sheet=1&amp;Row=246&amp;Col=16","")</f>
      </c>
    </row>
    <row r="248">
      <c r="A248" t="s">
        <v>15</v>
      </c>
      <c r="B248" t="s">
        <v>16</v>
      </c>
      <c r="C248" t="s">
        <v>141</v>
      </c>
      <c r="D248" t="s">
        <v>16</v>
      </c>
      <c r="E248" t="s">
        <v>1176</v>
      </c>
      <c r="F248" t="s" s="1">
        <f>HYPERLINK("http://141.218.60.56/~jnz1568/discussion.php?&amp;Z=8&amp;N=6&amp;Sheet=1&amp;Row=247&amp;Col=5","0.23324")</f>
      </c>
      <c r="G248" t="s" s="1">
        <f>HYPERLINK("http://141.218.60.56/~jnz1568/discussion.php?&amp;Z=8&amp;N=6&amp;Sheet=1&amp;Row=247&amp;Col=6","")</f>
      </c>
      <c r="H248" t="s" s="1">
        <f>HYPERLINK("http://141.218.60.56/~jnz1568/discussion.php?&amp;Z=8&amp;N=6&amp;Sheet=1&amp;Row=247&amp;Col=7","")</f>
      </c>
      <c r="I248" t="s" s="1">
        <f>HYPERLINK("http://141.218.60.56/~jnz1568/discussion.php?&amp;Z=8&amp;N=6&amp;Sheet=1&amp;Row=247&amp;Col=8","")</f>
      </c>
      <c r="J248" t="s" s="1">
        <f>HYPERLINK("http://141.218.60.56/~jnz1568/discussion.php?&amp;Z=8&amp;N=6&amp;Sheet=1&amp;Row=247&amp;Col=9","0.23093")</f>
      </c>
      <c r="K248" t="s" s="1">
        <f>HYPERLINK("http://141.218.60.56/~jnz1568/discussion.php?&amp;Z=8&amp;N=6&amp;Sheet=1&amp;Row=247&amp;Col=10","")</f>
      </c>
      <c r="L248" t="s" s="1">
        <f>HYPERLINK("http://141.218.60.56/~jnz1568/discussion.php?&amp;Z=8&amp;N=6&amp;Sheet=1&amp;Row=247&amp;Col=11","")</f>
      </c>
      <c r="M248" t="s" s="1">
        <f>HYPERLINK("http://141.218.60.56/~jnz1568/discussion.php?&amp;Z=8&amp;N=6&amp;Sheet=1&amp;Row=247&amp;Col=12","")</f>
      </c>
      <c r="N248" t="s" s="1">
        <f>HYPERLINK("http://141.218.60.56/~jnz1568/discussion.php?&amp;Z=8&amp;N=6&amp;Sheet=1&amp;Row=247&amp;Col=13","0.06791")</f>
      </c>
      <c r="O248" t="s" s="1">
        <f>HYPERLINK("http://141.218.60.56/~jnz1568/discussion.php?&amp;Z=8&amp;N=6&amp;Sheet=1&amp;Row=247&amp;Col=14","")</f>
      </c>
      <c r="P248" t="s" s="1">
        <f>HYPERLINK("http://141.218.60.56/~jnz1568/discussion.php?&amp;Z=8&amp;N=6&amp;Sheet=1&amp;Row=247&amp;Col=15","")</f>
      </c>
      <c r="Q248" t="s" s="1">
        <f>HYPERLINK("http://141.218.60.56/~jnz1568/discussion.php?&amp;Z=8&amp;N=6&amp;Sheet=1&amp;Row=247&amp;Col=16","")</f>
      </c>
    </row>
    <row r="249">
      <c r="A249" t="s">
        <v>15</v>
      </c>
      <c r="B249" t="s">
        <v>16</v>
      </c>
      <c r="C249" t="s">
        <v>141</v>
      </c>
      <c r="D249" t="s">
        <v>43</v>
      </c>
      <c r="E249" t="s">
        <v>1180</v>
      </c>
      <c r="F249" t="s" s="1">
        <f>HYPERLINK("http://141.218.60.56/~jnz1568/discussion.php?&amp;Z=8&amp;N=6&amp;Sheet=1&amp;Row=248&amp;Col=5","65149")</f>
      </c>
      <c r="G249" t="s" s="1">
        <f>HYPERLINK("http://141.218.60.56/~jnz1568/discussion.php?&amp;Z=8&amp;N=6&amp;Sheet=1&amp;Row=248&amp;Col=6","")</f>
      </c>
      <c r="H249" t="s" s="1">
        <f>HYPERLINK("http://141.218.60.56/~jnz1568/discussion.php?&amp;Z=8&amp;N=6&amp;Sheet=1&amp;Row=248&amp;Col=7","")</f>
      </c>
      <c r="I249" t="s" s="1">
        <f>HYPERLINK("http://141.218.60.56/~jnz1568/discussion.php?&amp;Z=8&amp;N=6&amp;Sheet=1&amp;Row=248&amp;Col=8","")</f>
      </c>
      <c r="J249" t="s" s="1">
        <f>HYPERLINK("http://141.218.60.56/~jnz1568/discussion.php?&amp;Z=8&amp;N=6&amp;Sheet=1&amp;Row=248&amp;Col=9","64304")</f>
      </c>
      <c r="K249" t="s" s="1">
        <f>HYPERLINK("http://141.218.60.56/~jnz1568/discussion.php?&amp;Z=8&amp;N=6&amp;Sheet=1&amp;Row=248&amp;Col=10","")</f>
      </c>
      <c r="L249" t="s" s="1">
        <f>HYPERLINK("http://141.218.60.56/~jnz1568/discussion.php?&amp;Z=8&amp;N=6&amp;Sheet=1&amp;Row=248&amp;Col=11","")</f>
      </c>
      <c r="M249" t="s" s="1">
        <f>HYPERLINK("http://141.218.60.56/~jnz1568/discussion.php?&amp;Z=8&amp;N=6&amp;Sheet=1&amp;Row=248&amp;Col=12","")</f>
      </c>
      <c r="N249" t="s" s="1">
        <f>HYPERLINK("http://141.218.60.56/~jnz1568/discussion.php?&amp;Z=8&amp;N=6&amp;Sheet=1&amp;Row=248&amp;Col=13","32240")</f>
      </c>
      <c r="O249" t="s" s="1">
        <f>HYPERLINK("http://141.218.60.56/~jnz1568/discussion.php?&amp;Z=8&amp;N=6&amp;Sheet=1&amp;Row=248&amp;Col=14","")</f>
      </c>
      <c r="P249" t="s" s="1">
        <f>HYPERLINK("http://141.218.60.56/~jnz1568/discussion.php?&amp;Z=8&amp;N=6&amp;Sheet=1&amp;Row=248&amp;Col=15","")</f>
      </c>
      <c r="Q249" t="s" s="1">
        <f>HYPERLINK("http://141.218.60.56/~jnz1568/discussion.php?&amp;Z=8&amp;N=6&amp;Sheet=1&amp;Row=248&amp;Col=16","")</f>
      </c>
    </row>
    <row r="250">
      <c r="A250" t="s">
        <v>15</v>
      </c>
      <c r="B250" t="s">
        <v>16</v>
      </c>
      <c r="C250" t="s">
        <v>141</v>
      </c>
      <c r="D250" t="s">
        <v>15</v>
      </c>
      <c r="E250" t="s">
        <v>1184</v>
      </c>
      <c r="F250" t="s" s="1">
        <f>HYPERLINK("http://141.218.60.56/~jnz1568/discussion.php?&amp;Z=8&amp;N=6&amp;Sheet=1&amp;Row=249&amp;Col=5","1079.9")</f>
      </c>
      <c r="G250" t="s" s="1">
        <f>HYPERLINK("http://141.218.60.56/~jnz1568/discussion.php?&amp;Z=8&amp;N=6&amp;Sheet=1&amp;Row=249&amp;Col=6","")</f>
      </c>
      <c r="H250" t="s" s="1">
        <f>HYPERLINK("http://141.218.60.56/~jnz1568/discussion.php?&amp;Z=8&amp;N=6&amp;Sheet=1&amp;Row=249&amp;Col=7","")</f>
      </c>
      <c r="I250" t="s" s="1">
        <f>HYPERLINK("http://141.218.60.56/~jnz1568/discussion.php?&amp;Z=8&amp;N=6&amp;Sheet=1&amp;Row=249&amp;Col=8","")</f>
      </c>
      <c r="J250" t="s" s="1">
        <f>HYPERLINK("http://141.218.60.56/~jnz1568/discussion.php?&amp;Z=8&amp;N=6&amp;Sheet=1&amp;Row=249&amp;Col=9","1033.4")</f>
      </c>
      <c r="K250" t="s" s="1">
        <f>HYPERLINK("http://141.218.60.56/~jnz1568/discussion.php?&amp;Z=8&amp;N=6&amp;Sheet=1&amp;Row=249&amp;Col=10","")</f>
      </c>
      <c r="L250" t="s" s="1">
        <f>HYPERLINK("http://141.218.60.56/~jnz1568/discussion.php?&amp;Z=8&amp;N=6&amp;Sheet=1&amp;Row=249&amp;Col=11","")</f>
      </c>
      <c r="M250" t="s" s="1">
        <f>HYPERLINK("http://141.218.60.56/~jnz1568/discussion.php?&amp;Z=8&amp;N=6&amp;Sheet=1&amp;Row=249&amp;Col=12","")</f>
      </c>
      <c r="N250" t="s" s="1">
        <f>HYPERLINK("http://141.218.60.56/~jnz1568/discussion.php?&amp;Z=8&amp;N=6&amp;Sheet=1&amp;Row=249&amp;Col=13","542.9")</f>
      </c>
      <c r="O250" t="s" s="1">
        <f>HYPERLINK("http://141.218.60.56/~jnz1568/discussion.php?&amp;Z=8&amp;N=6&amp;Sheet=1&amp;Row=249&amp;Col=14","")</f>
      </c>
      <c r="P250" t="s" s="1">
        <f>HYPERLINK("http://141.218.60.56/~jnz1568/discussion.php?&amp;Z=8&amp;N=6&amp;Sheet=1&amp;Row=249&amp;Col=15","")</f>
      </c>
      <c r="Q250" t="s" s="1">
        <f>HYPERLINK("http://141.218.60.56/~jnz1568/discussion.php?&amp;Z=8&amp;N=6&amp;Sheet=1&amp;Row=249&amp;Col=16","")</f>
      </c>
    </row>
    <row r="251">
      <c r="A251" t="s">
        <v>15</v>
      </c>
      <c r="B251" t="s">
        <v>16</v>
      </c>
      <c r="C251" t="s">
        <v>141</v>
      </c>
      <c r="D251" t="s">
        <v>50</v>
      </c>
      <c r="E251" t="s">
        <v>1188</v>
      </c>
      <c r="F251" t="s" s="1">
        <f>HYPERLINK("http://141.218.60.56/~jnz1568/discussion.php?&amp;Z=8&amp;N=6&amp;Sheet=1&amp;Row=250&amp;Col=5","339.99")</f>
      </c>
      <c r="G251" t="s" s="1">
        <f>HYPERLINK("http://141.218.60.56/~jnz1568/discussion.php?&amp;Z=8&amp;N=6&amp;Sheet=1&amp;Row=250&amp;Col=6","")</f>
      </c>
      <c r="H251" t="s" s="1">
        <f>HYPERLINK("http://141.218.60.56/~jnz1568/discussion.php?&amp;Z=8&amp;N=6&amp;Sheet=1&amp;Row=250&amp;Col=7","")</f>
      </c>
      <c r="I251" t="s" s="1">
        <f>HYPERLINK("http://141.218.60.56/~jnz1568/discussion.php?&amp;Z=8&amp;N=6&amp;Sheet=1&amp;Row=250&amp;Col=8","")</f>
      </c>
      <c r="J251" t="s" s="1">
        <f>HYPERLINK("http://141.218.60.56/~jnz1568/discussion.php?&amp;Z=8&amp;N=6&amp;Sheet=1&amp;Row=250&amp;Col=9","328.88")</f>
      </c>
      <c r="K251" t="s" s="1">
        <f>HYPERLINK("http://141.218.60.56/~jnz1568/discussion.php?&amp;Z=8&amp;N=6&amp;Sheet=1&amp;Row=250&amp;Col=10","")</f>
      </c>
      <c r="L251" t="s" s="1">
        <f>HYPERLINK("http://141.218.60.56/~jnz1568/discussion.php?&amp;Z=8&amp;N=6&amp;Sheet=1&amp;Row=250&amp;Col=11","")</f>
      </c>
      <c r="M251" t="s" s="1">
        <f>HYPERLINK("http://141.218.60.56/~jnz1568/discussion.php?&amp;Z=8&amp;N=6&amp;Sheet=1&amp;Row=250&amp;Col=12","")</f>
      </c>
      <c r="N251" t="s" s="1">
        <f>HYPERLINK("http://141.218.60.56/~jnz1568/discussion.php?&amp;Z=8&amp;N=6&amp;Sheet=1&amp;Row=250&amp;Col=13","314.3")</f>
      </c>
      <c r="O251" t="s" s="1">
        <f>HYPERLINK("http://141.218.60.56/~jnz1568/discussion.php?&amp;Z=8&amp;N=6&amp;Sheet=1&amp;Row=250&amp;Col=14","")</f>
      </c>
      <c r="P251" t="s" s="1">
        <f>HYPERLINK("http://141.218.60.56/~jnz1568/discussion.php?&amp;Z=8&amp;N=6&amp;Sheet=1&amp;Row=250&amp;Col=15","")</f>
      </c>
      <c r="Q251" t="s" s="1">
        <f>HYPERLINK("http://141.218.60.56/~jnz1568/discussion.php?&amp;Z=8&amp;N=6&amp;Sheet=1&amp;Row=250&amp;Col=16","")</f>
      </c>
    </row>
    <row r="252">
      <c r="A252" t="s">
        <v>15</v>
      </c>
      <c r="B252" t="s">
        <v>16</v>
      </c>
      <c r="C252" t="s">
        <v>141</v>
      </c>
      <c r="D252" t="s">
        <v>53</v>
      </c>
      <c r="E252" t="s">
        <v>1192</v>
      </c>
      <c r="F252" t="s" s="1">
        <f>HYPERLINK("http://141.218.60.56/~jnz1568/discussion.php?&amp;Z=8&amp;N=6&amp;Sheet=1&amp;Row=251&amp;Col=5","6800.7")</f>
      </c>
      <c r="G252" t="s" s="1">
        <f>HYPERLINK("http://141.218.60.56/~jnz1568/discussion.php?&amp;Z=8&amp;N=6&amp;Sheet=1&amp;Row=251&amp;Col=6","")</f>
      </c>
      <c r="H252" t="s" s="1">
        <f>HYPERLINK("http://141.218.60.56/~jnz1568/discussion.php?&amp;Z=8&amp;N=6&amp;Sheet=1&amp;Row=251&amp;Col=7","")</f>
      </c>
      <c r="I252" t="s" s="1">
        <f>HYPERLINK("http://141.218.60.56/~jnz1568/discussion.php?&amp;Z=8&amp;N=6&amp;Sheet=1&amp;Row=251&amp;Col=8","")</f>
      </c>
      <c r="J252" t="s" s="1">
        <f>HYPERLINK("http://141.218.60.56/~jnz1568/discussion.php?&amp;Z=8&amp;N=6&amp;Sheet=1&amp;Row=251&amp;Col=9","6733.3")</f>
      </c>
      <c r="K252" t="s" s="1">
        <f>HYPERLINK("http://141.218.60.56/~jnz1568/discussion.php?&amp;Z=8&amp;N=6&amp;Sheet=1&amp;Row=251&amp;Col=10","")</f>
      </c>
      <c r="L252" t="s" s="1">
        <f>HYPERLINK("http://141.218.60.56/~jnz1568/discussion.php?&amp;Z=8&amp;N=6&amp;Sheet=1&amp;Row=251&amp;Col=11","")</f>
      </c>
      <c r="M252" t="s" s="1">
        <f>HYPERLINK("http://141.218.60.56/~jnz1568/discussion.php?&amp;Z=8&amp;N=6&amp;Sheet=1&amp;Row=251&amp;Col=12","")</f>
      </c>
      <c r="N252" t="s" s="1">
        <f>HYPERLINK("http://141.218.60.56/~jnz1568/discussion.php?&amp;Z=8&amp;N=6&amp;Sheet=1&amp;Row=251&amp;Col=13","4495")</f>
      </c>
      <c r="O252" t="s" s="1">
        <f>HYPERLINK("http://141.218.60.56/~jnz1568/discussion.php?&amp;Z=8&amp;N=6&amp;Sheet=1&amp;Row=251&amp;Col=14","")</f>
      </c>
      <c r="P252" t="s" s="1">
        <f>HYPERLINK("http://141.218.60.56/~jnz1568/discussion.php?&amp;Z=8&amp;N=6&amp;Sheet=1&amp;Row=251&amp;Col=15","")</f>
      </c>
      <c r="Q252" t="s" s="1">
        <f>HYPERLINK("http://141.218.60.56/~jnz1568/discussion.php?&amp;Z=8&amp;N=6&amp;Sheet=1&amp;Row=251&amp;Col=16","")</f>
      </c>
    </row>
    <row r="253">
      <c r="A253" t="s">
        <v>15</v>
      </c>
      <c r="B253" t="s">
        <v>16</v>
      </c>
      <c r="C253" t="s">
        <v>141</v>
      </c>
      <c r="D253" t="s">
        <v>58</v>
      </c>
      <c r="E253" t="s">
        <v>1196</v>
      </c>
      <c r="F253" t="s" s="1">
        <f>HYPERLINK("http://141.218.60.56/~jnz1568/discussion.php?&amp;Z=8&amp;N=6&amp;Sheet=1&amp;Row=252&amp;Col=5","1484.1")</f>
      </c>
      <c r="G253" t="s" s="1">
        <f>HYPERLINK("http://141.218.60.56/~jnz1568/discussion.php?&amp;Z=8&amp;N=6&amp;Sheet=1&amp;Row=252&amp;Col=6","")</f>
      </c>
      <c r="H253" t="s" s="1">
        <f>HYPERLINK("http://141.218.60.56/~jnz1568/discussion.php?&amp;Z=8&amp;N=6&amp;Sheet=1&amp;Row=252&amp;Col=7","")</f>
      </c>
      <c r="I253" t="s" s="1">
        <f>HYPERLINK("http://141.218.60.56/~jnz1568/discussion.php?&amp;Z=8&amp;N=6&amp;Sheet=1&amp;Row=252&amp;Col=8","")</f>
      </c>
      <c r="J253" t="s" s="1">
        <f>HYPERLINK("http://141.218.60.56/~jnz1568/discussion.php?&amp;Z=8&amp;N=6&amp;Sheet=1&amp;Row=252&amp;Col=9","1506.3")</f>
      </c>
      <c r="K253" t="s" s="1">
        <f>HYPERLINK("http://141.218.60.56/~jnz1568/discussion.php?&amp;Z=8&amp;N=6&amp;Sheet=1&amp;Row=252&amp;Col=10","")</f>
      </c>
      <c r="L253" t="s" s="1">
        <f>HYPERLINK("http://141.218.60.56/~jnz1568/discussion.php?&amp;Z=8&amp;N=6&amp;Sheet=1&amp;Row=252&amp;Col=11","")</f>
      </c>
      <c r="M253" t="s" s="1">
        <f>HYPERLINK("http://141.218.60.56/~jnz1568/discussion.php?&amp;Z=8&amp;N=6&amp;Sheet=1&amp;Row=252&amp;Col=12","")</f>
      </c>
      <c r="N253" t="s" s="1">
        <f>HYPERLINK("http://141.218.60.56/~jnz1568/discussion.php?&amp;Z=8&amp;N=6&amp;Sheet=1&amp;Row=252&amp;Col=13","314.6")</f>
      </c>
      <c r="O253" t="s" s="1">
        <f>HYPERLINK("http://141.218.60.56/~jnz1568/discussion.php?&amp;Z=8&amp;N=6&amp;Sheet=1&amp;Row=252&amp;Col=14","")</f>
      </c>
      <c r="P253" t="s" s="1">
        <f>HYPERLINK("http://141.218.60.56/~jnz1568/discussion.php?&amp;Z=8&amp;N=6&amp;Sheet=1&amp;Row=252&amp;Col=15","")</f>
      </c>
      <c r="Q253" t="s" s="1">
        <f>HYPERLINK("http://141.218.60.56/~jnz1568/discussion.php?&amp;Z=8&amp;N=6&amp;Sheet=1&amp;Row=252&amp;Col=16","")</f>
      </c>
    </row>
    <row r="254">
      <c r="A254" t="s">
        <v>15</v>
      </c>
      <c r="B254" t="s">
        <v>16</v>
      </c>
      <c r="C254" t="s">
        <v>141</v>
      </c>
      <c r="D254" t="s">
        <v>64</v>
      </c>
      <c r="E254" t="s">
        <v>1200</v>
      </c>
      <c r="F254" t="s" s="1">
        <f>HYPERLINK("http://141.218.60.56/~jnz1568/discussion.php?&amp;Z=8&amp;N=6&amp;Sheet=1&amp;Row=253&amp;Col=5","7015900")</f>
      </c>
      <c r="G254" t="s" s="1">
        <f>HYPERLINK("http://141.218.60.56/~jnz1568/discussion.php?&amp;Z=8&amp;N=6&amp;Sheet=1&amp;Row=253&amp;Col=6","")</f>
      </c>
      <c r="H254" t="s" s="1">
        <f>HYPERLINK("http://141.218.60.56/~jnz1568/discussion.php?&amp;Z=8&amp;N=6&amp;Sheet=1&amp;Row=253&amp;Col=7","")</f>
      </c>
      <c r="I254" t="s" s="1">
        <f>HYPERLINK("http://141.218.60.56/~jnz1568/discussion.php?&amp;Z=8&amp;N=6&amp;Sheet=1&amp;Row=253&amp;Col=8","")</f>
      </c>
      <c r="J254" t="s" s="1">
        <f>HYPERLINK("http://141.218.60.56/~jnz1568/discussion.php?&amp;Z=8&amp;N=6&amp;Sheet=1&amp;Row=253&amp;Col=9","6895400")</f>
      </c>
      <c r="K254" t="s" s="1">
        <f>HYPERLINK("http://141.218.60.56/~jnz1568/discussion.php?&amp;Z=8&amp;N=6&amp;Sheet=1&amp;Row=253&amp;Col=10","")</f>
      </c>
      <c r="L254" t="s" s="1">
        <f>HYPERLINK("http://141.218.60.56/~jnz1568/discussion.php?&amp;Z=8&amp;N=6&amp;Sheet=1&amp;Row=253&amp;Col=11","")</f>
      </c>
      <c r="M254" t="s" s="1">
        <f>HYPERLINK("http://141.218.60.56/~jnz1568/discussion.php?&amp;Z=8&amp;N=6&amp;Sheet=1&amp;Row=253&amp;Col=12","")</f>
      </c>
      <c r="N254" t="s" s="1">
        <f>HYPERLINK("http://141.218.60.56/~jnz1568/discussion.php?&amp;Z=8&amp;N=6&amp;Sheet=1&amp;Row=253&amp;Col=13","6208000")</f>
      </c>
      <c r="O254" t="s" s="1">
        <f>HYPERLINK("http://141.218.60.56/~jnz1568/discussion.php?&amp;Z=8&amp;N=6&amp;Sheet=1&amp;Row=253&amp;Col=14","")</f>
      </c>
      <c r="P254" t="s" s="1">
        <f>HYPERLINK("http://141.218.60.56/~jnz1568/discussion.php?&amp;Z=8&amp;N=6&amp;Sheet=1&amp;Row=253&amp;Col=15","")</f>
      </c>
      <c r="Q254" t="s" s="1">
        <f>HYPERLINK("http://141.218.60.56/~jnz1568/discussion.php?&amp;Z=8&amp;N=6&amp;Sheet=1&amp;Row=253&amp;Col=16","")</f>
      </c>
    </row>
    <row r="255">
      <c r="A255" t="s">
        <v>15</v>
      </c>
      <c r="B255" t="s">
        <v>16</v>
      </c>
      <c r="C255" t="s">
        <v>141</v>
      </c>
      <c r="D255" t="s">
        <v>69</v>
      </c>
      <c r="E255" t="s">
        <v>1204</v>
      </c>
      <c r="F255" t="s" s="1">
        <f>HYPERLINK("http://141.218.60.56/~jnz1568/discussion.php?&amp;Z=8&amp;N=6&amp;Sheet=1&amp;Row=254&amp;Col=5","12277")</f>
      </c>
      <c r="G255" t="s" s="1">
        <f>HYPERLINK("http://141.218.60.56/~jnz1568/discussion.php?&amp;Z=8&amp;N=6&amp;Sheet=1&amp;Row=254&amp;Col=6","")</f>
      </c>
      <c r="H255" t="s" s="1">
        <f>HYPERLINK("http://141.218.60.56/~jnz1568/discussion.php?&amp;Z=8&amp;N=6&amp;Sheet=1&amp;Row=254&amp;Col=7","")</f>
      </c>
      <c r="I255" t="s" s="1">
        <f>HYPERLINK("http://141.218.60.56/~jnz1568/discussion.php?&amp;Z=8&amp;N=6&amp;Sheet=1&amp;Row=254&amp;Col=8","")</f>
      </c>
      <c r="J255" t="s" s="1">
        <f>HYPERLINK("http://141.218.60.56/~jnz1568/discussion.php?&amp;Z=8&amp;N=6&amp;Sheet=1&amp;Row=254&amp;Col=9","11878")</f>
      </c>
      <c r="K255" t="s" s="1">
        <f>HYPERLINK("http://141.218.60.56/~jnz1568/discussion.php?&amp;Z=8&amp;N=6&amp;Sheet=1&amp;Row=254&amp;Col=10","")</f>
      </c>
      <c r="L255" t="s" s="1">
        <f>HYPERLINK("http://141.218.60.56/~jnz1568/discussion.php?&amp;Z=8&amp;N=6&amp;Sheet=1&amp;Row=254&amp;Col=11","")</f>
      </c>
      <c r="M255" t="s" s="1">
        <f>HYPERLINK("http://141.218.60.56/~jnz1568/discussion.php?&amp;Z=8&amp;N=6&amp;Sheet=1&amp;Row=254&amp;Col=12","")</f>
      </c>
      <c r="N255" t="s" s="1">
        <f>HYPERLINK("http://141.218.60.56/~jnz1568/discussion.php?&amp;Z=8&amp;N=6&amp;Sheet=1&amp;Row=254&amp;Col=13","7887")</f>
      </c>
      <c r="O255" t="s" s="1">
        <f>HYPERLINK("http://141.218.60.56/~jnz1568/discussion.php?&amp;Z=8&amp;N=6&amp;Sheet=1&amp;Row=254&amp;Col=14","")</f>
      </c>
      <c r="P255" t="s" s="1">
        <f>HYPERLINK("http://141.218.60.56/~jnz1568/discussion.php?&amp;Z=8&amp;N=6&amp;Sheet=1&amp;Row=254&amp;Col=15","")</f>
      </c>
      <c r="Q255" t="s" s="1">
        <f>HYPERLINK("http://141.218.60.56/~jnz1568/discussion.php?&amp;Z=8&amp;N=6&amp;Sheet=1&amp;Row=254&amp;Col=16","")</f>
      </c>
    </row>
    <row r="256">
      <c r="A256" t="s">
        <v>15</v>
      </c>
      <c r="B256" t="s">
        <v>16</v>
      </c>
      <c r="C256" t="s">
        <v>141</v>
      </c>
      <c r="D256" t="s">
        <v>74</v>
      </c>
      <c r="E256" t="s">
        <v>1208</v>
      </c>
      <c r="F256" t="s" s="1">
        <f>HYPERLINK("http://141.218.60.56/~jnz1568/discussion.php?&amp;Z=8&amp;N=6&amp;Sheet=1&amp;Row=255&amp;Col=5","68366000")</f>
      </c>
      <c r="G256" t="s" s="1">
        <f>HYPERLINK("http://141.218.60.56/~jnz1568/discussion.php?&amp;Z=8&amp;N=6&amp;Sheet=1&amp;Row=255&amp;Col=6","")</f>
      </c>
      <c r="H256" t="s" s="1">
        <f>HYPERLINK("http://141.218.60.56/~jnz1568/discussion.php?&amp;Z=8&amp;N=6&amp;Sheet=1&amp;Row=255&amp;Col=7","")</f>
      </c>
      <c r="I256" t="s" s="1">
        <f>HYPERLINK("http://141.218.60.56/~jnz1568/discussion.php?&amp;Z=8&amp;N=6&amp;Sheet=1&amp;Row=255&amp;Col=8","")</f>
      </c>
      <c r="J256" t="s" s="1">
        <f>HYPERLINK("http://141.218.60.56/~jnz1568/discussion.php?&amp;Z=8&amp;N=6&amp;Sheet=1&amp;Row=255&amp;Col=9","68345000")</f>
      </c>
      <c r="K256" t="s" s="1">
        <f>HYPERLINK("http://141.218.60.56/~jnz1568/discussion.php?&amp;Z=8&amp;N=6&amp;Sheet=1&amp;Row=255&amp;Col=10","")</f>
      </c>
      <c r="L256" t="s" s="1">
        <f>HYPERLINK("http://141.218.60.56/~jnz1568/discussion.php?&amp;Z=8&amp;N=6&amp;Sheet=1&amp;Row=255&amp;Col=11","")</f>
      </c>
      <c r="M256" t="s" s="1">
        <f>HYPERLINK("http://141.218.60.56/~jnz1568/discussion.php?&amp;Z=8&amp;N=6&amp;Sheet=1&amp;Row=255&amp;Col=12","")</f>
      </c>
      <c r="N256" t="s" s="1">
        <f>HYPERLINK("http://141.218.60.56/~jnz1568/discussion.php?&amp;Z=8&amp;N=6&amp;Sheet=1&amp;Row=255&amp;Col=13","89140000")</f>
      </c>
      <c r="O256" t="s" s="1">
        <f>HYPERLINK("http://141.218.60.56/~jnz1568/discussion.php?&amp;Z=8&amp;N=6&amp;Sheet=1&amp;Row=255&amp;Col=14","")</f>
      </c>
      <c r="P256" t="s" s="1">
        <f>HYPERLINK("http://141.218.60.56/~jnz1568/discussion.php?&amp;Z=8&amp;N=6&amp;Sheet=1&amp;Row=255&amp;Col=15","")</f>
      </c>
      <c r="Q256" t="s" s="1">
        <f>HYPERLINK("http://141.218.60.56/~jnz1568/discussion.php?&amp;Z=8&amp;N=6&amp;Sheet=1&amp;Row=255&amp;Col=16","")</f>
      </c>
    </row>
    <row r="257">
      <c r="A257" t="s">
        <v>15</v>
      </c>
      <c r="B257" t="s">
        <v>16</v>
      </c>
      <c r="C257" t="s">
        <v>141</v>
      </c>
      <c r="D257" t="s">
        <v>84</v>
      </c>
      <c r="E257" t="s">
        <v>1212</v>
      </c>
      <c r="F257" t="s" s="1">
        <f>HYPERLINK("http://141.218.60.56/~jnz1568/discussion.php?&amp;Z=8&amp;N=6&amp;Sheet=1&amp;Row=256&amp;Col=5","75024")</f>
      </c>
      <c r="G257" t="s" s="1">
        <f>HYPERLINK("http://141.218.60.56/~jnz1568/discussion.php?&amp;Z=8&amp;N=6&amp;Sheet=1&amp;Row=256&amp;Col=6","")</f>
      </c>
      <c r="H257" t="s" s="1">
        <f>HYPERLINK("http://141.218.60.56/~jnz1568/discussion.php?&amp;Z=8&amp;N=6&amp;Sheet=1&amp;Row=256&amp;Col=7","")</f>
      </c>
      <c r="I257" t="s" s="1">
        <f>HYPERLINK("http://141.218.60.56/~jnz1568/discussion.php?&amp;Z=8&amp;N=6&amp;Sheet=1&amp;Row=256&amp;Col=8","")</f>
      </c>
      <c r="J257" t="s" s="1">
        <f>HYPERLINK("http://141.218.60.56/~jnz1568/discussion.php?&amp;Z=8&amp;N=6&amp;Sheet=1&amp;Row=256&amp;Col=9","73979")</f>
      </c>
      <c r="K257" t="s" s="1">
        <f>HYPERLINK("http://141.218.60.56/~jnz1568/discussion.php?&amp;Z=8&amp;N=6&amp;Sheet=1&amp;Row=256&amp;Col=10","")</f>
      </c>
      <c r="L257" t="s" s="1">
        <f>HYPERLINK("http://141.218.60.56/~jnz1568/discussion.php?&amp;Z=8&amp;N=6&amp;Sheet=1&amp;Row=256&amp;Col=11","")</f>
      </c>
      <c r="M257" t="s" s="1">
        <f>HYPERLINK("http://141.218.60.56/~jnz1568/discussion.php?&amp;Z=8&amp;N=6&amp;Sheet=1&amp;Row=256&amp;Col=12","")</f>
      </c>
      <c r="N257" t="s" s="1">
        <f>HYPERLINK("http://141.218.60.56/~jnz1568/discussion.php?&amp;Z=8&amp;N=6&amp;Sheet=1&amp;Row=256&amp;Col=13","22080")</f>
      </c>
      <c r="O257" t="s" s="1">
        <f>HYPERLINK("http://141.218.60.56/~jnz1568/discussion.php?&amp;Z=8&amp;N=6&amp;Sheet=1&amp;Row=256&amp;Col=14","")</f>
      </c>
      <c r="P257" t="s" s="1">
        <f>HYPERLINK("http://141.218.60.56/~jnz1568/discussion.php?&amp;Z=8&amp;N=6&amp;Sheet=1&amp;Row=256&amp;Col=15","")</f>
      </c>
      <c r="Q257" t="s" s="1">
        <f>HYPERLINK("http://141.218.60.56/~jnz1568/discussion.php?&amp;Z=8&amp;N=6&amp;Sheet=1&amp;Row=256&amp;Col=16","")</f>
      </c>
    </row>
    <row r="258">
      <c r="A258" t="s">
        <v>15</v>
      </c>
      <c r="B258" t="s">
        <v>16</v>
      </c>
      <c r="C258" t="s">
        <v>141</v>
      </c>
      <c r="D258" t="s">
        <v>87</v>
      </c>
      <c r="E258" t="s">
        <v>1216</v>
      </c>
      <c r="F258" t="s" s="1">
        <f>HYPERLINK("http://141.218.60.56/~jnz1568/discussion.php?&amp;Z=8&amp;N=6&amp;Sheet=1&amp;Row=257&amp;Col=5","27700")</f>
      </c>
      <c r="G258" t="s" s="1">
        <f>HYPERLINK("http://141.218.60.56/~jnz1568/discussion.php?&amp;Z=8&amp;N=6&amp;Sheet=1&amp;Row=257&amp;Col=6","")</f>
      </c>
      <c r="H258" t="s" s="1">
        <f>HYPERLINK("http://141.218.60.56/~jnz1568/discussion.php?&amp;Z=8&amp;N=6&amp;Sheet=1&amp;Row=257&amp;Col=7","")</f>
      </c>
      <c r="I258" t="s" s="1">
        <f>HYPERLINK("http://141.218.60.56/~jnz1568/discussion.php?&amp;Z=8&amp;N=6&amp;Sheet=1&amp;Row=257&amp;Col=8","")</f>
      </c>
      <c r="J258" t="s" s="1">
        <f>HYPERLINK("http://141.218.60.56/~jnz1568/discussion.php?&amp;Z=8&amp;N=6&amp;Sheet=1&amp;Row=257&amp;Col=9","27100")</f>
      </c>
      <c r="K258" t="s" s="1">
        <f>HYPERLINK("http://141.218.60.56/~jnz1568/discussion.php?&amp;Z=8&amp;N=6&amp;Sheet=1&amp;Row=257&amp;Col=10","")</f>
      </c>
      <c r="L258" t="s" s="1">
        <f>HYPERLINK("http://141.218.60.56/~jnz1568/discussion.php?&amp;Z=8&amp;N=6&amp;Sheet=1&amp;Row=257&amp;Col=11","")</f>
      </c>
      <c r="M258" t="s" s="1">
        <f>HYPERLINK("http://141.218.60.56/~jnz1568/discussion.php?&amp;Z=8&amp;N=6&amp;Sheet=1&amp;Row=257&amp;Col=12","")</f>
      </c>
      <c r="N258" t="s" s="1">
        <f>HYPERLINK("http://141.218.60.56/~jnz1568/discussion.php?&amp;Z=8&amp;N=6&amp;Sheet=1&amp;Row=257&amp;Col=13","12130")</f>
      </c>
      <c r="O258" t="s" s="1">
        <f>HYPERLINK("http://141.218.60.56/~jnz1568/discussion.php?&amp;Z=8&amp;N=6&amp;Sheet=1&amp;Row=257&amp;Col=14","")</f>
      </c>
      <c r="P258" t="s" s="1">
        <f>HYPERLINK("http://141.218.60.56/~jnz1568/discussion.php?&amp;Z=8&amp;N=6&amp;Sheet=1&amp;Row=257&amp;Col=15","")</f>
      </c>
      <c r="Q258" t="s" s="1">
        <f>HYPERLINK("http://141.218.60.56/~jnz1568/discussion.php?&amp;Z=8&amp;N=6&amp;Sheet=1&amp;Row=257&amp;Col=16","")</f>
      </c>
    </row>
    <row r="259">
      <c r="A259" t="s">
        <v>15</v>
      </c>
      <c r="B259" t="s">
        <v>16</v>
      </c>
      <c r="C259" t="s">
        <v>141</v>
      </c>
      <c r="D259" t="s">
        <v>90</v>
      </c>
      <c r="E259" t="s">
        <v>1220</v>
      </c>
      <c r="F259" t="s" s="1">
        <f>HYPERLINK("http://141.218.60.56/~jnz1568/discussion.php?&amp;Z=8&amp;N=6&amp;Sheet=1&amp;Row=258&amp;Col=5","214420000")</f>
      </c>
      <c r="G259" t="s" s="1">
        <f>HYPERLINK("http://141.218.60.56/~jnz1568/discussion.php?&amp;Z=8&amp;N=6&amp;Sheet=1&amp;Row=258&amp;Col=6","")</f>
      </c>
      <c r="H259" t="s" s="1">
        <f>HYPERLINK("http://141.218.60.56/~jnz1568/discussion.php?&amp;Z=8&amp;N=6&amp;Sheet=1&amp;Row=258&amp;Col=7","")</f>
      </c>
      <c r="I259" t="s" s="1">
        <f>HYPERLINK("http://141.218.60.56/~jnz1568/discussion.php?&amp;Z=8&amp;N=6&amp;Sheet=1&amp;Row=258&amp;Col=8","")</f>
      </c>
      <c r="J259" t="s" s="1">
        <f>HYPERLINK("http://141.218.60.56/~jnz1568/discussion.php?&amp;Z=8&amp;N=6&amp;Sheet=1&amp;Row=258&amp;Col=9","216300000")</f>
      </c>
      <c r="K259" t="s" s="1">
        <f>HYPERLINK("http://141.218.60.56/~jnz1568/discussion.php?&amp;Z=8&amp;N=6&amp;Sheet=1&amp;Row=258&amp;Col=10","")</f>
      </c>
      <c r="L259" t="s" s="1">
        <f>HYPERLINK("http://141.218.60.56/~jnz1568/discussion.php?&amp;Z=8&amp;N=6&amp;Sheet=1&amp;Row=258&amp;Col=11","")</f>
      </c>
      <c r="M259" t="s" s="1">
        <f>HYPERLINK("http://141.218.60.56/~jnz1568/discussion.php?&amp;Z=8&amp;N=6&amp;Sheet=1&amp;Row=258&amp;Col=12","")</f>
      </c>
      <c r="N259" t="s" s="1">
        <f>HYPERLINK("http://141.218.60.56/~jnz1568/discussion.php?&amp;Z=8&amp;N=6&amp;Sheet=1&amp;Row=258&amp;Col=13","163800000")</f>
      </c>
      <c r="O259" t="s" s="1">
        <f>HYPERLINK("http://141.218.60.56/~jnz1568/discussion.php?&amp;Z=8&amp;N=6&amp;Sheet=1&amp;Row=258&amp;Col=14","")</f>
      </c>
      <c r="P259" t="s" s="1">
        <f>HYPERLINK("http://141.218.60.56/~jnz1568/discussion.php?&amp;Z=8&amp;N=6&amp;Sheet=1&amp;Row=258&amp;Col=15","")</f>
      </c>
      <c r="Q259" t="s" s="1">
        <f>HYPERLINK("http://141.218.60.56/~jnz1568/discussion.php?&amp;Z=8&amp;N=6&amp;Sheet=1&amp;Row=258&amp;Col=16","")</f>
      </c>
    </row>
    <row r="260">
      <c r="A260" t="s">
        <v>15</v>
      </c>
      <c r="B260" t="s">
        <v>16</v>
      </c>
      <c r="C260" t="s">
        <v>145</v>
      </c>
      <c r="D260" t="s">
        <v>50</v>
      </c>
      <c r="E260" t="s">
        <v>1224</v>
      </c>
      <c r="F260" t="s" s="1">
        <f>HYPERLINK("http://141.218.60.56/~jnz1568/discussion.php?&amp;Z=8&amp;N=6&amp;Sheet=1&amp;Row=259&amp;Col=5","53401")</f>
      </c>
      <c r="G260" t="s" s="1">
        <f>HYPERLINK("http://141.218.60.56/~jnz1568/discussion.php?&amp;Z=8&amp;N=6&amp;Sheet=1&amp;Row=259&amp;Col=6","")</f>
      </c>
      <c r="H260" t="s" s="1">
        <f>HYPERLINK("http://141.218.60.56/~jnz1568/discussion.php?&amp;Z=8&amp;N=6&amp;Sheet=1&amp;Row=259&amp;Col=7","")</f>
      </c>
      <c r="I260" t="s" s="1">
        <f>HYPERLINK("http://141.218.60.56/~jnz1568/discussion.php?&amp;Z=8&amp;N=6&amp;Sheet=1&amp;Row=259&amp;Col=8","")</f>
      </c>
      <c r="J260" t="s" s="1">
        <f>HYPERLINK("http://141.218.60.56/~jnz1568/discussion.php?&amp;Z=8&amp;N=6&amp;Sheet=1&amp;Row=259&amp;Col=9","52335")</f>
      </c>
      <c r="K260" t="s" s="1">
        <f>HYPERLINK("http://141.218.60.56/~jnz1568/discussion.php?&amp;Z=8&amp;N=6&amp;Sheet=1&amp;Row=259&amp;Col=10","")</f>
      </c>
      <c r="L260" t="s" s="1">
        <f>HYPERLINK("http://141.218.60.56/~jnz1568/discussion.php?&amp;Z=8&amp;N=6&amp;Sheet=1&amp;Row=259&amp;Col=11","")</f>
      </c>
      <c r="M260" t="s" s="1">
        <f>HYPERLINK("http://141.218.60.56/~jnz1568/discussion.php?&amp;Z=8&amp;N=6&amp;Sheet=1&amp;Row=259&amp;Col=12","")</f>
      </c>
      <c r="N260" t="s" s="1">
        <f>HYPERLINK("http://141.218.60.56/~jnz1568/discussion.php?&amp;Z=8&amp;N=6&amp;Sheet=1&amp;Row=259&amp;Col=13","29250")</f>
      </c>
      <c r="O260" t="s" s="1">
        <f>HYPERLINK("http://141.218.60.56/~jnz1568/discussion.php?&amp;Z=8&amp;N=6&amp;Sheet=1&amp;Row=259&amp;Col=14","")</f>
      </c>
      <c r="P260" t="s" s="1">
        <f>HYPERLINK("http://141.218.60.56/~jnz1568/discussion.php?&amp;Z=8&amp;N=6&amp;Sheet=1&amp;Row=259&amp;Col=15","")</f>
      </c>
      <c r="Q260" t="s" s="1">
        <f>HYPERLINK("http://141.218.60.56/~jnz1568/discussion.php?&amp;Z=8&amp;N=6&amp;Sheet=1&amp;Row=259&amp;Col=16","")</f>
      </c>
    </row>
    <row r="261">
      <c r="A261" t="s">
        <v>15</v>
      </c>
      <c r="B261" t="s">
        <v>16</v>
      </c>
      <c r="C261" t="s">
        <v>145</v>
      </c>
      <c r="D261" t="s">
        <v>58</v>
      </c>
      <c r="E261" t="s">
        <v>1228</v>
      </c>
      <c r="F261" t="s" s="1">
        <f>HYPERLINK("http://141.218.60.56/~jnz1568/discussion.php?&amp;Z=8&amp;N=6&amp;Sheet=1&amp;Row=260&amp;Col=5","4821.1")</f>
      </c>
      <c r="G261" t="s" s="1">
        <f>HYPERLINK("http://141.218.60.56/~jnz1568/discussion.php?&amp;Z=8&amp;N=6&amp;Sheet=1&amp;Row=260&amp;Col=6","")</f>
      </c>
      <c r="H261" t="s" s="1">
        <f>HYPERLINK("http://141.218.60.56/~jnz1568/discussion.php?&amp;Z=8&amp;N=6&amp;Sheet=1&amp;Row=260&amp;Col=7","")</f>
      </c>
      <c r="I261" t="s" s="1">
        <f>HYPERLINK("http://141.218.60.56/~jnz1568/discussion.php?&amp;Z=8&amp;N=6&amp;Sheet=1&amp;Row=260&amp;Col=8","")</f>
      </c>
      <c r="J261" t="s" s="1">
        <f>HYPERLINK("http://141.218.60.56/~jnz1568/discussion.php?&amp;Z=8&amp;N=6&amp;Sheet=1&amp;Row=260&amp;Col=9","4766.8")</f>
      </c>
      <c r="K261" t="s" s="1">
        <f>HYPERLINK("http://141.218.60.56/~jnz1568/discussion.php?&amp;Z=8&amp;N=6&amp;Sheet=1&amp;Row=260&amp;Col=10","")</f>
      </c>
      <c r="L261" t="s" s="1">
        <f>HYPERLINK("http://141.218.60.56/~jnz1568/discussion.php?&amp;Z=8&amp;N=6&amp;Sheet=1&amp;Row=260&amp;Col=11","")</f>
      </c>
      <c r="M261" t="s" s="1">
        <f>HYPERLINK("http://141.218.60.56/~jnz1568/discussion.php?&amp;Z=8&amp;N=6&amp;Sheet=1&amp;Row=260&amp;Col=12","")</f>
      </c>
      <c r="N261" t="s" s="1">
        <f>HYPERLINK("http://141.218.60.56/~jnz1568/discussion.php?&amp;Z=8&amp;N=6&amp;Sheet=1&amp;Row=260&amp;Col=13","5862")</f>
      </c>
      <c r="O261" t="s" s="1">
        <f>HYPERLINK("http://141.218.60.56/~jnz1568/discussion.php?&amp;Z=8&amp;N=6&amp;Sheet=1&amp;Row=260&amp;Col=14","")</f>
      </c>
      <c r="P261" t="s" s="1">
        <f>HYPERLINK("http://141.218.60.56/~jnz1568/discussion.php?&amp;Z=8&amp;N=6&amp;Sheet=1&amp;Row=260&amp;Col=15","")</f>
      </c>
      <c r="Q261" t="s" s="1">
        <f>HYPERLINK("http://141.218.60.56/~jnz1568/discussion.php?&amp;Z=8&amp;N=6&amp;Sheet=1&amp;Row=260&amp;Col=16","")</f>
      </c>
    </row>
    <row r="262">
      <c r="A262" t="s">
        <v>15</v>
      </c>
      <c r="B262" t="s">
        <v>16</v>
      </c>
      <c r="C262" t="s">
        <v>145</v>
      </c>
      <c r="D262" t="s">
        <v>69</v>
      </c>
      <c r="E262" t="s">
        <v>1232</v>
      </c>
      <c r="F262" t="s" s="1">
        <f>HYPERLINK("http://141.218.60.56/~jnz1568/discussion.php?&amp;Z=8&amp;N=6&amp;Sheet=1&amp;Row=261&amp;Col=5","42624")</f>
      </c>
      <c r="G262" t="s" s="1">
        <f>HYPERLINK("http://141.218.60.56/~jnz1568/discussion.php?&amp;Z=8&amp;N=6&amp;Sheet=1&amp;Row=261&amp;Col=6","")</f>
      </c>
      <c r="H262" t="s" s="1">
        <f>HYPERLINK("http://141.218.60.56/~jnz1568/discussion.php?&amp;Z=8&amp;N=6&amp;Sheet=1&amp;Row=261&amp;Col=7","")</f>
      </c>
      <c r="I262" t="s" s="1">
        <f>HYPERLINK("http://141.218.60.56/~jnz1568/discussion.php?&amp;Z=8&amp;N=6&amp;Sheet=1&amp;Row=261&amp;Col=8","")</f>
      </c>
      <c r="J262" t="s" s="1">
        <f>HYPERLINK("http://141.218.60.56/~jnz1568/discussion.php?&amp;Z=8&amp;N=6&amp;Sheet=1&amp;Row=261&amp;Col=9","41331")</f>
      </c>
      <c r="K262" t="s" s="1">
        <f>HYPERLINK("http://141.218.60.56/~jnz1568/discussion.php?&amp;Z=8&amp;N=6&amp;Sheet=1&amp;Row=261&amp;Col=10","")</f>
      </c>
      <c r="L262" t="s" s="1">
        <f>HYPERLINK("http://141.218.60.56/~jnz1568/discussion.php?&amp;Z=8&amp;N=6&amp;Sheet=1&amp;Row=261&amp;Col=11","")</f>
      </c>
      <c r="M262" t="s" s="1">
        <f>HYPERLINK("http://141.218.60.56/~jnz1568/discussion.php?&amp;Z=8&amp;N=6&amp;Sheet=1&amp;Row=261&amp;Col=12","")</f>
      </c>
      <c r="N262" t="s" s="1">
        <f>HYPERLINK("http://141.218.60.56/~jnz1568/discussion.php?&amp;Z=8&amp;N=6&amp;Sheet=1&amp;Row=261&amp;Col=13","24450")</f>
      </c>
      <c r="O262" t="s" s="1">
        <f>HYPERLINK("http://141.218.60.56/~jnz1568/discussion.php?&amp;Z=8&amp;N=6&amp;Sheet=1&amp;Row=261&amp;Col=14","")</f>
      </c>
      <c r="P262" t="s" s="1">
        <f>HYPERLINK("http://141.218.60.56/~jnz1568/discussion.php?&amp;Z=8&amp;N=6&amp;Sheet=1&amp;Row=261&amp;Col=15","")</f>
      </c>
      <c r="Q262" t="s" s="1">
        <f>HYPERLINK("http://141.218.60.56/~jnz1568/discussion.php?&amp;Z=8&amp;N=6&amp;Sheet=1&amp;Row=261&amp;Col=16","")</f>
      </c>
    </row>
    <row r="263">
      <c r="A263" t="s">
        <v>15</v>
      </c>
      <c r="B263" t="s">
        <v>16</v>
      </c>
      <c r="C263" t="s">
        <v>145</v>
      </c>
      <c r="D263" t="s">
        <v>74</v>
      </c>
      <c r="E263" t="s">
        <v>1236</v>
      </c>
      <c r="F263" t="s" s="1">
        <f>HYPERLINK("http://141.218.60.56/~jnz1568/discussion.php?&amp;Z=8&amp;N=6&amp;Sheet=1&amp;Row=262&amp;Col=5","228860000")</f>
      </c>
      <c r="G263" t="s" s="1">
        <f>HYPERLINK("http://141.218.60.56/~jnz1568/discussion.php?&amp;Z=8&amp;N=6&amp;Sheet=1&amp;Row=262&amp;Col=6","")</f>
      </c>
      <c r="H263" t="s" s="1">
        <f>HYPERLINK("http://141.218.60.56/~jnz1568/discussion.php?&amp;Z=8&amp;N=6&amp;Sheet=1&amp;Row=262&amp;Col=7","")</f>
      </c>
      <c r="I263" t="s" s="1">
        <f>HYPERLINK("http://141.218.60.56/~jnz1568/discussion.php?&amp;Z=8&amp;N=6&amp;Sheet=1&amp;Row=262&amp;Col=8","")</f>
      </c>
      <c r="J263" t="s" s="1">
        <f>HYPERLINK("http://141.218.60.56/~jnz1568/discussion.php?&amp;Z=8&amp;N=6&amp;Sheet=1&amp;Row=262&amp;Col=9","229890000")</f>
      </c>
      <c r="K263" t="s" s="1">
        <f>HYPERLINK("http://141.218.60.56/~jnz1568/discussion.php?&amp;Z=8&amp;N=6&amp;Sheet=1&amp;Row=262&amp;Col=10","")</f>
      </c>
      <c r="L263" t="s" s="1">
        <f>HYPERLINK("http://141.218.60.56/~jnz1568/discussion.php?&amp;Z=8&amp;N=6&amp;Sheet=1&amp;Row=262&amp;Col=11","")</f>
      </c>
      <c r="M263" t="s" s="1">
        <f>HYPERLINK("http://141.218.60.56/~jnz1568/discussion.php?&amp;Z=8&amp;N=6&amp;Sheet=1&amp;Row=262&amp;Col=12","")</f>
      </c>
      <c r="N263" t="s" s="1">
        <f>HYPERLINK("http://141.218.60.56/~jnz1568/discussion.php?&amp;Z=8&amp;N=6&amp;Sheet=1&amp;Row=262&amp;Col=13","258600000")</f>
      </c>
      <c r="O263" t="s" s="1">
        <f>HYPERLINK("http://141.218.60.56/~jnz1568/discussion.php?&amp;Z=8&amp;N=6&amp;Sheet=1&amp;Row=262&amp;Col=14","")</f>
      </c>
      <c r="P263" t="s" s="1">
        <f>HYPERLINK("http://141.218.60.56/~jnz1568/discussion.php?&amp;Z=8&amp;N=6&amp;Sheet=1&amp;Row=262&amp;Col=15","")</f>
      </c>
      <c r="Q263" t="s" s="1">
        <f>HYPERLINK("http://141.218.60.56/~jnz1568/discussion.php?&amp;Z=8&amp;N=6&amp;Sheet=1&amp;Row=262&amp;Col=16","")</f>
      </c>
    </row>
    <row r="264">
      <c r="A264" t="s">
        <v>15</v>
      </c>
      <c r="B264" t="s">
        <v>16</v>
      </c>
      <c r="C264" t="s">
        <v>145</v>
      </c>
      <c r="D264" t="s">
        <v>84</v>
      </c>
      <c r="E264" t="s">
        <v>1240</v>
      </c>
      <c r="F264" t="s" s="1">
        <f>HYPERLINK("http://141.218.60.56/~jnz1568/discussion.php?&amp;Z=8&amp;N=6&amp;Sheet=1&amp;Row=263&amp;Col=5","146860")</f>
      </c>
      <c r="G264" t="s" s="1">
        <f>HYPERLINK("http://141.218.60.56/~jnz1568/discussion.php?&amp;Z=8&amp;N=6&amp;Sheet=1&amp;Row=263&amp;Col=6","")</f>
      </c>
      <c r="H264" t="s" s="1">
        <f>HYPERLINK("http://141.218.60.56/~jnz1568/discussion.php?&amp;Z=8&amp;N=6&amp;Sheet=1&amp;Row=263&amp;Col=7","")</f>
      </c>
      <c r="I264" t="s" s="1">
        <f>HYPERLINK("http://141.218.60.56/~jnz1568/discussion.php?&amp;Z=8&amp;N=6&amp;Sheet=1&amp;Row=263&amp;Col=8","")</f>
      </c>
      <c r="J264" t="s" s="1">
        <f>HYPERLINK("http://141.218.60.56/~jnz1568/discussion.php?&amp;Z=8&amp;N=6&amp;Sheet=1&amp;Row=263&amp;Col=9","148160")</f>
      </c>
      <c r="K264" t="s" s="1">
        <f>HYPERLINK("http://141.218.60.56/~jnz1568/discussion.php?&amp;Z=8&amp;N=6&amp;Sheet=1&amp;Row=263&amp;Col=10","")</f>
      </c>
      <c r="L264" t="s" s="1">
        <f>HYPERLINK("http://141.218.60.56/~jnz1568/discussion.php?&amp;Z=8&amp;N=6&amp;Sheet=1&amp;Row=263&amp;Col=11","")</f>
      </c>
      <c r="M264" t="s" s="1">
        <f>HYPERLINK("http://141.218.60.56/~jnz1568/discussion.php?&amp;Z=8&amp;N=6&amp;Sheet=1&amp;Row=263&amp;Col=12","")</f>
      </c>
      <c r="N264" t="s" s="1">
        <f>HYPERLINK("http://141.218.60.56/~jnz1568/discussion.php?&amp;Z=8&amp;N=6&amp;Sheet=1&amp;Row=263&amp;Col=13","33210")</f>
      </c>
      <c r="O264" t="s" s="1">
        <f>HYPERLINK("http://141.218.60.56/~jnz1568/discussion.php?&amp;Z=8&amp;N=6&amp;Sheet=1&amp;Row=263&amp;Col=14","")</f>
      </c>
      <c r="P264" t="s" s="1">
        <f>HYPERLINK("http://141.218.60.56/~jnz1568/discussion.php?&amp;Z=8&amp;N=6&amp;Sheet=1&amp;Row=263&amp;Col=15","")</f>
      </c>
      <c r="Q264" t="s" s="1">
        <f>HYPERLINK("http://141.218.60.56/~jnz1568/discussion.php?&amp;Z=8&amp;N=6&amp;Sheet=1&amp;Row=263&amp;Col=16","")</f>
      </c>
    </row>
    <row r="265">
      <c r="A265" t="s">
        <v>15</v>
      </c>
      <c r="B265" t="s">
        <v>16</v>
      </c>
      <c r="C265" t="s">
        <v>145</v>
      </c>
      <c r="D265" t="s">
        <v>90</v>
      </c>
      <c r="E265" t="s">
        <v>1244</v>
      </c>
      <c r="F265" t="s" s="1">
        <f>HYPERLINK("http://141.218.60.56/~jnz1568/discussion.php?&amp;Z=8&amp;N=6&amp;Sheet=1&amp;Row=264&amp;Col=5","357740000")</f>
      </c>
      <c r="G265" t="s" s="1">
        <f>HYPERLINK("http://141.218.60.56/~jnz1568/discussion.php?&amp;Z=8&amp;N=6&amp;Sheet=1&amp;Row=264&amp;Col=6","")</f>
      </c>
      <c r="H265" t="s" s="1">
        <f>HYPERLINK("http://141.218.60.56/~jnz1568/discussion.php?&amp;Z=8&amp;N=6&amp;Sheet=1&amp;Row=264&amp;Col=7","")</f>
      </c>
      <c r="I265" t="s" s="1">
        <f>HYPERLINK("http://141.218.60.56/~jnz1568/discussion.php?&amp;Z=8&amp;N=6&amp;Sheet=1&amp;Row=264&amp;Col=8","")</f>
      </c>
      <c r="J265" t="s" s="1">
        <f>HYPERLINK("http://141.218.60.56/~jnz1568/discussion.php?&amp;Z=8&amp;N=6&amp;Sheet=1&amp;Row=264&amp;Col=9","363850000")</f>
      </c>
      <c r="K265" t="s" s="1">
        <f>HYPERLINK("http://141.218.60.56/~jnz1568/discussion.php?&amp;Z=8&amp;N=6&amp;Sheet=1&amp;Row=264&amp;Col=10","")</f>
      </c>
      <c r="L265" t="s" s="1">
        <f>HYPERLINK("http://141.218.60.56/~jnz1568/discussion.php?&amp;Z=8&amp;N=6&amp;Sheet=1&amp;Row=264&amp;Col=11","")</f>
      </c>
      <c r="M265" t="s" s="1">
        <f>HYPERLINK("http://141.218.60.56/~jnz1568/discussion.php?&amp;Z=8&amp;N=6&amp;Sheet=1&amp;Row=264&amp;Col=12","")</f>
      </c>
      <c r="N265" t="s" s="1">
        <f>HYPERLINK("http://141.218.60.56/~jnz1568/discussion.php?&amp;Z=8&amp;N=6&amp;Sheet=1&amp;Row=264&amp;Col=13","266000000")</f>
      </c>
      <c r="O265" t="s" s="1">
        <f>HYPERLINK("http://141.218.60.56/~jnz1568/discussion.php?&amp;Z=8&amp;N=6&amp;Sheet=1&amp;Row=264&amp;Col=14","")</f>
      </c>
      <c r="P265" t="s" s="1">
        <f>HYPERLINK("http://141.218.60.56/~jnz1568/discussion.php?&amp;Z=8&amp;N=6&amp;Sheet=1&amp;Row=264&amp;Col=15","")</f>
      </c>
      <c r="Q265" t="s" s="1">
        <f>HYPERLINK("http://141.218.60.56/~jnz1568/discussion.php?&amp;Z=8&amp;N=6&amp;Sheet=1&amp;Row=264&amp;Col=16","")</f>
      </c>
    </row>
    <row r="266">
      <c r="A266" t="s">
        <v>15</v>
      </c>
      <c r="B266" t="s">
        <v>16</v>
      </c>
      <c r="C266" t="s">
        <v>149</v>
      </c>
      <c r="D266" t="s">
        <v>23</v>
      </c>
      <c r="E266" t="s">
        <v>1248</v>
      </c>
      <c r="F266" t="s" s="1">
        <f>HYPERLINK("http://141.218.60.56/~jnz1568/discussion.php?&amp;Z=8&amp;N=6&amp;Sheet=1&amp;Row=265&amp;Col=5","3404900")</f>
      </c>
      <c r="G266" t="s" s="1">
        <f>HYPERLINK("http://141.218.60.56/~jnz1568/discussion.php?&amp;Z=8&amp;N=6&amp;Sheet=1&amp;Row=265&amp;Col=6","")</f>
      </c>
      <c r="H266" t="s" s="1">
        <f>HYPERLINK("http://141.218.60.56/~jnz1568/discussion.php?&amp;Z=8&amp;N=6&amp;Sheet=1&amp;Row=265&amp;Col=7","")</f>
      </c>
      <c r="I266" t="s" s="1">
        <f>HYPERLINK("http://141.218.60.56/~jnz1568/discussion.php?&amp;Z=8&amp;N=6&amp;Sheet=1&amp;Row=265&amp;Col=8","")</f>
      </c>
      <c r="J266" t="s" s="1">
        <f>HYPERLINK("http://141.218.60.56/~jnz1568/discussion.php?&amp;Z=8&amp;N=6&amp;Sheet=1&amp;Row=265&amp;Col=9","3117200")</f>
      </c>
      <c r="K266" t="s" s="1">
        <f>HYPERLINK("http://141.218.60.56/~jnz1568/discussion.php?&amp;Z=8&amp;N=6&amp;Sheet=1&amp;Row=265&amp;Col=10","")</f>
      </c>
      <c r="L266" t="s" s="1">
        <f>HYPERLINK("http://141.218.60.56/~jnz1568/discussion.php?&amp;Z=8&amp;N=6&amp;Sheet=1&amp;Row=265&amp;Col=11","")</f>
      </c>
      <c r="M266" t="s" s="1">
        <f>HYPERLINK("http://141.218.60.56/~jnz1568/discussion.php?&amp;Z=8&amp;N=6&amp;Sheet=1&amp;Row=265&amp;Col=12","")</f>
      </c>
      <c r="N266" t="s" s="1">
        <f>HYPERLINK("http://141.218.60.56/~jnz1568/discussion.php?&amp;Z=8&amp;N=6&amp;Sheet=1&amp;Row=265&amp;Col=13","2225000")</f>
      </c>
      <c r="O266" t="s" s="1">
        <f>HYPERLINK("http://141.218.60.56/~jnz1568/discussion.php?&amp;Z=8&amp;N=6&amp;Sheet=1&amp;Row=265&amp;Col=14","")</f>
      </c>
      <c r="P266" t="s" s="1">
        <f>HYPERLINK("http://141.218.60.56/~jnz1568/discussion.php?&amp;Z=8&amp;N=6&amp;Sheet=1&amp;Row=265&amp;Col=15","")</f>
      </c>
      <c r="Q266" t="s" s="1">
        <f>HYPERLINK("http://141.218.60.56/~jnz1568/discussion.php?&amp;Z=8&amp;N=6&amp;Sheet=1&amp;Row=265&amp;Col=16","")</f>
      </c>
    </row>
    <row r="267">
      <c r="A267" t="s">
        <v>15</v>
      </c>
      <c r="B267" t="s">
        <v>16</v>
      </c>
      <c r="C267" t="s">
        <v>149</v>
      </c>
      <c r="D267" t="s">
        <v>20</v>
      </c>
      <c r="E267" t="s">
        <v>1252</v>
      </c>
      <c r="F267" t="s" s="1">
        <f>HYPERLINK("http://141.218.60.56/~jnz1568/discussion.php?&amp;Z=8&amp;N=6&amp;Sheet=1&amp;Row=266&amp;Col=5","9165100")</f>
      </c>
      <c r="G267" t="s" s="1">
        <f>HYPERLINK("http://141.218.60.56/~jnz1568/discussion.php?&amp;Z=8&amp;N=6&amp;Sheet=1&amp;Row=266&amp;Col=6","")</f>
      </c>
      <c r="H267" t="s" s="1">
        <f>HYPERLINK("http://141.218.60.56/~jnz1568/discussion.php?&amp;Z=8&amp;N=6&amp;Sheet=1&amp;Row=266&amp;Col=7","")</f>
      </c>
      <c r="I267" t="s" s="1">
        <f>HYPERLINK("http://141.218.60.56/~jnz1568/discussion.php?&amp;Z=8&amp;N=6&amp;Sheet=1&amp;Row=266&amp;Col=8","")</f>
      </c>
      <c r="J267" t="s" s="1">
        <f>HYPERLINK("http://141.218.60.56/~jnz1568/discussion.php?&amp;Z=8&amp;N=6&amp;Sheet=1&amp;Row=266&amp;Col=9","9299600")</f>
      </c>
      <c r="K267" t="s" s="1">
        <f>HYPERLINK("http://141.218.60.56/~jnz1568/discussion.php?&amp;Z=8&amp;N=6&amp;Sheet=1&amp;Row=266&amp;Col=10","")</f>
      </c>
      <c r="L267" t="s" s="1">
        <f>HYPERLINK("http://141.218.60.56/~jnz1568/discussion.php?&amp;Z=8&amp;N=6&amp;Sheet=1&amp;Row=266&amp;Col=11","")</f>
      </c>
      <c r="M267" t="s" s="1">
        <f>HYPERLINK("http://141.218.60.56/~jnz1568/discussion.php?&amp;Z=8&amp;N=6&amp;Sheet=1&amp;Row=266&amp;Col=12","")</f>
      </c>
      <c r="N267" t="s" s="1">
        <f>HYPERLINK("http://141.218.60.56/~jnz1568/discussion.php?&amp;Z=8&amp;N=6&amp;Sheet=1&amp;Row=266&amp;Col=13","4926000")</f>
      </c>
      <c r="O267" t="s" s="1">
        <f>HYPERLINK("http://141.218.60.56/~jnz1568/discussion.php?&amp;Z=8&amp;N=6&amp;Sheet=1&amp;Row=266&amp;Col=14","")</f>
      </c>
      <c r="P267" t="s" s="1">
        <f>HYPERLINK("http://141.218.60.56/~jnz1568/discussion.php?&amp;Z=8&amp;N=6&amp;Sheet=1&amp;Row=266&amp;Col=15","")</f>
      </c>
      <c r="Q267" t="s" s="1">
        <f>HYPERLINK("http://141.218.60.56/~jnz1568/discussion.php?&amp;Z=8&amp;N=6&amp;Sheet=1&amp;Row=266&amp;Col=16","")</f>
      </c>
    </row>
    <row r="268">
      <c r="A268" t="s">
        <v>15</v>
      </c>
      <c r="B268" t="s">
        <v>16</v>
      </c>
      <c r="C268" t="s">
        <v>149</v>
      </c>
      <c r="D268" t="s">
        <v>28</v>
      </c>
      <c r="E268" t="s">
        <v>1256</v>
      </c>
      <c r="F268" t="s" s="1">
        <f>HYPERLINK("http://141.218.60.56/~jnz1568/discussion.php?&amp;Z=8&amp;N=6&amp;Sheet=1&amp;Row=267&amp;Col=5","2723000000")</f>
      </c>
      <c r="G268" t="s" s="1">
        <f>HYPERLINK("http://141.218.60.56/~jnz1568/discussion.php?&amp;Z=8&amp;N=6&amp;Sheet=1&amp;Row=267&amp;Col=6","")</f>
      </c>
      <c r="H268" t="s" s="1">
        <f>HYPERLINK("http://141.218.60.56/~jnz1568/discussion.php?&amp;Z=8&amp;N=6&amp;Sheet=1&amp;Row=267&amp;Col=7","")</f>
      </c>
      <c r="I268" t="s" s="1">
        <f>HYPERLINK("http://141.218.60.56/~jnz1568/discussion.php?&amp;Z=8&amp;N=6&amp;Sheet=1&amp;Row=267&amp;Col=8","")</f>
      </c>
      <c r="J268" t="s" s="1">
        <f>HYPERLINK("http://141.218.60.56/~jnz1568/discussion.php?&amp;Z=8&amp;N=6&amp;Sheet=1&amp;Row=267&amp;Col=9","2915300000")</f>
      </c>
      <c r="K268" t="s" s="1">
        <f>HYPERLINK("http://141.218.60.56/~jnz1568/discussion.php?&amp;Z=8&amp;N=6&amp;Sheet=1&amp;Row=267&amp;Col=10","")</f>
      </c>
      <c r="L268" t="s" s="1">
        <f>HYPERLINK("http://141.218.60.56/~jnz1568/discussion.php?&amp;Z=8&amp;N=6&amp;Sheet=1&amp;Row=267&amp;Col=11","")</f>
      </c>
      <c r="M268" t="s" s="1">
        <f>HYPERLINK("http://141.218.60.56/~jnz1568/discussion.php?&amp;Z=8&amp;N=6&amp;Sheet=1&amp;Row=267&amp;Col=12","")</f>
      </c>
      <c r="N268" t="s" s="1">
        <f>HYPERLINK("http://141.218.60.56/~jnz1568/discussion.php?&amp;Z=8&amp;N=6&amp;Sheet=1&amp;Row=267&amp;Col=13","2253000000")</f>
      </c>
      <c r="O268" t="s" s="1">
        <f>HYPERLINK("http://141.218.60.56/~jnz1568/discussion.php?&amp;Z=8&amp;N=6&amp;Sheet=1&amp;Row=267&amp;Col=14","")</f>
      </c>
      <c r="P268" t="s" s="1">
        <f>HYPERLINK("http://141.218.60.56/~jnz1568/discussion.php?&amp;Z=8&amp;N=6&amp;Sheet=1&amp;Row=267&amp;Col=15","")</f>
      </c>
      <c r="Q268" t="s" s="1">
        <f>HYPERLINK("http://141.218.60.56/~jnz1568/discussion.php?&amp;Z=8&amp;N=6&amp;Sheet=1&amp;Row=267&amp;Col=16","")</f>
      </c>
    </row>
    <row r="269">
      <c r="A269" t="s">
        <v>15</v>
      </c>
      <c r="B269" t="s">
        <v>16</v>
      </c>
      <c r="C269" t="s">
        <v>149</v>
      </c>
      <c r="D269" t="s">
        <v>94</v>
      </c>
      <c r="E269" t="s">
        <v>1260</v>
      </c>
      <c r="F269" t="s" s="1">
        <f>HYPERLINK("http://141.218.60.56/~jnz1568/discussion.php?&amp;Z=8&amp;N=6&amp;Sheet=1&amp;Row=268&amp;Col=5","401.55")</f>
      </c>
      <c r="G269" t="s" s="1">
        <f>HYPERLINK("http://141.218.60.56/~jnz1568/discussion.php?&amp;Z=8&amp;N=6&amp;Sheet=1&amp;Row=268&amp;Col=6","")</f>
      </c>
      <c r="H269" t="s" s="1">
        <f>HYPERLINK("http://141.218.60.56/~jnz1568/discussion.php?&amp;Z=8&amp;N=6&amp;Sheet=1&amp;Row=268&amp;Col=7","")</f>
      </c>
      <c r="I269" t="s" s="1">
        <f>HYPERLINK("http://141.218.60.56/~jnz1568/discussion.php?&amp;Z=8&amp;N=6&amp;Sheet=1&amp;Row=268&amp;Col=8","")</f>
      </c>
      <c r="J269" t="s" s="1">
        <f>HYPERLINK("http://141.218.60.56/~jnz1568/discussion.php?&amp;Z=8&amp;N=6&amp;Sheet=1&amp;Row=268&amp;Col=9","523.49")</f>
      </c>
      <c r="K269" t="s" s="1">
        <f>HYPERLINK("http://141.218.60.56/~jnz1568/discussion.php?&amp;Z=8&amp;N=6&amp;Sheet=1&amp;Row=268&amp;Col=10","")</f>
      </c>
      <c r="L269" t="s" s="1">
        <f>HYPERLINK("http://141.218.60.56/~jnz1568/discussion.php?&amp;Z=8&amp;N=6&amp;Sheet=1&amp;Row=268&amp;Col=11","")</f>
      </c>
      <c r="M269" t="s" s="1">
        <f>HYPERLINK("http://141.218.60.56/~jnz1568/discussion.php?&amp;Z=8&amp;N=6&amp;Sheet=1&amp;Row=268&amp;Col=12","")</f>
      </c>
      <c r="N269" t="s" s="1">
        <f>HYPERLINK("http://141.218.60.56/~jnz1568/discussion.php?&amp;Z=8&amp;N=6&amp;Sheet=1&amp;Row=268&amp;Col=13","489.6")</f>
      </c>
      <c r="O269" t="s" s="1">
        <f>HYPERLINK("http://141.218.60.56/~jnz1568/discussion.php?&amp;Z=8&amp;N=6&amp;Sheet=1&amp;Row=268&amp;Col=14","")</f>
      </c>
      <c r="P269" t="s" s="1">
        <f>HYPERLINK("http://141.218.60.56/~jnz1568/discussion.php?&amp;Z=8&amp;N=6&amp;Sheet=1&amp;Row=268&amp;Col=15","")</f>
      </c>
      <c r="Q269" t="s" s="1">
        <f>HYPERLINK("http://141.218.60.56/~jnz1568/discussion.php?&amp;Z=8&amp;N=6&amp;Sheet=1&amp;Row=268&amp;Col=16","")</f>
      </c>
    </row>
    <row r="270">
      <c r="A270" t="s">
        <v>15</v>
      </c>
      <c r="B270" t="s">
        <v>16</v>
      </c>
      <c r="C270" t="s">
        <v>149</v>
      </c>
      <c r="D270" t="s">
        <v>99</v>
      </c>
      <c r="E270" t="s">
        <v>1264</v>
      </c>
      <c r="F270" t="s" s="1">
        <f>HYPERLINK("http://141.218.60.56/~jnz1568/discussion.php?&amp;Z=8&amp;N=6&amp;Sheet=1&amp;Row=269&amp;Col=5","156.41")</f>
      </c>
      <c r="G270" t="s" s="1">
        <f>HYPERLINK("http://141.218.60.56/~jnz1568/discussion.php?&amp;Z=8&amp;N=6&amp;Sheet=1&amp;Row=269&amp;Col=6","")</f>
      </c>
      <c r="H270" t="s" s="1">
        <f>HYPERLINK("http://141.218.60.56/~jnz1568/discussion.php?&amp;Z=8&amp;N=6&amp;Sheet=1&amp;Row=269&amp;Col=7","")</f>
      </c>
      <c r="I270" t="s" s="1">
        <f>HYPERLINK("http://141.218.60.56/~jnz1568/discussion.php?&amp;Z=8&amp;N=6&amp;Sheet=1&amp;Row=269&amp;Col=8","")</f>
      </c>
      <c r="J270" t="s" s="1">
        <f>HYPERLINK("http://141.218.60.56/~jnz1568/discussion.php?&amp;Z=8&amp;N=6&amp;Sheet=1&amp;Row=269&amp;Col=9","166.01")</f>
      </c>
      <c r="K270" t="s" s="1">
        <f>HYPERLINK("http://141.218.60.56/~jnz1568/discussion.php?&amp;Z=8&amp;N=6&amp;Sheet=1&amp;Row=269&amp;Col=10","")</f>
      </c>
      <c r="L270" t="s" s="1">
        <f>HYPERLINK("http://141.218.60.56/~jnz1568/discussion.php?&amp;Z=8&amp;N=6&amp;Sheet=1&amp;Row=269&amp;Col=11","")</f>
      </c>
      <c r="M270" t="s" s="1">
        <f>HYPERLINK("http://141.218.60.56/~jnz1568/discussion.php?&amp;Z=8&amp;N=6&amp;Sheet=1&amp;Row=269&amp;Col=12","")</f>
      </c>
      <c r="N270" t="s" s="1">
        <f>HYPERLINK("http://141.218.60.56/~jnz1568/discussion.php?&amp;Z=8&amp;N=6&amp;Sheet=1&amp;Row=269&amp;Col=13","0.7145")</f>
      </c>
      <c r="O270" t="s" s="1">
        <f>HYPERLINK("http://141.218.60.56/~jnz1568/discussion.php?&amp;Z=8&amp;N=6&amp;Sheet=1&amp;Row=269&amp;Col=14","")</f>
      </c>
      <c r="P270" t="s" s="1">
        <f>HYPERLINK("http://141.218.60.56/~jnz1568/discussion.php?&amp;Z=8&amp;N=6&amp;Sheet=1&amp;Row=269&amp;Col=15","")</f>
      </c>
      <c r="Q270" t="s" s="1">
        <f>HYPERLINK("http://141.218.60.56/~jnz1568/discussion.php?&amp;Z=8&amp;N=6&amp;Sheet=1&amp;Row=269&amp;Col=16","")</f>
      </c>
    </row>
    <row r="271">
      <c r="A271" t="s">
        <v>15</v>
      </c>
      <c r="B271" t="s">
        <v>16</v>
      </c>
      <c r="C271" t="s">
        <v>149</v>
      </c>
      <c r="D271" t="s">
        <v>105</v>
      </c>
      <c r="E271" t="s">
        <v>1268</v>
      </c>
      <c r="F271" t="s" s="1">
        <f>HYPERLINK("http://141.218.60.56/~jnz1568/discussion.php?&amp;Z=8&amp;N=6&amp;Sheet=1&amp;Row=270&amp;Col=5","60616000")</f>
      </c>
      <c r="G271" t="s" s="1">
        <f>HYPERLINK("http://141.218.60.56/~jnz1568/discussion.php?&amp;Z=8&amp;N=6&amp;Sheet=1&amp;Row=270&amp;Col=6","")</f>
      </c>
      <c r="H271" t="s" s="1">
        <f>HYPERLINK("http://141.218.60.56/~jnz1568/discussion.php?&amp;Z=8&amp;N=6&amp;Sheet=1&amp;Row=270&amp;Col=7","")</f>
      </c>
      <c r="I271" t="s" s="1">
        <f>HYPERLINK("http://141.218.60.56/~jnz1568/discussion.php?&amp;Z=8&amp;N=6&amp;Sheet=1&amp;Row=270&amp;Col=8","")</f>
      </c>
      <c r="J271" t="s" s="1">
        <f>HYPERLINK("http://141.218.60.56/~jnz1568/discussion.php?&amp;Z=8&amp;N=6&amp;Sheet=1&amp;Row=270&amp;Col=9","63844000")</f>
      </c>
      <c r="K271" t="s" s="1">
        <f>HYPERLINK("http://141.218.60.56/~jnz1568/discussion.php?&amp;Z=8&amp;N=6&amp;Sheet=1&amp;Row=270&amp;Col=10","")</f>
      </c>
      <c r="L271" t="s" s="1">
        <f>HYPERLINK("http://141.218.60.56/~jnz1568/discussion.php?&amp;Z=8&amp;N=6&amp;Sheet=1&amp;Row=270&amp;Col=11","")</f>
      </c>
      <c r="M271" t="s" s="1">
        <f>HYPERLINK("http://141.218.60.56/~jnz1568/discussion.php?&amp;Z=8&amp;N=6&amp;Sheet=1&amp;Row=270&amp;Col=12","")</f>
      </c>
      <c r="N271" t="s" s="1">
        <f>HYPERLINK("http://141.218.60.56/~jnz1568/discussion.php?&amp;Z=8&amp;N=6&amp;Sheet=1&amp;Row=270&amp;Col=13","33140000")</f>
      </c>
      <c r="O271" t="s" s="1">
        <f>HYPERLINK("http://141.218.60.56/~jnz1568/discussion.php?&amp;Z=8&amp;N=6&amp;Sheet=1&amp;Row=270&amp;Col=14","")</f>
      </c>
      <c r="P271" t="s" s="1">
        <f>HYPERLINK("http://141.218.60.56/~jnz1568/discussion.php?&amp;Z=8&amp;N=6&amp;Sheet=1&amp;Row=270&amp;Col=15","")</f>
      </c>
      <c r="Q271" t="s" s="1">
        <f>HYPERLINK("http://141.218.60.56/~jnz1568/discussion.php?&amp;Z=8&amp;N=6&amp;Sheet=1&amp;Row=270&amp;Col=16","")</f>
      </c>
    </row>
    <row r="272">
      <c r="A272" t="s">
        <v>15</v>
      </c>
      <c r="B272" t="s">
        <v>16</v>
      </c>
      <c r="C272" t="s">
        <v>149</v>
      </c>
      <c r="D272" t="s">
        <v>111</v>
      </c>
      <c r="E272" t="s">
        <v>1272</v>
      </c>
      <c r="F272" t="s" s="1">
        <f>HYPERLINK("http://141.218.60.56/~jnz1568/discussion.php?&amp;Z=8&amp;N=6&amp;Sheet=1&amp;Row=271&amp;Col=5","111880000")</f>
      </c>
      <c r="G272" t="s" s="1">
        <f>HYPERLINK("http://141.218.60.56/~jnz1568/discussion.php?&amp;Z=8&amp;N=6&amp;Sheet=1&amp;Row=271&amp;Col=6","")</f>
      </c>
      <c r="H272" t="s" s="1">
        <f>HYPERLINK("http://141.218.60.56/~jnz1568/discussion.php?&amp;Z=8&amp;N=6&amp;Sheet=1&amp;Row=271&amp;Col=7","")</f>
      </c>
      <c r="I272" t="s" s="1">
        <f>HYPERLINK("http://141.218.60.56/~jnz1568/discussion.php?&amp;Z=8&amp;N=6&amp;Sheet=1&amp;Row=271&amp;Col=8","")</f>
      </c>
      <c r="J272" t="s" s="1">
        <f>HYPERLINK("http://141.218.60.56/~jnz1568/discussion.php?&amp;Z=8&amp;N=6&amp;Sheet=1&amp;Row=271&amp;Col=9","108050000")</f>
      </c>
      <c r="K272" t="s" s="1">
        <f>HYPERLINK("http://141.218.60.56/~jnz1568/discussion.php?&amp;Z=8&amp;N=6&amp;Sheet=1&amp;Row=271&amp;Col=10","")</f>
      </c>
      <c r="L272" t="s" s="1">
        <f>HYPERLINK("http://141.218.60.56/~jnz1568/discussion.php?&amp;Z=8&amp;N=6&amp;Sheet=1&amp;Row=271&amp;Col=11","")</f>
      </c>
      <c r="M272" t="s" s="1">
        <f>HYPERLINK("http://141.218.60.56/~jnz1568/discussion.php?&amp;Z=8&amp;N=6&amp;Sheet=1&amp;Row=271&amp;Col=12","")</f>
      </c>
      <c r="N272" t="s" s="1">
        <f>HYPERLINK("http://141.218.60.56/~jnz1568/discussion.php?&amp;Z=8&amp;N=6&amp;Sheet=1&amp;Row=271&amp;Col=13","97330000")</f>
      </c>
      <c r="O272" t="s" s="1">
        <f>HYPERLINK("http://141.218.60.56/~jnz1568/discussion.php?&amp;Z=8&amp;N=6&amp;Sheet=1&amp;Row=271&amp;Col=14","")</f>
      </c>
      <c r="P272" t="s" s="1">
        <f>HYPERLINK("http://141.218.60.56/~jnz1568/discussion.php?&amp;Z=8&amp;N=6&amp;Sheet=1&amp;Row=271&amp;Col=15","")</f>
      </c>
      <c r="Q272" t="s" s="1">
        <f>HYPERLINK("http://141.218.60.56/~jnz1568/discussion.php?&amp;Z=8&amp;N=6&amp;Sheet=1&amp;Row=271&amp;Col=16","")</f>
      </c>
    </row>
    <row r="273">
      <c r="A273" t="s">
        <v>15</v>
      </c>
      <c r="B273" t="s">
        <v>16</v>
      </c>
      <c r="C273" t="s">
        <v>149</v>
      </c>
      <c r="D273" t="s">
        <v>116</v>
      </c>
      <c r="E273" t="s">
        <v>1276</v>
      </c>
      <c r="F273" t="s" s="1">
        <f>HYPERLINK("http://141.218.60.56/~jnz1568/discussion.php?&amp;Z=8&amp;N=6&amp;Sheet=1&amp;Row=272&amp;Col=5","20851000")</f>
      </c>
      <c r="G273" t="s" s="1">
        <f>HYPERLINK("http://141.218.60.56/~jnz1568/discussion.php?&amp;Z=8&amp;N=6&amp;Sheet=1&amp;Row=272&amp;Col=6","")</f>
      </c>
      <c r="H273" t="s" s="1">
        <f>HYPERLINK("http://141.218.60.56/~jnz1568/discussion.php?&amp;Z=8&amp;N=6&amp;Sheet=1&amp;Row=272&amp;Col=7","")</f>
      </c>
      <c r="I273" t="s" s="1">
        <f>HYPERLINK("http://141.218.60.56/~jnz1568/discussion.php?&amp;Z=8&amp;N=6&amp;Sheet=1&amp;Row=272&amp;Col=8","")</f>
      </c>
      <c r="J273" t="s" s="1">
        <f>HYPERLINK("http://141.218.60.56/~jnz1568/discussion.php?&amp;Z=8&amp;N=6&amp;Sheet=1&amp;Row=272&amp;Col=9","20221000")</f>
      </c>
      <c r="K273" t="s" s="1">
        <f>HYPERLINK("http://141.218.60.56/~jnz1568/discussion.php?&amp;Z=8&amp;N=6&amp;Sheet=1&amp;Row=272&amp;Col=10","")</f>
      </c>
      <c r="L273" t="s" s="1">
        <f>HYPERLINK("http://141.218.60.56/~jnz1568/discussion.php?&amp;Z=8&amp;N=6&amp;Sheet=1&amp;Row=272&amp;Col=11","")</f>
      </c>
      <c r="M273" t="s" s="1">
        <f>HYPERLINK("http://141.218.60.56/~jnz1568/discussion.php?&amp;Z=8&amp;N=6&amp;Sheet=1&amp;Row=272&amp;Col=12","")</f>
      </c>
      <c r="N273" t="s" s="1">
        <f>HYPERLINK("http://141.218.60.56/~jnz1568/discussion.php?&amp;Z=8&amp;N=6&amp;Sheet=1&amp;Row=272&amp;Col=13","16090000")</f>
      </c>
      <c r="O273" t="s" s="1">
        <f>HYPERLINK("http://141.218.60.56/~jnz1568/discussion.php?&amp;Z=8&amp;N=6&amp;Sheet=1&amp;Row=272&amp;Col=14","")</f>
      </c>
      <c r="P273" t="s" s="1">
        <f>HYPERLINK("http://141.218.60.56/~jnz1568/discussion.php?&amp;Z=8&amp;N=6&amp;Sheet=1&amp;Row=272&amp;Col=15","")</f>
      </c>
      <c r="Q273" t="s" s="1">
        <f>HYPERLINK("http://141.218.60.56/~jnz1568/discussion.php?&amp;Z=8&amp;N=6&amp;Sheet=1&amp;Row=272&amp;Col=16","")</f>
      </c>
    </row>
    <row r="274">
      <c r="A274" t="s">
        <v>15</v>
      </c>
      <c r="B274" t="s">
        <v>16</v>
      </c>
      <c r="C274" t="s">
        <v>149</v>
      </c>
      <c r="D274" t="s">
        <v>119</v>
      </c>
      <c r="E274" t="s">
        <v>1280</v>
      </c>
      <c r="F274" t="s" s="1">
        <f>HYPERLINK("http://141.218.60.56/~jnz1568/discussion.php?&amp;Z=8&amp;N=6&amp;Sheet=1&amp;Row=273&amp;Col=5","462850")</f>
      </c>
      <c r="G274" t="s" s="1">
        <f>HYPERLINK("http://141.218.60.56/~jnz1568/discussion.php?&amp;Z=8&amp;N=6&amp;Sheet=1&amp;Row=273&amp;Col=6","")</f>
      </c>
      <c r="H274" t="s" s="1">
        <f>HYPERLINK("http://141.218.60.56/~jnz1568/discussion.php?&amp;Z=8&amp;N=6&amp;Sheet=1&amp;Row=273&amp;Col=7","")</f>
      </c>
      <c r="I274" t="s" s="1">
        <f>HYPERLINK("http://141.218.60.56/~jnz1568/discussion.php?&amp;Z=8&amp;N=6&amp;Sheet=1&amp;Row=273&amp;Col=8","")</f>
      </c>
      <c r="J274" t="s" s="1">
        <f>HYPERLINK("http://141.218.60.56/~jnz1568/discussion.php?&amp;Z=8&amp;N=6&amp;Sheet=1&amp;Row=273&amp;Col=9","445690")</f>
      </c>
      <c r="K274" t="s" s="1">
        <f>HYPERLINK("http://141.218.60.56/~jnz1568/discussion.php?&amp;Z=8&amp;N=6&amp;Sheet=1&amp;Row=273&amp;Col=10","")</f>
      </c>
      <c r="L274" t="s" s="1">
        <f>HYPERLINK("http://141.218.60.56/~jnz1568/discussion.php?&amp;Z=8&amp;N=6&amp;Sheet=1&amp;Row=273&amp;Col=11","")</f>
      </c>
      <c r="M274" t="s" s="1">
        <f>HYPERLINK("http://141.218.60.56/~jnz1568/discussion.php?&amp;Z=8&amp;N=6&amp;Sheet=1&amp;Row=273&amp;Col=12","")</f>
      </c>
      <c r="N274" t="s" s="1">
        <f>HYPERLINK("http://141.218.60.56/~jnz1568/discussion.php?&amp;Z=8&amp;N=6&amp;Sheet=1&amp;Row=273&amp;Col=13","389700")</f>
      </c>
      <c r="O274" t="s" s="1">
        <f>HYPERLINK("http://141.218.60.56/~jnz1568/discussion.php?&amp;Z=8&amp;N=6&amp;Sheet=1&amp;Row=273&amp;Col=14","")</f>
      </c>
      <c r="P274" t="s" s="1">
        <f>HYPERLINK("http://141.218.60.56/~jnz1568/discussion.php?&amp;Z=8&amp;N=6&amp;Sheet=1&amp;Row=273&amp;Col=15","")</f>
      </c>
      <c r="Q274" t="s" s="1">
        <f>HYPERLINK("http://141.218.60.56/~jnz1568/discussion.php?&amp;Z=8&amp;N=6&amp;Sheet=1&amp;Row=273&amp;Col=16","")</f>
      </c>
    </row>
    <row r="275">
      <c r="A275" t="s">
        <v>15</v>
      </c>
      <c r="B275" t="s">
        <v>16</v>
      </c>
      <c r="C275" t="s">
        <v>149</v>
      </c>
      <c r="D275" t="s">
        <v>122</v>
      </c>
      <c r="E275" t="s">
        <v>1284</v>
      </c>
      <c r="F275" t="s" s="1">
        <f>HYPERLINK("http://141.218.60.56/~jnz1568/discussion.php?&amp;Z=8&amp;N=6&amp;Sheet=1&amp;Row=274&amp;Col=5","613.17")</f>
      </c>
      <c r="G275" t="s" s="1">
        <f>HYPERLINK("http://141.218.60.56/~jnz1568/discussion.php?&amp;Z=8&amp;N=6&amp;Sheet=1&amp;Row=274&amp;Col=6","")</f>
      </c>
      <c r="H275" t="s" s="1">
        <f>HYPERLINK("http://141.218.60.56/~jnz1568/discussion.php?&amp;Z=8&amp;N=6&amp;Sheet=1&amp;Row=274&amp;Col=7","")</f>
      </c>
      <c r="I275" t="s" s="1">
        <f>HYPERLINK("http://141.218.60.56/~jnz1568/discussion.php?&amp;Z=8&amp;N=6&amp;Sheet=1&amp;Row=274&amp;Col=8","")</f>
      </c>
      <c r="J275" t="s" s="1">
        <f>HYPERLINK("http://141.218.60.56/~jnz1568/discussion.php?&amp;Z=8&amp;N=6&amp;Sheet=1&amp;Row=274&amp;Col=9","682.57")</f>
      </c>
      <c r="K275" t="s" s="1">
        <f>HYPERLINK("http://141.218.60.56/~jnz1568/discussion.php?&amp;Z=8&amp;N=6&amp;Sheet=1&amp;Row=274&amp;Col=10","")</f>
      </c>
      <c r="L275" t="s" s="1">
        <f>HYPERLINK("http://141.218.60.56/~jnz1568/discussion.php?&amp;Z=8&amp;N=6&amp;Sheet=1&amp;Row=274&amp;Col=11","")</f>
      </c>
      <c r="M275" t="s" s="1">
        <f>HYPERLINK("http://141.218.60.56/~jnz1568/discussion.php?&amp;Z=8&amp;N=6&amp;Sheet=1&amp;Row=274&amp;Col=12","")</f>
      </c>
      <c r="N275" t="s" s="1">
        <f>HYPERLINK("http://141.218.60.56/~jnz1568/discussion.php?&amp;Z=8&amp;N=6&amp;Sheet=1&amp;Row=274&amp;Col=13","44.57")</f>
      </c>
      <c r="O275" t="s" s="1">
        <f>HYPERLINK("http://141.218.60.56/~jnz1568/discussion.php?&amp;Z=8&amp;N=6&amp;Sheet=1&amp;Row=274&amp;Col=14","")</f>
      </c>
      <c r="P275" t="s" s="1">
        <f>HYPERLINK("http://141.218.60.56/~jnz1568/discussion.php?&amp;Z=8&amp;N=6&amp;Sheet=1&amp;Row=274&amp;Col=15","")</f>
      </c>
      <c r="Q275" t="s" s="1">
        <f>HYPERLINK("http://141.218.60.56/~jnz1568/discussion.php?&amp;Z=8&amp;N=6&amp;Sheet=1&amp;Row=274&amp;Col=16","")</f>
      </c>
    </row>
    <row r="276">
      <c r="A276" t="s">
        <v>15</v>
      </c>
      <c r="B276" t="s">
        <v>16</v>
      </c>
      <c r="C276" t="s">
        <v>149</v>
      </c>
      <c r="D276" t="s">
        <v>127</v>
      </c>
      <c r="E276" t="s">
        <v>1288</v>
      </c>
      <c r="F276" t="s" s="1">
        <f>HYPERLINK("http://141.218.60.56/~jnz1568/discussion.php?&amp;Z=8&amp;N=6&amp;Sheet=1&amp;Row=275&amp;Col=5","215.51")</f>
      </c>
      <c r="G276" t="s" s="1">
        <f>HYPERLINK("http://141.218.60.56/~jnz1568/discussion.php?&amp;Z=8&amp;N=6&amp;Sheet=1&amp;Row=275&amp;Col=6","")</f>
      </c>
      <c r="H276" t="s" s="1">
        <f>HYPERLINK("http://141.218.60.56/~jnz1568/discussion.php?&amp;Z=8&amp;N=6&amp;Sheet=1&amp;Row=275&amp;Col=7","")</f>
      </c>
      <c r="I276" t="s" s="1">
        <f>HYPERLINK("http://141.218.60.56/~jnz1568/discussion.php?&amp;Z=8&amp;N=6&amp;Sheet=1&amp;Row=275&amp;Col=8","")</f>
      </c>
      <c r="J276" t="s" s="1">
        <f>HYPERLINK("http://141.218.60.56/~jnz1568/discussion.php?&amp;Z=8&amp;N=6&amp;Sheet=1&amp;Row=275&amp;Col=9","2069.8")</f>
      </c>
      <c r="K276" t="s" s="1">
        <f>HYPERLINK("http://141.218.60.56/~jnz1568/discussion.php?&amp;Z=8&amp;N=6&amp;Sheet=1&amp;Row=275&amp;Col=10","")</f>
      </c>
      <c r="L276" t="s" s="1">
        <f>HYPERLINK("http://141.218.60.56/~jnz1568/discussion.php?&amp;Z=8&amp;N=6&amp;Sheet=1&amp;Row=275&amp;Col=11","")</f>
      </c>
      <c r="M276" t="s" s="1">
        <f>HYPERLINK("http://141.218.60.56/~jnz1568/discussion.php?&amp;Z=8&amp;N=6&amp;Sheet=1&amp;Row=275&amp;Col=12","")</f>
      </c>
      <c r="N276" t="s" s="1">
        <f>HYPERLINK("http://141.218.60.56/~jnz1568/discussion.php?&amp;Z=8&amp;N=6&amp;Sheet=1&amp;Row=275&amp;Col=13","2169")</f>
      </c>
      <c r="O276" t="s" s="1">
        <f>HYPERLINK("http://141.218.60.56/~jnz1568/discussion.php?&amp;Z=8&amp;N=6&amp;Sheet=1&amp;Row=275&amp;Col=14","")</f>
      </c>
      <c r="P276" t="s" s="1">
        <f>HYPERLINK("http://141.218.60.56/~jnz1568/discussion.php?&amp;Z=8&amp;N=6&amp;Sheet=1&amp;Row=275&amp;Col=15","")</f>
      </c>
      <c r="Q276" t="s" s="1">
        <f>HYPERLINK("http://141.218.60.56/~jnz1568/discussion.php?&amp;Z=8&amp;N=6&amp;Sheet=1&amp;Row=275&amp;Col=16","")</f>
      </c>
    </row>
    <row r="277">
      <c r="A277" t="s">
        <v>15</v>
      </c>
      <c r="B277" t="s">
        <v>16</v>
      </c>
      <c r="C277" t="s">
        <v>149</v>
      </c>
      <c r="D277" t="s">
        <v>135</v>
      </c>
      <c r="E277" t="s">
        <v>1292</v>
      </c>
      <c r="F277" t="s" s="1">
        <f>HYPERLINK("http://141.218.60.56/~jnz1568/discussion.php?&amp;Z=8&amp;N=6&amp;Sheet=1&amp;Row=276&amp;Col=5","4862")</f>
      </c>
      <c r="G277" t="s" s="1">
        <f>HYPERLINK("http://141.218.60.56/~jnz1568/discussion.php?&amp;Z=8&amp;N=6&amp;Sheet=1&amp;Row=276&amp;Col=6","")</f>
      </c>
      <c r="H277" t="s" s="1">
        <f>HYPERLINK("http://141.218.60.56/~jnz1568/discussion.php?&amp;Z=8&amp;N=6&amp;Sheet=1&amp;Row=276&amp;Col=7","")</f>
      </c>
      <c r="I277" t="s" s="1">
        <f>HYPERLINK("http://141.218.60.56/~jnz1568/discussion.php?&amp;Z=8&amp;N=6&amp;Sheet=1&amp;Row=276&amp;Col=8","")</f>
      </c>
      <c r="J277" t="s" s="1">
        <f>HYPERLINK("http://141.218.60.56/~jnz1568/discussion.php?&amp;Z=8&amp;N=6&amp;Sheet=1&amp;Row=276&amp;Col=9","4557.8")</f>
      </c>
      <c r="K277" t="s" s="1">
        <f>HYPERLINK("http://141.218.60.56/~jnz1568/discussion.php?&amp;Z=8&amp;N=6&amp;Sheet=1&amp;Row=276&amp;Col=10","")</f>
      </c>
      <c r="L277" t="s" s="1">
        <f>HYPERLINK("http://141.218.60.56/~jnz1568/discussion.php?&amp;Z=8&amp;N=6&amp;Sheet=1&amp;Row=276&amp;Col=11","")</f>
      </c>
      <c r="M277" t="s" s="1">
        <f>HYPERLINK("http://141.218.60.56/~jnz1568/discussion.php?&amp;Z=8&amp;N=6&amp;Sheet=1&amp;Row=276&amp;Col=12","")</f>
      </c>
      <c r="N277" t="s" s="1">
        <f>HYPERLINK("http://141.218.60.56/~jnz1568/discussion.php?&amp;Z=8&amp;N=6&amp;Sheet=1&amp;Row=276&amp;Col=13","1273")</f>
      </c>
      <c r="O277" t="s" s="1">
        <f>HYPERLINK("http://141.218.60.56/~jnz1568/discussion.php?&amp;Z=8&amp;N=6&amp;Sheet=1&amp;Row=276&amp;Col=14","")</f>
      </c>
      <c r="P277" t="s" s="1">
        <f>HYPERLINK("http://141.218.60.56/~jnz1568/discussion.php?&amp;Z=8&amp;N=6&amp;Sheet=1&amp;Row=276&amp;Col=15","")</f>
      </c>
      <c r="Q277" t="s" s="1">
        <f>HYPERLINK("http://141.218.60.56/~jnz1568/discussion.php?&amp;Z=8&amp;N=6&amp;Sheet=1&amp;Row=276&amp;Col=16","")</f>
      </c>
    </row>
    <row r="278">
      <c r="A278" t="s">
        <v>15</v>
      </c>
      <c r="B278" t="s">
        <v>16</v>
      </c>
      <c r="C278" t="s">
        <v>149</v>
      </c>
      <c r="D278" t="s">
        <v>138</v>
      </c>
      <c r="E278" t="s">
        <v>1296</v>
      </c>
      <c r="F278" t="s" s="1">
        <f>HYPERLINK("http://141.218.60.56/~jnz1568/discussion.php?&amp;Z=8&amp;N=6&amp;Sheet=1&amp;Row=277&amp;Col=5","20602")</f>
      </c>
      <c r="G278" t="s" s="1">
        <f>HYPERLINK("http://141.218.60.56/~jnz1568/discussion.php?&amp;Z=8&amp;N=6&amp;Sheet=1&amp;Row=277&amp;Col=6","")</f>
      </c>
      <c r="H278" t="s" s="1">
        <f>HYPERLINK("http://141.218.60.56/~jnz1568/discussion.php?&amp;Z=8&amp;N=6&amp;Sheet=1&amp;Row=277&amp;Col=7","")</f>
      </c>
      <c r="I278" t="s" s="1">
        <f>HYPERLINK("http://141.218.60.56/~jnz1568/discussion.php?&amp;Z=8&amp;N=6&amp;Sheet=1&amp;Row=277&amp;Col=8","")</f>
      </c>
      <c r="J278" t="s" s="1">
        <f>HYPERLINK("http://141.218.60.56/~jnz1568/discussion.php?&amp;Z=8&amp;N=6&amp;Sheet=1&amp;Row=277&amp;Col=9","21221")</f>
      </c>
      <c r="K278" t="s" s="1">
        <f>HYPERLINK("http://141.218.60.56/~jnz1568/discussion.php?&amp;Z=8&amp;N=6&amp;Sheet=1&amp;Row=277&amp;Col=10","")</f>
      </c>
      <c r="L278" t="s" s="1">
        <f>HYPERLINK("http://141.218.60.56/~jnz1568/discussion.php?&amp;Z=8&amp;N=6&amp;Sheet=1&amp;Row=277&amp;Col=11","")</f>
      </c>
      <c r="M278" t="s" s="1">
        <f>HYPERLINK("http://141.218.60.56/~jnz1568/discussion.php?&amp;Z=8&amp;N=6&amp;Sheet=1&amp;Row=277&amp;Col=12","")</f>
      </c>
      <c r="N278" t="s" s="1">
        <f>HYPERLINK("http://141.218.60.56/~jnz1568/discussion.php?&amp;Z=8&amp;N=6&amp;Sheet=1&amp;Row=277&amp;Col=13","4480")</f>
      </c>
      <c r="O278" t="s" s="1">
        <f>HYPERLINK("http://141.218.60.56/~jnz1568/discussion.php?&amp;Z=8&amp;N=6&amp;Sheet=1&amp;Row=277&amp;Col=14","")</f>
      </c>
      <c r="P278" t="s" s="1">
        <f>HYPERLINK("http://141.218.60.56/~jnz1568/discussion.php?&amp;Z=8&amp;N=6&amp;Sheet=1&amp;Row=277&amp;Col=15","")</f>
      </c>
      <c r="Q278" t="s" s="1">
        <f>HYPERLINK("http://141.218.60.56/~jnz1568/discussion.php?&amp;Z=8&amp;N=6&amp;Sheet=1&amp;Row=277&amp;Col=16","")</f>
      </c>
    </row>
    <row r="279">
      <c r="A279" t="s">
        <v>15</v>
      </c>
      <c r="B279" t="s">
        <v>16</v>
      </c>
      <c r="C279" t="s">
        <v>149</v>
      </c>
      <c r="D279" t="s">
        <v>141</v>
      </c>
      <c r="E279" t="s">
        <v>1300</v>
      </c>
      <c r="F279" t="s" s="1">
        <f>HYPERLINK("http://141.218.60.56/~jnz1568/discussion.php?&amp;Z=8&amp;N=6&amp;Sheet=1&amp;Row=278&amp;Col=5","2834400")</f>
      </c>
      <c r="G279" t="s" s="1">
        <f>HYPERLINK("http://141.218.60.56/~jnz1568/discussion.php?&amp;Z=8&amp;N=6&amp;Sheet=1&amp;Row=278&amp;Col=6","")</f>
      </c>
      <c r="H279" t="s" s="1">
        <f>HYPERLINK("http://141.218.60.56/~jnz1568/discussion.php?&amp;Z=8&amp;N=6&amp;Sheet=1&amp;Row=278&amp;Col=7","")</f>
      </c>
      <c r="I279" t="s" s="1">
        <f>HYPERLINK("http://141.218.60.56/~jnz1568/discussion.php?&amp;Z=8&amp;N=6&amp;Sheet=1&amp;Row=278&amp;Col=8","")</f>
      </c>
      <c r="J279" t="s" s="1">
        <f>HYPERLINK("http://141.218.60.56/~jnz1568/discussion.php?&amp;Z=8&amp;N=6&amp;Sheet=1&amp;Row=278&amp;Col=9","2980800")</f>
      </c>
      <c r="K279" t="s" s="1">
        <f>HYPERLINK("http://141.218.60.56/~jnz1568/discussion.php?&amp;Z=8&amp;N=6&amp;Sheet=1&amp;Row=278&amp;Col=10","")</f>
      </c>
      <c r="L279" t="s" s="1">
        <f>HYPERLINK("http://141.218.60.56/~jnz1568/discussion.php?&amp;Z=8&amp;N=6&amp;Sheet=1&amp;Row=278&amp;Col=11","")</f>
      </c>
      <c r="M279" t="s" s="1">
        <f>HYPERLINK("http://141.218.60.56/~jnz1568/discussion.php?&amp;Z=8&amp;N=6&amp;Sheet=1&amp;Row=278&amp;Col=12","")</f>
      </c>
      <c r="N279" t="s" s="1">
        <f>HYPERLINK("http://141.218.60.56/~jnz1568/discussion.php?&amp;Z=8&amp;N=6&amp;Sheet=1&amp;Row=278&amp;Col=13","644300")</f>
      </c>
      <c r="O279" t="s" s="1">
        <f>HYPERLINK("http://141.218.60.56/~jnz1568/discussion.php?&amp;Z=8&amp;N=6&amp;Sheet=1&amp;Row=278&amp;Col=14","")</f>
      </c>
      <c r="P279" t="s" s="1">
        <f>HYPERLINK("http://141.218.60.56/~jnz1568/discussion.php?&amp;Z=8&amp;N=6&amp;Sheet=1&amp;Row=278&amp;Col=15","")</f>
      </c>
      <c r="Q279" t="s" s="1">
        <f>HYPERLINK("http://141.218.60.56/~jnz1568/discussion.php?&amp;Z=8&amp;N=6&amp;Sheet=1&amp;Row=278&amp;Col=16","")</f>
      </c>
    </row>
    <row r="280">
      <c r="A280" t="s">
        <v>15</v>
      </c>
      <c r="B280" t="s">
        <v>16</v>
      </c>
      <c r="C280" t="s">
        <v>155</v>
      </c>
      <c r="D280" t="s">
        <v>20</v>
      </c>
      <c r="E280" t="s">
        <v>1304</v>
      </c>
      <c r="F280" t="s" s="1">
        <f>HYPERLINK("http://141.218.60.56/~jnz1568/discussion.php?&amp;Z=8&amp;N=6&amp;Sheet=1&amp;Row=279&amp;Col=5","40766000")</f>
      </c>
      <c r="G280" t="s" s="1">
        <f>HYPERLINK("http://141.218.60.56/~jnz1568/discussion.php?&amp;Z=8&amp;N=6&amp;Sheet=1&amp;Row=279&amp;Col=6","")</f>
      </c>
      <c r="H280" t="s" s="1">
        <f>HYPERLINK("http://141.218.60.56/~jnz1568/discussion.php?&amp;Z=8&amp;N=6&amp;Sheet=1&amp;Row=279&amp;Col=7","")</f>
      </c>
      <c r="I280" t="s" s="1">
        <f>HYPERLINK("http://141.218.60.56/~jnz1568/discussion.php?&amp;Z=8&amp;N=6&amp;Sheet=1&amp;Row=279&amp;Col=8","")</f>
      </c>
      <c r="J280" t="s" s="1">
        <f>HYPERLINK("http://141.218.60.56/~jnz1568/discussion.php?&amp;Z=8&amp;N=6&amp;Sheet=1&amp;Row=279&amp;Col=9","41820000")</f>
      </c>
      <c r="K280" t="s" s="1">
        <f>HYPERLINK("http://141.218.60.56/~jnz1568/discussion.php?&amp;Z=8&amp;N=6&amp;Sheet=1&amp;Row=279&amp;Col=10","")</f>
      </c>
      <c r="L280" t="s" s="1">
        <f>HYPERLINK("http://141.218.60.56/~jnz1568/discussion.php?&amp;Z=8&amp;N=6&amp;Sheet=1&amp;Row=279&amp;Col=11","")</f>
      </c>
      <c r="M280" t="s" s="1">
        <f>HYPERLINK("http://141.218.60.56/~jnz1568/discussion.php?&amp;Z=8&amp;N=6&amp;Sheet=1&amp;Row=279&amp;Col=12","")</f>
      </c>
      <c r="N280" t="s" s="1">
        <f>HYPERLINK("http://141.218.60.56/~jnz1568/discussion.php?&amp;Z=8&amp;N=6&amp;Sheet=1&amp;Row=279&amp;Col=13","17090000")</f>
      </c>
      <c r="O280" t="s" s="1">
        <f>HYPERLINK("http://141.218.60.56/~jnz1568/discussion.php?&amp;Z=8&amp;N=6&amp;Sheet=1&amp;Row=279&amp;Col=14","")</f>
      </c>
      <c r="P280" t="s" s="1">
        <f>HYPERLINK("http://141.218.60.56/~jnz1568/discussion.php?&amp;Z=8&amp;N=6&amp;Sheet=1&amp;Row=279&amp;Col=15","")</f>
      </c>
      <c r="Q280" t="s" s="1">
        <f>HYPERLINK("http://141.218.60.56/~jnz1568/discussion.php?&amp;Z=8&amp;N=6&amp;Sheet=1&amp;Row=279&amp;Col=16","")</f>
      </c>
    </row>
    <row r="281">
      <c r="A281" t="s">
        <v>15</v>
      </c>
      <c r="B281" t="s">
        <v>16</v>
      </c>
      <c r="C281" t="s">
        <v>155</v>
      </c>
      <c r="D281" t="s">
        <v>28</v>
      </c>
      <c r="E281" t="s">
        <v>1308</v>
      </c>
      <c r="F281" t="s" s="1">
        <f>HYPERLINK("http://141.218.60.56/~jnz1568/discussion.php?&amp;Z=8&amp;N=6&amp;Sheet=1&amp;Row=280&amp;Col=5","8133500")</f>
      </c>
      <c r="G281" t="s" s="1">
        <f>HYPERLINK("http://141.218.60.56/~jnz1568/discussion.php?&amp;Z=8&amp;N=6&amp;Sheet=1&amp;Row=280&amp;Col=6","")</f>
      </c>
      <c r="H281" t="s" s="1">
        <f>HYPERLINK("http://141.218.60.56/~jnz1568/discussion.php?&amp;Z=8&amp;N=6&amp;Sheet=1&amp;Row=280&amp;Col=7","")</f>
      </c>
      <c r="I281" t="s" s="1">
        <f>HYPERLINK("http://141.218.60.56/~jnz1568/discussion.php?&amp;Z=8&amp;N=6&amp;Sheet=1&amp;Row=280&amp;Col=8","")</f>
      </c>
      <c r="J281" t="s" s="1">
        <f>HYPERLINK("http://141.218.60.56/~jnz1568/discussion.php?&amp;Z=8&amp;N=6&amp;Sheet=1&amp;Row=280&amp;Col=9","7711500")</f>
      </c>
      <c r="K281" t="s" s="1">
        <f>HYPERLINK("http://141.218.60.56/~jnz1568/discussion.php?&amp;Z=8&amp;N=6&amp;Sheet=1&amp;Row=280&amp;Col=10","")</f>
      </c>
      <c r="L281" t="s" s="1">
        <f>HYPERLINK("http://141.218.60.56/~jnz1568/discussion.php?&amp;Z=8&amp;N=6&amp;Sheet=1&amp;Row=280&amp;Col=11","")</f>
      </c>
      <c r="M281" t="s" s="1">
        <f>HYPERLINK("http://141.218.60.56/~jnz1568/discussion.php?&amp;Z=8&amp;N=6&amp;Sheet=1&amp;Row=280&amp;Col=12","")</f>
      </c>
      <c r="N281" t="s" s="1">
        <f>HYPERLINK("http://141.218.60.56/~jnz1568/discussion.php?&amp;Z=8&amp;N=6&amp;Sheet=1&amp;Row=280&amp;Col=13","3081000")</f>
      </c>
      <c r="O281" t="s" s="1">
        <f>HYPERLINK("http://141.218.60.56/~jnz1568/discussion.php?&amp;Z=8&amp;N=6&amp;Sheet=1&amp;Row=280&amp;Col=14","")</f>
      </c>
      <c r="P281" t="s" s="1">
        <f>HYPERLINK("http://141.218.60.56/~jnz1568/discussion.php?&amp;Z=8&amp;N=6&amp;Sheet=1&amp;Row=280&amp;Col=15","")</f>
      </c>
      <c r="Q281" t="s" s="1">
        <f>HYPERLINK("http://141.218.60.56/~jnz1568/discussion.php?&amp;Z=8&amp;N=6&amp;Sheet=1&amp;Row=280&amp;Col=16","")</f>
      </c>
    </row>
    <row r="282">
      <c r="A282" t="s">
        <v>15</v>
      </c>
      <c r="B282" t="s">
        <v>16</v>
      </c>
      <c r="C282" t="s">
        <v>155</v>
      </c>
      <c r="D282" t="s">
        <v>94</v>
      </c>
      <c r="E282" t="s">
        <v>1312</v>
      </c>
      <c r="F282" t="s" s="1">
        <f>HYPERLINK("http://141.218.60.56/~jnz1568/discussion.php?&amp;Z=8&amp;N=6&amp;Sheet=1&amp;Row=281&amp;Col=5","2382.3")</f>
      </c>
      <c r="G282" t="s" s="1">
        <f>HYPERLINK("http://141.218.60.56/~jnz1568/discussion.php?&amp;Z=8&amp;N=6&amp;Sheet=1&amp;Row=281&amp;Col=6","")</f>
      </c>
      <c r="H282" t="s" s="1">
        <f>HYPERLINK("http://141.218.60.56/~jnz1568/discussion.php?&amp;Z=8&amp;N=6&amp;Sheet=1&amp;Row=281&amp;Col=7","")</f>
      </c>
      <c r="I282" t="s" s="1">
        <f>HYPERLINK("http://141.218.60.56/~jnz1568/discussion.php?&amp;Z=8&amp;N=6&amp;Sheet=1&amp;Row=281&amp;Col=8","")</f>
      </c>
      <c r="J282" t="s" s="1">
        <f>HYPERLINK("http://141.218.60.56/~jnz1568/discussion.php?&amp;Z=8&amp;N=6&amp;Sheet=1&amp;Row=281&amp;Col=9","3166.8")</f>
      </c>
      <c r="K282" t="s" s="1">
        <f>HYPERLINK("http://141.218.60.56/~jnz1568/discussion.php?&amp;Z=8&amp;N=6&amp;Sheet=1&amp;Row=281&amp;Col=10","")</f>
      </c>
      <c r="L282" t="s" s="1">
        <f>HYPERLINK("http://141.218.60.56/~jnz1568/discussion.php?&amp;Z=8&amp;N=6&amp;Sheet=1&amp;Row=281&amp;Col=11","")</f>
      </c>
      <c r="M282" t="s" s="1">
        <f>HYPERLINK("http://141.218.60.56/~jnz1568/discussion.php?&amp;Z=8&amp;N=6&amp;Sheet=1&amp;Row=281&amp;Col=12","")</f>
      </c>
      <c r="N282" t="s" s="1">
        <f>HYPERLINK("http://141.218.60.56/~jnz1568/discussion.php?&amp;Z=8&amp;N=6&amp;Sheet=1&amp;Row=281&amp;Col=13","2629")</f>
      </c>
      <c r="O282" t="s" s="1">
        <f>HYPERLINK("http://141.218.60.56/~jnz1568/discussion.php?&amp;Z=8&amp;N=6&amp;Sheet=1&amp;Row=281&amp;Col=14","")</f>
      </c>
      <c r="P282" t="s" s="1">
        <f>HYPERLINK("http://141.218.60.56/~jnz1568/discussion.php?&amp;Z=8&amp;N=6&amp;Sheet=1&amp;Row=281&amp;Col=15","")</f>
      </c>
      <c r="Q282" t="s" s="1">
        <f>HYPERLINK("http://141.218.60.56/~jnz1568/discussion.php?&amp;Z=8&amp;N=6&amp;Sheet=1&amp;Row=281&amp;Col=16","")</f>
      </c>
    </row>
    <row r="283">
      <c r="A283" t="s">
        <v>15</v>
      </c>
      <c r="B283" t="s">
        <v>16</v>
      </c>
      <c r="C283" t="s">
        <v>155</v>
      </c>
      <c r="D283" t="s">
        <v>116</v>
      </c>
      <c r="E283" t="s">
        <v>1316</v>
      </c>
      <c r="F283" t="s" s="1">
        <f>HYPERLINK("http://141.218.60.56/~jnz1568/discussion.php?&amp;Z=8&amp;N=6&amp;Sheet=1&amp;Row=282&amp;Col=5","176480000")</f>
      </c>
      <c r="G283" t="s" s="1">
        <f>HYPERLINK("http://141.218.60.56/~jnz1568/discussion.php?&amp;Z=8&amp;N=6&amp;Sheet=1&amp;Row=282&amp;Col=6","")</f>
      </c>
      <c r="H283" t="s" s="1">
        <f>HYPERLINK("http://141.218.60.56/~jnz1568/discussion.php?&amp;Z=8&amp;N=6&amp;Sheet=1&amp;Row=282&amp;Col=7","")</f>
      </c>
      <c r="I283" t="s" s="1">
        <f>HYPERLINK("http://141.218.60.56/~jnz1568/discussion.php?&amp;Z=8&amp;N=6&amp;Sheet=1&amp;Row=282&amp;Col=8","")</f>
      </c>
      <c r="J283" t="s" s="1">
        <f>HYPERLINK("http://141.218.60.56/~jnz1568/discussion.php?&amp;Z=8&amp;N=6&amp;Sheet=1&amp;Row=282&amp;Col=9","175580000")</f>
      </c>
      <c r="K283" t="s" s="1">
        <f>HYPERLINK("http://141.218.60.56/~jnz1568/discussion.php?&amp;Z=8&amp;N=6&amp;Sheet=1&amp;Row=282&amp;Col=10","")</f>
      </c>
      <c r="L283" t="s" s="1">
        <f>HYPERLINK("http://141.218.60.56/~jnz1568/discussion.php?&amp;Z=8&amp;N=6&amp;Sheet=1&amp;Row=282&amp;Col=11","")</f>
      </c>
      <c r="M283" t="s" s="1">
        <f>HYPERLINK("http://141.218.60.56/~jnz1568/discussion.php?&amp;Z=8&amp;N=6&amp;Sheet=1&amp;Row=282&amp;Col=12","")</f>
      </c>
      <c r="N283" t="s" s="1">
        <f>HYPERLINK("http://141.218.60.56/~jnz1568/discussion.php?&amp;Z=8&amp;N=6&amp;Sheet=1&amp;Row=282&amp;Col=13","121700000")</f>
      </c>
      <c r="O283" t="s" s="1">
        <f>HYPERLINK("http://141.218.60.56/~jnz1568/discussion.php?&amp;Z=8&amp;N=6&amp;Sheet=1&amp;Row=282&amp;Col=14","")</f>
      </c>
      <c r="P283" t="s" s="1">
        <f>HYPERLINK("http://141.218.60.56/~jnz1568/discussion.php?&amp;Z=8&amp;N=6&amp;Sheet=1&amp;Row=282&amp;Col=15","")</f>
      </c>
      <c r="Q283" t="s" s="1">
        <f>HYPERLINK("http://141.218.60.56/~jnz1568/discussion.php?&amp;Z=8&amp;N=6&amp;Sheet=1&amp;Row=282&amp;Col=16","")</f>
      </c>
    </row>
    <row r="284">
      <c r="A284" t="s">
        <v>15</v>
      </c>
      <c r="B284" t="s">
        <v>16</v>
      </c>
      <c r="C284" t="s">
        <v>155</v>
      </c>
      <c r="D284" t="s">
        <v>119</v>
      </c>
      <c r="E284" t="s">
        <v>1320</v>
      </c>
      <c r="F284" t="s" s="1">
        <f>HYPERLINK("http://141.218.60.56/~jnz1568/discussion.php?&amp;Z=8&amp;N=6&amp;Sheet=1&amp;Row=283&amp;Col=5","18594000")</f>
      </c>
      <c r="G284" t="s" s="1">
        <f>HYPERLINK("http://141.218.60.56/~jnz1568/discussion.php?&amp;Z=8&amp;N=6&amp;Sheet=1&amp;Row=283&amp;Col=6","")</f>
      </c>
      <c r="H284" t="s" s="1">
        <f>HYPERLINK("http://141.218.60.56/~jnz1568/discussion.php?&amp;Z=8&amp;N=6&amp;Sheet=1&amp;Row=283&amp;Col=7","")</f>
      </c>
      <c r="I284" t="s" s="1">
        <f>HYPERLINK("http://141.218.60.56/~jnz1568/discussion.php?&amp;Z=8&amp;N=6&amp;Sheet=1&amp;Row=283&amp;Col=8","")</f>
      </c>
      <c r="J284" t="s" s="1">
        <f>HYPERLINK("http://141.218.60.56/~jnz1568/discussion.php?&amp;Z=8&amp;N=6&amp;Sheet=1&amp;Row=283&amp;Col=9","18440000")</f>
      </c>
      <c r="K284" t="s" s="1">
        <f>HYPERLINK("http://141.218.60.56/~jnz1568/discussion.php?&amp;Z=8&amp;N=6&amp;Sheet=1&amp;Row=283&amp;Col=10","")</f>
      </c>
      <c r="L284" t="s" s="1">
        <f>HYPERLINK("http://141.218.60.56/~jnz1568/discussion.php?&amp;Z=8&amp;N=6&amp;Sheet=1&amp;Row=283&amp;Col=11","")</f>
      </c>
      <c r="M284" t="s" s="1">
        <f>HYPERLINK("http://141.218.60.56/~jnz1568/discussion.php?&amp;Z=8&amp;N=6&amp;Sheet=1&amp;Row=283&amp;Col=12","")</f>
      </c>
      <c r="N284" t="s" s="1">
        <f>HYPERLINK("http://141.218.60.56/~jnz1568/discussion.php?&amp;Z=8&amp;N=6&amp;Sheet=1&amp;Row=283&amp;Col=13","13660000")</f>
      </c>
      <c r="O284" t="s" s="1">
        <f>HYPERLINK("http://141.218.60.56/~jnz1568/discussion.php?&amp;Z=8&amp;N=6&amp;Sheet=1&amp;Row=283&amp;Col=14","")</f>
      </c>
      <c r="P284" t="s" s="1">
        <f>HYPERLINK("http://141.218.60.56/~jnz1568/discussion.php?&amp;Z=8&amp;N=6&amp;Sheet=1&amp;Row=283&amp;Col=15","")</f>
      </c>
      <c r="Q284" t="s" s="1">
        <f>HYPERLINK("http://141.218.60.56/~jnz1568/discussion.php?&amp;Z=8&amp;N=6&amp;Sheet=1&amp;Row=283&amp;Col=16","")</f>
      </c>
    </row>
    <row r="285">
      <c r="A285" t="s">
        <v>15</v>
      </c>
      <c r="B285" t="s">
        <v>16</v>
      </c>
      <c r="C285" t="s">
        <v>155</v>
      </c>
      <c r="D285" t="s">
        <v>127</v>
      </c>
      <c r="E285" t="s">
        <v>1324</v>
      </c>
      <c r="F285" t="s" s="1">
        <f>HYPERLINK("http://141.218.60.56/~jnz1568/discussion.php?&amp;Z=8&amp;N=6&amp;Sheet=1&amp;Row=284&amp;Col=5","54.37")</f>
      </c>
      <c r="G285" t="s" s="1">
        <f>HYPERLINK("http://141.218.60.56/~jnz1568/discussion.php?&amp;Z=8&amp;N=6&amp;Sheet=1&amp;Row=284&amp;Col=6","")</f>
      </c>
      <c r="H285" t="s" s="1">
        <f>HYPERLINK("http://141.218.60.56/~jnz1568/discussion.php?&amp;Z=8&amp;N=6&amp;Sheet=1&amp;Row=284&amp;Col=7","")</f>
      </c>
      <c r="I285" t="s" s="1">
        <f>HYPERLINK("http://141.218.60.56/~jnz1568/discussion.php?&amp;Z=8&amp;N=6&amp;Sheet=1&amp;Row=284&amp;Col=8","")</f>
      </c>
      <c r="J285" t="s" s="1">
        <f>HYPERLINK("http://141.218.60.56/~jnz1568/discussion.php?&amp;Z=8&amp;N=6&amp;Sheet=1&amp;Row=284&amp;Col=9","2.0786")</f>
      </c>
      <c r="K285" t="s" s="1">
        <f>HYPERLINK("http://141.218.60.56/~jnz1568/discussion.php?&amp;Z=8&amp;N=6&amp;Sheet=1&amp;Row=284&amp;Col=10","")</f>
      </c>
      <c r="L285" t="s" s="1">
        <f>HYPERLINK("http://141.218.60.56/~jnz1568/discussion.php?&amp;Z=8&amp;N=6&amp;Sheet=1&amp;Row=284&amp;Col=11","")</f>
      </c>
      <c r="M285" t="s" s="1">
        <f>HYPERLINK("http://141.218.60.56/~jnz1568/discussion.php?&amp;Z=8&amp;N=6&amp;Sheet=1&amp;Row=284&amp;Col=12","")</f>
      </c>
      <c r="N285" t="s" s="1">
        <f>HYPERLINK("http://141.218.60.56/~jnz1568/discussion.php?&amp;Z=8&amp;N=6&amp;Sheet=1&amp;Row=284&amp;Col=13","0.9763")</f>
      </c>
      <c r="O285" t="s" s="1">
        <f>HYPERLINK("http://141.218.60.56/~jnz1568/discussion.php?&amp;Z=8&amp;N=6&amp;Sheet=1&amp;Row=284&amp;Col=14","")</f>
      </c>
      <c r="P285" t="s" s="1">
        <f>HYPERLINK("http://141.218.60.56/~jnz1568/discussion.php?&amp;Z=8&amp;N=6&amp;Sheet=1&amp;Row=284&amp;Col=15","")</f>
      </c>
      <c r="Q285" t="s" s="1">
        <f>HYPERLINK("http://141.218.60.56/~jnz1568/discussion.php?&amp;Z=8&amp;N=6&amp;Sheet=1&amp;Row=284&amp;Col=16","")</f>
      </c>
    </row>
    <row r="286">
      <c r="A286" t="s">
        <v>15</v>
      </c>
      <c r="B286" t="s">
        <v>16</v>
      </c>
      <c r="C286" t="s">
        <v>155</v>
      </c>
      <c r="D286" t="s">
        <v>138</v>
      </c>
      <c r="E286" t="s">
        <v>1328</v>
      </c>
      <c r="F286" t="s" s="1">
        <f>HYPERLINK("http://141.218.60.56/~jnz1568/discussion.php?&amp;Z=8&amp;N=6&amp;Sheet=1&amp;Row=285&amp;Col=5","63406")</f>
      </c>
      <c r="G286" t="s" s="1">
        <f>HYPERLINK("http://141.218.60.56/~jnz1568/discussion.php?&amp;Z=8&amp;N=6&amp;Sheet=1&amp;Row=285&amp;Col=6","")</f>
      </c>
      <c r="H286" t="s" s="1">
        <f>HYPERLINK("http://141.218.60.56/~jnz1568/discussion.php?&amp;Z=8&amp;N=6&amp;Sheet=1&amp;Row=285&amp;Col=7","")</f>
      </c>
      <c r="I286" t="s" s="1">
        <f>HYPERLINK("http://141.218.60.56/~jnz1568/discussion.php?&amp;Z=8&amp;N=6&amp;Sheet=1&amp;Row=285&amp;Col=8","")</f>
      </c>
      <c r="J286" t="s" s="1">
        <f>HYPERLINK("http://141.218.60.56/~jnz1568/discussion.php?&amp;Z=8&amp;N=6&amp;Sheet=1&amp;Row=285&amp;Col=9","66871")</f>
      </c>
      <c r="K286" t="s" s="1">
        <f>HYPERLINK("http://141.218.60.56/~jnz1568/discussion.php?&amp;Z=8&amp;N=6&amp;Sheet=1&amp;Row=285&amp;Col=10","")</f>
      </c>
      <c r="L286" t="s" s="1">
        <f>HYPERLINK("http://141.218.60.56/~jnz1568/discussion.php?&amp;Z=8&amp;N=6&amp;Sheet=1&amp;Row=285&amp;Col=11","")</f>
      </c>
      <c r="M286" t="s" s="1">
        <f>HYPERLINK("http://141.218.60.56/~jnz1568/discussion.php?&amp;Z=8&amp;N=6&amp;Sheet=1&amp;Row=285&amp;Col=12","")</f>
      </c>
      <c r="N286" t="s" s="1">
        <f>HYPERLINK("http://141.218.60.56/~jnz1568/discussion.php?&amp;Z=8&amp;N=6&amp;Sheet=1&amp;Row=285&amp;Col=13","10580")</f>
      </c>
      <c r="O286" t="s" s="1">
        <f>HYPERLINK("http://141.218.60.56/~jnz1568/discussion.php?&amp;Z=8&amp;N=6&amp;Sheet=1&amp;Row=285&amp;Col=14","")</f>
      </c>
      <c r="P286" t="s" s="1">
        <f>HYPERLINK("http://141.218.60.56/~jnz1568/discussion.php?&amp;Z=8&amp;N=6&amp;Sheet=1&amp;Row=285&amp;Col=15","")</f>
      </c>
      <c r="Q286" t="s" s="1">
        <f>HYPERLINK("http://141.218.60.56/~jnz1568/discussion.php?&amp;Z=8&amp;N=6&amp;Sheet=1&amp;Row=285&amp;Col=16","")</f>
      </c>
    </row>
    <row r="287">
      <c r="A287" t="s">
        <v>15</v>
      </c>
      <c r="B287" t="s">
        <v>16</v>
      </c>
      <c r="C287" t="s">
        <v>155</v>
      </c>
      <c r="D287" t="s">
        <v>141</v>
      </c>
      <c r="E287" t="s">
        <v>1332</v>
      </c>
      <c r="F287" t="s" s="1">
        <f>HYPERLINK("http://141.218.60.56/~jnz1568/discussion.php?&amp;Z=8&amp;N=6&amp;Sheet=1&amp;Row=286&amp;Col=5","5957.7")</f>
      </c>
      <c r="G287" t="s" s="1">
        <f>HYPERLINK("http://141.218.60.56/~jnz1568/discussion.php?&amp;Z=8&amp;N=6&amp;Sheet=1&amp;Row=286&amp;Col=6","")</f>
      </c>
      <c r="H287" t="s" s="1">
        <f>HYPERLINK("http://141.218.60.56/~jnz1568/discussion.php?&amp;Z=8&amp;N=6&amp;Sheet=1&amp;Row=286&amp;Col=7","")</f>
      </c>
      <c r="I287" t="s" s="1">
        <f>HYPERLINK("http://141.218.60.56/~jnz1568/discussion.php?&amp;Z=8&amp;N=6&amp;Sheet=1&amp;Row=286&amp;Col=8","")</f>
      </c>
      <c r="J287" t="s" s="1">
        <f>HYPERLINK("http://141.218.60.56/~jnz1568/discussion.php?&amp;Z=8&amp;N=6&amp;Sheet=1&amp;Row=286&amp;Col=9","5971")</f>
      </c>
      <c r="K287" t="s" s="1">
        <f>HYPERLINK("http://141.218.60.56/~jnz1568/discussion.php?&amp;Z=8&amp;N=6&amp;Sheet=1&amp;Row=286&amp;Col=10","")</f>
      </c>
      <c r="L287" t="s" s="1">
        <f>HYPERLINK("http://141.218.60.56/~jnz1568/discussion.php?&amp;Z=8&amp;N=6&amp;Sheet=1&amp;Row=286&amp;Col=11","")</f>
      </c>
      <c r="M287" t="s" s="1">
        <f>HYPERLINK("http://141.218.60.56/~jnz1568/discussion.php?&amp;Z=8&amp;N=6&amp;Sheet=1&amp;Row=286&amp;Col=12","")</f>
      </c>
      <c r="N287" t="s" s="1">
        <f>HYPERLINK("http://141.218.60.56/~jnz1568/discussion.php?&amp;Z=8&amp;N=6&amp;Sheet=1&amp;Row=286&amp;Col=13","388.5")</f>
      </c>
      <c r="O287" t="s" s="1">
        <f>HYPERLINK("http://141.218.60.56/~jnz1568/discussion.php?&amp;Z=8&amp;N=6&amp;Sheet=1&amp;Row=286&amp;Col=14","")</f>
      </c>
      <c r="P287" t="s" s="1">
        <f>HYPERLINK("http://141.218.60.56/~jnz1568/discussion.php?&amp;Z=8&amp;N=6&amp;Sheet=1&amp;Row=286&amp;Col=15","")</f>
      </c>
      <c r="Q287" t="s" s="1">
        <f>HYPERLINK("http://141.218.60.56/~jnz1568/discussion.php?&amp;Z=8&amp;N=6&amp;Sheet=1&amp;Row=286&amp;Col=16","")</f>
      </c>
    </row>
    <row r="288">
      <c r="A288" t="s">
        <v>15</v>
      </c>
      <c r="B288" t="s">
        <v>16</v>
      </c>
      <c r="C288" t="s">
        <v>158</v>
      </c>
      <c r="D288" t="s">
        <v>119</v>
      </c>
      <c r="E288" t="s">
        <v>1336</v>
      </c>
      <c r="F288" t="s" s="1">
        <f>HYPERLINK("http://141.218.60.56/~jnz1568/discussion.php?&amp;Z=8&amp;N=6&amp;Sheet=1&amp;Row=287&amp;Col=5","194840000")</f>
      </c>
      <c r="G288" t="s" s="1">
        <f>HYPERLINK("http://141.218.60.56/~jnz1568/discussion.php?&amp;Z=8&amp;N=6&amp;Sheet=1&amp;Row=287&amp;Col=6","")</f>
      </c>
      <c r="H288" t="s" s="1">
        <f>HYPERLINK("http://141.218.60.56/~jnz1568/discussion.php?&amp;Z=8&amp;N=6&amp;Sheet=1&amp;Row=287&amp;Col=7","")</f>
      </c>
      <c r="I288" t="s" s="1">
        <f>HYPERLINK("http://141.218.60.56/~jnz1568/discussion.php?&amp;Z=8&amp;N=6&amp;Sheet=1&amp;Row=287&amp;Col=8","")</f>
      </c>
      <c r="J288" t="s" s="1">
        <f>HYPERLINK("http://141.218.60.56/~jnz1568/discussion.php?&amp;Z=8&amp;N=6&amp;Sheet=1&amp;Row=287&amp;Col=9","193790000")</f>
      </c>
      <c r="K288" t="s" s="1">
        <f>HYPERLINK("http://141.218.60.56/~jnz1568/discussion.php?&amp;Z=8&amp;N=6&amp;Sheet=1&amp;Row=287&amp;Col=10","")</f>
      </c>
      <c r="L288" t="s" s="1">
        <f>HYPERLINK("http://141.218.60.56/~jnz1568/discussion.php?&amp;Z=8&amp;N=6&amp;Sheet=1&amp;Row=287&amp;Col=11","")</f>
      </c>
      <c r="M288" t="s" s="1">
        <f>HYPERLINK("http://141.218.60.56/~jnz1568/discussion.php?&amp;Z=8&amp;N=6&amp;Sheet=1&amp;Row=287&amp;Col=12","")</f>
      </c>
      <c r="N288" t="s" s="1">
        <f>HYPERLINK("http://141.218.60.56/~jnz1568/discussion.php?&amp;Z=8&amp;N=6&amp;Sheet=1&amp;Row=287&amp;Col=13","135100000")</f>
      </c>
      <c r="O288" t="s" s="1">
        <f>HYPERLINK("http://141.218.60.56/~jnz1568/discussion.php?&amp;Z=8&amp;N=6&amp;Sheet=1&amp;Row=287&amp;Col=14","")</f>
      </c>
      <c r="P288" t="s" s="1">
        <f>HYPERLINK("http://141.218.60.56/~jnz1568/discussion.php?&amp;Z=8&amp;N=6&amp;Sheet=1&amp;Row=287&amp;Col=15","")</f>
      </c>
      <c r="Q288" t="s" s="1">
        <f>HYPERLINK("http://141.218.60.56/~jnz1568/discussion.php?&amp;Z=8&amp;N=6&amp;Sheet=1&amp;Row=287&amp;Col=16","")</f>
      </c>
    </row>
    <row r="289">
      <c r="A289" t="s">
        <v>15</v>
      </c>
      <c r="B289" t="s">
        <v>16</v>
      </c>
      <c r="C289" t="s">
        <v>161</v>
      </c>
      <c r="D289" t="s">
        <v>23</v>
      </c>
      <c r="E289" t="s">
        <v>1340</v>
      </c>
      <c r="F289" t="s" s="1">
        <f>HYPERLINK("http://141.218.60.56/~jnz1568/discussion.php?&amp;Z=8&amp;N=6&amp;Sheet=1&amp;Row=288&amp;Col=5","34485000")</f>
      </c>
      <c r="G289" t="s" s="1">
        <f>HYPERLINK("http://141.218.60.56/~jnz1568/discussion.php?&amp;Z=8&amp;N=6&amp;Sheet=1&amp;Row=288&amp;Col=6","")</f>
      </c>
      <c r="H289" t="s" s="1">
        <f>HYPERLINK("http://141.218.60.56/~jnz1568/discussion.php?&amp;Z=8&amp;N=6&amp;Sheet=1&amp;Row=288&amp;Col=7","")</f>
      </c>
      <c r="I289" t="s" s="1">
        <f>HYPERLINK("http://141.218.60.56/~jnz1568/discussion.php?&amp;Z=8&amp;N=6&amp;Sheet=1&amp;Row=288&amp;Col=8","")</f>
      </c>
      <c r="J289" t="s" s="1">
        <f>HYPERLINK("http://141.218.60.56/~jnz1568/discussion.php?&amp;Z=8&amp;N=6&amp;Sheet=1&amp;Row=288&amp;Col=9","35497000")</f>
      </c>
      <c r="K289" t="s" s="1">
        <f>HYPERLINK("http://141.218.60.56/~jnz1568/discussion.php?&amp;Z=8&amp;N=6&amp;Sheet=1&amp;Row=288&amp;Col=10","")</f>
      </c>
      <c r="L289" t="s" s="1">
        <f>HYPERLINK("http://141.218.60.56/~jnz1568/discussion.php?&amp;Z=8&amp;N=6&amp;Sheet=1&amp;Row=288&amp;Col=11","")</f>
      </c>
      <c r="M289" t="s" s="1">
        <f>HYPERLINK("http://141.218.60.56/~jnz1568/discussion.php?&amp;Z=8&amp;N=6&amp;Sheet=1&amp;Row=288&amp;Col=12","")</f>
      </c>
      <c r="N289" t="s" s="1">
        <f>HYPERLINK("http://141.218.60.56/~jnz1568/discussion.php?&amp;Z=8&amp;N=6&amp;Sheet=1&amp;Row=288&amp;Col=13","13990000")</f>
      </c>
      <c r="O289" t="s" s="1">
        <f>HYPERLINK("http://141.218.60.56/~jnz1568/discussion.php?&amp;Z=8&amp;N=6&amp;Sheet=1&amp;Row=288&amp;Col=14","")</f>
      </c>
      <c r="P289" t="s" s="1">
        <f>HYPERLINK("http://141.218.60.56/~jnz1568/discussion.php?&amp;Z=8&amp;N=6&amp;Sheet=1&amp;Row=288&amp;Col=15","")</f>
      </c>
      <c r="Q289" t="s" s="1">
        <f>HYPERLINK("http://141.218.60.56/~jnz1568/discussion.php?&amp;Z=8&amp;N=6&amp;Sheet=1&amp;Row=288&amp;Col=16","")</f>
      </c>
    </row>
    <row r="290">
      <c r="A290" t="s">
        <v>15</v>
      </c>
      <c r="B290" t="s">
        <v>16</v>
      </c>
      <c r="C290" t="s">
        <v>161</v>
      </c>
      <c r="D290" t="s">
        <v>20</v>
      </c>
      <c r="E290" t="s">
        <v>1344</v>
      </c>
      <c r="F290" t="s" s="1">
        <f>HYPERLINK("http://141.218.60.56/~jnz1568/discussion.php?&amp;Z=8&amp;N=6&amp;Sheet=1&amp;Row=289&amp;Col=5","20682")</f>
      </c>
      <c r="G290" t="s" s="1">
        <f>HYPERLINK("http://141.218.60.56/~jnz1568/discussion.php?&amp;Z=8&amp;N=6&amp;Sheet=1&amp;Row=289&amp;Col=6","")</f>
      </c>
      <c r="H290" t="s" s="1">
        <f>HYPERLINK("http://141.218.60.56/~jnz1568/discussion.php?&amp;Z=8&amp;N=6&amp;Sheet=1&amp;Row=289&amp;Col=7","")</f>
      </c>
      <c r="I290" t="s" s="1">
        <f>HYPERLINK("http://141.218.60.56/~jnz1568/discussion.php?&amp;Z=8&amp;N=6&amp;Sheet=1&amp;Row=289&amp;Col=8","")</f>
      </c>
      <c r="J290" t="s" s="1">
        <f>HYPERLINK("http://141.218.60.56/~jnz1568/discussion.php?&amp;Z=8&amp;N=6&amp;Sheet=1&amp;Row=289&amp;Col=9","3069.3")</f>
      </c>
      <c r="K290" t="s" s="1">
        <f>HYPERLINK("http://141.218.60.56/~jnz1568/discussion.php?&amp;Z=8&amp;N=6&amp;Sheet=1&amp;Row=289&amp;Col=10","")</f>
      </c>
      <c r="L290" t="s" s="1">
        <f>HYPERLINK("http://141.218.60.56/~jnz1568/discussion.php?&amp;Z=8&amp;N=6&amp;Sheet=1&amp;Row=289&amp;Col=11","")</f>
      </c>
      <c r="M290" t="s" s="1">
        <f>HYPERLINK("http://141.218.60.56/~jnz1568/discussion.php?&amp;Z=8&amp;N=6&amp;Sheet=1&amp;Row=289&amp;Col=12","")</f>
      </c>
      <c r="N290" t="s" s="1">
        <f>HYPERLINK("http://141.218.60.56/~jnz1568/discussion.php?&amp;Z=8&amp;N=6&amp;Sheet=1&amp;Row=289&amp;Col=13","515900")</f>
      </c>
      <c r="O290" t="s" s="1">
        <f>HYPERLINK("http://141.218.60.56/~jnz1568/discussion.php?&amp;Z=8&amp;N=6&amp;Sheet=1&amp;Row=289&amp;Col=14","")</f>
      </c>
      <c r="P290" t="s" s="1">
        <f>HYPERLINK("http://141.218.60.56/~jnz1568/discussion.php?&amp;Z=8&amp;N=6&amp;Sheet=1&amp;Row=289&amp;Col=15","")</f>
      </c>
      <c r="Q290" t="s" s="1">
        <f>HYPERLINK("http://141.218.60.56/~jnz1568/discussion.php?&amp;Z=8&amp;N=6&amp;Sheet=1&amp;Row=289&amp;Col=16","")</f>
      </c>
    </row>
    <row r="291">
      <c r="A291" t="s">
        <v>15</v>
      </c>
      <c r="B291" t="s">
        <v>16</v>
      </c>
      <c r="C291" t="s">
        <v>161</v>
      </c>
      <c r="D291" t="s">
        <v>28</v>
      </c>
      <c r="E291" t="s">
        <v>1348</v>
      </c>
      <c r="F291" t="s" s="1">
        <f>HYPERLINK("http://141.218.60.56/~jnz1568/discussion.php?&amp;Z=8&amp;N=6&amp;Sheet=1&amp;Row=290&amp;Col=5","6916500000")</f>
      </c>
      <c r="G291" t="s" s="1">
        <f>HYPERLINK("http://141.218.60.56/~jnz1568/discussion.php?&amp;Z=8&amp;N=6&amp;Sheet=1&amp;Row=290&amp;Col=6","")</f>
      </c>
      <c r="H291" t="s" s="1">
        <f>HYPERLINK("http://141.218.60.56/~jnz1568/discussion.php?&amp;Z=8&amp;N=6&amp;Sheet=1&amp;Row=290&amp;Col=7","")</f>
      </c>
      <c r="I291" t="s" s="1">
        <f>HYPERLINK("http://141.218.60.56/~jnz1568/discussion.php?&amp;Z=8&amp;N=6&amp;Sheet=1&amp;Row=290&amp;Col=8","")</f>
      </c>
      <c r="J291" t="s" s="1">
        <f>HYPERLINK("http://141.218.60.56/~jnz1568/discussion.php?&amp;Z=8&amp;N=6&amp;Sheet=1&amp;Row=290&amp;Col=9","6777100000")</f>
      </c>
      <c r="K291" t="s" s="1">
        <f>HYPERLINK("http://141.218.60.56/~jnz1568/discussion.php?&amp;Z=8&amp;N=6&amp;Sheet=1&amp;Row=290&amp;Col=10","")</f>
      </c>
      <c r="L291" t="s" s="1">
        <f>HYPERLINK("http://141.218.60.56/~jnz1568/discussion.php?&amp;Z=8&amp;N=6&amp;Sheet=1&amp;Row=290&amp;Col=11","")</f>
      </c>
      <c r="M291" t="s" s="1">
        <f>HYPERLINK("http://141.218.60.56/~jnz1568/discussion.php?&amp;Z=8&amp;N=6&amp;Sheet=1&amp;Row=290&amp;Col=12","")</f>
      </c>
      <c r="N291" t="s" s="1">
        <f>HYPERLINK("http://141.218.60.56/~jnz1568/discussion.php?&amp;Z=8&amp;N=6&amp;Sheet=1&amp;Row=290&amp;Col=13","8532000000")</f>
      </c>
      <c r="O291" t="s" s="1">
        <f>HYPERLINK("http://141.218.60.56/~jnz1568/discussion.php?&amp;Z=8&amp;N=6&amp;Sheet=1&amp;Row=290&amp;Col=14","")</f>
      </c>
      <c r="P291" t="s" s="1">
        <f>HYPERLINK("http://141.218.60.56/~jnz1568/discussion.php?&amp;Z=8&amp;N=6&amp;Sheet=1&amp;Row=290&amp;Col=15","")</f>
      </c>
      <c r="Q291" t="s" s="1">
        <f>HYPERLINK("http://141.218.60.56/~jnz1568/discussion.php?&amp;Z=8&amp;N=6&amp;Sheet=1&amp;Row=290&amp;Col=16","")</f>
      </c>
    </row>
    <row r="292">
      <c r="A292" t="s">
        <v>15</v>
      </c>
      <c r="B292" t="s">
        <v>16</v>
      </c>
      <c r="C292" t="s">
        <v>161</v>
      </c>
      <c r="D292" t="s">
        <v>94</v>
      </c>
      <c r="E292" t="s">
        <v>1352</v>
      </c>
      <c r="F292" t="s" s="1">
        <f>HYPERLINK("http://141.218.60.56/~jnz1568/discussion.php?&amp;Z=8&amp;N=6&amp;Sheet=1&amp;Row=291&amp;Col=5","14.805")</f>
      </c>
      <c r="G292" t="s" s="1">
        <f>HYPERLINK("http://141.218.60.56/~jnz1568/discussion.php?&amp;Z=8&amp;N=6&amp;Sheet=1&amp;Row=291&amp;Col=6","")</f>
      </c>
      <c r="H292" t="s" s="1">
        <f>HYPERLINK("http://141.218.60.56/~jnz1568/discussion.php?&amp;Z=8&amp;N=6&amp;Sheet=1&amp;Row=291&amp;Col=7","")</f>
      </c>
      <c r="I292" t="s" s="1">
        <f>HYPERLINK("http://141.218.60.56/~jnz1568/discussion.php?&amp;Z=8&amp;N=6&amp;Sheet=1&amp;Row=291&amp;Col=8","")</f>
      </c>
      <c r="J292" t="s" s="1">
        <f>HYPERLINK("http://141.218.60.56/~jnz1568/discussion.php?&amp;Z=8&amp;N=6&amp;Sheet=1&amp;Row=291&amp;Col=9","26.149")</f>
      </c>
      <c r="K292" t="s" s="1">
        <f>HYPERLINK("http://141.218.60.56/~jnz1568/discussion.php?&amp;Z=8&amp;N=6&amp;Sheet=1&amp;Row=291&amp;Col=10","")</f>
      </c>
      <c r="L292" t="s" s="1">
        <f>HYPERLINK("http://141.218.60.56/~jnz1568/discussion.php?&amp;Z=8&amp;N=6&amp;Sheet=1&amp;Row=291&amp;Col=11","")</f>
      </c>
      <c r="M292" t="s" s="1">
        <f>HYPERLINK("http://141.218.60.56/~jnz1568/discussion.php?&amp;Z=8&amp;N=6&amp;Sheet=1&amp;Row=291&amp;Col=12","")</f>
      </c>
      <c r="N292" t="s" s="1">
        <f>HYPERLINK("http://141.218.60.56/~jnz1568/discussion.php?&amp;Z=8&amp;N=6&amp;Sheet=1&amp;Row=291&amp;Col=13","3.034")</f>
      </c>
      <c r="O292" t="s" s="1">
        <f>HYPERLINK("http://141.218.60.56/~jnz1568/discussion.php?&amp;Z=8&amp;N=6&amp;Sheet=1&amp;Row=291&amp;Col=14","")</f>
      </c>
      <c r="P292" t="s" s="1">
        <f>HYPERLINK("http://141.218.60.56/~jnz1568/discussion.php?&amp;Z=8&amp;N=6&amp;Sheet=1&amp;Row=291&amp;Col=15","")</f>
      </c>
      <c r="Q292" t="s" s="1">
        <f>HYPERLINK("http://141.218.60.56/~jnz1568/discussion.php?&amp;Z=8&amp;N=6&amp;Sheet=1&amp;Row=291&amp;Col=16","")</f>
      </c>
    </row>
    <row r="293">
      <c r="A293" t="s">
        <v>15</v>
      </c>
      <c r="B293" t="s">
        <v>16</v>
      </c>
      <c r="C293" t="s">
        <v>161</v>
      </c>
      <c r="D293" t="s">
        <v>99</v>
      </c>
      <c r="E293" t="s">
        <v>1356</v>
      </c>
      <c r="F293" t="s" s="1">
        <f>HYPERLINK("http://141.218.60.56/~jnz1568/discussion.php?&amp;Z=8&amp;N=6&amp;Sheet=1&amp;Row=292&amp;Col=5","2313")</f>
      </c>
      <c r="G293" t="s" s="1">
        <f>HYPERLINK("http://141.218.60.56/~jnz1568/discussion.php?&amp;Z=8&amp;N=6&amp;Sheet=1&amp;Row=292&amp;Col=6","")</f>
      </c>
      <c r="H293" t="s" s="1">
        <f>HYPERLINK("http://141.218.60.56/~jnz1568/discussion.php?&amp;Z=8&amp;N=6&amp;Sheet=1&amp;Row=292&amp;Col=7","")</f>
      </c>
      <c r="I293" t="s" s="1">
        <f>HYPERLINK("http://141.218.60.56/~jnz1568/discussion.php?&amp;Z=8&amp;N=6&amp;Sheet=1&amp;Row=292&amp;Col=8","")</f>
      </c>
      <c r="J293" t="s" s="1">
        <f>HYPERLINK("http://141.218.60.56/~jnz1568/discussion.php?&amp;Z=8&amp;N=6&amp;Sheet=1&amp;Row=292&amp;Col=9","3203")</f>
      </c>
      <c r="K293" t="s" s="1">
        <f>HYPERLINK("http://141.218.60.56/~jnz1568/discussion.php?&amp;Z=8&amp;N=6&amp;Sheet=1&amp;Row=292&amp;Col=10","")</f>
      </c>
      <c r="L293" t="s" s="1">
        <f>HYPERLINK("http://141.218.60.56/~jnz1568/discussion.php?&amp;Z=8&amp;N=6&amp;Sheet=1&amp;Row=292&amp;Col=11","")</f>
      </c>
      <c r="M293" t="s" s="1">
        <f>HYPERLINK("http://141.218.60.56/~jnz1568/discussion.php?&amp;Z=8&amp;N=6&amp;Sheet=1&amp;Row=292&amp;Col=12","")</f>
      </c>
      <c r="N293" t="s" s="1">
        <f>HYPERLINK("http://141.218.60.56/~jnz1568/discussion.php?&amp;Z=8&amp;N=6&amp;Sheet=1&amp;Row=292&amp;Col=13","7033")</f>
      </c>
      <c r="O293" t="s" s="1">
        <f>HYPERLINK("http://141.218.60.56/~jnz1568/discussion.php?&amp;Z=8&amp;N=6&amp;Sheet=1&amp;Row=292&amp;Col=14","")</f>
      </c>
      <c r="P293" t="s" s="1">
        <f>HYPERLINK("http://141.218.60.56/~jnz1568/discussion.php?&amp;Z=8&amp;N=6&amp;Sheet=1&amp;Row=292&amp;Col=15","")</f>
      </c>
      <c r="Q293" t="s" s="1">
        <f>HYPERLINK("http://141.218.60.56/~jnz1568/discussion.php?&amp;Z=8&amp;N=6&amp;Sheet=1&amp;Row=292&amp;Col=16","")</f>
      </c>
    </row>
    <row r="294">
      <c r="A294" t="s">
        <v>15</v>
      </c>
      <c r="B294" t="s">
        <v>16</v>
      </c>
      <c r="C294" t="s">
        <v>161</v>
      </c>
      <c r="D294" t="s">
        <v>105</v>
      </c>
      <c r="E294" t="s">
        <v>1360</v>
      </c>
      <c r="F294" t="s" s="1">
        <f>HYPERLINK("http://141.218.60.56/~jnz1568/discussion.php?&amp;Z=8&amp;N=6&amp;Sheet=1&amp;Row=293&amp;Col=5","127380000")</f>
      </c>
      <c r="G294" t="s" s="1">
        <f>HYPERLINK("http://141.218.60.56/~jnz1568/discussion.php?&amp;Z=8&amp;N=6&amp;Sheet=1&amp;Row=293&amp;Col=6","")</f>
      </c>
      <c r="H294" t="s" s="1">
        <f>HYPERLINK("http://141.218.60.56/~jnz1568/discussion.php?&amp;Z=8&amp;N=6&amp;Sheet=1&amp;Row=293&amp;Col=7","")</f>
      </c>
      <c r="I294" t="s" s="1">
        <f>HYPERLINK("http://141.218.60.56/~jnz1568/discussion.php?&amp;Z=8&amp;N=6&amp;Sheet=1&amp;Row=293&amp;Col=8","")</f>
      </c>
      <c r="J294" t="s" s="1">
        <f>HYPERLINK("http://141.218.60.56/~jnz1568/discussion.php?&amp;Z=8&amp;N=6&amp;Sheet=1&amp;Row=293&amp;Col=9","122920000")</f>
      </c>
      <c r="K294" t="s" s="1">
        <f>HYPERLINK("http://141.218.60.56/~jnz1568/discussion.php?&amp;Z=8&amp;N=6&amp;Sheet=1&amp;Row=293&amp;Col=10","")</f>
      </c>
      <c r="L294" t="s" s="1">
        <f>HYPERLINK("http://141.218.60.56/~jnz1568/discussion.php?&amp;Z=8&amp;N=6&amp;Sheet=1&amp;Row=293&amp;Col=11","")</f>
      </c>
      <c r="M294" t="s" s="1">
        <f>HYPERLINK("http://141.218.60.56/~jnz1568/discussion.php?&amp;Z=8&amp;N=6&amp;Sheet=1&amp;Row=293&amp;Col=12","")</f>
      </c>
      <c r="N294" t="s" s="1">
        <f>HYPERLINK("http://141.218.60.56/~jnz1568/discussion.php?&amp;Z=8&amp;N=6&amp;Sheet=1&amp;Row=293&amp;Col=13","107600000")</f>
      </c>
      <c r="O294" t="s" s="1">
        <f>HYPERLINK("http://141.218.60.56/~jnz1568/discussion.php?&amp;Z=8&amp;N=6&amp;Sheet=1&amp;Row=293&amp;Col=14","")</f>
      </c>
      <c r="P294" t="s" s="1">
        <f>HYPERLINK("http://141.218.60.56/~jnz1568/discussion.php?&amp;Z=8&amp;N=6&amp;Sheet=1&amp;Row=293&amp;Col=15","")</f>
      </c>
      <c r="Q294" t="s" s="1">
        <f>HYPERLINK("http://141.218.60.56/~jnz1568/discussion.php?&amp;Z=8&amp;N=6&amp;Sheet=1&amp;Row=293&amp;Col=16","")</f>
      </c>
    </row>
    <row r="295">
      <c r="A295" t="s">
        <v>15</v>
      </c>
      <c r="B295" t="s">
        <v>16</v>
      </c>
      <c r="C295" t="s">
        <v>161</v>
      </c>
      <c r="D295" t="s">
        <v>111</v>
      </c>
      <c r="E295" t="s">
        <v>1364</v>
      </c>
      <c r="F295" t="s" s="1">
        <f>HYPERLINK("http://141.218.60.56/~jnz1568/discussion.php?&amp;Z=8&amp;N=6&amp;Sheet=1&amp;Row=294&amp;Col=5","55375000")</f>
      </c>
      <c r="G295" t="s" s="1">
        <f>HYPERLINK("http://141.218.60.56/~jnz1568/discussion.php?&amp;Z=8&amp;N=6&amp;Sheet=1&amp;Row=294&amp;Col=6","")</f>
      </c>
      <c r="H295" t="s" s="1">
        <f>HYPERLINK("http://141.218.60.56/~jnz1568/discussion.php?&amp;Z=8&amp;N=6&amp;Sheet=1&amp;Row=294&amp;Col=7","")</f>
      </c>
      <c r="I295" t="s" s="1">
        <f>HYPERLINK("http://141.218.60.56/~jnz1568/discussion.php?&amp;Z=8&amp;N=6&amp;Sheet=1&amp;Row=294&amp;Col=8","")</f>
      </c>
      <c r="J295" t="s" s="1">
        <f>HYPERLINK("http://141.218.60.56/~jnz1568/discussion.php?&amp;Z=8&amp;N=6&amp;Sheet=1&amp;Row=294&amp;Col=9","58347000")</f>
      </c>
      <c r="K295" t="s" s="1">
        <f>HYPERLINK("http://141.218.60.56/~jnz1568/discussion.php?&amp;Z=8&amp;N=6&amp;Sheet=1&amp;Row=294&amp;Col=10","")</f>
      </c>
      <c r="L295" t="s" s="1">
        <f>HYPERLINK("http://141.218.60.56/~jnz1568/discussion.php?&amp;Z=8&amp;N=6&amp;Sheet=1&amp;Row=294&amp;Col=11","")</f>
      </c>
      <c r="M295" t="s" s="1">
        <f>HYPERLINK("http://141.218.60.56/~jnz1568/discussion.php?&amp;Z=8&amp;N=6&amp;Sheet=1&amp;Row=294&amp;Col=12","")</f>
      </c>
      <c r="N295" t="s" s="1">
        <f>HYPERLINK("http://141.218.60.56/~jnz1568/discussion.php?&amp;Z=8&amp;N=6&amp;Sheet=1&amp;Row=294&amp;Col=13","27990000")</f>
      </c>
      <c r="O295" t="s" s="1">
        <f>HYPERLINK("http://141.218.60.56/~jnz1568/discussion.php?&amp;Z=8&amp;N=6&amp;Sheet=1&amp;Row=294&amp;Col=14","")</f>
      </c>
      <c r="P295" t="s" s="1">
        <f>HYPERLINK("http://141.218.60.56/~jnz1568/discussion.php?&amp;Z=8&amp;N=6&amp;Sheet=1&amp;Row=294&amp;Col=15","")</f>
      </c>
      <c r="Q295" t="s" s="1">
        <f>HYPERLINK("http://141.218.60.56/~jnz1568/discussion.php?&amp;Z=8&amp;N=6&amp;Sheet=1&amp;Row=294&amp;Col=16","")</f>
      </c>
    </row>
    <row r="296">
      <c r="A296" t="s">
        <v>15</v>
      </c>
      <c r="B296" t="s">
        <v>16</v>
      </c>
      <c r="C296" t="s">
        <v>161</v>
      </c>
      <c r="D296" t="s">
        <v>116</v>
      </c>
      <c r="E296" t="s">
        <v>1368</v>
      </c>
      <c r="F296" t="s" s="1">
        <f>HYPERLINK("http://141.218.60.56/~jnz1568/discussion.php?&amp;Z=8&amp;N=6&amp;Sheet=1&amp;Row=295&amp;Col=5","6864400")</f>
      </c>
      <c r="G296" t="s" s="1">
        <f>HYPERLINK("http://141.218.60.56/~jnz1568/discussion.php?&amp;Z=8&amp;N=6&amp;Sheet=1&amp;Row=295&amp;Col=6","")</f>
      </c>
      <c r="H296" t="s" s="1">
        <f>HYPERLINK("http://141.218.60.56/~jnz1568/discussion.php?&amp;Z=8&amp;N=6&amp;Sheet=1&amp;Row=295&amp;Col=7","")</f>
      </c>
      <c r="I296" t="s" s="1">
        <f>HYPERLINK("http://141.218.60.56/~jnz1568/discussion.php?&amp;Z=8&amp;N=6&amp;Sheet=1&amp;Row=295&amp;Col=8","")</f>
      </c>
      <c r="J296" t="s" s="1">
        <f>HYPERLINK("http://141.218.60.56/~jnz1568/discussion.php?&amp;Z=8&amp;N=6&amp;Sheet=1&amp;Row=295&amp;Col=9","7296800")</f>
      </c>
      <c r="K296" t="s" s="1">
        <f>HYPERLINK("http://141.218.60.56/~jnz1568/discussion.php?&amp;Z=8&amp;N=6&amp;Sheet=1&amp;Row=295&amp;Col=10","")</f>
      </c>
      <c r="L296" t="s" s="1">
        <f>HYPERLINK("http://141.218.60.56/~jnz1568/discussion.php?&amp;Z=8&amp;N=6&amp;Sheet=1&amp;Row=295&amp;Col=11","")</f>
      </c>
      <c r="M296" t="s" s="1">
        <f>HYPERLINK("http://141.218.60.56/~jnz1568/discussion.php?&amp;Z=8&amp;N=6&amp;Sheet=1&amp;Row=295&amp;Col=12","")</f>
      </c>
      <c r="N296" t="s" s="1">
        <f>HYPERLINK("http://141.218.60.56/~jnz1568/discussion.php?&amp;Z=8&amp;N=6&amp;Sheet=1&amp;Row=295&amp;Col=13","3802000")</f>
      </c>
      <c r="O296" t="s" s="1">
        <f>HYPERLINK("http://141.218.60.56/~jnz1568/discussion.php?&amp;Z=8&amp;N=6&amp;Sheet=1&amp;Row=295&amp;Col=14","")</f>
      </c>
      <c r="P296" t="s" s="1">
        <f>HYPERLINK("http://141.218.60.56/~jnz1568/discussion.php?&amp;Z=8&amp;N=6&amp;Sheet=1&amp;Row=295&amp;Col=15","")</f>
      </c>
      <c r="Q296" t="s" s="1">
        <f>HYPERLINK("http://141.218.60.56/~jnz1568/discussion.php?&amp;Z=8&amp;N=6&amp;Sheet=1&amp;Row=295&amp;Col=16","")</f>
      </c>
    </row>
    <row r="297">
      <c r="A297" t="s">
        <v>15</v>
      </c>
      <c r="B297" t="s">
        <v>16</v>
      </c>
      <c r="C297" t="s">
        <v>161</v>
      </c>
      <c r="D297" t="s">
        <v>119</v>
      </c>
      <c r="E297" t="s">
        <v>1372</v>
      </c>
      <c r="F297" t="s" s="1">
        <f>HYPERLINK("http://141.218.60.56/~jnz1568/discussion.php?&amp;Z=8&amp;N=6&amp;Sheet=1&amp;Row=296&amp;Col=5","209940")</f>
      </c>
      <c r="G297" t="s" s="1">
        <f>HYPERLINK("http://141.218.60.56/~jnz1568/discussion.php?&amp;Z=8&amp;N=6&amp;Sheet=1&amp;Row=296&amp;Col=6","")</f>
      </c>
      <c r="H297" t="s" s="1">
        <f>HYPERLINK("http://141.218.60.56/~jnz1568/discussion.php?&amp;Z=8&amp;N=6&amp;Sheet=1&amp;Row=296&amp;Col=7","")</f>
      </c>
      <c r="I297" t="s" s="1">
        <f>HYPERLINK("http://141.218.60.56/~jnz1568/discussion.php?&amp;Z=8&amp;N=6&amp;Sheet=1&amp;Row=296&amp;Col=8","")</f>
      </c>
      <c r="J297" t="s" s="1">
        <f>HYPERLINK("http://141.218.60.56/~jnz1568/discussion.php?&amp;Z=8&amp;N=6&amp;Sheet=1&amp;Row=296&amp;Col=9","220160")</f>
      </c>
      <c r="K297" t="s" s="1">
        <f>HYPERLINK("http://141.218.60.56/~jnz1568/discussion.php?&amp;Z=8&amp;N=6&amp;Sheet=1&amp;Row=296&amp;Col=10","")</f>
      </c>
      <c r="L297" t="s" s="1">
        <f>HYPERLINK("http://141.218.60.56/~jnz1568/discussion.php?&amp;Z=8&amp;N=6&amp;Sheet=1&amp;Row=296&amp;Col=11","")</f>
      </c>
      <c r="M297" t="s" s="1">
        <f>HYPERLINK("http://141.218.60.56/~jnz1568/discussion.php?&amp;Z=8&amp;N=6&amp;Sheet=1&amp;Row=296&amp;Col=12","")</f>
      </c>
      <c r="N297" t="s" s="1">
        <f>HYPERLINK("http://141.218.60.56/~jnz1568/discussion.php?&amp;Z=8&amp;N=6&amp;Sheet=1&amp;Row=296&amp;Col=13","123500")</f>
      </c>
      <c r="O297" t="s" s="1">
        <f>HYPERLINK("http://141.218.60.56/~jnz1568/discussion.php?&amp;Z=8&amp;N=6&amp;Sheet=1&amp;Row=296&amp;Col=14","")</f>
      </c>
      <c r="P297" t="s" s="1">
        <f>HYPERLINK("http://141.218.60.56/~jnz1568/discussion.php?&amp;Z=8&amp;N=6&amp;Sheet=1&amp;Row=296&amp;Col=15","")</f>
      </c>
      <c r="Q297" t="s" s="1">
        <f>HYPERLINK("http://141.218.60.56/~jnz1568/discussion.php?&amp;Z=8&amp;N=6&amp;Sheet=1&amp;Row=296&amp;Col=16","")</f>
      </c>
    </row>
    <row r="298">
      <c r="A298" t="s">
        <v>15</v>
      </c>
      <c r="B298" t="s">
        <v>16</v>
      </c>
      <c r="C298" t="s">
        <v>161</v>
      </c>
      <c r="D298" t="s">
        <v>122</v>
      </c>
      <c r="E298" t="s">
        <v>1376</v>
      </c>
      <c r="F298" t="s" s="1">
        <f>HYPERLINK("http://141.218.60.56/~jnz1568/discussion.php?&amp;Z=8&amp;N=6&amp;Sheet=1&amp;Row=297&amp;Col=5","4922.3")</f>
      </c>
      <c r="G298" t="s" s="1">
        <f>HYPERLINK("http://141.218.60.56/~jnz1568/discussion.php?&amp;Z=8&amp;N=6&amp;Sheet=1&amp;Row=297&amp;Col=6","")</f>
      </c>
      <c r="H298" t="s" s="1">
        <f>HYPERLINK("http://141.218.60.56/~jnz1568/discussion.php?&amp;Z=8&amp;N=6&amp;Sheet=1&amp;Row=297&amp;Col=7","")</f>
      </c>
      <c r="I298" t="s" s="1">
        <f>HYPERLINK("http://141.218.60.56/~jnz1568/discussion.php?&amp;Z=8&amp;N=6&amp;Sheet=1&amp;Row=297&amp;Col=8","")</f>
      </c>
      <c r="J298" t="s" s="1">
        <f>HYPERLINK("http://141.218.60.56/~jnz1568/discussion.php?&amp;Z=8&amp;N=6&amp;Sheet=1&amp;Row=297&amp;Col=9","4960.4")</f>
      </c>
      <c r="K298" t="s" s="1">
        <f>HYPERLINK("http://141.218.60.56/~jnz1568/discussion.php?&amp;Z=8&amp;N=6&amp;Sheet=1&amp;Row=297&amp;Col=10","")</f>
      </c>
      <c r="L298" t="s" s="1">
        <f>HYPERLINK("http://141.218.60.56/~jnz1568/discussion.php?&amp;Z=8&amp;N=6&amp;Sheet=1&amp;Row=297&amp;Col=11","")</f>
      </c>
      <c r="M298" t="s" s="1">
        <f>HYPERLINK("http://141.218.60.56/~jnz1568/discussion.php?&amp;Z=8&amp;N=6&amp;Sheet=1&amp;Row=297&amp;Col=12","")</f>
      </c>
      <c r="N298" t="s" s="1">
        <f>HYPERLINK("http://141.218.60.56/~jnz1568/discussion.php?&amp;Z=8&amp;N=6&amp;Sheet=1&amp;Row=297&amp;Col=13","450.5")</f>
      </c>
      <c r="O298" t="s" s="1">
        <f>HYPERLINK("http://141.218.60.56/~jnz1568/discussion.php?&amp;Z=8&amp;N=6&amp;Sheet=1&amp;Row=297&amp;Col=14","")</f>
      </c>
      <c r="P298" t="s" s="1">
        <f>HYPERLINK("http://141.218.60.56/~jnz1568/discussion.php?&amp;Z=8&amp;N=6&amp;Sheet=1&amp;Row=297&amp;Col=15","")</f>
      </c>
      <c r="Q298" t="s" s="1">
        <f>HYPERLINK("http://141.218.60.56/~jnz1568/discussion.php?&amp;Z=8&amp;N=6&amp;Sheet=1&amp;Row=297&amp;Col=16","")</f>
      </c>
    </row>
    <row r="299">
      <c r="A299" t="s">
        <v>15</v>
      </c>
      <c r="B299" t="s">
        <v>16</v>
      </c>
      <c r="C299" t="s">
        <v>161</v>
      </c>
      <c r="D299" t="s">
        <v>127</v>
      </c>
      <c r="E299" t="s">
        <v>1380</v>
      </c>
      <c r="F299" t="s" s="1">
        <f>HYPERLINK("http://141.218.60.56/~jnz1568/discussion.php?&amp;Z=8&amp;N=6&amp;Sheet=1&amp;Row=298&amp;Col=5","1341.1")</f>
      </c>
      <c r="G299" t="s" s="1">
        <f>HYPERLINK("http://141.218.60.56/~jnz1568/discussion.php?&amp;Z=8&amp;N=6&amp;Sheet=1&amp;Row=298&amp;Col=6","")</f>
      </c>
      <c r="H299" t="s" s="1">
        <f>HYPERLINK("http://141.218.60.56/~jnz1568/discussion.php?&amp;Z=8&amp;N=6&amp;Sheet=1&amp;Row=298&amp;Col=7","")</f>
      </c>
      <c r="I299" t="s" s="1">
        <f>HYPERLINK("http://141.218.60.56/~jnz1568/discussion.php?&amp;Z=8&amp;N=6&amp;Sheet=1&amp;Row=298&amp;Col=8","")</f>
      </c>
      <c r="J299" t="s" s="1">
        <f>HYPERLINK("http://141.218.60.56/~jnz1568/discussion.php?&amp;Z=8&amp;N=6&amp;Sheet=1&amp;Row=298&amp;Col=9","6081.4")</f>
      </c>
      <c r="K299" t="s" s="1">
        <f>HYPERLINK("http://141.218.60.56/~jnz1568/discussion.php?&amp;Z=8&amp;N=6&amp;Sheet=1&amp;Row=298&amp;Col=10","")</f>
      </c>
      <c r="L299" t="s" s="1">
        <f>HYPERLINK("http://141.218.60.56/~jnz1568/discussion.php?&amp;Z=8&amp;N=6&amp;Sheet=1&amp;Row=298&amp;Col=11","")</f>
      </c>
      <c r="M299" t="s" s="1">
        <f>HYPERLINK("http://141.218.60.56/~jnz1568/discussion.php?&amp;Z=8&amp;N=6&amp;Sheet=1&amp;Row=298&amp;Col=12","")</f>
      </c>
      <c r="N299" t="s" s="1">
        <f>HYPERLINK("http://141.218.60.56/~jnz1568/discussion.php?&amp;Z=8&amp;N=6&amp;Sheet=1&amp;Row=298&amp;Col=13","9224")</f>
      </c>
      <c r="O299" t="s" s="1">
        <f>HYPERLINK("http://141.218.60.56/~jnz1568/discussion.php?&amp;Z=8&amp;N=6&amp;Sheet=1&amp;Row=298&amp;Col=14","")</f>
      </c>
      <c r="P299" t="s" s="1">
        <f>HYPERLINK("http://141.218.60.56/~jnz1568/discussion.php?&amp;Z=8&amp;N=6&amp;Sheet=1&amp;Row=298&amp;Col=15","")</f>
      </c>
      <c r="Q299" t="s" s="1">
        <f>HYPERLINK("http://141.218.60.56/~jnz1568/discussion.php?&amp;Z=8&amp;N=6&amp;Sheet=1&amp;Row=298&amp;Col=16","")</f>
      </c>
    </row>
    <row r="300">
      <c r="A300" t="s">
        <v>15</v>
      </c>
      <c r="B300" t="s">
        <v>16</v>
      </c>
      <c r="C300" t="s">
        <v>161</v>
      </c>
      <c r="D300" t="s">
        <v>135</v>
      </c>
      <c r="E300" t="s">
        <v>1384</v>
      </c>
      <c r="F300" t="s" s="1">
        <f>HYPERLINK("http://141.218.60.56/~jnz1568/discussion.php?&amp;Z=8&amp;N=6&amp;Sheet=1&amp;Row=299&amp;Col=5","56034")</f>
      </c>
      <c r="G300" t="s" s="1">
        <f>HYPERLINK("http://141.218.60.56/~jnz1568/discussion.php?&amp;Z=8&amp;N=6&amp;Sheet=1&amp;Row=299&amp;Col=6","")</f>
      </c>
      <c r="H300" t="s" s="1">
        <f>HYPERLINK("http://141.218.60.56/~jnz1568/discussion.php?&amp;Z=8&amp;N=6&amp;Sheet=1&amp;Row=299&amp;Col=7","")</f>
      </c>
      <c r="I300" t="s" s="1">
        <f>HYPERLINK("http://141.218.60.56/~jnz1568/discussion.php?&amp;Z=8&amp;N=6&amp;Sheet=1&amp;Row=299&amp;Col=8","")</f>
      </c>
      <c r="J300" t="s" s="1">
        <f>HYPERLINK("http://141.218.60.56/~jnz1568/discussion.php?&amp;Z=8&amp;N=6&amp;Sheet=1&amp;Row=299&amp;Col=9","59155")</f>
      </c>
      <c r="K300" t="s" s="1">
        <f>HYPERLINK("http://141.218.60.56/~jnz1568/discussion.php?&amp;Z=8&amp;N=6&amp;Sheet=1&amp;Row=299&amp;Col=10","")</f>
      </c>
      <c r="L300" t="s" s="1">
        <f>HYPERLINK("http://141.218.60.56/~jnz1568/discussion.php?&amp;Z=8&amp;N=6&amp;Sheet=1&amp;Row=299&amp;Col=11","")</f>
      </c>
      <c r="M300" t="s" s="1">
        <f>HYPERLINK("http://141.218.60.56/~jnz1568/discussion.php?&amp;Z=8&amp;N=6&amp;Sheet=1&amp;Row=299&amp;Col=12","")</f>
      </c>
      <c r="N300" t="s" s="1">
        <f>HYPERLINK("http://141.218.60.56/~jnz1568/discussion.php?&amp;Z=8&amp;N=6&amp;Sheet=1&amp;Row=299&amp;Col=13","9430")</f>
      </c>
      <c r="O300" t="s" s="1">
        <f>HYPERLINK("http://141.218.60.56/~jnz1568/discussion.php?&amp;Z=8&amp;N=6&amp;Sheet=1&amp;Row=299&amp;Col=14","")</f>
      </c>
      <c r="P300" t="s" s="1">
        <f>HYPERLINK("http://141.218.60.56/~jnz1568/discussion.php?&amp;Z=8&amp;N=6&amp;Sheet=1&amp;Row=299&amp;Col=15","")</f>
      </c>
      <c r="Q300" t="s" s="1">
        <f>HYPERLINK("http://141.218.60.56/~jnz1568/discussion.php?&amp;Z=8&amp;N=6&amp;Sheet=1&amp;Row=299&amp;Col=16","")</f>
      </c>
    </row>
    <row r="301">
      <c r="A301" t="s">
        <v>15</v>
      </c>
      <c r="B301" t="s">
        <v>16</v>
      </c>
      <c r="C301" t="s">
        <v>161</v>
      </c>
      <c r="D301" t="s">
        <v>138</v>
      </c>
      <c r="E301" t="s">
        <v>1388</v>
      </c>
      <c r="F301" t="s" s="1">
        <f>HYPERLINK("http://141.218.60.56/~jnz1568/discussion.php?&amp;Z=8&amp;N=6&amp;Sheet=1&amp;Row=300&amp;Col=5","2416")</f>
      </c>
      <c r="G301" t="s" s="1">
        <f>HYPERLINK("http://141.218.60.56/~jnz1568/discussion.php?&amp;Z=8&amp;N=6&amp;Sheet=1&amp;Row=300&amp;Col=6","")</f>
      </c>
      <c r="H301" t="s" s="1">
        <f>HYPERLINK("http://141.218.60.56/~jnz1568/discussion.php?&amp;Z=8&amp;N=6&amp;Sheet=1&amp;Row=300&amp;Col=7","")</f>
      </c>
      <c r="I301" t="s" s="1">
        <f>HYPERLINK("http://141.218.60.56/~jnz1568/discussion.php?&amp;Z=8&amp;N=6&amp;Sheet=1&amp;Row=300&amp;Col=8","")</f>
      </c>
      <c r="J301" t="s" s="1">
        <f>HYPERLINK("http://141.218.60.56/~jnz1568/discussion.php?&amp;Z=8&amp;N=6&amp;Sheet=1&amp;Row=300&amp;Col=9","1852.6")</f>
      </c>
      <c r="K301" t="s" s="1">
        <f>HYPERLINK("http://141.218.60.56/~jnz1568/discussion.php?&amp;Z=8&amp;N=6&amp;Sheet=1&amp;Row=300&amp;Col=10","")</f>
      </c>
      <c r="L301" t="s" s="1">
        <f>HYPERLINK("http://141.218.60.56/~jnz1568/discussion.php?&amp;Z=8&amp;N=6&amp;Sheet=1&amp;Row=300&amp;Col=11","")</f>
      </c>
      <c r="M301" t="s" s="1">
        <f>HYPERLINK("http://141.218.60.56/~jnz1568/discussion.php?&amp;Z=8&amp;N=6&amp;Sheet=1&amp;Row=300&amp;Col=12","")</f>
      </c>
      <c r="N301" t="s" s="1">
        <f>HYPERLINK("http://141.218.60.56/~jnz1568/discussion.php?&amp;Z=8&amp;N=6&amp;Sheet=1&amp;Row=300&amp;Col=13","1870")</f>
      </c>
      <c r="O301" t="s" s="1">
        <f>HYPERLINK("http://141.218.60.56/~jnz1568/discussion.php?&amp;Z=8&amp;N=6&amp;Sheet=1&amp;Row=300&amp;Col=14","")</f>
      </c>
      <c r="P301" t="s" s="1">
        <f>HYPERLINK("http://141.218.60.56/~jnz1568/discussion.php?&amp;Z=8&amp;N=6&amp;Sheet=1&amp;Row=300&amp;Col=15","")</f>
      </c>
      <c r="Q301" t="s" s="1">
        <f>HYPERLINK("http://141.218.60.56/~jnz1568/discussion.php?&amp;Z=8&amp;N=6&amp;Sheet=1&amp;Row=300&amp;Col=16","")</f>
      </c>
    </row>
    <row r="302">
      <c r="A302" t="s">
        <v>15</v>
      </c>
      <c r="B302" t="s">
        <v>16</v>
      </c>
      <c r="C302" t="s">
        <v>161</v>
      </c>
      <c r="D302" t="s">
        <v>141</v>
      </c>
      <c r="E302" t="s">
        <v>1392</v>
      </c>
      <c r="F302" t="s" s="1">
        <f>HYPERLINK("http://141.218.60.56/~jnz1568/discussion.php?&amp;Z=8&amp;N=6&amp;Sheet=1&amp;Row=301&amp;Col=5","7788500")</f>
      </c>
      <c r="G302" t="s" s="1">
        <f>HYPERLINK("http://141.218.60.56/~jnz1568/discussion.php?&amp;Z=8&amp;N=6&amp;Sheet=1&amp;Row=301&amp;Col=6","")</f>
      </c>
      <c r="H302" t="s" s="1">
        <f>HYPERLINK("http://141.218.60.56/~jnz1568/discussion.php?&amp;Z=8&amp;N=6&amp;Sheet=1&amp;Row=301&amp;Col=7","")</f>
      </c>
      <c r="I302" t="s" s="1">
        <f>HYPERLINK("http://141.218.60.56/~jnz1568/discussion.php?&amp;Z=8&amp;N=6&amp;Sheet=1&amp;Row=301&amp;Col=8","")</f>
      </c>
      <c r="J302" t="s" s="1">
        <f>HYPERLINK("http://141.218.60.56/~jnz1568/discussion.php?&amp;Z=8&amp;N=6&amp;Sheet=1&amp;Row=301&amp;Col=9","7473900")</f>
      </c>
      <c r="K302" t="s" s="1">
        <f>HYPERLINK("http://141.218.60.56/~jnz1568/discussion.php?&amp;Z=8&amp;N=6&amp;Sheet=1&amp;Row=301&amp;Col=10","")</f>
      </c>
      <c r="L302" t="s" s="1">
        <f>HYPERLINK("http://141.218.60.56/~jnz1568/discussion.php?&amp;Z=8&amp;N=6&amp;Sheet=1&amp;Row=301&amp;Col=11","")</f>
      </c>
      <c r="M302" t="s" s="1">
        <f>HYPERLINK("http://141.218.60.56/~jnz1568/discussion.php?&amp;Z=8&amp;N=6&amp;Sheet=1&amp;Row=301&amp;Col=12","")</f>
      </c>
      <c r="N302" t="s" s="1">
        <f>HYPERLINK("http://141.218.60.56/~jnz1568/discussion.php?&amp;Z=8&amp;N=6&amp;Sheet=1&amp;Row=301&amp;Col=13","2660000")</f>
      </c>
      <c r="O302" t="s" s="1">
        <f>HYPERLINK("http://141.218.60.56/~jnz1568/discussion.php?&amp;Z=8&amp;N=6&amp;Sheet=1&amp;Row=301&amp;Col=14","")</f>
      </c>
      <c r="P302" t="s" s="1">
        <f>HYPERLINK("http://141.218.60.56/~jnz1568/discussion.php?&amp;Z=8&amp;N=6&amp;Sheet=1&amp;Row=301&amp;Col=15","")</f>
      </c>
      <c r="Q302" t="s" s="1">
        <f>HYPERLINK("http://141.218.60.56/~jnz1568/discussion.php?&amp;Z=8&amp;N=6&amp;Sheet=1&amp;Row=301&amp;Col=16","")</f>
      </c>
    </row>
    <row r="303">
      <c r="A303" t="s">
        <v>15</v>
      </c>
      <c r="B303" t="s">
        <v>16</v>
      </c>
      <c r="C303" t="s">
        <v>165</v>
      </c>
      <c r="D303" t="s">
        <v>17</v>
      </c>
      <c r="E303" t="s">
        <v>1396</v>
      </c>
      <c r="F303" t="s" s="1">
        <f>HYPERLINK("http://141.218.60.56/~jnz1568/discussion.php?&amp;Z=8&amp;N=6&amp;Sheet=1&amp;Row=302&amp;Col=5","11935000000")</f>
      </c>
      <c r="G303" t="s" s="1">
        <f>HYPERLINK("http://141.218.60.56/~jnz1568/discussion.php?&amp;Z=8&amp;N=6&amp;Sheet=1&amp;Row=302&amp;Col=6","")</f>
      </c>
      <c r="H303" t="s" s="1">
        <f>HYPERLINK("http://141.218.60.56/~jnz1568/discussion.php?&amp;Z=8&amp;N=6&amp;Sheet=1&amp;Row=302&amp;Col=7","")</f>
      </c>
      <c r="I303" t="s" s="1">
        <f>HYPERLINK("http://141.218.60.56/~jnz1568/discussion.php?&amp;Z=8&amp;N=6&amp;Sheet=1&amp;Row=302&amp;Col=8","")</f>
      </c>
      <c r="J303" t="s" s="1">
        <f>HYPERLINK("http://141.218.60.56/~jnz1568/discussion.php?&amp;Z=8&amp;N=6&amp;Sheet=1&amp;Row=302&amp;Col=9","12001000000")</f>
      </c>
      <c r="K303" t="s" s="1">
        <f>HYPERLINK("http://141.218.60.56/~jnz1568/discussion.php?&amp;Z=8&amp;N=6&amp;Sheet=1&amp;Row=302&amp;Col=10","")</f>
      </c>
      <c r="L303" t="s" s="1">
        <f>HYPERLINK("http://141.218.60.56/~jnz1568/discussion.php?&amp;Z=8&amp;N=6&amp;Sheet=1&amp;Row=302&amp;Col=11","")</f>
      </c>
      <c r="M303" t="s" s="1">
        <f>HYPERLINK("http://141.218.60.56/~jnz1568/discussion.php?&amp;Z=8&amp;N=6&amp;Sheet=1&amp;Row=302&amp;Col=12","")</f>
      </c>
      <c r="N303" t="s" s="1">
        <f>HYPERLINK("http://141.218.60.56/~jnz1568/discussion.php?&amp;Z=8&amp;N=6&amp;Sheet=1&amp;Row=302&amp;Col=13","13670000000")</f>
      </c>
      <c r="O303" t="s" s="1">
        <f>HYPERLINK("http://141.218.60.56/~jnz1568/discussion.php?&amp;Z=8&amp;N=6&amp;Sheet=1&amp;Row=302&amp;Col=14","")</f>
      </c>
      <c r="P303" t="s" s="1">
        <f>HYPERLINK("http://141.218.60.56/~jnz1568/discussion.php?&amp;Z=8&amp;N=6&amp;Sheet=1&amp;Row=302&amp;Col=15","")</f>
      </c>
      <c r="Q303" t="s" s="1">
        <f>HYPERLINK("http://141.218.60.56/~jnz1568/discussion.php?&amp;Z=8&amp;N=6&amp;Sheet=1&amp;Row=302&amp;Col=16","")</f>
      </c>
    </row>
    <row r="304">
      <c r="A304" t="s">
        <v>15</v>
      </c>
      <c r="B304" t="s">
        <v>16</v>
      </c>
      <c r="C304" t="s">
        <v>165</v>
      </c>
      <c r="D304" t="s">
        <v>23</v>
      </c>
      <c r="E304" t="s">
        <v>1400</v>
      </c>
      <c r="F304" t="s" s="1">
        <f>HYPERLINK("http://141.218.60.56/~jnz1568/discussion.php?&amp;Z=8&amp;N=6&amp;Sheet=1&amp;Row=303&amp;Col=5","8001800000")</f>
      </c>
      <c r="G304" t="s" s="1">
        <f>HYPERLINK("http://141.218.60.56/~jnz1568/discussion.php?&amp;Z=8&amp;N=6&amp;Sheet=1&amp;Row=303&amp;Col=6","")</f>
      </c>
      <c r="H304" t="s" s="1">
        <f>HYPERLINK("http://141.218.60.56/~jnz1568/discussion.php?&amp;Z=8&amp;N=6&amp;Sheet=1&amp;Row=303&amp;Col=7","")</f>
      </c>
      <c r="I304" t="s" s="1">
        <f>HYPERLINK("http://141.218.60.56/~jnz1568/discussion.php?&amp;Z=8&amp;N=6&amp;Sheet=1&amp;Row=303&amp;Col=8","")</f>
      </c>
      <c r="J304" t="s" s="1">
        <f>HYPERLINK("http://141.218.60.56/~jnz1568/discussion.php?&amp;Z=8&amp;N=6&amp;Sheet=1&amp;Row=303&amp;Col=9","8053700000")</f>
      </c>
      <c r="K304" t="s" s="1">
        <f>HYPERLINK("http://141.218.60.56/~jnz1568/discussion.php?&amp;Z=8&amp;N=6&amp;Sheet=1&amp;Row=303&amp;Col=10","")</f>
      </c>
      <c r="L304" t="s" s="1">
        <f>HYPERLINK("http://141.218.60.56/~jnz1568/discussion.php?&amp;Z=8&amp;N=6&amp;Sheet=1&amp;Row=303&amp;Col=11","")</f>
      </c>
      <c r="M304" t="s" s="1">
        <f>HYPERLINK("http://141.218.60.56/~jnz1568/discussion.php?&amp;Z=8&amp;N=6&amp;Sheet=1&amp;Row=303&amp;Col=12","")</f>
      </c>
      <c r="N304" t="s" s="1">
        <f>HYPERLINK("http://141.218.60.56/~jnz1568/discussion.php?&amp;Z=8&amp;N=6&amp;Sheet=1&amp;Row=303&amp;Col=13","9309000000")</f>
      </c>
      <c r="O304" t="s" s="1">
        <f>HYPERLINK("http://141.218.60.56/~jnz1568/discussion.php?&amp;Z=8&amp;N=6&amp;Sheet=1&amp;Row=303&amp;Col=14","")</f>
      </c>
      <c r="P304" t="s" s="1">
        <f>HYPERLINK("http://141.218.60.56/~jnz1568/discussion.php?&amp;Z=8&amp;N=6&amp;Sheet=1&amp;Row=303&amp;Col=15","")</f>
      </c>
      <c r="Q304" t="s" s="1">
        <f>HYPERLINK("http://141.218.60.56/~jnz1568/discussion.php?&amp;Z=8&amp;N=6&amp;Sheet=1&amp;Row=303&amp;Col=16","")</f>
      </c>
    </row>
    <row r="305">
      <c r="A305" t="s">
        <v>15</v>
      </c>
      <c r="B305" t="s">
        <v>16</v>
      </c>
      <c r="C305" t="s">
        <v>165</v>
      </c>
      <c r="D305" t="s">
        <v>20</v>
      </c>
      <c r="E305" t="s">
        <v>1404</v>
      </c>
      <c r="F305" t="s" s="1">
        <f>HYPERLINK("http://141.218.60.56/~jnz1568/discussion.php?&amp;Z=8&amp;N=6&amp;Sheet=1&amp;Row=304&amp;Col=5","417840000")</f>
      </c>
      <c r="G305" t="s" s="1">
        <f>HYPERLINK("http://141.218.60.56/~jnz1568/discussion.php?&amp;Z=8&amp;N=6&amp;Sheet=1&amp;Row=304&amp;Col=6","")</f>
      </c>
      <c r="H305" t="s" s="1">
        <f>HYPERLINK("http://141.218.60.56/~jnz1568/discussion.php?&amp;Z=8&amp;N=6&amp;Sheet=1&amp;Row=304&amp;Col=7","")</f>
      </c>
      <c r="I305" t="s" s="1">
        <f>HYPERLINK("http://141.218.60.56/~jnz1568/discussion.php?&amp;Z=8&amp;N=6&amp;Sheet=1&amp;Row=304&amp;Col=8","")</f>
      </c>
      <c r="J305" t="s" s="1">
        <f>HYPERLINK("http://141.218.60.56/~jnz1568/discussion.php?&amp;Z=8&amp;N=6&amp;Sheet=1&amp;Row=304&amp;Col=9","421550000")</f>
      </c>
      <c r="K305" t="s" s="1">
        <f>HYPERLINK("http://141.218.60.56/~jnz1568/discussion.php?&amp;Z=8&amp;N=6&amp;Sheet=1&amp;Row=304&amp;Col=10","")</f>
      </c>
      <c r="L305" t="s" s="1">
        <f>HYPERLINK("http://141.218.60.56/~jnz1568/discussion.php?&amp;Z=8&amp;N=6&amp;Sheet=1&amp;Row=304&amp;Col=11","")</f>
      </c>
      <c r="M305" t="s" s="1">
        <f>HYPERLINK("http://141.218.60.56/~jnz1568/discussion.php?&amp;Z=8&amp;N=6&amp;Sheet=1&amp;Row=304&amp;Col=12","")</f>
      </c>
      <c r="N305" t="s" s="1">
        <f>HYPERLINK("http://141.218.60.56/~jnz1568/discussion.php?&amp;Z=8&amp;N=6&amp;Sheet=1&amp;Row=304&amp;Col=13","503900000")</f>
      </c>
      <c r="O305" t="s" s="1">
        <f>HYPERLINK("http://141.218.60.56/~jnz1568/discussion.php?&amp;Z=8&amp;N=6&amp;Sheet=1&amp;Row=304&amp;Col=14","")</f>
      </c>
      <c r="P305" t="s" s="1">
        <f>HYPERLINK("http://141.218.60.56/~jnz1568/discussion.php?&amp;Z=8&amp;N=6&amp;Sheet=1&amp;Row=304&amp;Col=15","")</f>
      </c>
      <c r="Q305" t="s" s="1">
        <f>HYPERLINK("http://141.218.60.56/~jnz1568/discussion.php?&amp;Z=8&amp;N=6&amp;Sheet=1&amp;Row=304&amp;Col=16","")</f>
      </c>
    </row>
    <row r="306">
      <c r="A306" t="s">
        <v>15</v>
      </c>
      <c r="B306" t="s">
        <v>16</v>
      </c>
      <c r="C306" t="s">
        <v>165</v>
      </c>
      <c r="D306" t="s">
        <v>28</v>
      </c>
      <c r="E306" t="s">
        <v>1408</v>
      </c>
      <c r="F306" t="s" s="1">
        <f>HYPERLINK("http://141.218.60.56/~jnz1568/discussion.php?&amp;Z=8&amp;N=6&amp;Sheet=1&amp;Row=305&amp;Col=5","476840")</f>
      </c>
      <c r="G306" t="s" s="1">
        <f>HYPERLINK("http://141.218.60.56/~jnz1568/discussion.php?&amp;Z=8&amp;N=6&amp;Sheet=1&amp;Row=305&amp;Col=6","")</f>
      </c>
      <c r="H306" t="s" s="1">
        <f>HYPERLINK("http://141.218.60.56/~jnz1568/discussion.php?&amp;Z=8&amp;N=6&amp;Sheet=1&amp;Row=305&amp;Col=7","")</f>
      </c>
      <c r="I306" t="s" s="1">
        <f>HYPERLINK("http://141.218.60.56/~jnz1568/discussion.php?&amp;Z=8&amp;N=6&amp;Sheet=1&amp;Row=305&amp;Col=8","")</f>
      </c>
      <c r="J306" t="s" s="1">
        <f>HYPERLINK("http://141.218.60.56/~jnz1568/discussion.php?&amp;Z=8&amp;N=6&amp;Sheet=1&amp;Row=305&amp;Col=9","442590")</f>
      </c>
      <c r="K306" t="s" s="1">
        <f>HYPERLINK("http://141.218.60.56/~jnz1568/discussion.php?&amp;Z=8&amp;N=6&amp;Sheet=1&amp;Row=305&amp;Col=10","")</f>
      </c>
      <c r="L306" t="s" s="1">
        <f>HYPERLINK("http://141.218.60.56/~jnz1568/discussion.php?&amp;Z=8&amp;N=6&amp;Sheet=1&amp;Row=305&amp;Col=11","")</f>
      </c>
      <c r="M306" t="s" s="1">
        <f>HYPERLINK("http://141.218.60.56/~jnz1568/discussion.php?&amp;Z=8&amp;N=6&amp;Sheet=1&amp;Row=305&amp;Col=12","")</f>
      </c>
      <c r="N306" t="s" s="1">
        <f>HYPERLINK("http://141.218.60.56/~jnz1568/discussion.php?&amp;Z=8&amp;N=6&amp;Sheet=1&amp;Row=305&amp;Col=13","425900")</f>
      </c>
      <c r="O306" t="s" s="1">
        <f>HYPERLINK("http://141.218.60.56/~jnz1568/discussion.php?&amp;Z=8&amp;N=6&amp;Sheet=1&amp;Row=305&amp;Col=14","")</f>
      </c>
      <c r="P306" t="s" s="1">
        <f>HYPERLINK("http://141.218.60.56/~jnz1568/discussion.php?&amp;Z=8&amp;N=6&amp;Sheet=1&amp;Row=305&amp;Col=15","")</f>
      </c>
      <c r="Q306" t="s" s="1">
        <f>HYPERLINK("http://141.218.60.56/~jnz1568/discussion.php?&amp;Z=8&amp;N=6&amp;Sheet=1&amp;Row=305&amp;Col=16","")</f>
      </c>
    </row>
    <row r="307">
      <c r="A307" t="s">
        <v>15</v>
      </c>
      <c r="B307" t="s">
        <v>16</v>
      </c>
      <c r="C307" t="s">
        <v>165</v>
      </c>
      <c r="D307" t="s">
        <v>33</v>
      </c>
      <c r="E307" t="s">
        <v>1412</v>
      </c>
      <c r="F307" t="s" s="1">
        <f>HYPERLINK("http://141.218.60.56/~jnz1568/discussion.php?&amp;Z=8&amp;N=6&amp;Sheet=1&amp;Row=306&amp;Col=5","5984400")</f>
      </c>
      <c r="G307" t="s" s="1">
        <f>HYPERLINK("http://141.218.60.56/~jnz1568/discussion.php?&amp;Z=8&amp;N=6&amp;Sheet=1&amp;Row=306&amp;Col=6","")</f>
      </c>
      <c r="H307" t="s" s="1">
        <f>HYPERLINK("http://141.218.60.56/~jnz1568/discussion.php?&amp;Z=8&amp;N=6&amp;Sheet=1&amp;Row=306&amp;Col=7","")</f>
      </c>
      <c r="I307" t="s" s="1">
        <f>HYPERLINK("http://141.218.60.56/~jnz1568/discussion.php?&amp;Z=8&amp;N=6&amp;Sheet=1&amp;Row=306&amp;Col=8","")</f>
      </c>
      <c r="J307" t="s" s="1">
        <f>HYPERLINK("http://141.218.60.56/~jnz1568/discussion.php?&amp;Z=8&amp;N=6&amp;Sheet=1&amp;Row=306&amp;Col=9","5905200")</f>
      </c>
      <c r="K307" t="s" s="1">
        <f>HYPERLINK("http://141.218.60.56/~jnz1568/discussion.php?&amp;Z=8&amp;N=6&amp;Sheet=1&amp;Row=306&amp;Col=10","")</f>
      </c>
      <c r="L307" t="s" s="1">
        <f>HYPERLINK("http://141.218.60.56/~jnz1568/discussion.php?&amp;Z=8&amp;N=6&amp;Sheet=1&amp;Row=306&amp;Col=11","")</f>
      </c>
      <c r="M307" t="s" s="1">
        <f>HYPERLINK("http://141.218.60.56/~jnz1568/discussion.php?&amp;Z=8&amp;N=6&amp;Sheet=1&amp;Row=306&amp;Col=12","")</f>
      </c>
      <c r="N307" t="s" s="1">
        <f>HYPERLINK("http://141.218.60.56/~jnz1568/discussion.php?&amp;Z=8&amp;N=6&amp;Sheet=1&amp;Row=306&amp;Col=13","2107000")</f>
      </c>
      <c r="O307" t="s" s="1">
        <f>HYPERLINK("http://141.218.60.56/~jnz1568/discussion.php?&amp;Z=8&amp;N=6&amp;Sheet=1&amp;Row=306&amp;Col=14","")</f>
      </c>
      <c r="P307" t="s" s="1">
        <f>HYPERLINK("http://141.218.60.56/~jnz1568/discussion.php?&amp;Z=8&amp;N=6&amp;Sheet=1&amp;Row=306&amp;Col=15","")</f>
      </c>
      <c r="Q307" t="s" s="1">
        <f>HYPERLINK("http://141.218.60.56/~jnz1568/discussion.php?&amp;Z=8&amp;N=6&amp;Sheet=1&amp;Row=306&amp;Col=16","")</f>
      </c>
    </row>
    <row r="308">
      <c r="A308" t="s">
        <v>15</v>
      </c>
      <c r="B308" t="s">
        <v>16</v>
      </c>
      <c r="C308" t="s">
        <v>165</v>
      </c>
      <c r="D308" t="s">
        <v>94</v>
      </c>
      <c r="E308" t="s">
        <v>1415</v>
      </c>
      <c r="F308" t="s" s="1">
        <f>HYPERLINK("http://141.218.60.56/~jnz1568/discussion.php?&amp;Z=8&amp;N=6&amp;Sheet=1&amp;Row=307&amp;Col=5","19453")</f>
      </c>
      <c r="G308" t="s" s="1">
        <f>HYPERLINK("http://141.218.60.56/~jnz1568/discussion.php?&amp;Z=8&amp;N=6&amp;Sheet=1&amp;Row=307&amp;Col=6","")</f>
      </c>
      <c r="H308" t="s" s="1">
        <f>HYPERLINK("http://141.218.60.56/~jnz1568/discussion.php?&amp;Z=8&amp;N=6&amp;Sheet=1&amp;Row=307&amp;Col=7","")</f>
      </c>
      <c r="I308" t="s" s="1">
        <f>HYPERLINK("http://141.218.60.56/~jnz1568/discussion.php?&amp;Z=8&amp;N=6&amp;Sheet=1&amp;Row=307&amp;Col=8","")</f>
      </c>
      <c r="J308" t="s" s="1">
        <f>HYPERLINK("http://141.218.60.56/~jnz1568/discussion.php?&amp;Z=8&amp;N=6&amp;Sheet=1&amp;Row=307&amp;Col=9","22875")</f>
      </c>
      <c r="K308" t="s" s="1">
        <f>HYPERLINK("http://141.218.60.56/~jnz1568/discussion.php?&amp;Z=8&amp;N=6&amp;Sheet=1&amp;Row=307&amp;Col=10","")</f>
      </c>
      <c r="L308" t="s" s="1">
        <f>HYPERLINK("http://141.218.60.56/~jnz1568/discussion.php?&amp;Z=8&amp;N=6&amp;Sheet=1&amp;Row=307&amp;Col=11","")</f>
      </c>
      <c r="M308" t="s" s="1">
        <f>HYPERLINK("http://141.218.60.56/~jnz1568/discussion.php?&amp;Z=8&amp;N=6&amp;Sheet=1&amp;Row=307&amp;Col=12","")</f>
      </c>
      <c r="N308" t="s" s="1">
        <f>HYPERLINK("http://141.218.60.56/~jnz1568/discussion.php?&amp;Z=8&amp;N=6&amp;Sheet=1&amp;Row=307&amp;Col=13","35930")</f>
      </c>
      <c r="O308" t="s" s="1">
        <f>HYPERLINK("http://141.218.60.56/~jnz1568/discussion.php?&amp;Z=8&amp;N=6&amp;Sheet=1&amp;Row=307&amp;Col=14","")</f>
      </c>
      <c r="P308" t="s" s="1">
        <f>HYPERLINK("http://141.218.60.56/~jnz1568/discussion.php?&amp;Z=8&amp;N=6&amp;Sheet=1&amp;Row=307&amp;Col=15","")</f>
      </c>
      <c r="Q308" t="s" s="1">
        <f>HYPERLINK("http://141.218.60.56/~jnz1568/discussion.php?&amp;Z=8&amp;N=6&amp;Sheet=1&amp;Row=307&amp;Col=16","")</f>
      </c>
    </row>
    <row r="309">
      <c r="A309" t="s">
        <v>15</v>
      </c>
      <c r="B309" t="s">
        <v>16</v>
      </c>
      <c r="C309" t="s">
        <v>165</v>
      </c>
      <c r="D309" t="s">
        <v>99</v>
      </c>
      <c r="E309" t="s">
        <v>1419</v>
      </c>
      <c r="F309" t="s" s="1">
        <f>HYPERLINK("http://141.218.60.56/~jnz1568/discussion.php?&amp;Z=8&amp;N=6&amp;Sheet=1&amp;Row=308&amp;Col=5","390260")</f>
      </c>
      <c r="G309" t="s" s="1">
        <f>HYPERLINK("http://141.218.60.56/~jnz1568/discussion.php?&amp;Z=8&amp;N=6&amp;Sheet=1&amp;Row=308&amp;Col=6","")</f>
      </c>
      <c r="H309" t="s" s="1">
        <f>HYPERLINK("http://141.218.60.56/~jnz1568/discussion.php?&amp;Z=8&amp;N=6&amp;Sheet=1&amp;Row=308&amp;Col=7","")</f>
      </c>
      <c r="I309" t="s" s="1">
        <f>HYPERLINK("http://141.218.60.56/~jnz1568/discussion.php?&amp;Z=8&amp;N=6&amp;Sheet=1&amp;Row=308&amp;Col=8","")</f>
      </c>
      <c r="J309" t="s" s="1">
        <f>HYPERLINK("http://141.218.60.56/~jnz1568/discussion.php?&amp;Z=8&amp;N=6&amp;Sheet=1&amp;Row=308&amp;Col=9","463810")</f>
      </c>
      <c r="K309" t="s" s="1">
        <f>HYPERLINK("http://141.218.60.56/~jnz1568/discussion.php?&amp;Z=8&amp;N=6&amp;Sheet=1&amp;Row=308&amp;Col=10","")</f>
      </c>
      <c r="L309" t="s" s="1">
        <f>HYPERLINK("http://141.218.60.56/~jnz1568/discussion.php?&amp;Z=8&amp;N=6&amp;Sheet=1&amp;Row=308&amp;Col=11","")</f>
      </c>
      <c r="M309" t="s" s="1">
        <f>HYPERLINK("http://141.218.60.56/~jnz1568/discussion.php?&amp;Z=8&amp;N=6&amp;Sheet=1&amp;Row=308&amp;Col=12","")</f>
      </c>
      <c r="N309" t="s" s="1">
        <f>HYPERLINK("http://141.218.60.56/~jnz1568/discussion.php?&amp;Z=8&amp;N=6&amp;Sheet=1&amp;Row=308&amp;Col=13","715500")</f>
      </c>
      <c r="O309" t="s" s="1">
        <f>HYPERLINK("http://141.218.60.56/~jnz1568/discussion.php?&amp;Z=8&amp;N=6&amp;Sheet=1&amp;Row=308&amp;Col=14","")</f>
      </c>
      <c r="P309" t="s" s="1">
        <f>HYPERLINK("http://141.218.60.56/~jnz1568/discussion.php?&amp;Z=8&amp;N=6&amp;Sheet=1&amp;Row=308&amp;Col=15","")</f>
      </c>
      <c r="Q309" t="s" s="1">
        <f>HYPERLINK("http://141.218.60.56/~jnz1568/discussion.php?&amp;Z=8&amp;N=6&amp;Sheet=1&amp;Row=308&amp;Col=16","")</f>
      </c>
    </row>
    <row r="310">
      <c r="A310" t="s">
        <v>15</v>
      </c>
      <c r="B310" t="s">
        <v>16</v>
      </c>
      <c r="C310" t="s">
        <v>165</v>
      </c>
      <c r="D310" t="s">
        <v>102</v>
      </c>
      <c r="E310" t="s">
        <v>1423</v>
      </c>
      <c r="F310" t="s" s="1">
        <f>HYPERLINK("http://141.218.60.56/~jnz1568/discussion.php?&amp;Z=8&amp;N=6&amp;Sheet=1&amp;Row=309&amp;Col=5","593620")</f>
      </c>
      <c r="G310" t="s" s="1">
        <f>HYPERLINK("http://141.218.60.56/~jnz1568/discussion.php?&amp;Z=8&amp;N=6&amp;Sheet=1&amp;Row=309&amp;Col=6","")</f>
      </c>
      <c r="H310" t="s" s="1">
        <f>HYPERLINK("http://141.218.60.56/~jnz1568/discussion.php?&amp;Z=8&amp;N=6&amp;Sheet=1&amp;Row=309&amp;Col=7","")</f>
      </c>
      <c r="I310" t="s" s="1">
        <f>HYPERLINK("http://141.218.60.56/~jnz1568/discussion.php?&amp;Z=8&amp;N=6&amp;Sheet=1&amp;Row=309&amp;Col=8","")</f>
      </c>
      <c r="J310" t="s" s="1">
        <f>HYPERLINK("http://141.218.60.56/~jnz1568/discussion.php?&amp;Z=8&amp;N=6&amp;Sheet=1&amp;Row=309&amp;Col=9","708510")</f>
      </c>
      <c r="K310" t="s" s="1">
        <f>HYPERLINK("http://141.218.60.56/~jnz1568/discussion.php?&amp;Z=8&amp;N=6&amp;Sheet=1&amp;Row=309&amp;Col=10","")</f>
      </c>
      <c r="L310" t="s" s="1">
        <f>HYPERLINK("http://141.218.60.56/~jnz1568/discussion.php?&amp;Z=8&amp;N=6&amp;Sheet=1&amp;Row=309&amp;Col=11","")</f>
      </c>
      <c r="M310" t="s" s="1">
        <f>HYPERLINK("http://141.218.60.56/~jnz1568/discussion.php?&amp;Z=8&amp;N=6&amp;Sheet=1&amp;Row=309&amp;Col=12","")</f>
      </c>
      <c r="N310" t="s" s="1">
        <f>HYPERLINK("http://141.218.60.56/~jnz1568/discussion.php?&amp;Z=8&amp;N=6&amp;Sheet=1&amp;Row=309&amp;Col=13","1083000")</f>
      </c>
      <c r="O310" t="s" s="1">
        <f>HYPERLINK("http://141.218.60.56/~jnz1568/discussion.php?&amp;Z=8&amp;N=6&amp;Sheet=1&amp;Row=309&amp;Col=14","")</f>
      </c>
      <c r="P310" t="s" s="1">
        <f>HYPERLINK("http://141.218.60.56/~jnz1568/discussion.php?&amp;Z=8&amp;N=6&amp;Sheet=1&amp;Row=309&amp;Col=15","")</f>
      </c>
      <c r="Q310" t="s" s="1">
        <f>HYPERLINK("http://141.218.60.56/~jnz1568/discussion.php?&amp;Z=8&amp;N=6&amp;Sheet=1&amp;Row=309&amp;Col=16","")</f>
      </c>
    </row>
    <row r="311">
      <c r="A311" t="s">
        <v>15</v>
      </c>
      <c r="B311" t="s">
        <v>16</v>
      </c>
      <c r="C311" t="s">
        <v>165</v>
      </c>
      <c r="D311" t="s">
        <v>105</v>
      </c>
      <c r="E311" t="s">
        <v>1427</v>
      </c>
      <c r="F311" t="s" s="1">
        <f>HYPERLINK("http://141.218.60.56/~jnz1568/discussion.php?&amp;Z=8&amp;N=6&amp;Sheet=1&amp;Row=310&amp;Col=5","601170")</f>
      </c>
      <c r="G311" t="s" s="1">
        <f>HYPERLINK("http://141.218.60.56/~jnz1568/discussion.php?&amp;Z=8&amp;N=6&amp;Sheet=1&amp;Row=310&amp;Col=6","")</f>
      </c>
      <c r="H311" t="s" s="1">
        <f>HYPERLINK("http://141.218.60.56/~jnz1568/discussion.php?&amp;Z=8&amp;N=6&amp;Sheet=1&amp;Row=310&amp;Col=7","")</f>
      </c>
      <c r="I311" t="s" s="1">
        <f>HYPERLINK("http://141.218.60.56/~jnz1568/discussion.php?&amp;Z=8&amp;N=6&amp;Sheet=1&amp;Row=310&amp;Col=8","")</f>
      </c>
      <c r="J311" t="s" s="1">
        <f>HYPERLINK("http://141.218.60.56/~jnz1568/discussion.php?&amp;Z=8&amp;N=6&amp;Sheet=1&amp;Row=310&amp;Col=9","593210")</f>
      </c>
      <c r="K311" t="s" s="1">
        <f>HYPERLINK("http://141.218.60.56/~jnz1568/discussion.php?&amp;Z=8&amp;N=6&amp;Sheet=1&amp;Row=310&amp;Col=10","")</f>
      </c>
      <c r="L311" t="s" s="1">
        <f>HYPERLINK("http://141.218.60.56/~jnz1568/discussion.php?&amp;Z=8&amp;N=6&amp;Sheet=1&amp;Row=310&amp;Col=11","")</f>
      </c>
      <c r="M311" t="s" s="1">
        <f>HYPERLINK("http://141.218.60.56/~jnz1568/discussion.php?&amp;Z=8&amp;N=6&amp;Sheet=1&amp;Row=310&amp;Col=12","")</f>
      </c>
      <c r="N311" t="s" s="1">
        <f>HYPERLINK("http://141.218.60.56/~jnz1568/discussion.php?&amp;Z=8&amp;N=6&amp;Sheet=1&amp;Row=310&amp;Col=13","200300")</f>
      </c>
      <c r="O311" t="s" s="1">
        <f>HYPERLINK("http://141.218.60.56/~jnz1568/discussion.php?&amp;Z=8&amp;N=6&amp;Sheet=1&amp;Row=310&amp;Col=14","")</f>
      </c>
      <c r="P311" t="s" s="1">
        <f>HYPERLINK("http://141.218.60.56/~jnz1568/discussion.php?&amp;Z=8&amp;N=6&amp;Sheet=1&amp;Row=310&amp;Col=15","")</f>
      </c>
      <c r="Q311" t="s" s="1">
        <f>HYPERLINK("http://141.218.60.56/~jnz1568/discussion.php?&amp;Z=8&amp;N=6&amp;Sheet=1&amp;Row=310&amp;Col=16","")</f>
      </c>
    </row>
    <row r="312">
      <c r="A312" t="s">
        <v>15</v>
      </c>
      <c r="B312" t="s">
        <v>16</v>
      </c>
      <c r="C312" t="s">
        <v>165</v>
      </c>
      <c r="D312" t="s">
        <v>111</v>
      </c>
      <c r="E312" t="s">
        <v>1431</v>
      </c>
      <c r="F312" t="s" s="1">
        <f>HYPERLINK("http://141.218.60.56/~jnz1568/discussion.php?&amp;Z=8&amp;N=6&amp;Sheet=1&amp;Row=311&amp;Col=5","47960000")</f>
      </c>
      <c r="G312" t="s" s="1">
        <f>HYPERLINK("http://141.218.60.56/~jnz1568/discussion.php?&amp;Z=8&amp;N=6&amp;Sheet=1&amp;Row=311&amp;Col=6","")</f>
      </c>
      <c r="H312" t="s" s="1">
        <f>HYPERLINK("http://141.218.60.56/~jnz1568/discussion.php?&amp;Z=8&amp;N=6&amp;Sheet=1&amp;Row=311&amp;Col=7","")</f>
      </c>
      <c r="I312" t="s" s="1">
        <f>HYPERLINK("http://141.218.60.56/~jnz1568/discussion.php?&amp;Z=8&amp;N=6&amp;Sheet=1&amp;Row=311&amp;Col=8","")</f>
      </c>
      <c r="J312" t="s" s="1">
        <f>HYPERLINK("http://141.218.60.56/~jnz1568/discussion.php?&amp;Z=8&amp;N=6&amp;Sheet=1&amp;Row=311&amp;Col=9","47480000")</f>
      </c>
      <c r="K312" t="s" s="1">
        <f>HYPERLINK("http://141.218.60.56/~jnz1568/discussion.php?&amp;Z=8&amp;N=6&amp;Sheet=1&amp;Row=311&amp;Col=10","")</f>
      </c>
      <c r="L312" t="s" s="1">
        <f>HYPERLINK("http://141.218.60.56/~jnz1568/discussion.php?&amp;Z=8&amp;N=6&amp;Sheet=1&amp;Row=311&amp;Col=11","")</f>
      </c>
      <c r="M312" t="s" s="1">
        <f>HYPERLINK("http://141.218.60.56/~jnz1568/discussion.php?&amp;Z=8&amp;N=6&amp;Sheet=1&amp;Row=311&amp;Col=12","")</f>
      </c>
      <c r="N312" t="s" s="1">
        <f>HYPERLINK("http://141.218.60.56/~jnz1568/discussion.php?&amp;Z=8&amp;N=6&amp;Sheet=1&amp;Row=311&amp;Col=13","36440000")</f>
      </c>
      <c r="O312" t="s" s="1">
        <f>HYPERLINK("http://141.218.60.56/~jnz1568/discussion.php?&amp;Z=8&amp;N=6&amp;Sheet=1&amp;Row=311&amp;Col=14","")</f>
      </c>
      <c r="P312" t="s" s="1">
        <f>HYPERLINK("http://141.218.60.56/~jnz1568/discussion.php?&amp;Z=8&amp;N=6&amp;Sheet=1&amp;Row=311&amp;Col=15","")</f>
      </c>
      <c r="Q312" t="s" s="1">
        <f>HYPERLINK("http://141.218.60.56/~jnz1568/discussion.php?&amp;Z=8&amp;N=6&amp;Sheet=1&amp;Row=311&amp;Col=16","")</f>
      </c>
    </row>
    <row r="313">
      <c r="A313" t="s">
        <v>15</v>
      </c>
      <c r="B313" t="s">
        <v>16</v>
      </c>
      <c r="C313" t="s">
        <v>165</v>
      </c>
      <c r="D313" t="s">
        <v>116</v>
      </c>
      <c r="E313" t="s">
        <v>1435</v>
      </c>
      <c r="F313" t="s" s="1">
        <f>HYPERLINK("http://141.218.60.56/~jnz1568/discussion.php?&amp;Z=8&amp;N=6&amp;Sheet=1&amp;Row=312&amp;Col=5","14474000")</f>
      </c>
      <c r="G313" t="s" s="1">
        <f>HYPERLINK("http://141.218.60.56/~jnz1568/discussion.php?&amp;Z=8&amp;N=6&amp;Sheet=1&amp;Row=312&amp;Col=6","")</f>
      </c>
      <c r="H313" t="s" s="1">
        <f>HYPERLINK("http://141.218.60.56/~jnz1568/discussion.php?&amp;Z=8&amp;N=6&amp;Sheet=1&amp;Row=312&amp;Col=7","")</f>
      </c>
      <c r="I313" t="s" s="1">
        <f>HYPERLINK("http://141.218.60.56/~jnz1568/discussion.php?&amp;Z=8&amp;N=6&amp;Sheet=1&amp;Row=312&amp;Col=8","")</f>
      </c>
      <c r="J313" t="s" s="1">
        <f>HYPERLINK("http://141.218.60.56/~jnz1568/discussion.php?&amp;Z=8&amp;N=6&amp;Sheet=1&amp;Row=312&amp;Col=9","14337000")</f>
      </c>
      <c r="K313" t="s" s="1">
        <f>HYPERLINK("http://141.218.60.56/~jnz1568/discussion.php?&amp;Z=8&amp;N=6&amp;Sheet=1&amp;Row=312&amp;Col=10","")</f>
      </c>
      <c r="L313" t="s" s="1">
        <f>HYPERLINK("http://141.218.60.56/~jnz1568/discussion.php?&amp;Z=8&amp;N=6&amp;Sheet=1&amp;Row=312&amp;Col=11","")</f>
      </c>
      <c r="M313" t="s" s="1">
        <f>HYPERLINK("http://141.218.60.56/~jnz1568/discussion.php?&amp;Z=8&amp;N=6&amp;Sheet=1&amp;Row=312&amp;Col=12","")</f>
      </c>
      <c r="N313" t="s" s="1">
        <f>HYPERLINK("http://141.218.60.56/~jnz1568/discussion.php?&amp;Z=8&amp;N=6&amp;Sheet=1&amp;Row=312&amp;Col=13","11020000")</f>
      </c>
      <c r="O313" t="s" s="1">
        <f>HYPERLINK("http://141.218.60.56/~jnz1568/discussion.php?&amp;Z=8&amp;N=6&amp;Sheet=1&amp;Row=312&amp;Col=14","")</f>
      </c>
      <c r="P313" t="s" s="1">
        <f>HYPERLINK("http://141.218.60.56/~jnz1568/discussion.php?&amp;Z=8&amp;N=6&amp;Sheet=1&amp;Row=312&amp;Col=15","")</f>
      </c>
      <c r="Q313" t="s" s="1">
        <f>HYPERLINK("http://141.218.60.56/~jnz1568/discussion.php?&amp;Z=8&amp;N=6&amp;Sheet=1&amp;Row=312&amp;Col=16","")</f>
      </c>
    </row>
    <row r="314">
      <c r="A314" t="s">
        <v>15</v>
      </c>
      <c r="B314" t="s">
        <v>16</v>
      </c>
      <c r="C314" t="s">
        <v>165</v>
      </c>
      <c r="D314" t="s">
        <v>122</v>
      </c>
      <c r="E314" t="s">
        <v>1439</v>
      </c>
      <c r="F314" t="s" s="1">
        <f>HYPERLINK("http://141.218.60.56/~jnz1568/discussion.php?&amp;Z=8&amp;N=6&amp;Sheet=1&amp;Row=313&amp;Col=5","706800")</f>
      </c>
      <c r="G314" t="s" s="1">
        <f>HYPERLINK("http://141.218.60.56/~jnz1568/discussion.php?&amp;Z=8&amp;N=6&amp;Sheet=1&amp;Row=313&amp;Col=6","")</f>
      </c>
      <c r="H314" t="s" s="1">
        <f>HYPERLINK("http://141.218.60.56/~jnz1568/discussion.php?&amp;Z=8&amp;N=6&amp;Sheet=1&amp;Row=313&amp;Col=7","")</f>
      </c>
      <c r="I314" t="s" s="1">
        <f>HYPERLINK("http://141.218.60.56/~jnz1568/discussion.php?&amp;Z=8&amp;N=6&amp;Sheet=1&amp;Row=313&amp;Col=8","")</f>
      </c>
      <c r="J314" t="s" s="1">
        <f>HYPERLINK("http://141.218.60.56/~jnz1568/discussion.php?&amp;Z=8&amp;N=6&amp;Sheet=1&amp;Row=313&amp;Col=9","698510")</f>
      </c>
      <c r="K314" t="s" s="1">
        <f>HYPERLINK("http://141.218.60.56/~jnz1568/discussion.php?&amp;Z=8&amp;N=6&amp;Sheet=1&amp;Row=313&amp;Col=10","")</f>
      </c>
      <c r="L314" t="s" s="1">
        <f>HYPERLINK("http://141.218.60.56/~jnz1568/discussion.php?&amp;Z=8&amp;N=6&amp;Sheet=1&amp;Row=313&amp;Col=11","")</f>
      </c>
      <c r="M314" t="s" s="1">
        <f>HYPERLINK("http://141.218.60.56/~jnz1568/discussion.php?&amp;Z=8&amp;N=6&amp;Sheet=1&amp;Row=313&amp;Col=12","")</f>
      </c>
      <c r="N314" t="s" s="1">
        <f>HYPERLINK("http://141.218.60.56/~jnz1568/discussion.php?&amp;Z=8&amp;N=6&amp;Sheet=1&amp;Row=313&amp;Col=13","292600")</f>
      </c>
      <c r="O314" t="s" s="1">
        <f>HYPERLINK("http://141.218.60.56/~jnz1568/discussion.php?&amp;Z=8&amp;N=6&amp;Sheet=1&amp;Row=313&amp;Col=14","")</f>
      </c>
      <c r="P314" t="s" s="1">
        <f>HYPERLINK("http://141.218.60.56/~jnz1568/discussion.php?&amp;Z=8&amp;N=6&amp;Sheet=1&amp;Row=313&amp;Col=15","")</f>
      </c>
      <c r="Q314" t="s" s="1">
        <f>HYPERLINK("http://141.218.60.56/~jnz1568/discussion.php?&amp;Z=8&amp;N=6&amp;Sheet=1&amp;Row=313&amp;Col=16","")</f>
      </c>
    </row>
    <row r="315">
      <c r="A315" t="s">
        <v>15</v>
      </c>
      <c r="B315" t="s">
        <v>16</v>
      </c>
      <c r="C315" t="s">
        <v>165</v>
      </c>
      <c r="D315" t="s">
        <v>127</v>
      </c>
      <c r="E315" t="s">
        <v>1443</v>
      </c>
      <c r="F315" t="s" s="1">
        <f>HYPERLINK("http://141.218.60.56/~jnz1568/discussion.php?&amp;Z=8&amp;N=6&amp;Sheet=1&amp;Row=314&amp;Col=5","33.156")</f>
      </c>
      <c r="G315" t="s" s="1">
        <f>HYPERLINK("http://141.218.60.56/~jnz1568/discussion.php?&amp;Z=8&amp;N=6&amp;Sheet=1&amp;Row=314&amp;Col=6","")</f>
      </c>
      <c r="H315" t="s" s="1">
        <f>HYPERLINK("http://141.218.60.56/~jnz1568/discussion.php?&amp;Z=8&amp;N=6&amp;Sheet=1&amp;Row=314&amp;Col=7","")</f>
      </c>
      <c r="I315" t="s" s="1">
        <f>HYPERLINK("http://141.218.60.56/~jnz1568/discussion.php?&amp;Z=8&amp;N=6&amp;Sheet=1&amp;Row=314&amp;Col=8","")</f>
      </c>
      <c r="J315" t="s" s="1">
        <f>HYPERLINK("http://141.218.60.56/~jnz1568/discussion.php?&amp;Z=8&amp;N=6&amp;Sheet=1&amp;Row=314&amp;Col=9","126.03")</f>
      </c>
      <c r="K315" t="s" s="1">
        <f>HYPERLINK("http://141.218.60.56/~jnz1568/discussion.php?&amp;Z=8&amp;N=6&amp;Sheet=1&amp;Row=314&amp;Col=10","")</f>
      </c>
      <c r="L315" t="s" s="1">
        <f>HYPERLINK("http://141.218.60.56/~jnz1568/discussion.php?&amp;Z=8&amp;N=6&amp;Sheet=1&amp;Row=314&amp;Col=11","")</f>
      </c>
      <c r="M315" t="s" s="1">
        <f>HYPERLINK("http://141.218.60.56/~jnz1568/discussion.php?&amp;Z=8&amp;N=6&amp;Sheet=1&amp;Row=314&amp;Col=12","")</f>
      </c>
      <c r="N315" t="s" s="1">
        <f>HYPERLINK("http://141.218.60.56/~jnz1568/discussion.php?&amp;Z=8&amp;N=6&amp;Sheet=1&amp;Row=314&amp;Col=13","57.41")</f>
      </c>
      <c r="O315" t="s" s="1">
        <f>HYPERLINK("http://141.218.60.56/~jnz1568/discussion.php?&amp;Z=8&amp;N=6&amp;Sheet=1&amp;Row=314&amp;Col=14","")</f>
      </c>
      <c r="P315" t="s" s="1">
        <f>HYPERLINK("http://141.218.60.56/~jnz1568/discussion.php?&amp;Z=8&amp;N=6&amp;Sheet=1&amp;Row=314&amp;Col=15","")</f>
      </c>
      <c r="Q315" t="s" s="1">
        <f>HYPERLINK("http://141.218.60.56/~jnz1568/discussion.php?&amp;Z=8&amp;N=6&amp;Sheet=1&amp;Row=314&amp;Col=16","")</f>
      </c>
    </row>
    <row r="316">
      <c r="A316" t="s">
        <v>15</v>
      </c>
      <c r="B316" t="s">
        <v>16</v>
      </c>
      <c r="C316" t="s">
        <v>165</v>
      </c>
      <c r="D316" t="s">
        <v>131</v>
      </c>
      <c r="E316" t="s">
        <v>1447</v>
      </c>
      <c r="F316" t="s" s="1">
        <f>HYPERLINK("http://141.218.60.56/~jnz1568/discussion.php?&amp;Z=8&amp;N=6&amp;Sheet=1&amp;Row=315&amp;Col=5","59490000")</f>
      </c>
      <c r="G316" t="s" s="1">
        <f>HYPERLINK("http://141.218.60.56/~jnz1568/discussion.php?&amp;Z=8&amp;N=6&amp;Sheet=1&amp;Row=315&amp;Col=6","")</f>
      </c>
      <c r="H316" t="s" s="1">
        <f>HYPERLINK("http://141.218.60.56/~jnz1568/discussion.php?&amp;Z=8&amp;N=6&amp;Sheet=1&amp;Row=315&amp;Col=7","")</f>
      </c>
      <c r="I316" t="s" s="1">
        <f>HYPERLINK("http://141.218.60.56/~jnz1568/discussion.php?&amp;Z=8&amp;N=6&amp;Sheet=1&amp;Row=315&amp;Col=8","")</f>
      </c>
      <c r="J316" t="s" s="1">
        <f>HYPERLINK("http://141.218.60.56/~jnz1568/discussion.php?&amp;Z=8&amp;N=6&amp;Sheet=1&amp;Row=315&amp;Col=9","59027000")</f>
      </c>
      <c r="K316" t="s" s="1">
        <f>HYPERLINK("http://141.218.60.56/~jnz1568/discussion.php?&amp;Z=8&amp;N=6&amp;Sheet=1&amp;Row=315&amp;Col=10","")</f>
      </c>
      <c r="L316" t="s" s="1">
        <f>HYPERLINK("http://141.218.60.56/~jnz1568/discussion.php?&amp;Z=8&amp;N=6&amp;Sheet=1&amp;Row=315&amp;Col=11","")</f>
      </c>
      <c r="M316" t="s" s="1">
        <f>HYPERLINK("http://141.218.60.56/~jnz1568/discussion.php?&amp;Z=8&amp;N=6&amp;Sheet=1&amp;Row=315&amp;Col=12","")</f>
      </c>
      <c r="N316" t="s" s="1">
        <f>HYPERLINK("http://141.218.60.56/~jnz1568/discussion.php?&amp;Z=8&amp;N=6&amp;Sheet=1&amp;Row=315&amp;Col=13","38190000")</f>
      </c>
      <c r="O316" t="s" s="1">
        <f>HYPERLINK("http://141.218.60.56/~jnz1568/discussion.php?&amp;Z=8&amp;N=6&amp;Sheet=1&amp;Row=315&amp;Col=14","")</f>
      </c>
      <c r="P316" t="s" s="1">
        <f>HYPERLINK("http://141.218.60.56/~jnz1568/discussion.php?&amp;Z=8&amp;N=6&amp;Sheet=1&amp;Row=315&amp;Col=15","")</f>
      </c>
      <c r="Q316" t="s" s="1">
        <f>HYPERLINK("http://141.218.60.56/~jnz1568/discussion.php?&amp;Z=8&amp;N=6&amp;Sheet=1&amp;Row=315&amp;Col=16","")</f>
      </c>
    </row>
    <row r="317">
      <c r="A317" t="s">
        <v>15</v>
      </c>
      <c r="B317" t="s">
        <v>16</v>
      </c>
      <c r="C317" t="s">
        <v>165</v>
      </c>
      <c r="D317" t="s">
        <v>135</v>
      </c>
      <c r="E317" t="s">
        <v>1451</v>
      </c>
      <c r="F317" t="s" s="1">
        <f>HYPERLINK("http://141.218.60.56/~jnz1568/discussion.php?&amp;Z=8&amp;N=6&amp;Sheet=1&amp;Row=316&amp;Col=5","40299000")</f>
      </c>
      <c r="G317" t="s" s="1">
        <f>HYPERLINK("http://141.218.60.56/~jnz1568/discussion.php?&amp;Z=8&amp;N=6&amp;Sheet=1&amp;Row=316&amp;Col=6","")</f>
      </c>
      <c r="H317" t="s" s="1">
        <f>HYPERLINK("http://141.218.60.56/~jnz1568/discussion.php?&amp;Z=8&amp;N=6&amp;Sheet=1&amp;Row=316&amp;Col=7","")</f>
      </c>
      <c r="I317" t="s" s="1">
        <f>HYPERLINK("http://141.218.60.56/~jnz1568/discussion.php?&amp;Z=8&amp;N=6&amp;Sheet=1&amp;Row=316&amp;Col=8","")</f>
      </c>
      <c r="J317" t="s" s="1">
        <f>HYPERLINK("http://141.218.60.56/~jnz1568/discussion.php?&amp;Z=8&amp;N=6&amp;Sheet=1&amp;Row=316&amp;Col=9","40008000")</f>
      </c>
      <c r="K317" t="s" s="1">
        <f>HYPERLINK("http://141.218.60.56/~jnz1568/discussion.php?&amp;Z=8&amp;N=6&amp;Sheet=1&amp;Row=316&amp;Col=10","")</f>
      </c>
      <c r="L317" t="s" s="1">
        <f>HYPERLINK("http://141.218.60.56/~jnz1568/discussion.php?&amp;Z=8&amp;N=6&amp;Sheet=1&amp;Row=316&amp;Col=11","")</f>
      </c>
      <c r="M317" t="s" s="1">
        <f>HYPERLINK("http://141.218.60.56/~jnz1568/discussion.php?&amp;Z=8&amp;N=6&amp;Sheet=1&amp;Row=316&amp;Col=12","")</f>
      </c>
      <c r="N317" t="s" s="1">
        <f>HYPERLINK("http://141.218.60.56/~jnz1568/discussion.php?&amp;Z=8&amp;N=6&amp;Sheet=1&amp;Row=316&amp;Col=13","26300000")</f>
      </c>
      <c r="O317" t="s" s="1">
        <f>HYPERLINK("http://141.218.60.56/~jnz1568/discussion.php?&amp;Z=8&amp;N=6&amp;Sheet=1&amp;Row=316&amp;Col=14","")</f>
      </c>
      <c r="P317" t="s" s="1">
        <f>HYPERLINK("http://141.218.60.56/~jnz1568/discussion.php?&amp;Z=8&amp;N=6&amp;Sheet=1&amp;Row=316&amp;Col=15","")</f>
      </c>
      <c r="Q317" t="s" s="1">
        <f>HYPERLINK("http://141.218.60.56/~jnz1568/discussion.php?&amp;Z=8&amp;N=6&amp;Sheet=1&amp;Row=316&amp;Col=16","")</f>
      </c>
    </row>
    <row r="318">
      <c r="A318" t="s">
        <v>15</v>
      </c>
      <c r="B318" t="s">
        <v>16</v>
      </c>
      <c r="C318" t="s">
        <v>165</v>
      </c>
      <c r="D318" t="s">
        <v>138</v>
      </c>
      <c r="E318" t="s">
        <v>1455</v>
      </c>
      <c r="F318" t="s" s="1">
        <f>HYPERLINK("http://141.218.60.56/~jnz1568/discussion.php?&amp;Z=8&amp;N=6&amp;Sheet=1&amp;Row=317&amp;Col=5","2227400")</f>
      </c>
      <c r="G318" t="s" s="1">
        <f>HYPERLINK("http://141.218.60.56/~jnz1568/discussion.php?&amp;Z=8&amp;N=6&amp;Sheet=1&amp;Row=317&amp;Col=6","")</f>
      </c>
      <c r="H318" t="s" s="1">
        <f>HYPERLINK("http://141.218.60.56/~jnz1568/discussion.php?&amp;Z=8&amp;N=6&amp;Sheet=1&amp;Row=317&amp;Col=7","")</f>
      </c>
      <c r="I318" t="s" s="1">
        <f>HYPERLINK("http://141.218.60.56/~jnz1568/discussion.php?&amp;Z=8&amp;N=6&amp;Sheet=1&amp;Row=317&amp;Col=8","")</f>
      </c>
      <c r="J318" t="s" s="1">
        <f>HYPERLINK("http://141.218.60.56/~jnz1568/discussion.php?&amp;Z=8&amp;N=6&amp;Sheet=1&amp;Row=317&amp;Col=9","2214000")</f>
      </c>
      <c r="K318" t="s" s="1">
        <f>HYPERLINK("http://141.218.60.56/~jnz1568/discussion.php?&amp;Z=8&amp;N=6&amp;Sheet=1&amp;Row=317&amp;Col=10","")</f>
      </c>
      <c r="L318" t="s" s="1">
        <f>HYPERLINK("http://141.218.60.56/~jnz1568/discussion.php?&amp;Z=8&amp;N=6&amp;Sheet=1&amp;Row=317&amp;Col=11","")</f>
      </c>
      <c r="M318" t="s" s="1">
        <f>HYPERLINK("http://141.218.60.56/~jnz1568/discussion.php?&amp;Z=8&amp;N=6&amp;Sheet=1&amp;Row=317&amp;Col=12","")</f>
      </c>
      <c r="N318" t="s" s="1">
        <f>HYPERLINK("http://141.218.60.56/~jnz1568/discussion.php?&amp;Z=8&amp;N=6&amp;Sheet=1&amp;Row=317&amp;Col=13","1483000")</f>
      </c>
      <c r="O318" t="s" s="1">
        <f>HYPERLINK("http://141.218.60.56/~jnz1568/discussion.php?&amp;Z=8&amp;N=6&amp;Sheet=1&amp;Row=317&amp;Col=14","")</f>
      </c>
      <c r="P318" t="s" s="1">
        <f>HYPERLINK("http://141.218.60.56/~jnz1568/discussion.php?&amp;Z=8&amp;N=6&amp;Sheet=1&amp;Row=317&amp;Col=15","")</f>
      </c>
      <c r="Q318" t="s" s="1">
        <f>HYPERLINK("http://141.218.60.56/~jnz1568/discussion.php?&amp;Z=8&amp;N=6&amp;Sheet=1&amp;Row=317&amp;Col=16","")</f>
      </c>
    </row>
    <row r="319">
      <c r="A319" t="s">
        <v>15</v>
      </c>
      <c r="B319" t="s">
        <v>16</v>
      </c>
      <c r="C319" t="s">
        <v>165</v>
      </c>
      <c r="D319" t="s">
        <v>141</v>
      </c>
      <c r="E319" t="s">
        <v>1459</v>
      </c>
      <c r="F319" t="s" s="1">
        <f>HYPERLINK("http://141.218.60.56/~jnz1568/discussion.php?&amp;Z=8&amp;N=6&amp;Sheet=1&amp;Row=318&amp;Col=5","2697.7")</f>
      </c>
      <c r="G319" t="s" s="1">
        <f>HYPERLINK("http://141.218.60.56/~jnz1568/discussion.php?&amp;Z=8&amp;N=6&amp;Sheet=1&amp;Row=318&amp;Col=6","")</f>
      </c>
      <c r="H319" t="s" s="1">
        <f>HYPERLINK("http://141.218.60.56/~jnz1568/discussion.php?&amp;Z=8&amp;N=6&amp;Sheet=1&amp;Row=318&amp;Col=7","")</f>
      </c>
      <c r="I319" t="s" s="1">
        <f>HYPERLINK("http://141.218.60.56/~jnz1568/discussion.php?&amp;Z=8&amp;N=6&amp;Sheet=1&amp;Row=318&amp;Col=8","")</f>
      </c>
      <c r="J319" t="s" s="1">
        <f>HYPERLINK("http://141.218.60.56/~jnz1568/discussion.php?&amp;Z=8&amp;N=6&amp;Sheet=1&amp;Row=318&amp;Col=9","2583.6")</f>
      </c>
      <c r="K319" t="s" s="1">
        <f>HYPERLINK("http://141.218.60.56/~jnz1568/discussion.php?&amp;Z=8&amp;N=6&amp;Sheet=1&amp;Row=318&amp;Col=10","")</f>
      </c>
      <c r="L319" t="s" s="1">
        <f>HYPERLINK("http://141.218.60.56/~jnz1568/discussion.php?&amp;Z=8&amp;N=6&amp;Sheet=1&amp;Row=318&amp;Col=11","")</f>
      </c>
      <c r="M319" t="s" s="1">
        <f>HYPERLINK("http://141.218.60.56/~jnz1568/discussion.php?&amp;Z=8&amp;N=6&amp;Sheet=1&amp;Row=318&amp;Col=12","")</f>
      </c>
      <c r="N319" t="s" s="1">
        <f>HYPERLINK("http://141.218.60.56/~jnz1568/discussion.php?&amp;Z=8&amp;N=6&amp;Sheet=1&amp;Row=318&amp;Col=13","841.9")</f>
      </c>
      <c r="O319" t="s" s="1">
        <f>HYPERLINK("http://141.218.60.56/~jnz1568/discussion.php?&amp;Z=8&amp;N=6&amp;Sheet=1&amp;Row=318&amp;Col=14","")</f>
      </c>
      <c r="P319" t="s" s="1">
        <f>HYPERLINK("http://141.218.60.56/~jnz1568/discussion.php?&amp;Z=8&amp;N=6&amp;Sheet=1&amp;Row=318&amp;Col=15","")</f>
      </c>
      <c r="Q319" t="s" s="1">
        <f>HYPERLINK("http://141.218.60.56/~jnz1568/discussion.php?&amp;Z=8&amp;N=6&amp;Sheet=1&amp;Row=318&amp;Col=16","")</f>
      </c>
    </row>
    <row r="320">
      <c r="A320" t="s">
        <v>15</v>
      </c>
      <c r="B320" t="s">
        <v>16</v>
      </c>
      <c r="C320" t="s">
        <v>165</v>
      </c>
      <c r="D320" t="s">
        <v>145</v>
      </c>
      <c r="E320" t="s">
        <v>1463</v>
      </c>
      <c r="F320" t="s" s="1">
        <f>HYPERLINK("http://141.218.60.56/~jnz1568/discussion.php?&amp;Z=8&amp;N=6&amp;Sheet=1&amp;Row=319&amp;Col=5","4131.7")</f>
      </c>
      <c r="G320" t="s" s="1">
        <f>HYPERLINK("http://141.218.60.56/~jnz1568/discussion.php?&amp;Z=8&amp;N=6&amp;Sheet=1&amp;Row=319&amp;Col=6","")</f>
      </c>
      <c r="H320" t="s" s="1">
        <f>HYPERLINK("http://141.218.60.56/~jnz1568/discussion.php?&amp;Z=8&amp;N=6&amp;Sheet=1&amp;Row=319&amp;Col=7","")</f>
      </c>
      <c r="I320" t="s" s="1">
        <f>HYPERLINK("http://141.218.60.56/~jnz1568/discussion.php?&amp;Z=8&amp;N=6&amp;Sheet=1&amp;Row=319&amp;Col=8","")</f>
      </c>
      <c r="J320" t="s" s="1">
        <f>HYPERLINK("http://141.218.60.56/~jnz1568/discussion.php?&amp;Z=8&amp;N=6&amp;Sheet=1&amp;Row=319&amp;Col=9","3859")</f>
      </c>
      <c r="K320" t="s" s="1">
        <f>HYPERLINK("http://141.218.60.56/~jnz1568/discussion.php?&amp;Z=8&amp;N=6&amp;Sheet=1&amp;Row=319&amp;Col=10","")</f>
      </c>
      <c r="L320" t="s" s="1">
        <f>HYPERLINK("http://141.218.60.56/~jnz1568/discussion.php?&amp;Z=8&amp;N=6&amp;Sheet=1&amp;Row=319&amp;Col=11","")</f>
      </c>
      <c r="M320" t="s" s="1">
        <f>HYPERLINK("http://141.218.60.56/~jnz1568/discussion.php?&amp;Z=8&amp;N=6&amp;Sheet=1&amp;Row=319&amp;Col=12","")</f>
      </c>
      <c r="N320" t="s" s="1">
        <f>HYPERLINK("http://141.218.60.56/~jnz1568/discussion.php?&amp;Z=8&amp;N=6&amp;Sheet=1&amp;Row=319&amp;Col=13","211.2")</f>
      </c>
      <c r="O320" t="s" s="1">
        <f>HYPERLINK("http://141.218.60.56/~jnz1568/discussion.php?&amp;Z=8&amp;N=6&amp;Sheet=1&amp;Row=319&amp;Col=14","")</f>
      </c>
      <c r="P320" t="s" s="1">
        <f>HYPERLINK("http://141.218.60.56/~jnz1568/discussion.php?&amp;Z=8&amp;N=6&amp;Sheet=1&amp;Row=319&amp;Col=15","")</f>
      </c>
      <c r="Q320" t="s" s="1">
        <f>HYPERLINK("http://141.218.60.56/~jnz1568/discussion.php?&amp;Z=8&amp;N=6&amp;Sheet=1&amp;Row=319&amp;Col=16","")</f>
      </c>
    </row>
    <row r="321">
      <c r="A321" t="s">
        <v>15</v>
      </c>
      <c r="B321" t="s">
        <v>16</v>
      </c>
      <c r="C321" t="s">
        <v>169</v>
      </c>
      <c r="D321" t="s">
        <v>23</v>
      </c>
      <c r="E321" t="s">
        <v>1467</v>
      </c>
      <c r="F321" t="s" s="1">
        <f>HYPERLINK("http://141.218.60.56/~jnz1568/discussion.php?&amp;Z=8&amp;N=6&amp;Sheet=1&amp;Row=320&amp;Col=5","16077000000")</f>
      </c>
      <c r="G321" t="s" s="1">
        <f>HYPERLINK("http://141.218.60.56/~jnz1568/discussion.php?&amp;Z=8&amp;N=6&amp;Sheet=1&amp;Row=320&amp;Col=6","")</f>
      </c>
      <c r="H321" t="s" s="1">
        <f>HYPERLINK("http://141.218.60.56/~jnz1568/discussion.php?&amp;Z=8&amp;N=6&amp;Sheet=1&amp;Row=320&amp;Col=7","")</f>
      </c>
      <c r="I321" t="s" s="1">
        <f>HYPERLINK("http://141.218.60.56/~jnz1568/discussion.php?&amp;Z=8&amp;N=6&amp;Sheet=1&amp;Row=320&amp;Col=8","")</f>
      </c>
      <c r="J321" t="s" s="1">
        <f>HYPERLINK("http://141.218.60.56/~jnz1568/discussion.php?&amp;Z=8&amp;N=6&amp;Sheet=1&amp;Row=320&amp;Col=9","16162000000")</f>
      </c>
      <c r="K321" t="s" s="1">
        <f>HYPERLINK("http://141.218.60.56/~jnz1568/discussion.php?&amp;Z=8&amp;N=6&amp;Sheet=1&amp;Row=320&amp;Col=10","")</f>
      </c>
      <c r="L321" t="s" s="1">
        <f>HYPERLINK("http://141.218.60.56/~jnz1568/discussion.php?&amp;Z=8&amp;N=6&amp;Sheet=1&amp;Row=320&amp;Col=11","")</f>
      </c>
      <c r="M321" t="s" s="1">
        <f>HYPERLINK("http://141.218.60.56/~jnz1568/discussion.php?&amp;Z=8&amp;N=6&amp;Sheet=1&amp;Row=320&amp;Col=12","")</f>
      </c>
      <c r="N321" t="s" s="1">
        <f>HYPERLINK("http://141.218.60.56/~jnz1568/discussion.php?&amp;Z=8&amp;N=6&amp;Sheet=1&amp;Row=320&amp;Col=13","18440000000")</f>
      </c>
      <c r="O321" t="s" s="1">
        <f>HYPERLINK("http://141.218.60.56/~jnz1568/discussion.php?&amp;Z=8&amp;N=6&amp;Sheet=1&amp;Row=320&amp;Col=14","")</f>
      </c>
      <c r="P321" t="s" s="1">
        <f>HYPERLINK("http://141.218.60.56/~jnz1568/discussion.php?&amp;Z=8&amp;N=6&amp;Sheet=1&amp;Row=320&amp;Col=15","")</f>
      </c>
      <c r="Q321" t="s" s="1">
        <f>HYPERLINK("http://141.218.60.56/~jnz1568/discussion.php?&amp;Z=8&amp;N=6&amp;Sheet=1&amp;Row=320&amp;Col=16","")</f>
      </c>
    </row>
    <row r="322">
      <c r="A322" t="s">
        <v>15</v>
      </c>
      <c r="B322" t="s">
        <v>16</v>
      </c>
      <c r="C322" t="s">
        <v>169</v>
      </c>
      <c r="D322" t="s">
        <v>20</v>
      </c>
      <c r="E322" t="s">
        <v>1471</v>
      </c>
      <c r="F322" t="s" s="1">
        <f>HYPERLINK("http://141.218.60.56/~jnz1568/discussion.php?&amp;Z=8&amp;N=6&amp;Sheet=1&amp;Row=321&amp;Col=5","4230700000")</f>
      </c>
      <c r="G322" t="s" s="1">
        <f>HYPERLINK("http://141.218.60.56/~jnz1568/discussion.php?&amp;Z=8&amp;N=6&amp;Sheet=1&amp;Row=321&amp;Col=6","")</f>
      </c>
      <c r="H322" t="s" s="1">
        <f>HYPERLINK("http://141.218.60.56/~jnz1568/discussion.php?&amp;Z=8&amp;N=6&amp;Sheet=1&amp;Row=321&amp;Col=7","")</f>
      </c>
      <c r="I322" t="s" s="1">
        <f>HYPERLINK("http://141.218.60.56/~jnz1568/discussion.php?&amp;Z=8&amp;N=6&amp;Sheet=1&amp;Row=321&amp;Col=8","")</f>
      </c>
      <c r="J322" t="s" s="1">
        <f>HYPERLINK("http://141.218.60.56/~jnz1568/discussion.php?&amp;Z=8&amp;N=6&amp;Sheet=1&amp;Row=321&amp;Col=9","4262800000")</f>
      </c>
      <c r="K322" t="s" s="1">
        <f>HYPERLINK("http://141.218.60.56/~jnz1568/discussion.php?&amp;Z=8&amp;N=6&amp;Sheet=1&amp;Row=321&amp;Col=10","")</f>
      </c>
      <c r="L322" t="s" s="1">
        <f>HYPERLINK("http://141.218.60.56/~jnz1568/discussion.php?&amp;Z=8&amp;N=6&amp;Sheet=1&amp;Row=321&amp;Col=11","")</f>
      </c>
      <c r="M322" t="s" s="1">
        <f>HYPERLINK("http://141.218.60.56/~jnz1568/discussion.php?&amp;Z=8&amp;N=6&amp;Sheet=1&amp;Row=321&amp;Col=12","")</f>
      </c>
      <c r="N322" t="s" s="1">
        <f>HYPERLINK("http://141.218.60.56/~jnz1568/discussion.php?&amp;Z=8&amp;N=6&amp;Sheet=1&amp;Row=321&amp;Col=13","5009000000")</f>
      </c>
      <c r="O322" t="s" s="1">
        <f>HYPERLINK("http://141.218.60.56/~jnz1568/discussion.php?&amp;Z=8&amp;N=6&amp;Sheet=1&amp;Row=321&amp;Col=14","")</f>
      </c>
      <c r="P322" t="s" s="1">
        <f>HYPERLINK("http://141.218.60.56/~jnz1568/discussion.php?&amp;Z=8&amp;N=6&amp;Sheet=1&amp;Row=321&amp;Col=15","")</f>
      </c>
      <c r="Q322" t="s" s="1">
        <f>HYPERLINK("http://141.218.60.56/~jnz1568/discussion.php?&amp;Z=8&amp;N=6&amp;Sheet=1&amp;Row=321&amp;Col=16","")</f>
      </c>
    </row>
    <row r="323">
      <c r="A323" t="s">
        <v>15</v>
      </c>
      <c r="B323" t="s">
        <v>16</v>
      </c>
      <c r="C323" t="s">
        <v>169</v>
      </c>
      <c r="D323" t="s">
        <v>28</v>
      </c>
      <c r="E323" t="s">
        <v>1475</v>
      </c>
      <c r="F323" t="s" s="1">
        <f>HYPERLINK("http://141.218.60.56/~jnz1568/discussion.php?&amp;Z=8&amp;N=6&amp;Sheet=1&amp;Row=322&amp;Col=5","3043900")</f>
      </c>
      <c r="G323" t="s" s="1">
        <f>HYPERLINK("http://141.218.60.56/~jnz1568/discussion.php?&amp;Z=8&amp;N=6&amp;Sheet=1&amp;Row=322&amp;Col=6","")</f>
      </c>
      <c r="H323" t="s" s="1">
        <f>HYPERLINK("http://141.218.60.56/~jnz1568/discussion.php?&amp;Z=8&amp;N=6&amp;Sheet=1&amp;Row=322&amp;Col=7","")</f>
      </c>
      <c r="I323" t="s" s="1">
        <f>HYPERLINK("http://141.218.60.56/~jnz1568/discussion.php?&amp;Z=8&amp;N=6&amp;Sheet=1&amp;Row=322&amp;Col=8","")</f>
      </c>
      <c r="J323" t="s" s="1">
        <f>HYPERLINK("http://141.218.60.56/~jnz1568/discussion.php?&amp;Z=8&amp;N=6&amp;Sheet=1&amp;Row=322&amp;Col=9","3356100")</f>
      </c>
      <c r="K323" t="s" s="1">
        <f>HYPERLINK("http://141.218.60.56/~jnz1568/discussion.php?&amp;Z=8&amp;N=6&amp;Sheet=1&amp;Row=322&amp;Col=10","")</f>
      </c>
      <c r="L323" t="s" s="1">
        <f>HYPERLINK("http://141.218.60.56/~jnz1568/discussion.php?&amp;Z=8&amp;N=6&amp;Sheet=1&amp;Row=322&amp;Col=11","")</f>
      </c>
      <c r="M323" t="s" s="1">
        <f>HYPERLINK("http://141.218.60.56/~jnz1568/discussion.php?&amp;Z=8&amp;N=6&amp;Sheet=1&amp;Row=322&amp;Col=12","")</f>
      </c>
      <c r="N323" t="s" s="1">
        <f>HYPERLINK("http://141.218.60.56/~jnz1568/discussion.php?&amp;Z=8&amp;N=6&amp;Sheet=1&amp;Row=322&amp;Col=13","818000")</f>
      </c>
      <c r="O323" t="s" s="1">
        <f>HYPERLINK("http://141.218.60.56/~jnz1568/discussion.php?&amp;Z=8&amp;N=6&amp;Sheet=1&amp;Row=322&amp;Col=14","")</f>
      </c>
      <c r="P323" t="s" s="1">
        <f>HYPERLINK("http://141.218.60.56/~jnz1568/discussion.php?&amp;Z=8&amp;N=6&amp;Sheet=1&amp;Row=322&amp;Col=15","")</f>
      </c>
      <c r="Q323" t="s" s="1">
        <f>HYPERLINK("http://141.218.60.56/~jnz1568/discussion.php?&amp;Z=8&amp;N=6&amp;Sheet=1&amp;Row=322&amp;Col=16","")</f>
      </c>
    </row>
    <row r="324">
      <c r="A324" t="s">
        <v>15</v>
      </c>
      <c r="B324" t="s">
        <v>16</v>
      </c>
      <c r="C324" t="s">
        <v>169</v>
      </c>
      <c r="D324" t="s">
        <v>94</v>
      </c>
      <c r="E324" t="s">
        <v>1479</v>
      </c>
      <c r="F324" t="s" s="1">
        <f>HYPERLINK("http://141.218.60.56/~jnz1568/discussion.php?&amp;Z=8&amp;N=6&amp;Sheet=1&amp;Row=323&amp;Col=5","200300")</f>
      </c>
      <c r="G324" t="s" s="1">
        <f>HYPERLINK("http://141.218.60.56/~jnz1568/discussion.php?&amp;Z=8&amp;N=6&amp;Sheet=1&amp;Row=323&amp;Col=6","")</f>
      </c>
      <c r="H324" t="s" s="1">
        <f>HYPERLINK("http://141.218.60.56/~jnz1568/discussion.php?&amp;Z=8&amp;N=6&amp;Sheet=1&amp;Row=323&amp;Col=7","")</f>
      </c>
      <c r="I324" t="s" s="1">
        <f>HYPERLINK("http://141.218.60.56/~jnz1568/discussion.php?&amp;Z=8&amp;N=6&amp;Sheet=1&amp;Row=323&amp;Col=8","")</f>
      </c>
      <c r="J324" t="s" s="1">
        <f>HYPERLINK("http://141.218.60.56/~jnz1568/discussion.php?&amp;Z=8&amp;N=6&amp;Sheet=1&amp;Row=323&amp;Col=9","235950")</f>
      </c>
      <c r="K324" t="s" s="1">
        <f>HYPERLINK("http://141.218.60.56/~jnz1568/discussion.php?&amp;Z=8&amp;N=6&amp;Sheet=1&amp;Row=323&amp;Col=10","")</f>
      </c>
      <c r="L324" t="s" s="1">
        <f>HYPERLINK("http://141.218.60.56/~jnz1568/discussion.php?&amp;Z=8&amp;N=6&amp;Sheet=1&amp;Row=323&amp;Col=11","")</f>
      </c>
      <c r="M324" t="s" s="1">
        <f>HYPERLINK("http://141.218.60.56/~jnz1568/discussion.php?&amp;Z=8&amp;N=6&amp;Sheet=1&amp;Row=323&amp;Col=12","")</f>
      </c>
      <c r="N324" t="s" s="1">
        <f>HYPERLINK("http://141.218.60.56/~jnz1568/discussion.php?&amp;Z=8&amp;N=6&amp;Sheet=1&amp;Row=323&amp;Col=13","366000")</f>
      </c>
      <c r="O324" t="s" s="1">
        <f>HYPERLINK("http://141.218.60.56/~jnz1568/discussion.php?&amp;Z=8&amp;N=6&amp;Sheet=1&amp;Row=323&amp;Col=14","")</f>
      </c>
      <c r="P324" t="s" s="1">
        <f>HYPERLINK("http://141.218.60.56/~jnz1568/discussion.php?&amp;Z=8&amp;N=6&amp;Sheet=1&amp;Row=323&amp;Col=15","")</f>
      </c>
      <c r="Q324" t="s" s="1">
        <f>HYPERLINK("http://141.218.60.56/~jnz1568/discussion.php?&amp;Z=8&amp;N=6&amp;Sheet=1&amp;Row=323&amp;Col=16","")</f>
      </c>
    </row>
    <row r="325">
      <c r="A325" t="s">
        <v>15</v>
      </c>
      <c r="B325" t="s">
        <v>16</v>
      </c>
      <c r="C325" t="s">
        <v>169</v>
      </c>
      <c r="D325" t="s">
        <v>99</v>
      </c>
      <c r="E325" t="s">
        <v>1482</v>
      </c>
      <c r="F325" t="s" s="1">
        <f>HYPERLINK("http://141.218.60.56/~jnz1568/discussion.php?&amp;Z=8&amp;N=6&amp;Sheet=1&amp;Row=324&amp;Col=5","796480")</f>
      </c>
      <c r="G325" t="s" s="1">
        <f>HYPERLINK("http://141.218.60.56/~jnz1568/discussion.php?&amp;Z=8&amp;N=6&amp;Sheet=1&amp;Row=324&amp;Col=6","")</f>
      </c>
      <c r="H325" t="s" s="1">
        <f>HYPERLINK("http://141.218.60.56/~jnz1568/discussion.php?&amp;Z=8&amp;N=6&amp;Sheet=1&amp;Row=324&amp;Col=7","")</f>
      </c>
      <c r="I325" t="s" s="1">
        <f>HYPERLINK("http://141.218.60.56/~jnz1568/discussion.php?&amp;Z=8&amp;N=6&amp;Sheet=1&amp;Row=324&amp;Col=8","")</f>
      </c>
      <c r="J325" t="s" s="1">
        <f>HYPERLINK("http://141.218.60.56/~jnz1568/discussion.php?&amp;Z=8&amp;N=6&amp;Sheet=1&amp;Row=324&amp;Col=9","947770")</f>
      </c>
      <c r="K325" t="s" s="1">
        <f>HYPERLINK("http://141.218.60.56/~jnz1568/discussion.php?&amp;Z=8&amp;N=6&amp;Sheet=1&amp;Row=324&amp;Col=10","")</f>
      </c>
      <c r="L325" t="s" s="1">
        <f>HYPERLINK("http://141.218.60.56/~jnz1568/discussion.php?&amp;Z=8&amp;N=6&amp;Sheet=1&amp;Row=324&amp;Col=11","")</f>
      </c>
      <c r="M325" t="s" s="1">
        <f>HYPERLINK("http://141.218.60.56/~jnz1568/discussion.php?&amp;Z=8&amp;N=6&amp;Sheet=1&amp;Row=324&amp;Col=12","")</f>
      </c>
      <c r="N325" t="s" s="1">
        <f>HYPERLINK("http://141.218.60.56/~jnz1568/discussion.php?&amp;Z=8&amp;N=6&amp;Sheet=1&amp;Row=324&amp;Col=13","1447000")</f>
      </c>
      <c r="O325" t="s" s="1">
        <f>HYPERLINK("http://141.218.60.56/~jnz1568/discussion.php?&amp;Z=8&amp;N=6&amp;Sheet=1&amp;Row=324&amp;Col=14","")</f>
      </c>
      <c r="P325" t="s" s="1">
        <f>HYPERLINK("http://141.218.60.56/~jnz1568/discussion.php?&amp;Z=8&amp;N=6&amp;Sheet=1&amp;Row=324&amp;Col=15","")</f>
      </c>
      <c r="Q325" t="s" s="1">
        <f>HYPERLINK("http://141.218.60.56/~jnz1568/discussion.php?&amp;Z=8&amp;N=6&amp;Sheet=1&amp;Row=324&amp;Col=16","")</f>
      </c>
    </row>
    <row r="326">
      <c r="A326" t="s">
        <v>15</v>
      </c>
      <c r="B326" t="s">
        <v>16</v>
      </c>
      <c r="C326" t="s">
        <v>169</v>
      </c>
      <c r="D326" t="s">
        <v>105</v>
      </c>
      <c r="E326" t="s">
        <v>1486</v>
      </c>
      <c r="F326" t="s" s="1">
        <f>HYPERLINK("http://141.218.60.56/~jnz1568/discussion.php?&amp;Z=8&amp;N=6&amp;Sheet=1&amp;Row=325&amp;Col=5","126190")</f>
      </c>
      <c r="G326" t="s" s="1">
        <f>HYPERLINK("http://141.218.60.56/~jnz1568/discussion.php?&amp;Z=8&amp;N=6&amp;Sheet=1&amp;Row=325&amp;Col=6","")</f>
      </c>
      <c r="H326" t="s" s="1">
        <f>HYPERLINK("http://141.218.60.56/~jnz1568/discussion.php?&amp;Z=8&amp;N=6&amp;Sheet=1&amp;Row=325&amp;Col=7","")</f>
      </c>
      <c r="I326" t="s" s="1">
        <f>HYPERLINK("http://141.218.60.56/~jnz1568/discussion.php?&amp;Z=8&amp;N=6&amp;Sheet=1&amp;Row=325&amp;Col=8","")</f>
      </c>
      <c r="J326" t="s" s="1">
        <f>HYPERLINK("http://141.218.60.56/~jnz1568/discussion.php?&amp;Z=8&amp;N=6&amp;Sheet=1&amp;Row=325&amp;Col=9","128640")</f>
      </c>
      <c r="K326" t="s" s="1">
        <f>HYPERLINK("http://141.218.60.56/~jnz1568/discussion.php?&amp;Z=8&amp;N=6&amp;Sheet=1&amp;Row=325&amp;Col=10","")</f>
      </c>
      <c r="L326" t="s" s="1">
        <f>HYPERLINK("http://141.218.60.56/~jnz1568/discussion.php?&amp;Z=8&amp;N=6&amp;Sheet=1&amp;Row=325&amp;Col=11","")</f>
      </c>
      <c r="M326" t="s" s="1">
        <f>HYPERLINK("http://141.218.60.56/~jnz1568/discussion.php?&amp;Z=8&amp;N=6&amp;Sheet=1&amp;Row=325&amp;Col=12","")</f>
      </c>
      <c r="N326" t="s" s="1">
        <f>HYPERLINK("http://141.218.60.56/~jnz1568/discussion.php?&amp;Z=8&amp;N=6&amp;Sheet=1&amp;Row=325&amp;Col=13","41020")</f>
      </c>
      <c r="O326" t="s" s="1">
        <f>HYPERLINK("http://141.218.60.56/~jnz1568/discussion.php?&amp;Z=8&amp;N=6&amp;Sheet=1&amp;Row=325&amp;Col=14","")</f>
      </c>
      <c r="P326" t="s" s="1">
        <f>HYPERLINK("http://141.218.60.56/~jnz1568/discussion.php?&amp;Z=8&amp;N=6&amp;Sheet=1&amp;Row=325&amp;Col=15","")</f>
      </c>
      <c r="Q326" t="s" s="1">
        <f>HYPERLINK("http://141.218.60.56/~jnz1568/discussion.php?&amp;Z=8&amp;N=6&amp;Sheet=1&amp;Row=325&amp;Col=16","")</f>
      </c>
    </row>
    <row r="327">
      <c r="A327" t="s">
        <v>15</v>
      </c>
      <c r="B327" t="s">
        <v>16</v>
      </c>
      <c r="C327" t="s">
        <v>169</v>
      </c>
      <c r="D327" t="s">
        <v>111</v>
      </c>
      <c r="E327" t="s">
        <v>1490</v>
      </c>
      <c r="F327" t="s" s="1">
        <f>HYPERLINK("http://141.218.60.56/~jnz1568/discussion.php?&amp;Z=8&amp;N=6&amp;Sheet=1&amp;Row=326&amp;Col=5","7388800")</f>
      </c>
      <c r="G327" t="s" s="1">
        <f>HYPERLINK("http://141.218.60.56/~jnz1568/discussion.php?&amp;Z=8&amp;N=6&amp;Sheet=1&amp;Row=326&amp;Col=6","")</f>
      </c>
      <c r="H327" t="s" s="1">
        <f>HYPERLINK("http://141.218.60.56/~jnz1568/discussion.php?&amp;Z=8&amp;N=6&amp;Sheet=1&amp;Row=326&amp;Col=7","")</f>
      </c>
      <c r="I327" t="s" s="1">
        <f>HYPERLINK("http://141.218.60.56/~jnz1568/discussion.php?&amp;Z=8&amp;N=6&amp;Sheet=1&amp;Row=326&amp;Col=8","")</f>
      </c>
      <c r="J327" t="s" s="1">
        <f>HYPERLINK("http://141.218.60.56/~jnz1568/discussion.php?&amp;Z=8&amp;N=6&amp;Sheet=1&amp;Row=326&amp;Col=9","7259100")</f>
      </c>
      <c r="K327" t="s" s="1">
        <f>HYPERLINK("http://141.218.60.56/~jnz1568/discussion.php?&amp;Z=8&amp;N=6&amp;Sheet=1&amp;Row=326&amp;Col=10","")</f>
      </c>
      <c r="L327" t="s" s="1">
        <f>HYPERLINK("http://141.218.60.56/~jnz1568/discussion.php?&amp;Z=8&amp;N=6&amp;Sheet=1&amp;Row=326&amp;Col=11","")</f>
      </c>
      <c r="M327" t="s" s="1">
        <f>HYPERLINK("http://141.218.60.56/~jnz1568/discussion.php?&amp;Z=8&amp;N=6&amp;Sheet=1&amp;Row=326&amp;Col=12","")</f>
      </c>
      <c r="N327" t="s" s="1">
        <f>HYPERLINK("http://141.218.60.56/~jnz1568/discussion.php?&amp;Z=8&amp;N=6&amp;Sheet=1&amp;Row=326&amp;Col=13","6274000")</f>
      </c>
      <c r="O327" t="s" s="1">
        <f>HYPERLINK("http://141.218.60.56/~jnz1568/discussion.php?&amp;Z=8&amp;N=6&amp;Sheet=1&amp;Row=326&amp;Col=14","")</f>
      </c>
      <c r="P327" t="s" s="1">
        <f>HYPERLINK("http://141.218.60.56/~jnz1568/discussion.php?&amp;Z=8&amp;N=6&amp;Sheet=1&amp;Row=326&amp;Col=15","")</f>
      </c>
      <c r="Q327" t="s" s="1">
        <f>HYPERLINK("http://141.218.60.56/~jnz1568/discussion.php?&amp;Z=8&amp;N=6&amp;Sheet=1&amp;Row=326&amp;Col=16","")</f>
      </c>
    </row>
    <row r="328">
      <c r="A328" t="s">
        <v>15</v>
      </c>
      <c r="B328" t="s">
        <v>16</v>
      </c>
      <c r="C328" t="s">
        <v>169</v>
      </c>
      <c r="D328" t="s">
        <v>116</v>
      </c>
      <c r="E328" t="s">
        <v>1494</v>
      </c>
      <c r="F328" t="s" s="1">
        <f>HYPERLINK("http://141.218.60.56/~jnz1568/discussion.php?&amp;Z=8&amp;N=6&amp;Sheet=1&amp;Row=327&amp;Col=5","47460000")</f>
      </c>
      <c r="G328" t="s" s="1">
        <f>HYPERLINK("http://141.218.60.56/~jnz1568/discussion.php?&amp;Z=8&amp;N=6&amp;Sheet=1&amp;Row=327&amp;Col=6","")</f>
      </c>
      <c r="H328" t="s" s="1">
        <f>HYPERLINK("http://141.218.60.56/~jnz1568/discussion.php?&amp;Z=8&amp;N=6&amp;Sheet=1&amp;Row=327&amp;Col=7","")</f>
      </c>
      <c r="I328" t="s" s="1">
        <f>HYPERLINK("http://141.218.60.56/~jnz1568/discussion.php?&amp;Z=8&amp;N=6&amp;Sheet=1&amp;Row=327&amp;Col=8","")</f>
      </c>
      <c r="J328" t="s" s="1">
        <f>HYPERLINK("http://141.218.60.56/~jnz1568/discussion.php?&amp;Z=8&amp;N=6&amp;Sheet=1&amp;Row=327&amp;Col=9","47044000")</f>
      </c>
      <c r="K328" t="s" s="1">
        <f>HYPERLINK("http://141.218.60.56/~jnz1568/discussion.php?&amp;Z=8&amp;N=6&amp;Sheet=1&amp;Row=327&amp;Col=10","")</f>
      </c>
      <c r="L328" t="s" s="1">
        <f>HYPERLINK("http://141.218.60.56/~jnz1568/discussion.php?&amp;Z=8&amp;N=6&amp;Sheet=1&amp;Row=327&amp;Col=11","")</f>
      </c>
      <c r="M328" t="s" s="1">
        <f>HYPERLINK("http://141.218.60.56/~jnz1568/discussion.php?&amp;Z=8&amp;N=6&amp;Sheet=1&amp;Row=327&amp;Col=12","")</f>
      </c>
      <c r="N328" t="s" s="1">
        <f>HYPERLINK("http://141.218.60.56/~jnz1568/discussion.php?&amp;Z=8&amp;N=6&amp;Sheet=1&amp;Row=327&amp;Col=13","35060000")</f>
      </c>
      <c r="O328" t="s" s="1">
        <f>HYPERLINK("http://141.218.60.56/~jnz1568/discussion.php?&amp;Z=8&amp;N=6&amp;Sheet=1&amp;Row=327&amp;Col=14","")</f>
      </c>
      <c r="P328" t="s" s="1">
        <f>HYPERLINK("http://141.218.60.56/~jnz1568/discussion.php?&amp;Z=8&amp;N=6&amp;Sheet=1&amp;Row=327&amp;Col=15","")</f>
      </c>
      <c r="Q328" t="s" s="1">
        <f>HYPERLINK("http://141.218.60.56/~jnz1568/discussion.php?&amp;Z=8&amp;N=6&amp;Sheet=1&amp;Row=327&amp;Col=16","")</f>
      </c>
    </row>
    <row r="329">
      <c r="A329" t="s">
        <v>15</v>
      </c>
      <c r="B329" t="s">
        <v>16</v>
      </c>
      <c r="C329" t="s">
        <v>169</v>
      </c>
      <c r="D329" t="s">
        <v>119</v>
      </c>
      <c r="E329" t="s">
        <v>1498</v>
      </c>
      <c r="F329" t="s" s="1">
        <f>HYPERLINK("http://141.218.60.56/~jnz1568/discussion.php?&amp;Z=8&amp;N=6&amp;Sheet=1&amp;Row=328&amp;Col=5","8585000")</f>
      </c>
      <c r="G329" t="s" s="1">
        <f>HYPERLINK("http://141.218.60.56/~jnz1568/discussion.php?&amp;Z=8&amp;N=6&amp;Sheet=1&amp;Row=328&amp;Col=6","")</f>
      </c>
      <c r="H329" t="s" s="1">
        <f>HYPERLINK("http://141.218.60.56/~jnz1568/discussion.php?&amp;Z=8&amp;N=6&amp;Sheet=1&amp;Row=328&amp;Col=7","")</f>
      </c>
      <c r="I329" t="s" s="1">
        <f>HYPERLINK("http://141.218.60.56/~jnz1568/discussion.php?&amp;Z=8&amp;N=6&amp;Sheet=1&amp;Row=328&amp;Col=8","")</f>
      </c>
      <c r="J329" t="s" s="1">
        <f>HYPERLINK("http://141.218.60.56/~jnz1568/discussion.php?&amp;Z=8&amp;N=6&amp;Sheet=1&amp;Row=328&amp;Col=9","8511400")</f>
      </c>
      <c r="K329" t="s" s="1">
        <f>HYPERLINK("http://141.218.60.56/~jnz1568/discussion.php?&amp;Z=8&amp;N=6&amp;Sheet=1&amp;Row=328&amp;Col=10","")</f>
      </c>
      <c r="L329" t="s" s="1">
        <f>HYPERLINK("http://141.218.60.56/~jnz1568/discussion.php?&amp;Z=8&amp;N=6&amp;Sheet=1&amp;Row=328&amp;Col=11","")</f>
      </c>
      <c r="M329" t="s" s="1">
        <f>HYPERLINK("http://141.218.60.56/~jnz1568/discussion.php?&amp;Z=8&amp;N=6&amp;Sheet=1&amp;Row=328&amp;Col=12","")</f>
      </c>
      <c r="N329" t="s" s="1">
        <f>HYPERLINK("http://141.218.60.56/~jnz1568/discussion.php?&amp;Z=8&amp;N=6&amp;Sheet=1&amp;Row=328&amp;Col=13","6487000")</f>
      </c>
      <c r="O329" t="s" s="1">
        <f>HYPERLINK("http://141.218.60.56/~jnz1568/discussion.php?&amp;Z=8&amp;N=6&amp;Sheet=1&amp;Row=328&amp;Col=14","")</f>
      </c>
      <c r="P329" t="s" s="1">
        <f>HYPERLINK("http://141.218.60.56/~jnz1568/discussion.php?&amp;Z=8&amp;N=6&amp;Sheet=1&amp;Row=328&amp;Col=15","")</f>
      </c>
      <c r="Q329" t="s" s="1">
        <f>HYPERLINK("http://141.218.60.56/~jnz1568/discussion.php?&amp;Z=8&amp;N=6&amp;Sheet=1&amp;Row=328&amp;Col=16","")</f>
      </c>
    </row>
    <row r="330">
      <c r="A330" t="s">
        <v>15</v>
      </c>
      <c r="B330" t="s">
        <v>16</v>
      </c>
      <c r="C330" t="s">
        <v>169</v>
      </c>
      <c r="D330" t="s">
        <v>122</v>
      </c>
      <c r="E330" t="s">
        <v>1502</v>
      </c>
      <c r="F330" t="s" s="1">
        <f>HYPERLINK("http://141.218.60.56/~jnz1568/discussion.php?&amp;Z=8&amp;N=6&amp;Sheet=1&amp;Row=329&amp;Col=5","1366300")</f>
      </c>
      <c r="G330" t="s" s="1">
        <f>HYPERLINK("http://141.218.60.56/~jnz1568/discussion.php?&amp;Z=8&amp;N=6&amp;Sheet=1&amp;Row=329&amp;Col=6","")</f>
      </c>
      <c r="H330" t="s" s="1">
        <f>HYPERLINK("http://141.218.60.56/~jnz1568/discussion.php?&amp;Z=8&amp;N=6&amp;Sheet=1&amp;Row=329&amp;Col=7","")</f>
      </c>
      <c r="I330" t="s" s="1">
        <f>HYPERLINK("http://141.218.60.56/~jnz1568/discussion.php?&amp;Z=8&amp;N=6&amp;Sheet=1&amp;Row=329&amp;Col=8","")</f>
      </c>
      <c r="J330" t="s" s="1">
        <f>HYPERLINK("http://141.218.60.56/~jnz1568/discussion.php?&amp;Z=8&amp;N=6&amp;Sheet=1&amp;Row=329&amp;Col=9","1349100")</f>
      </c>
      <c r="K330" t="s" s="1">
        <f>HYPERLINK("http://141.218.60.56/~jnz1568/discussion.php?&amp;Z=8&amp;N=6&amp;Sheet=1&amp;Row=329&amp;Col=10","")</f>
      </c>
      <c r="L330" t="s" s="1">
        <f>HYPERLINK("http://141.218.60.56/~jnz1568/discussion.php?&amp;Z=8&amp;N=6&amp;Sheet=1&amp;Row=329&amp;Col=11","")</f>
      </c>
      <c r="M330" t="s" s="1">
        <f>HYPERLINK("http://141.218.60.56/~jnz1568/discussion.php?&amp;Z=8&amp;N=6&amp;Sheet=1&amp;Row=329&amp;Col=12","")</f>
      </c>
      <c r="N330" t="s" s="1">
        <f>HYPERLINK("http://141.218.60.56/~jnz1568/discussion.php?&amp;Z=8&amp;N=6&amp;Sheet=1&amp;Row=329&amp;Col=13","565100")</f>
      </c>
      <c r="O330" t="s" s="1">
        <f>HYPERLINK("http://141.218.60.56/~jnz1568/discussion.php?&amp;Z=8&amp;N=6&amp;Sheet=1&amp;Row=329&amp;Col=14","")</f>
      </c>
      <c r="P330" t="s" s="1">
        <f>HYPERLINK("http://141.218.60.56/~jnz1568/discussion.php?&amp;Z=8&amp;N=6&amp;Sheet=1&amp;Row=329&amp;Col=15","")</f>
      </c>
      <c r="Q330" t="s" s="1">
        <f>HYPERLINK("http://141.218.60.56/~jnz1568/discussion.php?&amp;Z=8&amp;N=6&amp;Sheet=1&amp;Row=329&amp;Col=16","")</f>
      </c>
    </row>
    <row r="331">
      <c r="A331" t="s">
        <v>15</v>
      </c>
      <c r="B331" t="s">
        <v>16</v>
      </c>
      <c r="C331" t="s">
        <v>169</v>
      </c>
      <c r="D331" t="s">
        <v>127</v>
      </c>
      <c r="E331" t="s">
        <v>1506</v>
      </c>
      <c r="F331" t="s" s="1">
        <f>HYPERLINK("http://141.218.60.56/~jnz1568/discussion.php?&amp;Z=8&amp;N=6&amp;Sheet=1&amp;Row=330&amp;Col=5","589.02")</f>
      </c>
      <c r="G331" t="s" s="1">
        <f>HYPERLINK("http://141.218.60.56/~jnz1568/discussion.php?&amp;Z=8&amp;N=6&amp;Sheet=1&amp;Row=330&amp;Col=6","")</f>
      </c>
      <c r="H331" t="s" s="1">
        <f>HYPERLINK("http://141.218.60.56/~jnz1568/discussion.php?&amp;Z=8&amp;N=6&amp;Sheet=1&amp;Row=330&amp;Col=7","")</f>
      </c>
      <c r="I331" t="s" s="1">
        <f>HYPERLINK("http://141.218.60.56/~jnz1568/discussion.php?&amp;Z=8&amp;N=6&amp;Sheet=1&amp;Row=330&amp;Col=8","")</f>
      </c>
      <c r="J331" t="s" s="1">
        <f>HYPERLINK("http://141.218.60.56/~jnz1568/discussion.php?&amp;Z=8&amp;N=6&amp;Sheet=1&amp;Row=330&amp;Col=9","2304.6")</f>
      </c>
      <c r="K331" t="s" s="1">
        <f>HYPERLINK("http://141.218.60.56/~jnz1568/discussion.php?&amp;Z=8&amp;N=6&amp;Sheet=1&amp;Row=330&amp;Col=10","")</f>
      </c>
      <c r="L331" t="s" s="1">
        <f>HYPERLINK("http://141.218.60.56/~jnz1568/discussion.php?&amp;Z=8&amp;N=6&amp;Sheet=1&amp;Row=330&amp;Col=11","")</f>
      </c>
      <c r="M331" t="s" s="1">
        <f>HYPERLINK("http://141.218.60.56/~jnz1568/discussion.php?&amp;Z=8&amp;N=6&amp;Sheet=1&amp;Row=330&amp;Col=12","")</f>
      </c>
      <c r="N331" t="s" s="1">
        <f>HYPERLINK("http://141.218.60.56/~jnz1568/discussion.php?&amp;Z=8&amp;N=6&amp;Sheet=1&amp;Row=330&amp;Col=13","186.3")</f>
      </c>
      <c r="O331" t="s" s="1">
        <f>HYPERLINK("http://141.218.60.56/~jnz1568/discussion.php?&amp;Z=8&amp;N=6&amp;Sheet=1&amp;Row=330&amp;Col=14","")</f>
      </c>
      <c r="P331" t="s" s="1">
        <f>HYPERLINK("http://141.218.60.56/~jnz1568/discussion.php?&amp;Z=8&amp;N=6&amp;Sheet=1&amp;Row=330&amp;Col=15","")</f>
      </c>
      <c r="Q331" t="s" s="1">
        <f>HYPERLINK("http://141.218.60.56/~jnz1568/discussion.php?&amp;Z=8&amp;N=6&amp;Sheet=1&amp;Row=330&amp;Col=16","")</f>
      </c>
    </row>
    <row r="332">
      <c r="A332" t="s">
        <v>15</v>
      </c>
      <c r="B332" t="s">
        <v>16</v>
      </c>
      <c r="C332" t="s">
        <v>169</v>
      </c>
      <c r="D332" t="s">
        <v>135</v>
      </c>
      <c r="E332" t="s">
        <v>1510</v>
      </c>
      <c r="F332" t="s" s="1">
        <f>HYPERLINK("http://141.218.60.56/~jnz1568/discussion.php?&amp;Z=8&amp;N=6&amp;Sheet=1&amp;Row=331&amp;Col=5","78851000")</f>
      </c>
      <c r="G332" t="s" s="1">
        <f>HYPERLINK("http://141.218.60.56/~jnz1568/discussion.php?&amp;Z=8&amp;N=6&amp;Sheet=1&amp;Row=331&amp;Col=6","")</f>
      </c>
      <c r="H332" t="s" s="1">
        <f>HYPERLINK("http://141.218.60.56/~jnz1568/discussion.php?&amp;Z=8&amp;N=6&amp;Sheet=1&amp;Row=331&amp;Col=7","")</f>
      </c>
      <c r="I332" t="s" s="1">
        <f>HYPERLINK("http://141.218.60.56/~jnz1568/discussion.php?&amp;Z=8&amp;N=6&amp;Sheet=1&amp;Row=331&amp;Col=8","")</f>
      </c>
      <c r="J332" t="s" s="1">
        <f>HYPERLINK("http://141.218.60.56/~jnz1568/discussion.php?&amp;Z=8&amp;N=6&amp;Sheet=1&amp;Row=331&amp;Col=9","78234000")</f>
      </c>
      <c r="K332" t="s" s="1">
        <f>HYPERLINK("http://141.218.60.56/~jnz1568/discussion.php?&amp;Z=8&amp;N=6&amp;Sheet=1&amp;Row=331&amp;Col=10","")</f>
      </c>
      <c r="L332" t="s" s="1">
        <f>HYPERLINK("http://141.218.60.56/~jnz1568/discussion.php?&amp;Z=8&amp;N=6&amp;Sheet=1&amp;Row=331&amp;Col=11","")</f>
      </c>
      <c r="M332" t="s" s="1">
        <f>HYPERLINK("http://141.218.60.56/~jnz1568/discussion.php?&amp;Z=8&amp;N=6&amp;Sheet=1&amp;Row=331&amp;Col=12","")</f>
      </c>
      <c r="N332" t="s" s="1">
        <f>HYPERLINK("http://141.218.60.56/~jnz1568/discussion.php?&amp;Z=8&amp;N=6&amp;Sheet=1&amp;Row=331&amp;Col=13","51010000")</f>
      </c>
      <c r="O332" t="s" s="1">
        <f>HYPERLINK("http://141.218.60.56/~jnz1568/discussion.php?&amp;Z=8&amp;N=6&amp;Sheet=1&amp;Row=331&amp;Col=14","")</f>
      </c>
      <c r="P332" t="s" s="1">
        <f>HYPERLINK("http://141.218.60.56/~jnz1568/discussion.php?&amp;Z=8&amp;N=6&amp;Sheet=1&amp;Row=331&amp;Col=15","")</f>
      </c>
      <c r="Q332" t="s" s="1">
        <f>HYPERLINK("http://141.218.60.56/~jnz1568/discussion.php?&amp;Z=8&amp;N=6&amp;Sheet=1&amp;Row=331&amp;Col=16","")</f>
      </c>
    </row>
    <row r="333">
      <c r="A333" t="s">
        <v>15</v>
      </c>
      <c r="B333" t="s">
        <v>16</v>
      </c>
      <c r="C333" t="s">
        <v>169</v>
      </c>
      <c r="D333" t="s">
        <v>138</v>
      </c>
      <c r="E333" t="s">
        <v>1514</v>
      </c>
      <c r="F333" t="s" s="1">
        <f>HYPERLINK("http://141.218.60.56/~jnz1568/discussion.php?&amp;Z=8&amp;N=6&amp;Sheet=1&amp;Row=332&amp;Col=5","21904000")</f>
      </c>
      <c r="G333" t="s" s="1">
        <f>HYPERLINK("http://141.218.60.56/~jnz1568/discussion.php?&amp;Z=8&amp;N=6&amp;Sheet=1&amp;Row=332&amp;Col=6","")</f>
      </c>
      <c r="H333" t="s" s="1">
        <f>HYPERLINK("http://141.218.60.56/~jnz1568/discussion.php?&amp;Z=8&amp;N=6&amp;Sheet=1&amp;Row=332&amp;Col=7","")</f>
      </c>
      <c r="I333" t="s" s="1">
        <f>HYPERLINK("http://141.218.60.56/~jnz1568/discussion.php?&amp;Z=8&amp;N=6&amp;Sheet=1&amp;Row=332&amp;Col=8","")</f>
      </c>
      <c r="J333" t="s" s="1">
        <f>HYPERLINK("http://141.218.60.56/~jnz1568/discussion.php?&amp;Z=8&amp;N=6&amp;Sheet=1&amp;Row=332&amp;Col=9","21758000")</f>
      </c>
      <c r="K333" t="s" s="1">
        <f>HYPERLINK("http://141.218.60.56/~jnz1568/discussion.php?&amp;Z=8&amp;N=6&amp;Sheet=1&amp;Row=332&amp;Col=10","")</f>
      </c>
      <c r="L333" t="s" s="1">
        <f>HYPERLINK("http://141.218.60.56/~jnz1568/discussion.php?&amp;Z=8&amp;N=6&amp;Sheet=1&amp;Row=332&amp;Col=11","")</f>
      </c>
      <c r="M333" t="s" s="1">
        <f>HYPERLINK("http://141.218.60.56/~jnz1568/discussion.php?&amp;Z=8&amp;N=6&amp;Sheet=1&amp;Row=332&amp;Col=12","")</f>
      </c>
      <c r="N333" t="s" s="1">
        <f>HYPERLINK("http://141.218.60.56/~jnz1568/discussion.php?&amp;Z=8&amp;N=6&amp;Sheet=1&amp;Row=332&amp;Col=13","14410000")</f>
      </c>
      <c r="O333" t="s" s="1">
        <f>HYPERLINK("http://141.218.60.56/~jnz1568/discussion.php?&amp;Z=8&amp;N=6&amp;Sheet=1&amp;Row=332&amp;Col=14","")</f>
      </c>
      <c r="P333" t="s" s="1">
        <f>HYPERLINK("http://141.218.60.56/~jnz1568/discussion.php?&amp;Z=8&amp;N=6&amp;Sheet=1&amp;Row=332&amp;Col=15","")</f>
      </c>
      <c r="Q333" t="s" s="1">
        <f>HYPERLINK("http://141.218.60.56/~jnz1568/discussion.php?&amp;Z=8&amp;N=6&amp;Sheet=1&amp;Row=332&amp;Col=16","")</f>
      </c>
    </row>
    <row r="334">
      <c r="A334" t="s">
        <v>15</v>
      </c>
      <c r="B334" t="s">
        <v>16</v>
      </c>
      <c r="C334" t="s">
        <v>169</v>
      </c>
      <c r="D334" t="s">
        <v>141</v>
      </c>
      <c r="E334" t="s">
        <v>1518</v>
      </c>
      <c r="F334" t="s" s="1">
        <f>HYPERLINK("http://141.218.60.56/~jnz1568/discussion.php?&amp;Z=8&amp;N=6&amp;Sheet=1&amp;Row=333&amp;Col=5","5513.1")</f>
      </c>
      <c r="G334" t="s" s="1">
        <f>HYPERLINK("http://141.218.60.56/~jnz1568/discussion.php?&amp;Z=8&amp;N=6&amp;Sheet=1&amp;Row=333&amp;Col=6","")</f>
      </c>
      <c r="H334" t="s" s="1">
        <f>HYPERLINK("http://141.218.60.56/~jnz1568/discussion.php?&amp;Z=8&amp;N=6&amp;Sheet=1&amp;Row=333&amp;Col=7","")</f>
      </c>
      <c r="I334" t="s" s="1">
        <f>HYPERLINK("http://141.218.60.56/~jnz1568/discussion.php?&amp;Z=8&amp;N=6&amp;Sheet=1&amp;Row=333&amp;Col=8","")</f>
      </c>
      <c r="J334" t="s" s="1">
        <f>HYPERLINK("http://141.218.60.56/~jnz1568/discussion.php?&amp;Z=8&amp;N=6&amp;Sheet=1&amp;Row=333&amp;Col=9","5708.4")</f>
      </c>
      <c r="K334" t="s" s="1">
        <f>HYPERLINK("http://141.218.60.56/~jnz1568/discussion.php?&amp;Z=8&amp;N=6&amp;Sheet=1&amp;Row=333&amp;Col=10","")</f>
      </c>
      <c r="L334" t="s" s="1">
        <f>HYPERLINK("http://141.218.60.56/~jnz1568/discussion.php?&amp;Z=8&amp;N=6&amp;Sheet=1&amp;Row=333&amp;Col=11","")</f>
      </c>
      <c r="M334" t="s" s="1">
        <f>HYPERLINK("http://141.218.60.56/~jnz1568/discussion.php?&amp;Z=8&amp;N=6&amp;Sheet=1&amp;Row=333&amp;Col=12","")</f>
      </c>
      <c r="N334" t="s" s="1">
        <f>HYPERLINK("http://141.218.60.56/~jnz1568/discussion.php?&amp;Z=8&amp;N=6&amp;Sheet=1&amp;Row=333&amp;Col=13","691")</f>
      </c>
      <c r="O334" t="s" s="1">
        <f>HYPERLINK("http://141.218.60.56/~jnz1568/discussion.php?&amp;Z=8&amp;N=6&amp;Sheet=1&amp;Row=333&amp;Col=14","")</f>
      </c>
      <c r="P334" t="s" s="1">
        <f>HYPERLINK("http://141.218.60.56/~jnz1568/discussion.php?&amp;Z=8&amp;N=6&amp;Sheet=1&amp;Row=333&amp;Col=15","")</f>
      </c>
      <c r="Q334" t="s" s="1">
        <f>HYPERLINK("http://141.218.60.56/~jnz1568/discussion.php?&amp;Z=8&amp;N=6&amp;Sheet=1&amp;Row=333&amp;Col=16","")</f>
      </c>
    </row>
    <row r="335">
      <c r="A335" t="s">
        <v>15</v>
      </c>
      <c r="B335" t="s">
        <v>16</v>
      </c>
      <c r="C335" t="s">
        <v>172</v>
      </c>
      <c r="D335" t="s">
        <v>20</v>
      </c>
      <c r="E335" t="s">
        <v>1522</v>
      </c>
      <c r="F335" t="s" s="1">
        <f>HYPERLINK("http://141.218.60.56/~jnz1568/discussion.php?&amp;Z=8&amp;N=6&amp;Sheet=1&amp;Row=334&amp;Col=5","20331000000")</f>
      </c>
      <c r="G335" t="s" s="1">
        <f>HYPERLINK("http://141.218.60.56/~jnz1568/discussion.php?&amp;Z=8&amp;N=6&amp;Sheet=1&amp;Row=334&amp;Col=6","")</f>
      </c>
      <c r="H335" t="s" s="1">
        <f>HYPERLINK("http://141.218.60.56/~jnz1568/discussion.php?&amp;Z=8&amp;N=6&amp;Sheet=1&amp;Row=334&amp;Col=7","")</f>
      </c>
      <c r="I335" t="s" s="1">
        <f>HYPERLINK("http://141.218.60.56/~jnz1568/discussion.php?&amp;Z=8&amp;N=6&amp;Sheet=1&amp;Row=334&amp;Col=8","")</f>
      </c>
      <c r="J335" t="s" s="1">
        <f>HYPERLINK("http://141.218.60.56/~jnz1568/discussion.php?&amp;Z=8&amp;N=6&amp;Sheet=1&amp;Row=334&amp;Col=9","20445000000")</f>
      </c>
      <c r="K335" t="s" s="1">
        <f>HYPERLINK("http://141.218.60.56/~jnz1568/discussion.php?&amp;Z=8&amp;N=6&amp;Sheet=1&amp;Row=334&amp;Col=10","")</f>
      </c>
      <c r="L335" t="s" s="1">
        <f>HYPERLINK("http://141.218.60.56/~jnz1568/discussion.php?&amp;Z=8&amp;N=6&amp;Sheet=1&amp;Row=334&amp;Col=11","")</f>
      </c>
      <c r="M335" t="s" s="1">
        <f>HYPERLINK("http://141.218.60.56/~jnz1568/discussion.php?&amp;Z=8&amp;N=6&amp;Sheet=1&amp;Row=334&amp;Col=12","")</f>
      </c>
      <c r="N335" t="s" s="1">
        <f>HYPERLINK("http://141.218.60.56/~jnz1568/discussion.php?&amp;Z=8&amp;N=6&amp;Sheet=1&amp;Row=334&amp;Col=13","23470000000")</f>
      </c>
      <c r="O335" t="s" s="1">
        <f>HYPERLINK("http://141.218.60.56/~jnz1568/discussion.php?&amp;Z=8&amp;N=6&amp;Sheet=1&amp;Row=334&amp;Col=14","")</f>
      </c>
      <c r="P335" t="s" s="1">
        <f>HYPERLINK("http://141.218.60.56/~jnz1568/discussion.php?&amp;Z=8&amp;N=6&amp;Sheet=1&amp;Row=334&amp;Col=15","")</f>
      </c>
      <c r="Q335" t="s" s="1">
        <f>HYPERLINK("http://141.218.60.56/~jnz1568/discussion.php?&amp;Z=8&amp;N=6&amp;Sheet=1&amp;Row=334&amp;Col=16","")</f>
      </c>
    </row>
    <row r="336">
      <c r="A336" t="s">
        <v>15</v>
      </c>
      <c r="B336" t="s">
        <v>16</v>
      </c>
      <c r="C336" t="s">
        <v>172</v>
      </c>
      <c r="D336" t="s">
        <v>28</v>
      </c>
      <c r="E336" t="s">
        <v>1526</v>
      </c>
      <c r="F336" t="s" s="1">
        <f>HYPERLINK("http://141.218.60.56/~jnz1568/discussion.php?&amp;Z=8&amp;N=6&amp;Sheet=1&amp;Row=335&amp;Col=5","4106900")</f>
      </c>
      <c r="G336" t="s" s="1">
        <f>HYPERLINK("http://141.218.60.56/~jnz1568/discussion.php?&amp;Z=8&amp;N=6&amp;Sheet=1&amp;Row=335&amp;Col=6","")</f>
      </c>
      <c r="H336" t="s" s="1">
        <f>HYPERLINK("http://141.218.60.56/~jnz1568/discussion.php?&amp;Z=8&amp;N=6&amp;Sheet=1&amp;Row=335&amp;Col=7","")</f>
      </c>
      <c r="I336" t="s" s="1">
        <f>HYPERLINK("http://141.218.60.56/~jnz1568/discussion.php?&amp;Z=8&amp;N=6&amp;Sheet=1&amp;Row=335&amp;Col=8","")</f>
      </c>
      <c r="J336" t="s" s="1">
        <f>HYPERLINK("http://141.218.60.56/~jnz1568/discussion.php?&amp;Z=8&amp;N=6&amp;Sheet=1&amp;Row=335&amp;Col=9","4003800")</f>
      </c>
      <c r="K336" t="s" s="1">
        <f>HYPERLINK("http://141.218.60.56/~jnz1568/discussion.php?&amp;Z=8&amp;N=6&amp;Sheet=1&amp;Row=335&amp;Col=10","")</f>
      </c>
      <c r="L336" t="s" s="1">
        <f>HYPERLINK("http://141.218.60.56/~jnz1568/discussion.php?&amp;Z=8&amp;N=6&amp;Sheet=1&amp;Row=335&amp;Col=11","")</f>
      </c>
      <c r="M336" t="s" s="1">
        <f>HYPERLINK("http://141.218.60.56/~jnz1568/discussion.php?&amp;Z=8&amp;N=6&amp;Sheet=1&amp;Row=335&amp;Col=12","")</f>
      </c>
      <c r="N336" t="s" s="1">
        <f>HYPERLINK("http://141.218.60.56/~jnz1568/discussion.php?&amp;Z=8&amp;N=6&amp;Sheet=1&amp;Row=335&amp;Col=13","922500")</f>
      </c>
      <c r="O336" t="s" s="1">
        <f>HYPERLINK("http://141.218.60.56/~jnz1568/discussion.php?&amp;Z=8&amp;N=6&amp;Sheet=1&amp;Row=335&amp;Col=14","")</f>
      </c>
      <c r="P336" t="s" s="1">
        <f>HYPERLINK("http://141.218.60.56/~jnz1568/discussion.php?&amp;Z=8&amp;N=6&amp;Sheet=1&amp;Row=335&amp;Col=15","")</f>
      </c>
      <c r="Q336" t="s" s="1">
        <f>HYPERLINK("http://141.218.60.56/~jnz1568/discussion.php?&amp;Z=8&amp;N=6&amp;Sheet=1&amp;Row=335&amp;Col=16","")</f>
      </c>
    </row>
    <row r="337">
      <c r="A337" t="s">
        <v>15</v>
      </c>
      <c r="B337" t="s">
        <v>16</v>
      </c>
      <c r="C337" t="s">
        <v>172</v>
      </c>
      <c r="D337" t="s">
        <v>94</v>
      </c>
      <c r="E337" t="s">
        <v>1530</v>
      </c>
      <c r="F337" t="s" s="1">
        <f>HYPERLINK("http://141.218.60.56/~jnz1568/discussion.php?&amp;Z=8&amp;N=6&amp;Sheet=1&amp;Row=336&amp;Col=5","989710")</f>
      </c>
      <c r="G337" t="s" s="1">
        <f>HYPERLINK("http://141.218.60.56/~jnz1568/discussion.php?&amp;Z=8&amp;N=6&amp;Sheet=1&amp;Row=336&amp;Col=6","")</f>
      </c>
      <c r="H337" t="s" s="1">
        <f>HYPERLINK("http://141.218.60.56/~jnz1568/discussion.php?&amp;Z=8&amp;N=6&amp;Sheet=1&amp;Row=336&amp;Col=7","")</f>
      </c>
      <c r="I337" t="s" s="1">
        <f>HYPERLINK("http://141.218.60.56/~jnz1568/discussion.php?&amp;Z=8&amp;N=6&amp;Sheet=1&amp;Row=336&amp;Col=8","")</f>
      </c>
      <c r="J337" t="s" s="1">
        <f>HYPERLINK("http://141.218.60.56/~jnz1568/discussion.php?&amp;Z=8&amp;N=6&amp;Sheet=1&amp;Row=336&amp;Col=9","1169000")</f>
      </c>
      <c r="K337" t="s" s="1">
        <f>HYPERLINK("http://141.218.60.56/~jnz1568/discussion.php?&amp;Z=8&amp;N=6&amp;Sheet=1&amp;Row=336&amp;Col=10","")</f>
      </c>
      <c r="L337" t="s" s="1">
        <f>HYPERLINK("http://141.218.60.56/~jnz1568/discussion.php?&amp;Z=8&amp;N=6&amp;Sheet=1&amp;Row=336&amp;Col=11","")</f>
      </c>
      <c r="M337" t="s" s="1">
        <f>HYPERLINK("http://141.218.60.56/~jnz1568/discussion.php?&amp;Z=8&amp;N=6&amp;Sheet=1&amp;Row=336&amp;Col=12","")</f>
      </c>
      <c r="N337" t="s" s="1">
        <f>HYPERLINK("http://141.218.60.56/~jnz1568/discussion.php?&amp;Z=8&amp;N=6&amp;Sheet=1&amp;Row=336&amp;Col=13","1784000")</f>
      </c>
      <c r="O337" t="s" s="1">
        <f>HYPERLINK("http://141.218.60.56/~jnz1568/discussion.php?&amp;Z=8&amp;N=6&amp;Sheet=1&amp;Row=336&amp;Col=14","")</f>
      </c>
      <c r="P337" t="s" s="1">
        <f>HYPERLINK("http://141.218.60.56/~jnz1568/discussion.php?&amp;Z=8&amp;N=6&amp;Sheet=1&amp;Row=336&amp;Col=15","")</f>
      </c>
      <c r="Q337" t="s" s="1">
        <f>HYPERLINK("http://141.218.60.56/~jnz1568/discussion.php?&amp;Z=8&amp;N=6&amp;Sheet=1&amp;Row=336&amp;Col=16","")</f>
      </c>
    </row>
    <row r="338">
      <c r="A338" t="s">
        <v>15</v>
      </c>
      <c r="B338" t="s">
        <v>16</v>
      </c>
      <c r="C338" t="s">
        <v>172</v>
      </c>
      <c r="D338" t="s">
        <v>116</v>
      </c>
      <c r="E338" t="s">
        <v>1534</v>
      </c>
      <c r="F338" t="s" s="1">
        <f>HYPERLINK("http://141.218.60.56/~jnz1568/discussion.php?&amp;Z=8&amp;N=6&amp;Sheet=1&amp;Row=337&amp;Col=5","4868500")</f>
      </c>
      <c r="G338" t="s" s="1">
        <f>HYPERLINK("http://141.218.60.56/~jnz1568/discussion.php?&amp;Z=8&amp;N=6&amp;Sheet=1&amp;Row=337&amp;Col=6","")</f>
      </c>
      <c r="H338" t="s" s="1">
        <f>HYPERLINK("http://141.218.60.56/~jnz1568/discussion.php?&amp;Z=8&amp;N=6&amp;Sheet=1&amp;Row=337&amp;Col=7","")</f>
      </c>
      <c r="I338" t="s" s="1">
        <f>HYPERLINK("http://141.218.60.56/~jnz1568/discussion.php?&amp;Z=8&amp;N=6&amp;Sheet=1&amp;Row=337&amp;Col=8","")</f>
      </c>
      <c r="J338" t="s" s="1">
        <f>HYPERLINK("http://141.218.60.56/~jnz1568/discussion.php?&amp;Z=8&amp;N=6&amp;Sheet=1&amp;Row=337&amp;Col=9","4766000")</f>
      </c>
      <c r="K338" t="s" s="1">
        <f>HYPERLINK("http://141.218.60.56/~jnz1568/discussion.php?&amp;Z=8&amp;N=6&amp;Sheet=1&amp;Row=337&amp;Col=10","")</f>
      </c>
      <c r="L338" t="s" s="1">
        <f>HYPERLINK("http://141.218.60.56/~jnz1568/discussion.php?&amp;Z=8&amp;N=6&amp;Sheet=1&amp;Row=337&amp;Col=11","")</f>
      </c>
      <c r="M338" t="s" s="1">
        <f>HYPERLINK("http://141.218.60.56/~jnz1568/discussion.php?&amp;Z=8&amp;N=6&amp;Sheet=1&amp;Row=337&amp;Col=12","")</f>
      </c>
      <c r="N338" t="s" s="1">
        <f>HYPERLINK("http://141.218.60.56/~jnz1568/discussion.php?&amp;Z=8&amp;N=6&amp;Sheet=1&amp;Row=337&amp;Col=13","4344000")</f>
      </c>
      <c r="O338" t="s" s="1">
        <f>HYPERLINK("http://141.218.60.56/~jnz1568/discussion.php?&amp;Z=8&amp;N=6&amp;Sheet=1&amp;Row=337&amp;Col=14","")</f>
      </c>
      <c r="P338" t="s" s="1">
        <f>HYPERLINK("http://141.218.60.56/~jnz1568/discussion.php?&amp;Z=8&amp;N=6&amp;Sheet=1&amp;Row=337&amp;Col=15","")</f>
      </c>
      <c r="Q338" t="s" s="1">
        <f>HYPERLINK("http://141.218.60.56/~jnz1568/discussion.php?&amp;Z=8&amp;N=6&amp;Sheet=1&amp;Row=337&amp;Col=16","")</f>
      </c>
    </row>
    <row r="339">
      <c r="A339" t="s">
        <v>15</v>
      </c>
      <c r="B339" t="s">
        <v>16</v>
      </c>
      <c r="C339" t="s">
        <v>172</v>
      </c>
      <c r="D339" t="s">
        <v>119</v>
      </c>
      <c r="E339" t="s">
        <v>1538</v>
      </c>
      <c r="F339" t="s" s="1">
        <f>HYPERLINK("http://141.218.60.56/~jnz1568/discussion.php?&amp;Z=8&amp;N=6&amp;Sheet=1&amp;Row=338&amp;Col=5","59768000")</f>
      </c>
      <c r="G339" t="s" s="1">
        <f>HYPERLINK("http://141.218.60.56/~jnz1568/discussion.php?&amp;Z=8&amp;N=6&amp;Sheet=1&amp;Row=338&amp;Col=6","")</f>
      </c>
      <c r="H339" t="s" s="1">
        <f>HYPERLINK("http://141.218.60.56/~jnz1568/discussion.php?&amp;Z=8&amp;N=6&amp;Sheet=1&amp;Row=338&amp;Col=7","")</f>
      </c>
      <c r="I339" t="s" s="1">
        <f>HYPERLINK("http://141.218.60.56/~jnz1568/discussion.php?&amp;Z=8&amp;N=6&amp;Sheet=1&amp;Row=338&amp;Col=8","")</f>
      </c>
      <c r="J339" t="s" s="1">
        <f>HYPERLINK("http://141.218.60.56/~jnz1568/discussion.php?&amp;Z=8&amp;N=6&amp;Sheet=1&amp;Row=338&amp;Col=9","59250000")</f>
      </c>
      <c r="K339" t="s" s="1">
        <f>HYPERLINK("http://141.218.60.56/~jnz1568/discussion.php?&amp;Z=8&amp;N=6&amp;Sheet=1&amp;Row=338&amp;Col=10","")</f>
      </c>
      <c r="L339" t="s" s="1">
        <f>HYPERLINK("http://141.218.60.56/~jnz1568/discussion.php?&amp;Z=8&amp;N=6&amp;Sheet=1&amp;Row=338&amp;Col=11","")</f>
      </c>
      <c r="M339" t="s" s="1">
        <f>HYPERLINK("http://141.218.60.56/~jnz1568/discussion.php?&amp;Z=8&amp;N=6&amp;Sheet=1&amp;Row=338&amp;Col=12","")</f>
      </c>
      <c r="N339" t="s" s="1">
        <f>HYPERLINK("http://141.218.60.56/~jnz1568/discussion.php?&amp;Z=8&amp;N=6&amp;Sheet=1&amp;Row=338&amp;Col=13","43970000")</f>
      </c>
      <c r="O339" t="s" s="1">
        <f>HYPERLINK("http://141.218.60.56/~jnz1568/discussion.php?&amp;Z=8&amp;N=6&amp;Sheet=1&amp;Row=338&amp;Col=14","")</f>
      </c>
      <c r="P339" t="s" s="1">
        <f>HYPERLINK("http://141.218.60.56/~jnz1568/discussion.php?&amp;Z=8&amp;N=6&amp;Sheet=1&amp;Row=338&amp;Col=15","")</f>
      </c>
      <c r="Q339" t="s" s="1">
        <f>HYPERLINK("http://141.218.60.56/~jnz1568/discussion.php?&amp;Z=8&amp;N=6&amp;Sheet=1&amp;Row=338&amp;Col=16","")</f>
      </c>
    </row>
    <row r="340">
      <c r="A340" t="s">
        <v>15</v>
      </c>
      <c r="B340" t="s">
        <v>16</v>
      </c>
      <c r="C340" t="s">
        <v>172</v>
      </c>
      <c r="D340" t="s">
        <v>127</v>
      </c>
      <c r="E340" t="s">
        <v>1542</v>
      </c>
      <c r="F340" t="s" s="1">
        <f>HYPERLINK("http://141.218.60.56/~jnz1568/discussion.php?&amp;Z=8&amp;N=6&amp;Sheet=1&amp;Row=339&amp;Col=5","1453.1")</f>
      </c>
      <c r="G340" t="s" s="1">
        <f>HYPERLINK("http://141.218.60.56/~jnz1568/discussion.php?&amp;Z=8&amp;N=6&amp;Sheet=1&amp;Row=339&amp;Col=6","")</f>
      </c>
      <c r="H340" t="s" s="1">
        <f>HYPERLINK("http://141.218.60.56/~jnz1568/discussion.php?&amp;Z=8&amp;N=6&amp;Sheet=1&amp;Row=339&amp;Col=7","")</f>
      </c>
      <c r="I340" t="s" s="1">
        <f>HYPERLINK("http://141.218.60.56/~jnz1568/discussion.php?&amp;Z=8&amp;N=6&amp;Sheet=1&amp;Row=339&amp;Col=8","")</f>
      </c>
      <c r="J340" t="s" s="1">
        <f>HYPERLINK("http://141.218.60.56/~jnz1568/discussion.php?&amp;Z=8&amp;N=6&amp;Sheet=1&amp;Row=339&amp;Col=9","9025.6")</f>
      </c>
      <c r="K340" t="s" s="1">
        <f>HYPERLINK("http://141.218.60.56/~jnz1568/discussion.php?&amp;Z=8&amp;N=6&amp;Sheet=1&amp;Row=339&amp;Col=10","")</f>
      </c>
      <c r="L340" t="s" s="1">
        <f>HYPERLINK("http://141.218.60.56/~jnz1568/discussion.php?&amp;Z=8&amp;N=6&amp;Sheet=1&amp;Row=339&amp;Col=11","")</f>
      </c>
      <c r="M340" t="s" s="1">
        <f>HYPERLINK("http://141.218.60.56/~jnz1568/discussion.php?&amp;Z=8&amp;N=6&amp;Sheet=1&amp;Row=339&amp;Col=12","")</f>
      </c>
      <c r="N340" t="s" s="1">
        <f>HYPERLINK("http://141.218.60.56/~jnz1568/discussion.php?&amp;Z=8&amp;N=6&amp;Sheet=1&amp;Row=339&amp;Col=13","997.5")</f>
      </c>
      <c r="O340" t="s" s="1">
        <f>HYPERLINK("http://141.218.60.56/~jnz1568/discussion.php?&amp;Z=8&amp;N=6&amp;Sheet=1&amp;Row=339&amp;Col=14","")</f>
      </c>
      <c r="P340" t="s" s="1">
        <f>HYPERLINK("http://141.218.60.56/~jnz1568/discussion.php?&amp;Z=8&amp;N=6&amp;Sheet=1&amp;Row=339&amp;Col=15","")</f>
      </c>
      <c r="Q340" t="s" s="1">
        <f>HYPERLINK("http://141.218.60.56/~jnz1568/discussion.php?&amp;Z=8&amp;N=6&amp;Sheet=1&amp;Row=339&amp;Col=16","")</f>
      </c>
    </row>
    <row r="341">
      <c r="A341" t="s">
        <v>15</v>
      </c>
      <c r="B341" t="s">
        <v>16</v>
      </c>
      <c r="C341" t="s">
        <v>172</v>
      </c>
      <c r="D341" t="s">
        <v>138</v>
      </c>
      <c r="E341" t="s">
        <v>1546</v>
      </c>
      <c r="F341" t="s" s="1">
        <f>HYPERLINK("http://141.218.60.56/~jnz1568/discussion.php?&amp;Z=8&amp;N=6&amp;Sheet=1&amp;Row=340&amp;Col=5","100540000")</f>
      </c>
      <c r="G341" t="s" s="1">
        <f>HYPERLINK("http://141.218.60.56/~jnz1568/discussion.php?&amp;Z=8&amp;N=6&amp;Sheet=1&amp;Row=340&amp;Col=6","")</f>
      </c>
      <c r="H341" t="s" s="1">
        <f>HYPERLINK("http://141.218.60.56/~jnz1568/discussion.php?&amp;Z=8&amp;N=6&amp;Sheet=1&amp;Row=340&amp;Col=7","")</f>
      </c>
      <c r="I341" t="s" s="1">
        <f>HYPERLINK("http://141.218.60.56/~jnz1568/discussion.php?&amp;Z=8&amp;N=6&amp;Sheet=1&amp;Row=340&amp;Col=8","")</f>
      </c>
      <c r="J341" t="s" s="1">
        <f>HYPERLINK("http://141.218.60.56/~jnz1568/discussion.php?&amp;Z=8&amp;N=6&amp;Sheet=1&amp;Row=340&amp;Col=9","99770000")</f>
      </c>
      <c r="K341" t="s" s="1">
        <f>HYPERLINK("http://141.218.60.56/~jnz1568/discussion.php?&amp;Z=8&amp;N=6&amp;Sheet=1&amp;Row=340&amp;Col=10","")</f>
      </c>
      <c r="L341" t="s" s="1">
        <f>HYPERLINK("http://141.218.60.56/~jnz1568/discussion.php?&amp;Z=8&amp;N=6&amp;Sheet=1&amp;Row=340&amp;Col=11","")</f>
      </c>
      <c r="M341" t="s" s="1">
        <f>HYPERLINK("http://141.218.60.56/~jnz1568/discussion.php?&amp;Z=8&amp;N=6&amp;Sheet=1&amp;Row=340&amp;Col=12","")</f>
      </c>
      <c r="N341" t="s" s="1">
        <f>HYPERLINK("http://141.218.60.56/~jnz1568/discussion.php?&amp;Z=8&amp;N=6&amp;Sheet=1&amp;Row=340&amp;Col=13","65200000")</f>
      </c>
      <c r="O341" t="s" s="1">
        <f>HYPERLINK("http://141.218.60.56/~jnz1568/discussion.php?&amp;Z=8&amp;N=6&amp;Sheet=1&amp;Row=340&amp;Col=14","")</f>
      </c>
      <c r="P341" t="s" s="1">
        <f>HYPERLINK("http://141.218.60.56/~jnz1568/discussion.php?&amp;Z=8&amp;N=6&amp;Sheet=1&amp;Row=340&amp;Col=15","")</f>
      </c>
      <c r="Q341" t="s" s="1">
        <f>HYPERLINK("http://141.218.60.56/~jnz1568/discussion.php?&amp;Z=8&amp;N=6&amp;Sheet=1&amp;Row=340&amp;Col=16","")</f>
      </c>
    </row>
    <row r="342">
      <c r="A342" t="s">
        <v>15</v>
      </c>
      <c r="B342" t="s">
        <v>16</v>
      </c>
      <c r="C342" t="s">
        <v>172</v>
      </c>
      <c r="D342" t="s">
        <v>141</v>
      </c>
      <c r="E342" t="s">
        <v>1550</v>
      </c>
      <c r="F342" t="s" s="1">
        <f>HYPERLINK("http://141.218.60.56/~jnz1568/discussion.php?&amp;Z=8&amp;N=6&amp;Sheet=1&amp;Row=341&amp;Col=5","4456.4")</f>
      </c>
      <c r="G342" t="s" s="1">
        <f>HYPERLINK("http://141.218.60.56/~jnz1568/discussion.php?&amp;Z=8&amp;N=6&amp;Sheet=1&amp;Row=341&amp;Col=6","")</f>
      </c>
      <c r="H342" t="s" s="1">
        <f>HYPERLINK("http://141.218.60.56/~jnz1568/discussion.php?&amp;Z=8&amp;N=6&amp;Sheet=1&amp;Row=341&amp;Col=7","")</f>
      </c>
      <c r="I342" t="s" s="1">
        <f>HYPERLINK("http://141.218.60.56/~jnz1568/discussion.php?&amp;Z=8&amp;N=6&amp;Sheet=1&amp;Row=341&amp;Col=8","")</f>
      </c>
      <c r="J342" t="s" s="1">
        <f>HYPERLINK("http://141.218.60.56/~jnz1568/discussion.php?&amp;Z=8&amp;N=6&amp;Sheet=1&amp;Row=341&amp;Col=9","4340.3")</f>
      </c>
      <c r="K342" t="s" s="1">
        <f>HYPERLINK("http://141.218.60.56/~jnz1568/discussion.php?&amp;Z=8&amp;N=6&amp;Sheet=1&amp;Row=341&amp;Col=10","")</f>
      </c>
      <c r="L342" t="s" s="1">
        <f>HYPERLINK("http://141.218.60.56/~jnz1568/discussion.php?&amp;Z=8&amp;N=6&amp;Sheet=1&amp;Row=341&amp;Col=11","")</f>
      </c>
      <c r="M342" t="s" s="1">
        <f>HYPERLINK("http://141.218.60.56/~jnz1568/discussion.php?&amp;Z=8&amp;N=6&amp;Sheet=1&amp;Row=341&amp;Col=12","")</f>
      </c>
      <c r="N342" t="s" s="1">
        <f>HYPERLINK("http://141.218.60.56/~jnz1568/discussion.php?&amp;Z=8&amp;N=6&amp;Sheet=1&amp;Row=341&amp;Col=13","195.2")</f>
      </c>
      <c r="O342" t="s" s="1">
        <f>HYPERLINK("http://141.218.60.56/~jnz1568/discussion.php?&amp;Z=8&amp;N=6&amp;Sheet=1&amp;Row=341&amp;Col=14","")</f>
      </c>
      <c r="P342" t="s" s="1">
        <f>HYPERLINK("http://141.218.60.56/~jnz1568/discussion.php?&amp;Z=8&amp;N=6&amp;Sheet=1&amp;Row=341&amp;Col=15","")</f>
      </c>
      <c r="Q342" t="s" s="1">
        <f>HYPERLINK("http://141.218.60.56/~jnz1568/discussion.php?&amp;Z=8&amp;N=6&amp;Sheet=1&amp;Row=341&amp;Col=16","")</f>
      </c>
    </row>
    <row r="343">
      <c r="A343" t="s">
        <v>15</v>
      </c>
      <c r="B343" t="s">
        <v>16</v>
      </c>
      <c r="C343" t="s">
        <v>175</v>
      </c>
      <c r="D343" t="s">
        <v>23</v>
      </c>
      <c r="E343" t="s">
        <v>1554</v>
      </c>
      <c r="F343" t="s" s="1">
        <f>HYPERLINK("http://141.218.60.56/~jnz1568/discussion.php?&amp;Z=8&amp;N=6&amp;Sheet=1&amp;Row=342&amp;Col=5","2091100000")</f>
      </c>
      <c r="G343" t="s" s="1">
        <f>HYPERLINK("http://141.218.60.56/~jnz1568/discussion.php?&amp;Z=8&amp;N=6&amp;Sheet=1&amp;Row=342&amp;Col=6","")</f>
      </c>
      <c r="H343" t="s" s="1">
        <f>HYPERLINK("http://141.218.60.56/~jnz1568/discussion.php?&amp;Z=8&amp;N=6&amp;Sheet=1&amp;Row=342&amp;Col=7","")</f>
      </c>
      <c r="I343" t="s" s="1">
        <f>HYPERLINK("http://141.218.60.56/~jnz1568/discussion.php?&amp;Z=8&amp;N=6&amp;Sheet=1&amp;Row=342&amp;Col=8","")</f>
      </c>
      <c r="J343" t="s" s="1">
        <f>HYPERLINK("http://141.218.60.56/~jnz1568/discussion.php?&amp;Z=8&amp;N=6&amp;Sheet=1&amp;Row=342&amp;Col=9","2100400000")</f>
      </c>
      <c r="K343" t="s" s="1">
        <f>HYPERLINK("http://141.218.60.56/~jnz1568/discussion.php?&amp;Z=8&amp;N=6&amp;Sheet=1&amp;Row=342&amp;Col=10","")</f>
      </c>
      <c r="L343" t="s" s="1">
        <f>HYPERLINK("http://141.218.60.56/~jnz1568/discussion.php?&amp;Z=8&amp;N=6&amp;Sheet=1&amp;Row=342&amp;Col=11","")</f>
      </c>
      <c r="M343" t="s" s="1">
        <f>HYPERLINK("http://141.218.60.56/~jnz1568/discussion.php?&amp;Z=8&amp;N=6&amp;Sheet=1&amp;Row=342&amp;Col=12","")</f>
      </c>
      <c r="N343" t="s" s="1">
        <f>HYPERLINK("http://141.218.60.56/~jnz1568/discussion.php?&amp;Z=8&amp;N=6&amp;Sheet=1&amp;Row=342&amp;Col=13","2668000000")</f>
      </c>
      <c r="O343" t="s" s="1">
        <f>HYPERLINK("http://141.218.60.56/~jnz1568/discussion.php?&amp;Z=8&amp;N=6&amp;Sheet=1&amp;Row=342&amp;Col=14","")</f>
      </c>
      <c r="P343" t="s" s="1">
        <f>HYPERLINK("http://141.218.60.56/~jnz1568/discussion.php?&amp;Z=8&amp;N=6&amp;Sheet=1&amp;Row=342&amp;Col=15","")</f>
      </c>
      <c r="Q343" t="s" s="1">
        <f>HYPERLINK("http://141.218.60.56/~jnz1568/discussion.php?&amp;Z=8&amp;N=6&amp;Sheet=1&amp;Row=342&amp;Col=16","")</f>
      </c>
    </row>
    <row r="344">
      <c r="A344" t="s">
        <v>15</v>
      </c>
      <c r="B344" t="s">
        <v>16</v>
      </c>
      <c r="C344" t="s">
        <v>175</v>
      </c>
      <c r="D344" t="s">
        <v>20</v>
      </c>
      <c r="E344" t="s">
        <v>1558</v>
      </c>
      <c r="F344" t="s" s="1">
        <f>HYPERLINK("http://141.218.60.56/~jnz1568/discussion.php?&amp;Z=8&amp;N=6&amp;Sheet=1&amp;Row=343&amp;Col=5","9637800000")</f>
      </c>
      <c r="G344" t="s" s="1">
        <f>HYPERLINK("http://141.218.60.56/~jnz1568/discussion.php?&amp;Z=8&amp;N=6&amp;Sheet=1&amp;Row=343&amp;Col=6","")</f>
      </c>
      <c r="H344" t="s" s="1">
        <f>HYPERLINK("http://141.218.60.56/~jnz1568/discussion.php?&amp;Z=8&amp;N=6&amp;Sheet=1&amp;Row=343&amp;Col=7","")</f>
      </c>
      <c r="I344" t="s" s="1">
        <f>HYPERLINK("http://141.218.60.56/~jnz1568/discussion.php?&amp;Z=8&amp;N=6&amp;Sheet=1&amp;Row=343&amp;Col=8","")</f>
      </c>
      <c r="J344" t="s" s="1">
        <f>HYPERLINK("http://141.218.60.56/~jnz1568/discussion.php?&amp;Z=8&amp;N=6&amp;Sheet=1&amp;Row=343&amp;Col=9","9688900000")</f>
      </c>
      <c r="K344" t="s" s="1">
        <f>HYPERLINK("http://141.218.60.56/~jnz1568/discussion.php?&amp;Z=8&amp;N=6&amp;Sheet=1&amp;Row=343&amp;Col=10","")</f>
      </c>
      <c r="L344" t="s" s="1">
        <f>HYPERLINK("http://141.218.60.56/~jnz1568/discussion.php?&amp;Z=8&amp;N=6&amp;Sheet=1&amp;Row=343&amp;Col=11","")</f>
      </c>
      <c r="M344" t="s" s="1">
        <f>HYPERLINK("http://141.218.60.56/~jnz1568/discussion.php?&amp;Z=8&amp;N=6&amp;Sheet=1&amp;Row=343&amp;Col=12","")</f>
      </c>
      <c r="N344" t="s" s="1">
        <f>HYPERLINK("http://141.218.60.56/~jnz1568/discussion.php?&amp;Z=8&amp;N=6&amp;Sheet=1&amp;Row=343&amp;Col=13","11390000000")</f>
      </c>
      <c r="O344" t="s" s="1">
        <f>HYPERLINK("http://141.218.60.56/~jnz1568/discussion.php?&amp;Z=8&amp;N=6&amp;Sheet=1&amp;Row=343&amp;Col=14","")</f>
      </c>
      <c r="P344" t="s" s="1">
        <f>HYPERLINK("http://141.218.60.56/~jnz1568/discussion.php?&amp;Z=8&amp;N=6&amp;Sheet=1&amp;Row=343&amp;Col=15","")</f>
      </c>
      <c r="Q344" t="s" s="1">
        <f>HYPERLINK("http://141.218.60.56/~jnz1568/discussion.php?&amp;Z=8&amp;N=6&amp;Sheet=1&amp;Row=343&amp;Col=16","")</f>
      </c>
    </row>
    <row r="345">
      <c r="A345" t="s">
        <v>15</v>
      </c>
      <c r="B345" t="s">
        <v>16</v>
      </c>
      <c r="C345" t="s">
        <v>175</v>
      </c>
      <c r="D345" t="s">
        <v>28</v>
      </c>
      <c r="E345" t="s">
        <v>1562</v>
      </c>
      <c r="F345" t="s" s="1">
        <f>HYPERLINK("http://141.218.60.56/~jnz1568/discussion.php?&amp;Z=8&amp;N=6&amp;Sheet=1&amp;Row=344&amp;Col=5","10223000")</f>
      </c>
      <c r="G345" t="s" s="1">
        <f>HYPERLINK("http://141.218.60.56/~jnz1568/discussion.php?&amp;Z=8&amp;N=6&amp;Sheet=1&amp;Row=344&amp;Col=6","")</f>
      </c>
      <c r="H345" t="s" s="1">
        <f>HYPERLINK("http://141.218.60.56/~jnz1568/discussion.php?&amp;Z=8&amp;N=6&amp;Sheet=1&amp;Row=344&amp;Col=7","")</f>
      </c>
      <c r="I345" t="s" s="1">
        <f>HYPERLINK("http://141.218.60.56/~jnz1568/discussion.php?&amp;Z=8&amp;N=6&amp;Sheet=1&amp;Row=344&amp;Col=8","")</f>
      </c>
      <c r="J345" t="s" s="1">
        <f>HYPERLINK("http://141.218.60.56/~jnz1568/discussion.php?&amp;Z=8&amp;N=6&amp;Sheet=1&amp;Row=344&amp;Col=9","10391000")</f>
      </c>
      <c r="K345" t="s" s="1">
        <f>HYPERLINK("http://141.218.60.56/~jnz1568/discussion.php?&amp;Z=8&amp;N=6&amp;Sheet=1&amp;Row=344&amp;Col=10","")</f>
      </c>
      <c r="L345" t="s" s="1">
        <f>HYPERLINK("http://141.218.60.56/~jnz1568/discussion.php?&amp;Z=8&amp;N=6&amp;Sheet=1&amp;Row=344&amp;Col=11","")</f>
      </c>
      <c r="M345" t="s" s="1">
        <f>HYPERLINK("http://141.218.60.56/~jnz1568/discussion.php?&amp;Z=8&amp;N=6&amp;Sheet=1&amp;Row=344&amp;Col=12","")</f>
      </c>
      <c r="N345" t="s" s="1">
        <f>HYPERLINK("http://141.218.60.56/~jnz1568/discussion.php?&amp;Z=8&amp;N=6&amp;Sheet=1&amp;Row=344&amp;Col=13","6325000")</f>
      </c>
      <c r="O345" t="s" s="1">
        <f>HYPERLINK("http://141.218.60.56/~jnz1568/discussion.php?&amp;Z=8&amp;N=6&amp;Sheet=1&amp;Row=344&amp;Col=14","")</f>
      </c>
      <c r="P345" t="s" s="1">
        <f>HYPERLINK("http://141.218.60.56/~jnz1568/discussion.php?&amp;Z=8&amp;N=6&amp;Sheet=1&amp;Row=344&amp;Col=15","")</f>
      </c>
      <c r="Q345" t="s" s="1">
        <f>HYPERLINK("http://141.218.60.56/~jnz1568/discussion.php?&amp;Z=8&amp;N=6&amp;Sheet=1&amp;Row=344&amp;Col=16","")</f>
      </c>
    </row>
    <row r="346">
      <c r="A346" t="s">
        <v>15</v>
      </c>
      <c r="B346" t="s">
        <v>16</v>
      </c>
      <c r="C346" t="s">
        <v>175</v>
      </c>
      <c r="D346" t="s">
        <v>94</v>
      </c>
      <c r="E346" t="s">
        <v>1566</v>
      </c>
      <c r="F346" t="s" s="1">
        <f>HYPERLINK("http://141.218.60.56/~jnz1568/discussion.php?&amp;Z=8&amp;N=6&amp;Sheet=1&amp;Row=345&amp;Col=5","535950")</f>
      </c>
      <c r="G346" t="s" s="1">
        <f>HYPERLINK("http://141.218.60.56/~jnz1568/discussion.php?&amp;Z=8&amp;N=6&amp;Sheet=1&amp;Row=345&amp;Col=6","")</f>
      </c>
      <c r="H346" t="s" s="1">
        <f>HYPERLINK("http://141.218.60.56/~jnz1568/discussion.php?&amp;Z=8&amp;N=6&amp;Sheet=1&amp;Row=345&amp;Col=7","")</f>
      </c>
      <c r="I346" t="s" s="1">
        <f>HYPERLINK("http://141.218.60.56/~jnz1568/discussion.php?&amp;Z=8&amp;N=6&amp;Sheet=1&amp;Row=345&amp;Col=8","")</f>
      </c>
      <c r="J346" t="s" s="1">
        <f>HYPERLINK("http://141.218.60.56/~jnz1568/discussion.php?&amp;Z=8&amp;N=6&amp;Sheet=1&amp;Row=345&amp;Col=9","621230")</f>
      </c>
      <c r="K346" t="s" s="1">
        <f>HYPERLINK("http://141.218.60.56/~jnz1568/discussion.php?&amp;Z=8&amp;N=6&amp;Sheet=1&amp;Row=345&amp;Col=10","")</f>
      </c>
      <c r="L346" t="s" s="1">
        <f>HYPERLINK("http://141.218.60.56/~jnz1568/discussion.php?&amp;Z=8&amp;N=6&amp;Sheet=1&amp;Row=345&amp;Col=11","")</f>
      </c>
      <c r="M346" t="s" s="1">
        <f>HYPERLINK("http://141.218.60.56/~jnz1568/discussion.php?&amp;Z=8&amp;N=6&amp;Sheet=1&amp;Row=345&amp;Col=12","")</f>
      </c>
      <c r="N346" t="s" s="1">
        <f>HYPERLINK("http://141.218.60.56/~jnz1568/discussion.php?&amp;Z=8&amp;N=6&amp;Sheet=1&amp;Row=345&amp;Col=13","929800")</f>
      </c>
      <c r="O346" t="s" s="1">
        <f>HYPERLINK("http://141.218.60.56/~jnz1568/discussion.php?&amp;Z=8&amp;N=6&amp;Sheet=1&amp;Row=345&amp;Col=14","")</f>
      </c>
      <c r="P346" t="s" s="1">
        <f>HYPERLINK("http://141.218.60.56/~jnz1568/discussion.php?&amp;Z=8&amp;N=6&amp;Sheet=1&amp;Row=345&amp;Col=15","")</f>
      </c>
      <c r="Q346" t="s" s="1">
        <f>HYPERLINK("http://141.218.60.56/~jnz1568/discussion.php?&amp;Z=8&amp;N=6&amp;Sheet=1&amp;Row=345&amp;Col=16","")</f>
      </c>
    </row>
    <row r="347">
      <c r="A347" t="s">
        <v>15</v>
      </c>
      <c r="B347" t="s">
        <v>16</v>
      </c>
      <c r="C347" t="s">
        <v>175</v>
      </c>
      <c r="D347" t="s">
        <v>99</v>
      </c>
      <c r="E347" t="s">
        <v>1570</v>
      </c>
      <c r="F347" t="s" s="1">
        <f>HYPERLINK("http://141.218.60.56/~jnz1568/discussion.php?&amp;Z=8&amp;N=6&amp;Sheet=1&amp;Row=346&amp;Col=5","124410")</f>
      </c>
      <c r="G347" t="s" s="1">
        <f>HYPERLINK("http://141.218.60.56/~jnz1568/discussion.php?&amp;Z=8&amp;N=6&amp;Sheet=1&amp;Row=346&amp;Col=6","")</f>
      </c>
      <c r="H347" t="s" s="1">
        <f>HYPERLINK("http://141.218.60.56/~jnz1568/discussion.php?&amp;Z=8&amp;N=6&amp;Sheet=1&amp;Row=346&amp;Col=7","")</f>
      </c>
      <c r="I347" t="s" s="1">
        <f>HYPERLINK("http://141.218.60.56/~jnz1568/discussion.php?&amp;Z=8&amp;N=6&amp;Sheet=1&amp;Row=346&amp;Col=8","")</f>
      </c>
      <c r="J347" t="s" s="1">
        <f>HYPERLINK("http://141.218.60.56/~jnz1568/discussion.php?&amp;Z=8&amp;N=6&amp;Sheet=1&amp;Row=346&amp;Col=9","146660")</f>
      </c>
      <c r="K347" t="s" s="1">
        <f>HYPERLINK("http://141.218.60.56/~jnz1568/discussion.php?&amp;Z=8&amp;N=6&amp;Sheet=1&amp;Row=346&amp;Col=10","")</f>
      </c>
      <c r="L347" t="s" s="1">
        <f>HYPERLINK("http://141.218.60.56/~jnz1568/discussion.php?&amp;Z=8&amp;N=6&amp;Sheet=1&amp;Row=346&amp;Col=11","")</f>
      </c>
      <c r="M347" t="s" s="1">
        <f>HYPERLINK("http://141.218.60.56/~jnz1568/discussion.php?&amp;Z=8&amp;N=6&amp;Sheet=1&amp;Row=346&amp;Col=12","")</f>
      </c>
      <c r="N347" t="s" s="1">
        <f>HYPERLINK("http://141.218.60.56/~jnz1568/discussion.php?&amp;Z=8&amp;N=6&amp;Sheet=1&amp;Row=346&amp;Col=13","237500")</f>
      </c>
      <c r="O347" t="s" s="1">
        <f>HYPERLINK("http://141.218.60.56/~jnz1568/discussion.php?&amp;Z=8&amp;N=6&amp;Sheet=1&amp;Row=346&amp;Col=14","")</f>
      </c>
      <c r="P347" t="s" s="1">
        <f>HYPERLINK("http://141.218.60.56/~jnz1568/discussion.php?&amp;Z=8&amp;N=6&amp;Sheet=1&amp;Row=346&amp;Col=15","")</f>
      </c>
      <c r="Q347" t="s" s="1">
        <f>HYPERLINK("http://141.218.60.56/~jnz1568/discussion.php?&amp;Z=8&amp;N=6&amp;Sheet=1&amp;Row=346&amp;Col=16","")</f>
      </c>
    </row>
    <row r="348">
      <c r="A348" t="s">
        <v>15</v>
      </c>
      <c r="B348" t="s">
        <v>16</v>
      </c>
      <c r="C348" t="s">
        <v>175</v>
      </c>
      <c r="D348" t="s">
        <v>105</v>
      </c>
      <c r="E348" t="s">
        <v>1574</v>
      </c>
      <c r="F348" t="s" s="1">
        <f>HYPERLINK("http://141.218.60.56/~jnz1568/discussion.php?&amp;Z=8&amp;N=6&amp;Sheet=1&amp;Row=347&amp;Col=5","9795.5")</f>
      </c>
      <c r="G348" t="s" s="1">
        <f>HYPERLINK("http://141.218.60.56/~jnz1568/discussion.php?&amp;Z=8&amp;N=6&amp;Sheet=1&amp;Row=347&amp;Col=6","")</f>
      </c>
      <c r="H348" t="s" s="1">
        <f>HYPERLINK("http://141.218.60.56/~jnz1568/discussion.php?&amp;Z=8&amp;N=6&amp;Sheet=1&amp;Row=347&amp;Col=7","")</f>
      </c>
      <c r="I348" t="s" s="1">
        <f>HYPERLINK("http://141.218.60.56/~jnz1568/discussion.php?&amp;Z=8&amp;N=6&amp;Sheet=1&amp;Row=347&amp;Col=8","")</f>
      </c>
      <c r="J348" t="s" s="1">
        <f>HYPERLINK("http://141.218.60.56/~jnz1568/discussion.php?&amp;Z=8&amp;N=6&amp;Sheet=1&amp;Row=347&amp;Col=9","9873.4")</f>
      </c>
      <c r="K348" t="s" s="1">
        <f>HYPERLINK("http://141.218.60.56/~jnz1568/discussion.php?&amp;Z=8&amp;N=6&amp;Sheet=1&amp;Row=347&amp;Col=10","")</f>
      </c>
      <c r="L348" t="s" s="1">
        <f>HYPERLINK("http://141.218.60.56/~jnz1568/discussion.php?&amp;Z=8&amp;N=6&amp;Sheet=1&amp;Row=347&amp;Col=11","")</f>
      </c>
      <c r="M348" t="s" s="1">
        <f>HYPERLINK("http://141.218.60.56/~jnz1568/discussion.php?&amp;Z=8&amp;N=6&amp;Sheet=1&amp;Row=347&amp;Col=12","")</f>
      </c>
      <c r="N348" t="s" s="1">
        <f>HYPERLINK("http://141.218.60.56/~jnz1568/discussion.php?&amp;Z=8&amp;N=6&amp;Sheet=1&amp;Row=347&amp;Col=13","2447")</f>
      </c>
      <c r="O348" t="s" s="1">
        <f>HYPERLINK("http://141.218.60.56/~jnz1568/discussion.php?&amp;Z=8&amp;N=6&amp;Sheet=1&amp;Row=347&amp;Col=14","")</f>
      </c>
      <c r="P348" t="s" s="1">
        <f>HYPERLINK("http://141.218.60.56/~jnz1568/discussion.php?&amp;Z=8&amp;N=6&amp;Sheet=1&amp;Row=347&amp;Col=15","")</f>
      </c>
      <c r="Q348" t="s" s="1">
        <f>HYPERLINK("http://141.218.60.56/~jnz1568/discussion.php?&amp;Z=8&amp;N=6&amp;Sheet=1&amp;Row=347&amp;Col=16","")</f>
      </c>
    </row>
    <row r="349">
      <c r="A349" t="s">
        <v>15</v>
      </c>
      <c r="B349" t="s">
        <v>16</v>
      </c>
      <c r="C349" t="s">
        <v>175</v>
      </c>
      <c r="D349" t="s">
        <v>111</v>
      </c>
      <c r="E349" t="s">
        <v>1578</v>
      </c>
      <c r="F349" t="s" s="1">
        <f>HYPERLINK("http://141.218.60.56/~jnz1568/discussion.php?&amp;Z=8&amp;N=6&amp;Sheet=1&amp;Row=348&amp;Col=5","67046")</f>
      </c>
      <c r="G349" t="s" s="1">
        <f>HYPERLINK("http://141.218.60.56/~jnz1568/discussion.php?&amp;Z=8&amp;N=6&amp;Sheet=1&amp;Row=348&amp;Col=6","")</f>
      </c>
      <c r="H349" t="s" s="1">
        <f>HYPERLINK("http://141.218.60.56/~jnz1568/discussion.php?&amp;Z=8&amp;N=6&amp;Sheet=1&amp;Row=348&amp;Col=7","")</f>
      </c>
      <c r="I349" t="s" s="1">
        <f>HYPERLINK("http://141.218.60.56/~jnz1568/discussion.php?&amp;Z=8&amp;N=6&amp;Sheet=1&amp;Row=348&amp;Col=8","")</f>
      </c>
      <c r="J349" t="s" s="1">
        <f>HYPERLINK("http://141.218.60.56/~jnz1568/discussion.php?&amp;Z=8&amp;N=6&amp;Sheet=1&amp;Row=348&amp;Col=9","67259")</f>
      </c>
      <c r="K349" t="s" s="1">
        <f>HYPERLINK("http://141.218.60.56/~jnz1568/discussion.php?&amp;Z=8&amp;N=6&amp;Sheet=1&amp;Row=348&amp;Col=10","")</f>
      </c>
      <c r="L349" t="s" s="1">
        <f>HYPERLINK("http://141.218.60.56/~jnz1568/discussion.php?&amp;Z=8&amp;N=6&amp;Sheet=1&amp;Row=348&amp;Col=11","")</f>
      </c>
      <c r="M349" t="s" s="1">
        <f>HYPERLINK("http://141.218.60.56/~jnz1568/discussion.php?&amp;Z=8&amp;N=6&amp;Sheet=1&amp;Row=348&amp;Col=12","")</f>
      </c>
      <c r="N349" t="s" s="1">
        <f>HYPERLINK("http://141.218.60.56/~jnz1568/discussion.php?&amp;Z=8&amp;N=6&amp;Sheet=1&amp;Row=348&amp;Col=13","72550")</f>
      </c>
      <c r="O349" t="s" s="1">
        <f>HYPERLINK("http://141.218.60.56/~jnz1568/discussion.php?&amp;Z=8&amp;N=6&amp;Sheet=1&amp;Row=348&amp;Col=14","")</f>
      </c>
      <c r="P349" t="s" s="1">
        <f>HYPERLINK("http://141.218.60.56/~jnz1568/discussion.php?&amp;Z=8&amp;N=6&amp;Sheet=1&amp;Row=348&amp;Col=15","")</f>
      </c>
      <c r="Q349" t="s" s="1">
        <f>HYPERLINK("http://141.218.60.56/~jnz1568/discussion.php?&amp;Z=8&amp;N=6&amp;Sheet=1&amp;Row=348&amp;Col=16","")</f>
      </c>
    </row>
    <row r="350">
      <c r="A350" t="s">
        <v>15</v>
      </c>
      <c r="B350" t="s">
        <v>16</v>
      </c>
      <c r="C350" t="s">
        <v>175</v>
      </c>
      <c r="D350" t="s">
        <v>116</v>
      </c>
      <c r="E350" t="s">
        <v>1582</v>
      </c>
      <c r="F350" t="s" s="1">
        <f>HYPERLINK("http://141.218.60.56/~jnz1568/discussion.php?&amp;Z=8&amp;N=6&amp;Sheet=1&amp;Row=349&amp;Col=5","1573600")</f>
      </c>
      <c r="G350" t="s" s="1">
        <f>HYPERLINK("http://141.218.60.56/~jnz1568/discussion.php?&amp;Z=8&amp;N=6&amp;Sheet=1&amp;Row=349&amp;Col=6","")</f>
      </c>
      <c r="H350" t="s" s="1">
        <f>HYPERLINK("http://141.218.60.56/~jnz1568/discussion.php?&amp;Z=8&amp;N=6&amp;Sheet=1&amp;Row=349&amp;Col=7","")</f>
      </c>
      <c r="I350" t="s" s="1">
        <f>HYPERLINK("http://141.218.60.56/~jnz1568/discussion.php?&amp;Z=8&amp;N=6&amp;Sheet=1&amp;Row=349&amp;Col=8","")</f>
      </c>
      <c r="J350" t="s" s="1">
        <f>HYPERLINK("http://141.218.60.56/~jnz1568/discussion.php?&amp;Z=8&amp;N=6&amp;Sheet=1&amp;Row=349&amp;Col=9","1568000")</f>
      </c>
      <c r="K350" t="s" s="1">
        <f>HYPERLINK("http://141.218.60.56/~jnz1568/discussion.php?&amp;Z=8&amp;N=6&amp;Sheet=1&amp;Row=349&amp;Col=10","")</f>
      </c>
      <c r="L350" t="s" s="1">
        <f>HYPERLINK("http://141.218.60.56/~jnz1568/discussion.php?&amp;Z=8&amp;N=6&amp;Sheet=1&amp;Row=349&amp;Col=11","")</f>
      </c>
      <c r="M350" t="s" s="1">
        <f>HYPERLINK("http://141.218.60.56/~jnz1568/discussion.php?&amp;Z=8&amp;N=6&amp;Sheet=1&amp;Row=349&amp;Col=12","")</f>
      </c>
      <c r="N350" t="s" s="1">
        <f>HYPERLINK("http://141.218.60.56/~jnz1568/discussion.php?&amp;Z=8&amp;N=6&amp;Sheet=1&amp;Row=349&amp;Col=13","1544000")</f>
      </c>
      <c r="O350" t="s" s="1">
        <f>HYPERLINK("http://141.218.60.56/~jnz1568/discussion.php?&amp;Z=8&amp;N=6&amp;Sheet=1&amp;Row=349&amp;Col=14","")</f>
      </c>
      <c r="P350" t="s" s="1">
        <f>HYPERLINK("http://141.218.60.56/~jnz1568/discussion.php?&amp;Z=8&amp;N=6&amp;Sheet=1&amp;Row=349&amp;Col=15","")</f>
      </c>
      <c r="Q350" t="s" s="1">
        <f>HYPERLINK("http://141.218.60.56/~jnz1568/discussion.php?&amp;Z=8&amp;N=6&amp;Sheet=1&amp;Row=349&amp;Col=16","")</f>
      </c>
    </row>
    <row r="351">
      <c r="A351" t="s">
        <v>15</v>
      </c>
      <c r="B351" t="s">
        <v>16</v>
      </c>
      <c r="C351" t="s">
        <v>175</v>
      </c>
      <c r="D351" t="s">
        <v>119</v>
      </c>
      <c r="E351" t="s">
        <v>1586</v>
      </c>
      <c r="F351" t="s" s="1">
        <f>HYPERLINK("http://141.218.60.56/~jnz1568/discussion.php?&amp;Z=8&amp;N=6&amp;Sheet=1&amp;Row=350&amp;Col=5","16080000")</f>
      </c>
      <c r="G351" t="s" s="1">
        <f>HYPERLINK("http://141.218.60.56/~jnz1568/discussion.php?&amp;Z=8&amp;N=6&amp;Sheet=1&amp;Row=350&amp;Col=6","")</f>
      </c>
      <c r="H351" t="s" s="1">
        <f>HYPERLINK("http://141.218.60.56/~jnz1568/discussion.php?&amp;Z=8&amp;N=6&amp;Sheet=1&amp;Row=350&amp;Col=7","")</f>
      </c>
      <c r="I351" t="s" s="1">
        <f>HYPERLINK("http://141.218.60.56/~jnz1568/discussion.php?&amp;Z=8&amp;N=6&amp;Sheet=1&amp;Row=350&amp;Col=8","")</f>
      </c>
      <c r="J351" t="s" s="1">
        <f>HYPERLINK("http://141.218.60.56/~jnz1568/discussion.php?&amp;Z=8&amp;N=6&amp;Sheet=1&amp;Row=350&amp;Col=9","15937000")</f>
      </c>
      <c r="K351" t="s" s="1">
        <f>HYPERLINK("http://141.218.60.56/~jnz1568/discussion.php?&amp;Z=8&amp;N=6&amp;Sheet=1&amp;Row=350&amp;Col=10","")</f>
      </c>
      <c r="L351" t="s" s="1">
        <f>HYPERLINK("http://141.218.60.56/~jnz1568/discussion.php?&amp;Z=8&amp;N=6&amp;Sheet=1&amp;Row=350&amp;Col=11","")</f>
      </c>
      <c r="M351" t="s" s="1">
        <f>HYPERLINK("http://141.218.60.56/~jnz1568/discussion.php?&amp;Z=8&amp;N=6&amp;Sheet=1&amp;Row=350&amp;Col=12","")</f>
      </c>
      <c r="N351" t="s" s="1">
        <f>HYPERLINK("http://141.218.60.56/~jnz1568/discussion.php?&amp;Z=8&amp;N=6&amp;Sheet=1&amp;Row=350&amp;Col=13","14020000")</f>
      </c>
      <c r="O351" t="s" s="1">
        <f>HYPERLINK("http://141.218.60.56/~jnz1568/discussion.php?&amp;Z=8&amp;N=6&amp;Sheet=1&amp;Row=350&amp;Col=14","")</f>
      </c>
      <c r="P351" t="s" s="1">
        <f>HYPERLINK("http://141.218.60.56/~jnz1568/discussion.php?&amp;Z=8&amp;N=6&amp;Sheet=1&amp;Row=350&amp;Col=15","")</f>
      </c>
      <c r="Q351" t="s" s="1">
        <f>HYPERLINK("http://141.218.60.56/~jnz1568/discussion.php?&amp;Z=8&amp;N=6&amp;Sheet=1&amp;Row=350&amp;Col=16","")</f>
      </c>
    </row>
    <row r="352">
      <c r="A352" t="s">
        <v>15</v>
      </c>
      <c r="B352" t="s">
        <v>16</v>
      </c>
      <c r="C352" t="s">
        <v>175</v>
      </c>
      <c r="D352" t="s">
        <v>122</v>
      </c>
      <c r="E352" t="s">
        <v>1590</v>
      </c>
      <c r="F352" t="s" s="1">
        <f>HYPERLINK("http://141.218.60.56/~jnz1568/discussion.php?&amp;Z=8&amp;N=6&amp;Sheet=1&amp;Row=351&amp;Col=5","145660000")</f>
      </c>
      <c r="G352" t="s" s="1">
        <f>HYPERLINK("http://141.218.60.56/~jnz1568/discussion.php?&amp;Z=8&amp;N=6&amp;Sheet=1&amp;Row=351&amp;Col=6","")</f>
      </c>
      <c r="H352" t="s" s="1">
        <f>HYPERLINK("http://141.218.60.56/~jnz1568/discussion.php?&amp;Z=8&amp;N=6&amp;Sheet=1&amp;Row=351&amp;Col=7","")</f>
      </c>
      <c r="I352" t="s" s="1">
        <f>HYPERLINK("http://141.218.60.56/~jnz1568/discussion.php?&amp;Z=8&amp;N=6&amp;Sheet=1&amp;Row=351&amp;Col=8","")</f>
      </c>
      <c r="J352" t="s" s="1">
        <f>HYPERLINK("http://141.218.60.56/~jnz1568/discussion.php?&amp;Z=8&amp;N=6&amp;Sheet=1&amp;Row=351&amp;Col=9","144850000")</f>
      </c>
      <c r="K352" t="s" s="1">
        <f>HYPERLINK("http://141.218.60.56/~jnz1568/discussion.php?&amp;Z=8&amp;N=6&amp;Sheet=1&amp;Row=351&amp;Col=10","")</f>
      </c>
      <c r="L352" t="s" s="1">
        <f>HYPERLINK("http://141.218.60.56/~jnz1568/discussion.php?&amp;Z=8&amp;N=6&amp;Sheet=1&amp;Row=351&amp;Col=11","")</f>
      </c>
      <c r="M352" t="s" s="1">
        <f>HYPERLINK("http://141.218.60.56/~jnz1568/discussion.php?&amp;Z=8&amp;N=6&amp;Sheet=1&amp;Row=351&amp;Col=12","")</f>
      </c>
      <c r="N352" t="s" s="1">
        <f>HYPERLINK("http://141.218.60.56/~jnz1568/discussion.php?&amp;Z=8&amp;N=6&amp;Sheet=1&amp;Row=351&amp;Col=13","106500000")</f>
      </c>
      <c r="O352" t="s" s="1">
        <f>HYPERLINK("http://141.218.60.56/~jnz1568/discussion.php?&amp;Z=8&amp;N=6&amp;Sheet=1&amp;Row=351&amp;Col=14","")</f>
      </c>
      <c r="P352" t="s" s="1">
        <f>HYPERLINK("http://141.218.60.56/~jnz1568/discussion.php?&amp;Z=8&amp;N=6&amp;Sheet=1&amp;Row=351&amp;Col=15","")</f>
      </c>
      <c r="Q352" t="s" s="1">
        <f>HYPERLINK("http://141.218.60.56/~jnz1568/discussion.php?&amp;Z=8&amp;N=6&amp;Sheet=1&amp;Row=351&amp;Col=16","")</f>
      </c>
    </row>
    <row r="353">
      <c r="A353" t="s">
        <v>15</v>
      </c>
      <c r="B353" t="s">
        <v>16</v>
      </c>
      <c r="C353" t="s">
        <v>175</v>
      </c>
      <c r="D353" t="s">
        <v>127</v>
      </c>
      <c r="E353" t="s">
        <v>1594</v>
      </c>
      <c r="F353" t="s" s="1">
        <f>HYPERLINK("http://141.218.60.56/~jnz1568/discussion.php?&amp;Z=8&amp;N=6&amp;Sheet=1&amp;Row=352&amp;Col=5","351.14")</f>
      </c>
      <c r="G353" t="s" s="1">
        <f>HYPERLINK("http://141.218.60.56/~jnz1568/discussion.php?&amp;Z=8&amp;N=6&amp;Sheet=1&amp;Row=352&amp;Col=6","")</f>
      </c>
      <c r="H353" t="s" s="1">
        <f>HYPERLINK("http://141.218.60.56/~jnz1568/discussion.php?&amp;Z=8&amp;N=6&amp;Sheet=1&amp;Row=352&amp;Col=7","")</f>
      </c>
      <c r="I353" t="s" s="1">
        <f>HYPERLINK("http://141.218.60.56/~jnz1568/discussion.php?&amp;Z=8&amp;N=6&amp;Sheet=1&amp;Row=352&amp;Col=8","")</f>
      </c>
      <c r="J353" t="s" s="1">
        <f>HYPERLINK("http://141.218.60.56/~jnz1568/discussion.php?&amp;Z=8&amp;N=6&amp;Sheet=1&amp;Row=352&amp;Col=9","2987.7")</f>
      </c>
      <c r="K353" t="s" s="1">
        <f>HYPERLINK("http://141.218.60.56/~jnz1568/discussion.php?&amp;Z=8&amp;N=6&amp;Sheet=1&amp;Row=352&amp;Col=10","")</f>
      </c>
      <c r="L353" t="s" s="1">
        <f>HYPERLINK("http://141.218.60.56/~jnz1568/discussion.php?&amp;Z=8&amp;N=6&amp;Sheet=1&amp;Row=352&amp;Col=11","")</f>
      </c>
      <c r="M353" t="s" s="1">
        <f>HYPERLINK("http://141.218.60.56/~jnz1568/discussion.php?&amp;Z=8&amp;N=6&amp;Sheet=1&amp;Row=352&amp;Col=12","")</f>
      </c>
      <c r="N353" t="s" s="1">
        <f>HYPERLINK("http://141.218.60.56/~jnz1568/discussion.php?&amp;Z=8&amp;N=6&amp;Sheet=1&amp;Row=352&amp;Col=13","847.5")</f>
      </c>
      <c r="O353" t="s" s="1">
        <f>HYPERLINK("http://141.218.60.56/~jnz1568/discussion.php?&amp;Z=8&amp;N=6&amp;Sheet=1&amp;Row=352&amp;Col=14","")</f>
      </c>
      <c r="P353" t="s" s="1">
        <f>HYPERLINK("http://141.218.60.56/~jnz1568/discussion.php?&amp;Z=8&amp;N=6&amp;Sheet=1&amp;Row=352&amp;Col=15","")</f>
      </c>
      <c r="Q353" t="s" s="1">
        <f>HYPERLINK("http://141.218.60.56/~jnz1568/discussion.php?&amp;Z=8&amp;N=6&amp;Sheet=1&amp;Row=352&amp;Col=16","")</f>
      </c>
    </row>
    <row r="354">
      <c r="A354" t="s">
        <v>15</v>
      </c>
      <c r="B354" t="s">
        <v>16</v>
      </c>
      <c r="C354" t="s">
        <v>175</v>
      </c>
      <c r="D354" t="s">
        <v>135</v>
      </c>
      <c r="E354" t="s">
        <v>1598</v>
      </c>
      <c r="F354" t="s" s="1">
        <f>HYPERLINK("http://141.218.60.56/~jnz1568/discussion.php?&amp;Z=8&amp;N=6&amp;Sheet=1&amp;Row=353&amp;Col=5","7435300")</f>
      </c>
      <c r="G354" t="s" s="1">
        <f>HYPERLINK("http://141.218.60.56/~jnz1568/discussion.php?&amp;Z=8&amp;N=6&amp;Sheet=1&amp;Row=353&amp;Col=6","")</f>
      </c>
      <c r="H354" t="s" s="1">
        <f>HYPERLINK("http://141.218.60.56/~jnz1568/discussion.php?&amp;Z=8&amp;N=6&amp;Sheet=1&amp;Row=353&amp;Col=7","")</f>
      </c>
      <c r="I354" t="s" s="1">
        <f>HYPERLINK("http://141.218.60.56/~jnz1568/discussion.php?&amp;Z=8&amp;N=6&amp;Sheet=1&amp;Row=353&amp;Col=8","")</f>
      </c>
      <c r="J354" t="s" s="1">
        <f>HYPERLINK("http://141.218.60.56/~jnz1568/discussion.php?&amp;Z=8&amp;N=6&amp;Sheet=1&amp;Row=353&amp;Col=9","7405900")</f>
      </c>
      <c r="K354" t="s" s="1">
        <f>HYPERLINK("http://141.218.60.56/~jnz1568/discussion.php?&amp;Z=8&amp;N=6&amp;Sheet=1&amp;Row=353&amp;Col=10","")</f>
      </c>
      <c r="L354" t="s" s="1">
        <f>HYPERLINK("http://141.218.60.56/~jnz1568/discussion.php?&amp;Z=8&amp;N=6&amp;Sheet=1&amp;Row=353&amp;Col=11","")</f>
      </c>
      <c r="M354" t="s" s="1">
        <f>HYPERLINK("http://141.218.60.56/~jnz1568/discussion.php?&amp;Z=8&amp;N=6&amp;Sheet=1&amp;Row=353&amp;Col=12","")</f>
      </c>
      <c r="N354" t="s" s="1">
        <f>HYPERLINK("http://141.218.60.56/~jnz1568/discussion.php?&amp;Z=8&amp;N=6&amp;Sheet=1&amp;Row=353&amp;Col=13","6064000")</f>
      </c>
      <c r="O354" t="s" s="1">
        <f>HYPERLINK("http://141.218.60.56/~jnz1568/discussion.php?&amp;Z=8&amp;N=6&amp;Sheet=1&amp;Row=353&amp;Col=14","")</f>
      </c>
      <c r="P354" t="s" s="1">
        <f>HYPERLINK("http://141.218.60.56/~jnz1568/discussion.php?&amp;Z=8&amp;N=6&amp;Sheet=1&amp;Row=353&amp;Col=15","")</f>
      </c>
      <c r="Q354" t="s" s="1">
        <f>HYPERLINK("http://141.218.60.56/~jnz1568/discussion.php?&amp;Z=8&amp;N=6&amp;Sheet=1&amp;Row=353&amp;Col=16","")</f>
      </c>
    </row>
    <row r="355">
      <c r="A355" t="s">
        <v>15</v>
      </c>
      <c r="B355" t="s">
        <v>16</v>
      </c>
      <c r="C355" t="s">
        <v>175</v>
      </c>
      <c r="D355" t="s">
        <v>138</v>
      </c>
      <c r="E355" t="s">
        <v>1602</v>
      </c>
      <c r="F355" t="s" s="1">
        <f>HYPERLINK("http://141.218.60.56/~jnz1568/discussion.php?&amp;Z=8&amp;N=6&amp;Sheet=1&amp;Row=354&amp;Col=5","48615000")</f>
      </c>
      <c r="G355" t="s" s="1">
        <f>HYPERLINK("http://141.218.60.56/~jnz1568/discussion.php?&amp;Z=8&amp;N=6&amp;Sheet=1&amp;Row=354&amp;Col=6","")</f>
      </c>
      <c r="H355" t="s" s="1">
        <f>HYPERLINK("http://141.218.60.56/~jnz1568/discussion.php?&amp;Z=8&amp;N=6&amp;Sheet=1&amp;Row=354&amp;Col=7","")</f>
      </c>
      <c r="I355" t="s" s="1">
        <f>HYPERLINK("http://141.218.60.56/~jnz1568/discussion.php?&amp;Z=8&amp;N=6&amp;Sheet=1&amp;Row=354&amp;Col=8","")</f>
      </c>
      <c r="J355" t="s" s="1">
        <f>HYPERLINK("http://141.218.60.56/~jnz1568/discussion.php?&amp;Z=8&amp;N=6&amp;Sheet=1&amp;Row=354&amp;Col=9","48299000")</f>
      </c>
      <c r="K355" t="s" s="1">
        <f>HYPERLINK("http://141.218.60.56/~jnz1568/discussion.php?&amp;Z=8&amp;N=6&amp;Sheet=1&amp;Row=354&amp;Col=10","")</f>
      </c>
      <c r="L355" t="s" s="1">
        <f>HYPERLINK("http://141.218.60.56/~jnz1568/discussion.php?&amp;Z=8&amp;N=6&amp;Sheet=1&amp;Row=354&amp;Col=11","")</f>
      </c>
      <c r="M355" t="s" s="1">
        <f>HYPERLINK("http://141.218.60.56/~jnz1568/discussion.php?&amp;Z=8&amp;N=6&amp;Sheet=1&amp;Row=354&amp;Col=12","")</f>
      </c>
      <c r="N355" t="s" s="1">
        <f>HYPERLINK("http://141.218.60.56/~jnz1568/discussion.php?&amp;Z=8&amp;N=6&amp;Sheet=1&amp;Row=354&amp;Col=13","31870000")</f>
      </c>
      <c r="O355" t="s" s="1">
        <f>HYPERLINK("http://141.218.60.56/~jnz1568/discussion.php?&amp;Z=8&amp;N=6&amp;Sheet=1&amp;Row=354&amp;Col=14","")</f>
      </c>
      <c r="P355" t="s" s="1">
        <f>HYPERLINK("http://141.218.60.56/~jnz1568/discussion.php?&amp;Z=8&amp;N=6&amp;Sheet=1&amp;Row=354&amp;Col=15","")</f>
      </c>
      <c r="Q355" t="s" s="1">
        <f>HYPERLINK("http://141.218.60.56/~jnz1568/discussion.php?&amp;Z=8&amp;N=6&amp;Sheet=1&amp;Row=354&amp;Col=16","")</f>
      </c>
    </row>
    <row r="356">
      <c r="A356" t="s">
        <v>15</v>
      </c>
      <c r="B356" t="s">
        <v>16</v>
      </c>
      <c r="C356" t="s">
        <v>175</v>
      </c>
      <c r="D356" t="s">
        <v>141</v>
      </c>
      <c r="E356" t="s">
        <v>1606</v>
      </c>
      <c r="F356" t="s" s="1">
        <f>HYPERLINK("http://141.218.60.56/~jnz1568/discussion.php?&amp;Z=8&amp;N=6&amp;Sheet=1&amp;Row=355&amp;Col=5","39712")</f>
      </c>
      <c r="G356" t="s" s="1">
        <f>HYPERLINK("http://141.218.60.56/~jnz1568/discussion.php?&amp;Z=8&amp;N=6&amp;Sheet=1&amp;Row=355&amp;Col=6","")</f>
      </c>
      <c r="H356" t="s" s="1">
        <f>HYPERLINK("http://141.218.60.56/~jnz1568/discussion.php?&amp;Z=8&amp;N=6&amp;Sheet=1&amp;Row=355&amp;Col=7","")</f>
      </c>
      <c r="I356" t="s" s="1">
        <f>HYPERLINK("http://141.218.60.56/~jnz1568/discussion.php?&amp;Z=8&amp;N=6&amp;Sheet=1&amp;Row=355&amp;Col=8","")</f>
      </c>
      <c r="J356" t="s" s="1">
        <f>HYPERLINK("http://141.218.60.56/~jnz1568/discussion.php?&amp;Z=8&amp;N=6&amp;Sheet=1&amp;Row=355&amp;Col=9","38991")</f>
      </c>
      <c r="K356" t="s" s="1">
        <f>HYPERLINK("http://141.218.60.56/~jnz1568/discussion.php?&amp;Z=8&amp;N=6&amp;Sheet=1&amp;Row=355&amp;Col=10","")</f>
      </c>
      <c r="L356" t="s" s="1">
        <f>HYPERLINK("http://141.218.60.56/~jnz1568/discussion.php?&amp;Z=8&amp;N=6&amp;Sheet=1&amp;Row=355&amp;Col=11","")</f>
      </c>
      <c r="M356" t="s" s="1">
        <f>HYPERLINK("http://141.218.60.56/~jnz1568/discussion.php?&amp;Z=8&amp;N=6&amp;Sheet=1&amp;Row=355&amp;Col=12","")</f>
      </c>
      <c r="N356" t="s" s="1">
        <f>HYPERLINK("http://141.218.60.56/~jnz1568/discussion.php?&amp;Z=8&amp;N=6&amp;Sheet=1&amp;Row=355&amp;Col=13","9222")</f>
      </c>
      <c r="O356" t="s" s="1">
        <f>HYPERLINK("http://141.218.60.56/~jnz1568/discussion.php?&amp;Z=8&amp;N=6&amp;Sheet=1&amp;Row=355&amp;Col=14","")</f>
      </c>
      <c r="P356" t="s" s="1">
        <f>HYPERLINK("http://141.218.60.56/~jnz1568/discussion.php?&amp;Z=8&amp;N=6&amp;Sheet=1&amp;Row=355&amp;Col=15","")</f>
      </c>
      <c r="Q356" t="s" s="1">
        <f>HYPERLINK("http://141.218.60.56/~jnz1568/discussion.php?&amp;Z=8&amp;N=6&amp;Sheet=1&amp;Row=355&amp;Col=16","")</f>
      </c>
    </row>
    <row r="357">
      <c r="A357" t="s">
        <v>15</v>
      </c>
      <c r="B357" t="s">
        <v>16</v>
      </c>
      <c r="C357" t="s">
        <v>179</v>
      </c>
      <c r="D357" t="s">
        <v>17</v>
      </c>
      <c r="E357" t="s">
        <v>1610</v>
      </c>
      <c r="F357" t="s" s="1">
        <f>HYPERLINK("http://141.218.60.56/~jnz1568/discussion.php?&amp;Z=8&amp;N=6&amp;Sheet=1&amp;Row=356&amp;Col=5","3277300000")</f>
      </c>
      <c r="G357" t="s" s="1">
        <f>HYPERLINK("http://141.218.60.56/~jnz1568/discussion.php?&amp;Z=8&amp;N=6&amp;Sheet=1&amp;Row=356&amp;Col=6","")</f>
      </c>
      <c r="H357" t="s" s="1">
        <f>HYPERLINK("http://141.218.60.56/~jnz1568/discussion.php?&amp;Z=8&amp;N=6&amp;Sheet=1&amp;Row=356&amp;Col=7","")</f>
      </c>
      <c r="I357" t="s" s="1">
        <f>HYPERLINK("http://141.218.60.56/~jnz1568/discussion.php?&amp;Z=8&amp;N=6&amp;Sheet=1&amp;Row=356&amp;Col=8","")</f>
      </c>
      <c r="J357" t="s" s="1">
        <f>HYPERLINK("http://141.218.60.56/~jnz1568/discussion.php?&amp;Z=8&amp;N=6&amp;Sheet=1&amp;Row=356&amp;Col=9","3299200000")</f>
      </c>
      <c r="K357" t="s" s="1">
        <f>HYPERLINK("http://141.218.60.56/~jnz1568/discussion.php?&amp;Z=8&amp;N=6&amp;Sheet=1&amp;Row=356&amp;Col=10","")</f>
      </c>
      <c r="L357" t="s" s="1">
        <f>HYPERLINK("http://141.218.60.56/~jnz1568/discussion.php?&amp;Z=8&amp;N=6&amp;Sheet=1&amp;Row=356&amp;Col=11","")</f>
      </c>
      <c r="M357" t="s" s="1">
        <f>HYPERLINK("http://141.218.60.56/~jnz1568/discussion.php?&amp;Z=8&amp;N=6&amp;Sheet=1&amp;Row=356&amp;Col=12","")</f>
      </c>
      <c r="N357" t="s" s="1">
        <f>HYPERLINK("http://141.218.60.56/~jnz1568/discussion.php?&amp;Z=8&amp;N=6&amp;Sheet=1&amp;Row=356&amp;Col=13","4062000000")</f>
      </c>
      <c r="O357" t="s" s="1">
        <f>HYPERLINK("http://141.218.60.56/~jnz1568/discussion.php?&amp;Z=8&amp;N=6&amp;Sheet=1&amp;Row=356&amp;Col=14","")</f>
      </c>
      <c r="P357" t="s" s="1">
        <f>HYPERLINK("http://141.218.60.56/~jnz1568/discussion.php?&amp;Z=8&amp;N=6&amp;Sheet=1&amp;Row=356&amp;Col=15","")</f>
      </c>
      <c r="Q357" t="s" s="1">
        <f>HYPERLINK("http://141.218.60.56/~jnz1568/discussion.php?&amp;Z=8&amp;N=6&amp;Sheet=1&amp;Row=356&amp;Col=16","")</f>
      </c>
    </row>
    <row r="358">
      <c r="A358" t="s">
        <v>15</v>
      </c>
      <c r="B358" t="s">
        <v>16</v>
      </c>
      <c r="C358" t="s">
        <v>179</v>
      </c>
      <c r="D358" t="s">
        <v>23</v>
      </c>
      <c r="E358" t="s">
        <v>1614</v>
      </c>
      <c r="F358" t="s" s="1">
        <f>HYPERLINK("http://141.218.60.56/~jnz1568/discussion.php?&amp;Z=8&amp;N=6&amp;Sheet=1&amp;Row=357&amp;Col=5","3424200000")</f>
      </c>
      <c r="G358" t="s" s="1">
        <f>HYPERLINK("http://141.218.60.56/~jnz1568/discussion.php?&amp;Z=8&amp;N=6&amp;Sheet=1&amp;Row=357&amp;Col=6","")</f>
      </c>
      <c r="H358" t="s" s="1">
        <f>HYPERLINK("http://141.218.60.56/~jnz1568/discussion.php?&amp;Z=8&amp;N=6&amp;Sheet=1&amp;Row=357&amp;Col=7","")</f>
      </c>
      <c r="I358" t="s" s="1">
        <f>HYPERLINK("http://141.218.60.56/~jnz1568/discussion.php?&amp;Z=8&amp;N=6&amp;Sheet=1&amp;Row=357&amp;Col=8","")</f>
      </c>
      <c r="J358" t="s" s="1">
        <f>HYPERLINK("http://141.218.60.56/~jnz1568/discussion.php?&amp;Z=8&amp;N=6&amp;Sheet=1&amp;Row=357&amp;Col=9","3449600000")</f>
      </c>
      <c r="K358" t="s" s="1">
        <f>HYPERLINK("http://141.218.60.56/~jnz1568/discussion.php?&amp;Z=8&amp;N=6&amp;Sheet=1&amp;Row=357&amp;Col=10","")</f>
      </c>
      <c r="L358" t="s" s="1">
        <f>HYPERLINK("http://141.218.60.56/~jnz1568/discussion.php?&amp;Z=8&amp;N=6&amp;Sheet=1&amp;Row=357&amp;Col=11","")</f>
      </c>
      <c r="M358" t="s" s="1">
        <f>HYPERLINK("http://141.218.60.56/~jnz1568/discussion.php?&amp;Z=8&amp;N=6&amp;Sheet=1&amp;Row=357&amp;Col=12","")</f>
      </c>
      <c r="N358" t="s" s="1">
        <f>HYPERLINK("http://141.218.60.56/~jnz1568/discussion.php?&amp;Z=8&amp;N=6&amp;Sheet=1&amp;Row=357&amp;Col=13","3998000000")</f>
      </c>
      <c r="O358" t="s" s="1">
        <f>HYPERLINK("http://141.218.60.56/~jnz1568/discussion.php?&amp;Z=8&amp;N=6&amp;Sheet=1&amp;Row=357&amp;Col=14","")</f>
      </c>
      <c r="P358" t="s" s="1">
        <f>HYPERLINK("http://141.218.60.56/~jnz1568/discussion.php?&amp;Z=8&amp;N=6&amp;Sheet=1&amp;Row=357&amp;Col=15","")</f>
      </c>
      <c r="Q358" t="s" s="1">
        <f>HYPERLINK("http://141.218.60.56/~jnz1568/discussion.php?&amp;Z=8&amp;N=6&amp;Sheet=1&amp;Row=357&amp;Col=16","")</f>
      </c>
    </row>
    <row r="359">
      <c r="A359" t="s">
        <v>15</v>
      </c>
      <c r="B359" t="s">
        <v>16</v>
      </c>
      <c r="C359" t="s">
        <v>179</v>
      </c>
      <c r="D359" t="s">
        <v>20</v>
      </c>
      <c r="E359" t="s">
        <v>1618</v>
      </c>
      <c r="F359" t="s" s="1">
        <f>HYPERLINK("http://141.218.60.56/~jnz1568/discussion.php?&amp;Z=8&amp;N=6&amp;Sheet=1&amp;Row=358&amp;Col=5","5027700000")</f>
      </c>
      <c r="G359" t="s" s="1">
        <f>HYPERLINK("http://141.218.60.56/~jnz1568/discussion.php?&amp;Z=8&amp;N=6&amp;Sheet=1&amp;Row=358&amp;Col=6","")</f>
      </c>
      <c r="H359" t="s" s="1">
        <f>HYPERLINK("http://141.218.60.56/~jnz1568/discussion.php?&amp;Z=8&amp;N=6&amp;Sheet=1&amp;Row=358&amp;Col=7","")</f>
      </c>
      <c r="I359" t="s" s="1">
        <f>HYPERLINK("http://141.218.60.56/~jnz1568/discussion.php?&amp;Z=8&amp;N=6&amp;Sheet=1&amp;Row=358&amp;Col=8","")</f>
      </c>
      <c r="J359" t="s" s="1">
        <f>HYPERLINK("http://141.218.60.56/~jnz1568/discussion.php?&amp;Z=8&amp;N=6&amp;Sheet=1&amp;Row=358&amp;Col=9","5058400000")</f>
      </c>
      <c r="K359" t="s" s="1">
        <f>HYPERLINK("http://141.218.60.56/~jnz1568/discussion.php?&amp;Z=8&amp;N=6&amp;Sheet=1&amp;Row=358&amp;Col=10","")</f>
      </c>
      <c r="L359" t="s" s="1">
        <f>HYPERLINK("http://141.218.60.56/~jnz1568/discussion.php?&amp;Z=8&amp;N=6&amp;Sheet=1&amp;Row=358&amp;Col=11","")</f>
      </c>
      <c r="M359" t="s" s="1">
        <f>HYPERLINK("http://141.218.60.56/~jnz1568/discussion.php?&amp;Z=8&amp;N=6&amp;Sheet=1&amp;Row=358&amp;Col=12","")</f>
      </c>
      <c r="N359" t="s" s="1">
        <f>HYPERLINK("http://141.218.60.56/~jnz1568/discussion.php?&amp;Z=8&amp;N=6&amp;Sheet=1&amp;Row=358&amp;Col=13","6001000000")</f>
      </c>
      <c r="O359" t="s" s="1">
        <f>HYPERLINK("http://141.218.60.56/~jnz1568/discussion.php?&amp;Z=8&amp;N=6&amp;Sheet=1&amp;Row=358&amp;Col=14","")</f>
      </c>
      <c r="P359" t="s" s="1">
        <f>HYPERLINK("http://141.218.60.56/~jnz1568/discussion.php?&amp;Z=8&amp;N=6&amp;Sheet=1&amp;Row=358&amp;Col=15","")</f>
      </c>
      <c r="Q359" t="s" s="1">
        <f>HYPERLINK("http://141.218.60.56/~jnz1568/discussion.php?&amp;Z=8&amp;N=6&amp;Sheet=1&amp;Row=358&amp;Col=16","")</f>
      </c>
    </row>
    <row r="360">
      <c r="A360" t="s">
        <v>15</v>
      </c>
      <c r="B360" t="s">
        <v>16</v>
      </c>
      <c r="C360" t="s">
        <v>179</v>
      </c>
      <c r="D360" t="s">
        <v>28</v>
      </c>
      <c r="E360" t="s">
        <v>1622</v>
      </c>
      <c r="F360" t="s" s="1">
        <f>HYPERLINK("http://141.218.60.56/~jnz1568/discussion.php?&amp;Z=8&amp;N=6&amp;Sheet=1&amp;Row=359&amp;Col=5","7505.9")</f>
      </c>
      <c r="G360" t="s" s="1">
        <f>HYPERLINK("http://141.218.60.56/~jnz1568/discussion.php?&amp;Z=8&amp;N=6&amp;Sheet=1&amp;Row=359&amp;Col=6","")</f>
      </c>
      <c r="H360" t="s" s="1">
        <f>HYPERLINK("http://141.218.60.56/~jnz1568/discussion.php?&amp;Z=8&amp;N=6&amp;Sheet=1&amp;Row=359&amp;Col=7","")</f>
      </c>
      <c r="I360" t="s" s="1">
        <f>HYPERLINK("http://141.218.60.56/~jnz1568/discussion.php?&amp;Z=8&amp;N=6&amp;Sheet=1&amp;Row=359&amp;Col=8","")</f>
      </c>
      <c r="J360" t="s" s="1">
        <f>HYPERLINK("http://141.218.60.56/~jnz1568/discussion.php?&amp;Z=8&amp;N=6&amp;Sheet=1&amp;Row=359&amp;Col=9","4677.1")</f>
      </c>
      <c r="K360" t="s" s="1">
        <f>HYPERLINK("http://141.218.60.56/~jnz1568/discussion.php?&amp;Z=8&amp;N=6&amp;Sheet=1&amp;Row=359&amp;Col=10","")</f>
      </c>
      <c r="L360" t="s" s="1">
        <f>HYPERLINK("http://141.218.60.56/~jnz1568/discussion.php?&amp;Z=8&amp;N=6&amp;Sheet=1&amp;Row=359&amp;Col=11","")</f>
      </c>
      <c r="M360" t="s" s="1">
        <f>HYPERLINK("http://141.218.60.56/~jnz1568/discussion.php?&amp;Z=8&amp;N=6&amp;Sheet=1&amp;Row=359&amp;Col=12","")</f>
      </c>
      <c r="N360" t="s" s="1">
        <f>HYPERLINK("http://141.218.60.56/~jnz1568/discussion.php?&amp;Z=8&amp;N=6&amp;Sheet=1&amp;Row=359&amp;Col=13","18420")</f>
      </c>
      <c r="O360" t="s" s="1">
        <f>HYPERLINK("http://141.218.60.56/~jnz1568/discussion.php?&amp;Z=8&amp;N=6&amp;Sheet=1&amp;Row=359&amp;Col=14","")</f>
      </c>
      <c r="P360" t="s" s="1">
        <f>HYPERLINK("http://141.218.60.56/~jnz1568/discussion.php?&amp;Z=8&amp;N=6&amp;Sheet=1&amp;Row=359&amp;Col=15","")</f>
      </c>
      <c r="Q360" t="s" s="1">
        <f>HYPERLINK("http://141.218.60.56/~jnz1568/discussion.php?&amp;Z=8&amp;N=6&amp;Sheet=1&amp;Row=359&amp;Col=16","")</f>
      </c>
    </row>
    <row r="361">
      <c r="A361" t="s">
        <v>15</v>
      </c>
      <c r="B361" t="s">
        <v>16</v>
      </c>
      <c r="C361" t="s">
        <v>179</v>
      </c>
      <c r="D361" t="s">
        <v>33</v>
      </c>
      <c r="E361" t="s">
        <v>1626</v>
      </c>
      <c r="F361" t="s" s="1">
        <f>HYPERLINK("http://141.218.60.56/~jnz1568/discussion.php?&amp;Z=8&amp;N=6&amp;Sheet=1&amp;Row=360&amp;Col=5","6389100")</f>
      </c>
      <c r="G361" t="s" s="1">
        <f>HYPERLINK("http://141.218.60.56/~jnz1568/discussion.php?&amp;Z=8&amp;N=6&amp;Sheet=1&amp;Row=360&amp;Col=6","")</f>
      </c>
      <c r="H361" t="s" s="1">
        <f>HYPERLINK("http://141.218.60.56/~jnz1568/discussion.php?&amp;Z=8&amp;N=6&amp;Sheet=1&amp;Row=360&amp;Col=7","")</f>
      </c>
      <c r="I361" t="s" s="1">
        <f>HYPERLINK("http://141.218.60.56/~jnz1568/discussion.php?&amp;Z=8&amp;N=6&amp;Sheet=1&amp;Row=360&amp;Col=8","")</f>
      </c>
      <c r="J361" t="s" s="1">
        <f>HYPERLINK("http://141.218.60.56/~jnz1568/discussion.php?&amp;Z=8&amp;N=6&amp;Sheet=1&amp;Row=360&amp;Col=9","6283800")</f>
      </c>
      <c r="K361" t="s" s="1">
        <f>HYPERLINK("http://141.218.60.56/~jnz1568/discussion.php?&amp;Z=8&amp;N=6&amp;Sheet=1&amp;Row=360&amp;Col=10","")</f>
      </c>
      <c r="L361" t="s" s="1">
        <f>HYPERLINK("http://141.218.60.56/~jnz1568/discussion.php?&amp;Z=8&amp;N=6&amp;Sheet=1&amp;Row=360&amp;Col=11","")</f>
      </c>
      <c r="M361" t="s" s="1">
        <f>HYPERLINK("http://141.218.60.56/~jnz1568/discussion.php?&amp;Z=8&amp;N=6&amp;Sheet=1&amp;Row=360&amp;Col=12","")</f>
      </c>
      <c r="N361" t="s" s="1">
        <f>HYPERLINK("http://141.218.60.56/~jnz1568/discussion.php?&amp;Z=8&amp;N=6&amp;Sheet=1&amp;Row=360&amp;Col=13","1540000")</f>
      </c>
      <c r="O361" t="s" s="1">
        <f>HYPERLINK("http://141.218.60.56/~jnz1568/discussion.php?&amp;Z=8&amp;N=6&amp;Sheet=1&amp;Row=360&amp;Col=14","")</f>
      </c>
      <c r="P361" t="s" s="1">
        <f>HYPERLINK("http://141.218.60.56/~jnz1568/discussion.php?&amp;Z=8&amp;N=6&amp;Sheet=1&amp;Row=360&amp;Col=15","")</f>
      </c>
      <c r="Q361" t="s" s="1">
        <f>HYPERLINK("http://141.218.60.56/~jnz1568/discussion.php?&amp;Z=8&amp;N=6&amp;Sheet=1&amp;Row=360&amp;Col=16","")</f>
      </c>
    </row>
    <row r="362">
      <c r="A362" t="s">
        <v>15</v>
      </c>
      <c r="B362" t="s">
        <v>16</v>
      </c>
      <c r="C362" t="s">
        <v>179</v>
      </c>
      <c r="D362" t="s">
        <v>94</v>
      </c>
      <c r="E362" t="s">
        <v>1630</v>
      </c>
      <c r="F362" t="s" s="1">
        <f>HYPERLINK("http://141.218.60.56/~jnz1568/discussion.php?&amp;Z=8&amp;N=6&amp;Sheet=1&amp;Row=361&amp;Col=5","277480")</f>
      </c>
      <c r="G362" t="s" s="1">
        <f>HYPERLINK("http://141.218.60.56/~jnz1568/discussion.php?&amp;Z=8&amp;N=6&amp;Sheet=1&amp;Row=361&amp;Col=6","")</f>
      </c>
      <c r="H362" t="s" s="1">
        <f>HYPERLINK("http://141.218.60.56/~jnz1568/discussion.php?&amp;Z=8&amp;N=6&amp;Sheet=1&amp;Row=361&amp;Col=7","")</f>
      </c>
      <c r="I362" t="s" s="1">
        <f>HYPERLINK("http://141.218.60.56/~jnz1568/discussion.php?&amp;Z=8&amp;N=6&amp;Sheet=1&amp;Row=361&amp;Col=8","")</f>
      </c>
      <c r="J362" t="s" s="1">
        <f>HYPERLINK("http://141.218.60.56/~jnz1568/discussion.php?&amp;Z=8&amp;N=6&amp;Sheet=1&amp;Row=361&amp;Col=9","320700")</f>
      </c>
      <c r="K362" t="s" s="1">
        <f>HYPERLINK("http://141.218.60.56/~jnz1568/discussion.php?&amp;Z=8&amp;N=6&amp;Sheet=1&amp;Row=361&amp;Col=10","")</f>
      </c>
      <c r="L362" t="s" s="1">
        <f>HYPERLINK("http://141.218.60.56/~jnz1568/discussion.php?&amp;Z=8&amp;N=6&amp;Sheet=1&amp;Row=361&amp;Col=11","")</f>
      </c>
      <c r="M362" t="s" s="1">
        <f>HYPERLINK("http://141.218.60.56/~jnz1568/discussion.php?&amp;Z=8&amp;N=6&amp;Sheet=1&amp;Row=361&amp;Col=12","")</f>
      </c>
      <c r="N362" t="s" s="1">
        <f>HYPERLINK("http://141.218.60.56/~jnz1568/discussion.php?&amp;Z=8&amp;N=6&amp;Sheet=1&amp;Row=361&amp;Col=13","480100")</f>
      </c>
      <c r="O362" t="s" s="1">
        <f>HYPERLINK("http://141.218.60.56/~jnz1568/discussion.php?&amp;Z=8&amp;N=6&amp;Sheet=1&amp;Row=361&amp;Col=14","")</f>
      </c>
      <c r="P362" t="s" s="1">
        <f>HYPERLINK("http://141.218.60.56/~jnz1568/discussion.php?&amp;Z=8&amp;N=6&amp;Sheet=1&amp;Row=361&amp;Col=15","")</f>
      </c>
      <c r="Q362" t="s" s="1">
        <f>HYPERLINK("http://141.218.60.56/~jnz1568/discussion.php?&amp;Z=8&amp;N=6&amp;Sheet=1&amp;Row=361&amp;Col=16","")</f>
      </c>
    </row>
    <row r="363">
      <c r="A363" t="s">
        <v>15</v>
      </c>
      <c r="B363" t="s">
        <v>16</v>
      </c>
      <c r="C363" t="s">
        <v>179</v>
      </c>
      <c r="D363" t="s">
        <v>99</v>
      </c>
      <c r="E363" t="s">
        <v>1634</v>
      </c>
      <c r="F363" t="s" s="1">
        <f>HYPERLINK("http://141.218.60.56/~jnz1568/discussion.php?&amp;Z=8&amp;N=6&amp;Sheet=1&amp;Row=362&amp;Col=5","187370")</f>
      </c>
      <c r="G363" t="s" s="1">
        <f>HYPERLINK("http://141.218.60.56/~jnz1568/discussion.php?&amp;Z=8&amp;N=6&amp;Sheet=1&amp;Row=362&amp;Col=6","")</f>
      </c>
      <c r="H363" t="s" s="1">
        <f>HYPERLINK("http://141.218.60.56/~jnz1568/discussion.php?&amp;Z=8&amp;N=6&amp;Sheet=1&amp;Row=362&amp;Col=7","")</f>
      </c>
      <c r="I363" t="s" s="1">
        <f>HYPERLINK("http://141.218.60.56/~jnz1568/discussion.php?&amp;Z=8&amp;N=6&amp;Sheet=1&amp;Row=362&amp;Col=8","")</f>
      </c>
      <c r="J363" t="s" s="1">
        <f>HYPERLINK("http://141.218.60.56/~jnz1568/discussion.php?&amp;Z=8&amp;N=6&amp;Sheet=1&amp;Row=362&amp;Col=9","216710")</f>
      </c>
      <c r="K363" t="s" s="1">
        <f>HYPERLINK("http://141.218.60.56/~jnz1568/discussion.php?&amp;Z=8&amp;N=6&amp;Sheet=1&amp;Row=362&amp;Col=10","")</f>
      </c>
      <c r="L363" t="s" s="1">
        <f>HYPERLINK("http://141.218.60.56/~jnz1568/discussion.php?&amp;Z=8&amp;N=6&amp;Sheet=1&amp;Row=362&amp;Col=11","")</f>
      </c>
      <c r="M363" t="s" s="1">
        <f>HYPERLINK("http://141.218.60.56/~jnz1568/discussion.php?&amp;Z=8&amp;N=6&amp;Sheet=1&amp;Row=362&amp;Col=12","")</f>
      </c>
      <c r="N363" t="s" s="1">
        <f>HYPERLINK("http://141.218.60.56/~jnz1568/discussion.php?&amp;Z=8&amp;N=6&amp;Sheet=1&amp;Row=362&amp;Col=13","320600")</f>
      </c>
      <c r="O363" t="s" s="1">
        <f>HYPERLINK("http://141.218.60.56/~jnz1568/discussion.php?&amp;Z=8&amp;N=6&amp;Sheet=1&amp;Row=362&amp;Col=14","")</f>
      </c>
      <c r="P363" t="s" s="1">
        <f>HYPERLINK("http://141.218.60.56/~jnz1568/discussion.php?&amp;Z=8&amp;N=6&amp;Sheet=1&amp;Row=362&amp;Col=15","")</f>
      </c>
      <c r="Q363" t="s" s="1">
        <f>HYPERLINK("http://141.218.60.56/~jnz1568/discussion.php?&amp;Z=8&amp;N=6&amp;Sheet=1&amp;Row=362&amp;Col=16","")</f>
      </c>
    </row>
    <row r="364">
      <c r="A364" t="s">
        <v>15</v>
      </c>
      <c r="B364" t="s">
        <v>16</v>
      </c>
      <c r="C364" t="s">
        <v>179</v>
      </c>
      <c r="D364" t="s">
        <v>102</v>
      </c>
      <c r="E364" t="s">
        <v>1638</v>
      </c>
      <c r="F364" t="s" s="1">
        <f>HYPERLINK("http://141.218.60.56/~jnz1568/discussion.php?&amp;Z=8&amp;N=6&amp;Sheet=1&amp;Row=363&amp;Col=5","188140")</f>
      </c>
      <c r="G364" t="s" s="1">
        <f>HYPERLINK("http://141.218.60.56/~jnz1568/discussion.php?&amp;Z=8&amp;N=6&amp;Sheet=1&amp;Row=363&amp;Col=6","")</f>
      </c>
      <c r="H364" t="s" s="1">
        <f>HYPERLINK("http://141.218.60.56/~jnz1568/discussion.php?&amp;Z=8&amp;N=6&amp;Sheet=1&amp;Row=363&amp;Col=7","")</f>
      </c>
      <c r="I364" t="s" s="1">
        <f>HYPERLINK("http://141.218.60.56/~jnz1568/discussion.php?&amp;Z=8&amp;N=6&amp;Sheet=1&amp;Row=363&amp;Col=8","")</f>
      </c>
      <c r="J364" t="s" s="1">
        <f>HYPERLINK("http://141.218.60.56/~jnz1568/discussion.php?&amp;Z=8&amp;N=6&amp;Sheet=1&amp;Row=363&amp;Col=9","220070")</f>
      </c>
      <c r="K364" t="s" s="1">
        <f>HYPERLINK("http://141.218.60.56/~jnz1568/discussion.php?&amp;Z=8&amp;N=6&amp;Sheet=1&amp;Row=363&amp;Col=10","")</f>
      </c>
      <c r="L364" t="s" s="1">
        <f>HYPERLINK("http://141.218.60.56/~jnz1568/discussion.php?&amp;Z=8&amp;N=6&amp;Sheet=1&amp;Row=363&amp;Col=11","")</f>
      </c>
      <c r="M364" t="s" s="1">
        <f>HYPERLINK("http://141.218.60.56/~jnz1568/discussion.php?&amp;Z=8&amp;N=6&amp;Sheet=1&amp;Row=363&amp;Col=12","")</f>
      </c>
      <c r="N364" t="s" s="1">
        <f>HYPERLINK("http://141.218.60.56/~jnz1568/discussion.php?&amp;Z=8&amp;N=6&amp;Sheet=1&amp;Row=363&amp;Col=13","346700")</f>
      </c>
      <c r="O364" t="s" s="1">
        <f>HYPERLINK("http://141.218.60.56/~jnz1568/discussion.php?&amp;Z=8&amp;N=6&amp;Sheet=1&amp;Row=363&amp;Col=14","")</f>
      </c>
      <c r="P364" t="s" s="1">
        <f>HYPERLINK("http://141.218.60.56/~jnz1568/discussion.php?&amp;Z=8&amp;N=6&amp;Sheet=1&amp;Row=363&amp;Col=15","")</f>
      </c>
      <c r="Q364" t="s" s="1">
        <f>HYPERLINK("http://141.218.60.56/~jnz1568/discussion.php?&amp;Z=8&amp;N=6&amp;Sheet=1&amp;Row=363&amp;Col=16","")</f>
      </c>
    </row>
    <row r="365">
      <c r="A365" t="s">
        <v>15</v>
      </c>
      <c r="B365" t="s">
        <v>16</v>
      </c>
      <c r="C365" t="s">
        <v>179</v>
      </c>
      <c r="D365" t="s">
        <v>105</v>
      </c>
      <c r="E365" t="s">
        <v>1642</v>
      </c>
      <c r="F365" t="s" s="1">
        <f>HYPERLINK("http://141.218.60.56/~jnz1568/discussion.php?&amp;Z=8&amp;N=6&amp;Sheet=1&amp;Row=364&amp;Col=5","413320")</f>
      </c>
      <c r="G365" t="s" s="1">
        <f>HYPERLINK("http://141.218.60.56/~jnz1568/discussion.php?&amp;Z=8&amp;N=6&amp;Sheet=1&amp;Row=364&amp;Col=6","")</f>
      </c>
      <c r="H365" t="s" s="1">
        <f>HYPERLINK("http://141.218.60.56/~jnz1568/discussion.php?&amp;Z=8&amp;N=6&amp;Sheet=1&amp;Row=364&amp;Col=7","")</f>
      </c>
      <c r="I365" t="s" s="1">
        <f>HYPERLINK("http://141.218.60.56/~jnz1568/discussion.php?&amp;Z=8&amp;N=6&amp;Sheet=1&amp;Row=364&amp;Col=8","")</f>
      </c>
      <c r="J365" t="s" s="1">
        <f>HYPERLINK("http://141.218.60.56/~jnz1568/discussion.php?&amp;Z=8&amp;N=6&amp;Sheet=1&amp;Row=364&amp;Col=9","408230")</f>
      </c>
      <c r="K365" t="s" s="1">
        <f>HYPERLINK("http://141.218.60.56/~jnz1568/discussion.php?&amp;Z=8&amp;N=6&amp;Sheet=1&amp;Row=364&amp;Col=10","")</f>
      </c>
      <c r="L365" t="s" s="1">
        <f>HYPERLINK("http://141.218.60.56/~jnz1568/discussion.php?&amp;Z=8&amp;N=6&amp;Sheet=1&amp;Row=364&amp;Col=11","")</f>
      </c>
      <c r="M365" t="s" s="1">
        <f>HYPERLINK("http://141.218.60.56/~jnz1568/discussion.php?&amp;Z=8&amp;N=6&amp;Sheet=1&amp;Row=364&amp;Col=12","")</f>
      </c>
      <c r="N365" t="s" s="1">
        <f>HYPERLINK("http://141.218.60.56/~jnz1568/discussion.php?&amp;Z=8&amp;N=6&amp;Sheet=1&amp;Row=364&amp;Col=13","131400")</f>
      </c>
      <c r="O365" t="s" s="1">
        <f>HYPERLINK("http://141.218.60.56/~jnz1568/discussion.php?&amp;Z=8&amp;N=6&amp;Sheet=1&amp;Row=364&amp;Col=14","")</f>
      </c>
      <c r="P365" t="s" s="1">
        <f>HYPERLINK("http://141.218.60.56/~jnz1568/discussion.php?&amp;Z=8&amp;N=6&amp;Sheet=1&amp;Row=364&amp;Col=15","")</f>
      </c>
      <c r="Q365" t="s" s="1">
        <f>HYPERLINK("http://141.218.60.56/~jnz1568/discussion.php?&amp;Z=8&amp;N=6&amp;Sheet=1&amp;Row=364&amp;Col=16","")</f>
      </c>
    </row>
    <row r="366">
      <c r="A366" t="s">
        <v>15</v>
      </c>
      <c r="B366" t="s">
        <v>16</v>
      </c>
      <c r="C366" t="s">
        <v>179</v>
      </c>
      <c r="D366" t="s">
        <v>111</v>
      </c>
      <c r="E366" t="s">
        <v>1646</v>
      </c>
      <c r="F366" t="s" s="1">
        <f>HYPERLINK("http://141.218.60.56/~jnz1568/discussion.php?&amp;Z=8&amp;N=6&amp;Sheet=1&amp;Row=365&amp;Col=5","3078200")</f>
      </c>
      <c r="G366" t="s" s="1">
        <f>HYPERLINK("http://141.218.60.56/~jnz1568/discussion.php?&amp;Z=8&amp;N=6&amp;Sheet=1&amp;Row=365&amp;Col=6","")</f>
      </c>
      <c r="H366" t="s" s="1">
        <f>HYPERLINK("http://141.218.60.56/~jnz1568/discussion.php?&amp;Z=8&amp;N=6&amp;Sheet=1&amp;Row=365&amp;Col=7","")</f>
      </c>
      <c r="I366" t="s" s="1">
        <f>HYPERLINK("http://141.218.60.56/~jnz1568/discussion.php?&amp;Z=8&amp;N=6&amp;Sheet=1&amp;Row=365&amp;Col=8","")</f>
      </c>
      <c r="J366" t="s" s="1">
        <f>HYPERLINK("http://141.218.60.56/~jnz1568/discussion.php?&amp;Z=8&amp;N=6&amp;Sheet=1&amp;Row=365&amp;Col=9","3059200")</f>
      </c>
      <c r="K366" t="s" s="1">
        <f>HYPERLINK("http://141.218.60.56/~jnz1568/discussion.php?&amp;Z=8&amp;N=6&amp;Sheet=1&amp;Row=365&amp;Col=10","")</f>
      </c>
      <c r="L366" t="s" s="1">
        <f>HYPERLINK("http://141.218.60.56/~jnz1568/discussion.php?&amp;Z=8&amp;N=6&amp;Sheet=1&amp;Row=365&amp;Col=11","")</f>
      </c>
      <c r="M366" t="s" s="1">
        <f>HYPERLINK("http://141.218.60.56/~jnz1568/discussion.php?&amp;Z=8&amp;N=6&amp;Sheet=1&amp;Row=365&amp;Col=12","")</f>
      </c>
      <c r="N366" t="s" s="1">
        <f>HYPERLINK("http://141.218.60.56/~jnz1568/discussion.php?&amp;Z=8&amp;N=6&amp;Sheet=1&amp;Row=365&amp;Col=13","3003000")</f>
      </c>
      <c r="O366" t="s" s="1">
        <f>HYPERLINK("http://141.218.60.56/~jnz1568/discussion.php?&amp;Z=8&amp;N=6&amp;Sheet=1&amp;Row=365&amp;Col=14","")</f>
      </c>
      <c r="P366" t="s" s="1">
        <f>HYPERLINK("http://141.218.60.56/~jnz1568/discussion.php?&amp;Z=8&amp;N=6&amp;Sheet=1&amp;Row=365&amp;Col=15","")</f>
      </c>
      <c r="Q366" t="s" s="1">
        <f>HYPERLINK("http://141.218.60.56/~jnz1568/discussion.php?&amp;Z=8&amp;N=6&amp;Sheet=1&amp;Row=365&amp;Col=16","")</f>
      </c>
    </row>
    <row r="367">
      <c r="A367" t="s">
        <v>15</v>
      </c>
      <c r="B367" t="s">
        <v>16</v>
      </c>
      <c r="C367" t="s">
        <v>179</v>
      </c>
      <c r="D367" t="s">
        <v>116</v>
      </c>
      <c r="E367" t="s">
        <v>1650</v>
      </c>
      <c r="F367" t="s" s="1">
        <f>HYPERLINK("http://141.218.60.56/~jnz1568/discussion.php?&amp;Z=8&amp;N=6&amp;Sheet=1&amp;Row=366&amp;Col=5","13966000")</f>
      </c>
      <c r="G367" t="s" s="1">
        <f>HYPERLINK("http://141.218.60.56/~jnz1568/discussion.php?&amp;Z=8&amp;N=6&amp;Sheet=1&amp;Row=366&amp;Col=6","")</f>
      </c>
      <c r="H367" t="s" s="1">
        <f>HYPERLINK("http://141.218.60.56/~jnz1568/discussion.php?&amp;Z=8&amp;N=6&amp;Sheet=1&amp;Row=366&amp;Col=7","")</f>
      </c>
      <c r="I367" t="s" s="1">
        <f>HYPERLINK("http://141.218.60.56/~jnz1568/discussion.php?&amp;Z=8&amp;N=6&amp;Sheet=1&amp;Row=366&amp;Col=8","")</f>
      </c>
      <c r="J367" t="s" s="1">
        <f>HYPERLINK("http://141.218.60.56/~jnz1568/discussion.php?&amp;Z=8&amp;N=6&amp;Sheet=1&amp;Row=366&amp;Col=9","13839000")</f>
      </c>
      <c r="K367" t="s" s="1">
        <f>HYPERLINK("http://141.218.60.56/~jnz1568/discussion.php?&amp;Z=8&amp;N=6&amp;Sheet=1&amp;Row=366&amp;Col=10","")</f>
      </c>
      <c r="L367" t="s" s="1">
        <f>HYPERLINK("http://141.218.60.56/~jnz1568/discussion.php?&amp;Z=8&amp;N=6&amp;Sheet=1&amp;Row=366&amp;Col=11","")</f>
      </c>
      <c r="M367" t="s" s="1">
        <f>HYPERLINK("http://141.218.60.56/~jnz1568/discussion.php?&amp;Z=8&amp;N=6&amp;Sheet=1&amp;Row=366&amp;Col=12","")</f>
      </c>
      <c r="N367" t="s" s="1">
        <f>HYPERLINK("http://141.218.60.56/~jnz1568/discussion.php?&amp;Z=8&amp;N=6&amp;Sheet=1&amp;Row=366&amp;Col=13","12350000")</f>
      </c>
      <c r="O367" t="s" s="1">
        <f>HYPERLINK("http://141.218.60.56/~jnz1568/discussion.php?&amp;Z=8&amp;N=6&amp;Sheet=1&amp;Row=366&amp;Col=14","")</f>
      </c>
      <c r="P367" t="s" s="1">
        <f>HYPERLINK("http://141.218.60.56/~jnz1568/discussion.php?&amp;Z=8&amp;N=6&amp;Sheet=1&amp;Row=366&amp;Col=15","")</f>
      </c>
      <c r="Q367" t="s" s="1">
        <f>HYPERLINK("http://141.218.60.56/~jnz1568/discussion.php?&amp;Z=8&amp;N=6&amp;Sheet=1&amp;Row=366&amp;Col=16","")</f>
      </c>
    </row>
    <row r="368">
      <c r="A368" t="s">
        <v>15</v>
      </c>
      <c r="B368" t="s">
        <v>16</v>
      </c>
      <c r="C368" t="s">
        <v>179</v>
      </c>
      <c r="D368" t="s">
        <v>122</v>
      </c>
      <c r="E368" t="s">
        <v>1654</v>
      </c>
      <c r="F368" t="s" s="1">
        <f>HYPERLINK("http://141.218.60.56/~jnz1568/discussion.php?&amp;Z=8&amp;N=6&amp;Sheet=1&amp;Row=367&amp;Col=5","138210000")</f>
      </c>
      <c r="G368" t="s" s="1">
        <f>HYPERLINK("http://141.218.60.56/~jnz1568/discussion.php?&amp;Z=8&amp;N=6&amp;Sheet=1&amp;Row=367&amp;Col=6","")</f>
      </c>
      <c r="H368" t="s" s="1">
        <f>HYPERLINK("http://141.218.60.56/~jnz1568/discussion.php?&amp;Z=8&amp;N=6&amp;Sheet=1&amp;Row=367&amp;Col=7","")</f>
      </c>
      <c r="I368" t="s" s="1">
        <f>HYPERLINK("http://141.218.60.56/~jnz1568/discussion.php?&amp;Z=8&amp;N=6&amp;Sheet=1&amp;Row=367&amp;Col=8","")</f>
      </c>
      <c r="J368" t="s" s="1">
        <f>HYPERLINK("http://141.218.60.56/~jnz1568/discussion.php?&amp;Z=8&amp;N=6&amp;Sheet=1&amp;Row=367&amp;Col=9","137430000")</f>
      </c>
      <c r="K368" t="s" s="1">
        <f>HYPERLINK("http://141.218.60.56/~jnz1568/discussion.php?&amp;Z=8&amp;N=6&amp;Sheet=1&amp;Row=367&amp;Col=10","")</f>
      </c>
      <c r="L368" t="s" s="1">
        <f>HYPERLINK("http://141.218.60.56/~jnz1568/discussion.php?&amp;Z=8&amp;N=6&amp;Sheet=1&amp;Row=367&amp;Col=11","")</f>
      </c>
      <c r="M368" t="s" s="1">
        <f>HYPERLINK("http://141.218.60.56/~jnz1568/discussion.php?&amp;Z=8&amp;N=6&amp;Sheet=1&amp;Row=367&amp;Col=12","")</f>
      </c>
      <c r="N368" t="s" s="1">
        <f>HYPERLINK("http://141.218.60.56/~jnz1568/discussion.php?&amp;Z=8&amp;N=6&amp;Sheet=1&amp;Row=367&amp;Col=13","103500000")</f>
      </c>
      <c r="O368" t="s" s="1">
        <f>HYPERLINK("http://141.218.60.56/~jnz1568/discussion.php?&amp;Z=8&amp;N=6&amp;Sheet=1&amp;Row=367&amp;Col=14","")</f>
      </c>
      <c r="P368" t="s" s="1">
        <f>HYPERLINK("http://141.218.60.56/~jnz1568/discussion.php?&amp;Z=8&amp;N=6&amp;Sheet=1&amp;Row=367&amp;Col=15","")</f>
      </c>
      <c r="Q368" t="s" s="1">
        <f>HYPERLINK("http://141.218.60.56/~jnz1568/discussion.php?&amp;Z=8&amp;N=6&amp;Sheet=1&amp;Row=367&amp;Col=16","")</f>
      </c>
    </row>
    <row r="369">
      <c r="A369" t="s">
        <v>15</v>
      </c>
      <c r="B369" t="s">
        <v>16</v>
      </c>
      <c r="C369" t="s">
        <v>179</v>
      </c>
      <c r="D369" t="s">
        <v>127</v>
      </c>
      <c r="E369" t="s">
        <v>1658</v>
      </c>
      <c r="F369" t="s" s="1">
        <f>HYPERLINK("http://141.218.60.56/~jnz1568/discussion.php?&amp;Z=8&amp;N=6&amp;Sheet=1&amp;Row=368&amp;Col=5","573.88")</f>
      </c>
      <c r="G369" t="s" s="1">
        <f>HYPERLINK("http://141.218.60.56/~jnz1568/discussion.php?&amp;Z=8&amp;N=6&amp;Sheet=1&amp;Row=368&amp;Col=6","")</f>
      </c>
      <c r="H369" t="s" s="1">
        <f>HYPERLINK("http://141.218.60.56/~jnz1568/discussion.php?&amp;Z=8&amp;N=6&amp;Sheet=1&amp;Row=368&amp;Col=7","")</f>
      </c>
      <c r="I369" t="s" s="1">
        <f>HYPERLINK("http://141.218.60.56/~jnz1568/discussion.php?&amp;Z=8&amp;N=6&amp;Sheet=1&amp;Row=368&amp;Col=8","")</f>
      </c>
      <c r="J369" t="s" s="1">
        <f>HYPERLINK("http://141.218.60.56/~jnz1568/discussion.php?&amp;Z=8&amp;N=6&amp;Sheet=1&amp;Row=368&amp;Col=9","2538")</f>
      </c>
      <c r="K369" t="s" s="1">
        <f>HYPERLINK("http://141.218.60.56/~jnz1568/discussion.php?&amp;Z=8&amp;N=6&amp;Sheet=1&amp;Row=368&amp;Col=10","")</f>
      </c>
      <c r="L369" t="s" s="1">
        <f>HYPERLINK("http://141.218.60.56/~jnz1568/discussion.php?&amp;Z=8&amp;N=6&amp;Sheet=1&amp;Row=368&amp;Col=11","")</f>
      </c>
      <c r="M369" t="s" s="1">
        <f>HYPERLINK("http://141.218.60.56/~jnz1568/discussion.php?&amp;Z=8&amp;N=6&amp;Sheet=1&amp;Row=368&amp;Col=12","")</f>
      </c>
      <c r="N369" t="s" s="1">
        <f>HYPERLINK("http://141.218.60.56/~jnz1568/discussion.php?&amp;Z=8&amp;N=6&amp;Sheet=1&amp;Row=368&amp;Col=13","245.9")</f>
      </c>
      <c r="O369" t="s" s="1">
        <f>HYPERLINK("http://141.218.60.56/~jnz1568/discussion.php?&amp;Z=8&amp;N=6&amp;Sheet=1&amp;Row=368&amp;Col=14","")</f>
      </c>
      <c r="P369" t="s" s="1">
        <f>HYPERLINK("http://141.218.60.56/~jnz1568/discussion.php?&amp;Z=8&amp;N=6&amp;Sheet=1&amp;Row=368&amp;Col=15","")</f>
      </c>
      <c r="Q369" t="s" s="1">
        <f>HYPERLINK("http://141.218.60.56/~jnz1568/discussion.php?&amp;Z=8&amp;N=6&amp;Sheet=1&amp;Row=368&amp;Col=16","")</f>
      </c>
    </row>
    <row r="370">
      <c r="A370" t="s">
        <v>15</v>
      </c>
      <c r="B370" t="s">
        <v>16</v>
      </c>
      <c r="C370" t="s">
        <v>179</v>
      </c>
      <c r="D370" t="s">
        <v>131</v>
      </c>
      <c r="E370" t="s">
        <v>1662</v>
      </c>
      <c r="F370" t="s" s="1">
        <f>HYPERLINK("http://141.218.60.56/~jnz1568/discussion.php?&amp;Z=8&amp;N=6&amp;Sheet=1&amp;Row=369&amp;Col=5","16642000")</f>
      </c>
      <c r="G370" t="s" s="1">
        <f>HYPERLINK("http://141.218.60.56/~jnz1568/discussion.php?&amp;Z=8&amp;N=6&amp;Sheet=1&amp;Row=369&amp;Col=6","")</f>
      </c>
      <c r="H370" t="s" s="1">
        <f>HYPERLINK("http://141.218.60.56/~jnz1568/discussion.php?&amp;Z=8&amp;N=6&amp;Sheet=1&amp;Row=369&amp;Col=7","")</f>
      </c>
      <c r="I370" t="s" s="1">
        <f>HYPERLINK("http://141.218.60.56/~jnz1568/discussion.php?&amp;Z=8&amp;N=6&amp;Sheet=1&amp;Row=369&amp;Col=8","")</f>
      </c>
      <c r="J370" t="s" s="1">
        <f>HYPERLINK("http://141.218.60.56/~jnz1568/discussion.php?&amp;Z=8&amp;N=6&amp;Sheet=1&amp;Row=369&amp;Col=9","16558000")</f>
      </c>
      <c r="K370" t="s" s="1">
        <f>HYPERLINK("http://141.218.60.56/~jnz1568/discussion.php?&amp;Z=8&amp;N=6&amp;Sheet=1&amp;Row=369&amp;Col=10","")</f>
      </c>
      <c r="L370" t="s" s="1">
        <f>HYPERLINK("http://141.218.60.56/~jnz1568/discussion.php?&amp;Z=8&amp;N=6&amp;Sheet=1&amp;Row=369&amp;Col=11","")</f>
      </c>
      <c r="M370" t="s" s="1">
        <f>HYPERLINK("http://141.218.60.56/~jnz1568/discussion.php?&amp;Z=8&amp;N=6&amp;Sheet=1&amp;Row=369&amp;Col=12","")</f>
      </c>
      <c r="N370" t="s" s="1">
        <f>HYPERLINK("http://141.218.60.56/~jnz1568/discussion.php?&amp;Z=8&amp;N=6&amp;Sheet=1&amp;Row=369&amp;Col=13","11410000")</f>
      </c>
      <c r="O370" t="s" s="1">
        <f>HYPERLINK("http://141.218.60.56/~jnz1568/discussion.php?&amp;Z=8&amp;N=6&amp;Sheet=1&amp;Row=369&amp;Col=14","")</f>
      </c>
      <c r="P370" t="s" s="1">
        <f>HYPERLINK("http://141.218.60.56/~jnz1568/discussion.php?&amp;Z=8&amp;N=6&amp;Sheet=1&amp;Row=369&amp;Col=15","")</f>
      </c>
      <c r="Q370" t="s" s="1">
        <f>HYPERLINK("http://141.218.60.56/~jnz1568/discussion.php?&amp;Z=8&amp;N=6&amp;Sheet=1&amp;Row=369&amp;Col=16","")</f>
      </c>
    </row>
    <row r="371">
      <c r="A371" t="s">
        <v>15</v>
      </c>
      <c r="B371" t="s">
        <v>16</v>
      </c>
      <c r="C371" t="s">
        <v>179</v>
      </c>
      <c r="D371" t="s">
        <v>135</v>
      </c>
      <c r="E371" t="s">
        <v>1666</v>
      </c>
      <c r="F371" t="s" s="1">
        <f>HYPERLINK("http://141.218.60.56/~jnz1568/discussion.php?&amp;Z=8&amp;N=6&amp;Sheet=1&amp;Row=370&amp;Col=5","21886000")</f>
      </c>
      <c r="G371" t="s" s="1">
        <f>HYPERLINK("http://141.218.60.56/~jnz1568/discussion.php?&amp;Z=8&amp;N=6&amp;Sheet=1&amp;Row=370&amp;Col=6","")</f>
      </c>
      <c r="H371" t="s" s="1">
        <f>HYPERLINK("http://141.218.60.56/~jnz1568/discussion.php?&amp;Z=8&amp;N=6&amp;Sheet=1&amp;Row=370&amp;Col=7","")</f>
      </c>
      <c r="I371" t="s" s="1">
        <f>HYPERLINK("http://141.218.60.56/~jnz1568/discussion.php?&amp;Z=8&amp;N=6&amp;Sheet=1&amp;Row=370&amp;Col=8","")</f>
      </c>
      <c r="J371" t="s" s="1">
        <f>HYPERLINK("http://141.218.60.56/~jnz1568/discussion.php?&amp;Z=8&amp;N=6&amp;Sheet=1&amp;Row=370&amp;Col=9","21742000")</f>
      </c>
      <c r="K371" t="s" s="1">
        <f>HYPERLINK("http://141.218.60.56/~jnz1568/discussion.php?&amp;Z=8&amp;N=6&amp;Sheet=1&amp;Row=370&amp;Col=10","")</f>
      </c>
      <c r="L371" t="s" s="1">
        <f>HYPERLINK("http://141.218.60.56/~jnz1568/discussion.php?&amp;Z=8&amp;N=6&amp;Sheet=1&amp;Row=370&amp;Col=11","")</f>
      </c>
      <c r="M371" t="s" s="1">
        <f>HYPERLINK("http://141.218.60.56/~jnz1568/discussion.php?&amp;Z=8&amp;N=6&amp;Sheet=1&amp;Row=370&amp;Col=12","")</f>
      </c>
      <c r="N371" t="s" s="1">
        <f>HYPERLINK("http://141.218.60.56/~jnz1568/discussion.php?&amp;Z=8&amp;N=6&amp;Sheet=1&amp;Row=370&amp;Col=13","13050000")</f>
      </c>
      <c r="O371" t="s" s="1">
        <f>HYPERLINK("http://141.218.60.56/~jnz1568/discussion.php?&amp;Z=8&amp;N=6&amp;Sheet=1&amp;Row=370&amp;Col=14","")</f>
      </c>
      <c r="P371" t="s" s="1">
        <f>HYPERLINK("http://141.218.60.56/~jnz1568/discussion.php?&amp;Z=8&amp;N=6&amp;Sheet=1&amp;Row=370&amp;Col=15","")</f>
      </c>
      <c r="Q371" t="s" s="1">
        <f>HYPERLINK("http://141.218.60.56/~jnz1568/discussion.php?&amp;Z=8&amp;N=6&amp;Sheet=1&amp;Row=370&amp;Col=16","")</f>
      </c>
    </row>
    <row r="372">
      <c r="A372" t="s">
        <v>15</v>
      </c>
      <c r="B372" t="s">
        <v>16</v>
      </c>
      <c r="C372" t="s">
        <v>179</v>
      </c>
      <c r="D372" t="s">
        <v>138</v>
      </c>
      <c r="E372" t="s">
        <v>1670</v>
      </c>
      <c r="F372" t="s" s="1">
        <f>HYPERLINK("http://141.218.60.56/~jnz1568/discussion.php?&amp;Z=8&amp;N=6&amp;Sheet=1&amp;Row=371&amp;Col=5","25989000")</f>
      </c>
      <c r="G372" t="s" s="1">
        <f>HYPERLINK("http://141.218.60.56/~jnz1568/discussion.php?&amp;Z=8&amp;N=6&amp;Sheet=1&amp;Row=371&amp;Col=6","")</f>
      </c>
      <c r="H372" t="s" s="1">
        <f>HYPERLINK("http://141.218.60.56/~jnz1568/discussion.php?&amp;Z=8&amp;N=6&amp;Sheet=1&amp;Row=371&amp;Col=7","")</f>
      </c>
      <c r="I372" t="s" s="1">
        <f>HYPERLINK("http://141.218.60.56/~jnz1568/discussion.php?&amp;Z=8&amp;N=6&amp;Sheet=1&amp;Row=371&amp;Col=8","")</f>
      </c>
      <c r="J372" t="s" s="1">
        <f>HYPERLINK("http://141.218.60.56/~jnz1568/discussion.php?&amp;Z=8&amp;N=6&amp;Sheet=1&amp;Row=371&amp;Col=9","25832000")</f>
      </c>
      <c r="K372" t="s" s="1">
        <f>HYPERLINK("http://141.218.60.56/~jnz1568/discussion.php?&amp;Z=8&amp;N=6&amp;Sheet=1&amp;Row=371&amp;Col=10","")</f>
      </c>
      <c r="L372" t="s" s="1">
        <f>HYPERLINK("http://141.218.60.56/~jnz1568/discussion.php?&amp;Z=8&amp;N=6&amp;Sheet=1&amp;Row=371&amp;Col=11","")</f>
      </c>
      <c r="M372" t="s" s="1">
        <f>HYPERLINK("http://141.218.60.56/~jnz1568/discussion.php?&amp;Z=8&amp;N=6&amp;Sheet=1&amp;Row=371&amp;Col=12","")</f>
      </c>
      <c r="N372" t="s" s="1">
        <f>HYPERLINK("http://141.218.60.56/~jnz1568/discussion.php?&amp;Z=8&amp;N=6&amp;Sheet=1&amp;Row=371&amp;Col=13","17120000")</f>
      </c>
      <c r="O372" t="s" s="1">
        <f>HYPERLINK("http://141.218.60.56/~jnz1568/discussion.php?&amp;Z=8&amp;N=6&amp;Sheet=1&amp;Row=371&amp;Col=14","")</f>
      </c>
      <c r="P372" t="s" s="1">
        <f>HYPERLINK("http://141.218.60.56/~jnz1568/discussion.php?&amp;Z=8&amp;N=6&amp;Sheet=1&amp;Row=371&amp;Col=15","")</f>
      </c>
      <c r="Q372" t="s" s="1">
        <f>HYPERLINK("http://141.218.60.56/~jnz1568/discussion.php?&amp;Z=8&amp;N=6&amp;Sheet=1&amp;Row=371&amp;Col=16","")</f>
      </c>
    </row>
    <row r="373">
      <c r="A373" t="s">
        <v>15</v>
      </c>
      <c r="B373" t="s">
        <v>16</v>
      </c>
      <c r="C373" t="s">
        <v>179</v>
      </c>
      <c r="D373" t="s">
        <v>141</v>
      </c>
      <c r="E373" t="s">
        <v>1674</v>
      </c>
      <c r="F373" t="s" s="1">
        <f>HYPERLINK("http://141.218.60.56/~jnz1568/discussion.php?&amp;Z=8&amp;N=6&amp;Sheet=1&amp;Row=372&amp;Col=5","444.69")</f>
      </c>
      <c r="G373" t="s" s="1">
        <f>HYPERLINK("http://141.218.60.56/~jnz1568/discussion.php?&amp;Z=8&amp;N=6&amp;Sheet=1&amp;Row=372&amp;Col=6","")</f>
      </c>
      <c r="H373" t="s" s="1">
        <f>HYPERLINK("http://141.218.60.56/~jnz1568/discussion.php?&amp;Z=8&amp;N=6&amp;Sheet=1&amp;Row=372&amp;Col=7","")</f>
      </c>
      <c r="I373" t="s" s="1">
        <f>HYPERLINK("http://141.218.60.56/~jnz1568/discussion.php?&amp;Z=8&amp;N=6&amp;Sheet=1&amp;Row=372&amp;Col=8","")</f>
      </c>
      <c r="J373" t="s" s="1">
        <f>HYPERLINK("http://141.218.60.56/~jnz1568/discussion.php?&amp;Z=8&amp;N=6&amp;Sheet=1&amp;Row=372&amp;Col=9","438.11")</f>
      </c>
      <c r="K373" t="s" s="1">
        <f>HYPERLINK("http://141.218.60.56/~jnz1568/discussion.php?&amp;Z=8&amp;N=6&amp;Sheet=1&amp;Row=372&amp;Col=10","")</f>
      </c>
      <c r="L373" t="s" s="1">
        <f>HYPERLINK("http://141.218.60.56/~jnz1568/discussion.php?&amp;Z=8&amp;N=6&amp;Sheet=1&amp;Row=372&amp;Col=11","")</f>
      </c>
      <c r="M373" t="s" s="1">
        <f>HYPERLINK("http://141.218.60.56/~jnz1568/discussion.php?&amp;Z=8&amp;N=6&amp;Sheet=1&amp;Row=372&amp;Col=12","")</f>
      </c>
      <c r="N373" t="s" s="1">
        <f>HYPERLINK("http://141.218.60.56/~jnz1568/discussion.php?&amp;Z=8&amp;N=6&amp;Sheet=1&amp;Row=372&amp;Col=13","124")</f>
      </c>
      <c r="O373" t="s" s="1">
        <f>HYPERLINK("http://141.218.60.56/~jnz1568/discussion.php?&amp;Z=8&amp;N=6&amp;Sheet=1&amp;Row=372&amp;Col=14","")</f>
      </c>
      <c r="P373" t="s" s="1">
        <f>HYPERLINK("http://141.218.60.56/~jnz1568/discussion.php?&amp;Z=8&amp;N=6&amp;Sheet=1&amp;Row=372&amp;Col=15","")</f>
      </c>
      <c r="Q373" t="s" s="1">
        <f>HYPERLINK("http://141.218.60.56/~jnz1568/discussion.php?&amp;Z=8&amp;N=6&amp;Sheet=1&amp;Row=372&amp;Col=16","")</f>
      </c>
    </row>
    <row r="374">
      <c r="A374" t="s">
        <v>15</v>
      </c>
      <c r="B374" t="s">
        <v>16</v>
      </c>
      <c r="C374" t="s">
        <v>179</v>
      </c>
      <c r="D374" t="s">
        <v>145</v>
      </c>
      <c r="E374" t="s">
        <v>1678</v>
      </c>
      <c r="F374" t="s" s="1">
        <f>HYPERLINK("http://141.218.60.56/~jnz1568/discussion.php?&amp;Z=8&amp;N=6&amp;Sheet=1&amp;Row=373&amp;Col=5","9166.6")</f>
      </c>
      <c r="G374" t="s" s="1">
        <f>HYPERLINK("http://141.218.60.56/~jnz1568/discussion.php?&amp;Z=8&amp;N=6&amp;Sheet=1&amp;Row=373&amp;Col=6","")</f>
      </c>
      <c r="H374" t="s" s="1">
        <f>HYPERLINK("http://141.218.60.56/~jnz1568/discussion.php?&amp;Z=8&amp;N=6&amp;Sheet=1&amp;Row=373&amp;Col=7","")</f>
      </c>
      <c r="I374" t="s" s="1">
        <f>HYPERLINK("http://141.218.60.56/~jnz1568/discussion.php?&amp;Z=8&amp;N=6&amp;Sheet=1&amp;Row=373&amp;Col=8","")</f>
      </c>
      <c r="J374" t="s" s="1">
        <f>HYPERLINK("http://141.218.60.56/~jnz1568/discussion.php?&amp;Z=8&amp;N=6&amp;Sheet=1&amp;Row=373&amp;Col=9","8563.9")</f>
      </c>
      <c r="K374" t="s" s="1">
        <f>HYPERLINK("http://141.218.60.56/~jnz1568/discussion.php?&amp;Z=8&amp;N=6&amp;Sheet=1&amp;Row=373&amp;Col=10","")</f>
      </c>
      <c r="L374" t="s" s="1">
        <f>HYPERLINK("http://141.218.60.56/~jnz1568/discussion.php?&amp;Z=8&amp;N=6&amp;Sheet=1&amp;Row=373&amp;Col=11","")</f>
      </c>
      <c r="M374" t="s" s="1">
        <f>HYPERLINK("http://141.218.60.56/~jnz1568/discussion.php?&amp;Z=8&amp;N=6&amp;Sheet=1&amp;Row=373&amp;Col=12","")</f>
      </c>
      <c r="N374" t="s" s="1">
        <f>HYPERLINK("http://141.218.60.56/~jnz1568/discussion.php?&amp;Z=8&amp;N=6&amp;Sheet=1&amp;Row=373&amp;Col=13","422.9")</f>
      </c>
      <c r="O374" t="s" s="1">
        <f>HYPERLINK("http://141.218.60.56/~jnz1568/discussion.php?&amp;Z=8&amp;N=6&amp;Sheet=1&amp;Row=373&amp;Col=14","")</f>
      </c>
      <c r="P374" t="s" s="1">
        <f>HYPERLINK("http://141.218.60.56/~jnz1568/discussion.php?&amp;Z=8&amp;N=6&amp;Sheet=1&amp;Row=373&amp;Col=15","")</f>
      </c>
      <c r="Q374" t="s" s="1">
        <f>HYPERLINK("http://141.218.60.56/~jnz1568/discussion.php?&amp;Z=8&amp;N=6&amp;Sheet=1&amp;Row=373&amp;Col=16","")</f>
      </c>
    </row>
    <row r="375">
      <c r="A375" t="s">
        <v>15</v>
      </c>
      <c r="B375" t="s">
        <v>16</v>
      </c>
      <c r="C375" t="s">
        <v>182</v>
      </c>
      <c r="D375" t="s">
        <v>23</v>
      </c>
      <c r="E375" t="s">
        <v>1682</v>
      </c>
      <c r="F375" t="s" s="1">
        <f>HYPERLINK("http://141.218.60.56/~jnz1568/discussion.php?&amp;Z=8&amp;N=6&amp;Sheet=1&amp;Row=374&amp;Col=5","11719000000")</f>
      </c>
      <c r="G375" t="s" s="1">
        <f>HYPERLINK("http://141.218.60.56/~jnz1568/discussion.php?&amp;Z=8&amp;N=6&amp;Sheet=1&amp;Row=374&amp;Col=6","")</f>
      </c>
      <c r="H375" t="s" s="1">
        <f>HYPERLINK("http://141.218.60.56/~jnz1568/discussion.php?&amp;Z=8&amp;N=6&amp;Sheet=1&amp;Row=374&amp;Col=7","")</f>
      </c>
      <c r="I375" t="s" s="1">
        <f>HYPERLINK("http://141.218.60.56/~jnz1568/discussion.php?&amp;Z=8&amp;N=6&amp;Sheet=1&amp;Row=374&amp;Col=8","")</f>
      </c>
      <c r="J375" t="s" s="1">
        <f>HYPERLINK("http://141.218.60.56/~jnz1568/discussion.php?&amp;Z=8&amp;N=6&amp;Sheet=1&amp;Row=374&amp;Col=9","11805000000")</f>
      </c>
      <c r="K375" t="s" s="1">
        <f>HYPERLINK("http://141.218.60.56/~jnz1568/discussion.php?&amp;Z=8&amp;N=6&amp;Sheet=1&amp;Row=374&amp;Col=10","")</f>
      </c>
      <c r="L375" t="s" s="1">
        <f>HYPERLINK("http://141.218.60.56/~jnz1568/discussion.php?&amp;Z=8&amp;N=6&amp;Sheet=1&amp;Row=374&amp;Col=11","")</f>
      </c>
      <c r="M375" t="s" s="1">
        <f>HYPERLINK("http://141.218.60.56/~jnz1568/discussion.php?&amp;Z=8&amp;N=6&amp;Sheet=1&amp;Row=374&amp;Col=12","")</f>
      </c>
      <c r="N375" t="s" s="1">
        <f>HYPERLINK("http://141.218.60.56/~jnz1568/discussion.php?&amp;Z=8&amp;N=6&amp;Sheet=1&amp;Row=374&amp;Col=13","14050000000")</f>
      </c>
      <c r="O375" t="s" s="1">
        <f>HYPERLINK("http://141.218.60.56/~jnz1568/discussion.php?&amp;Z=8&amp;N=6&amp;Sheet=1&amp;Row=374&amp;Col=14","")</f>
      </c>
      <c r="P375" t="s" s="1">
        <f>HYPERLINK("http://141.218.60.56/~jnz1568/discussion.php?&amp;Z=8&amp;N=6&amp;Sheet=1&amp;Row=374&amp;Col=15","")</f>
      </c>
      <c r="Q375" t="s" s="1">
        <f>HYPERLINK("http://141.218.60.56/~jnz1568/discussion.php?&amp;Z=8&amp;N=6&amp;Sheet=1&amp;Row=374&amp;Col=16","")</f>
      </c>
    </row>
    <row r="376">
      <c r="A376" t="s">
        <v>15</v>
      </c>
      <c r="B376" t="s">
        <v>16</v>
      </c>
      <c r="C376" t="s">
        <v>182</v>
      </c>
      <c r="D376" t="s">
        <v>99</v>
      </c>
      <c r="E376" t="s">
        <v>1686</v>
      </c>
      <c r="F376" t="s" s="1">
        <f>HYPERLINK("http://141.218.60.56/~jnz1568/discussion.php?&amp;Z=8&amp;N=6&amp;Sheet=1&amp;Row=375&amp;Col=5","649670")</f>
      </c>
      <c r="G376" t="s" s="1">
        <f>HYPERLINK("http://141.218.60.56/~jnz1568/discussion.php?&amp;Z=8&amp;N=6&amp;Sheet=1&amp;Row=375&amp;Col=6","")</f>
      </c>
      <c r="H376" t="s" s="1">
        <f>HYPERLINK("http://141.218.60.56/~jnz1568/discussion.php?&amp;Z=8&amp;N=6&amp;Sheet=1&amp;Row=375&amp;Col=7","")</f>
      </c>
      <c r="I376" t="s" s="1">
        <f>HYPERLINK("http://141.218.60.56/~jnz1568/discussion.php?&amp;Z=8&amp;N=6&amp;Sheet=1&amp;Row=375&amp;Col=8","")</f>
      </c>
      <c r="J376" t="s" s="1">
        <f>HYPERLINK("http://141.218.60.56/~jnz1568/discussion.php?&amp;Z=8&amp;N=6&amp;Sheet=1&amp;Row=375&amp;Col=9","752950")</f>
      </c>
      <c r="K376" t="s" s="1">
        <f>HYPERLINK("http://141.218.60.56/~jnz1568/discussion.php?&amp;Z=8&amp;N=6&amp;Sheet=1&amp;Row=375&amp;Col=10","")</f>
      </c>
      <c r="L376" t="s" s="1">
        <f>HYPERLINK("http://141.218.60.56/~jnz1568/discussion.php?&amp;Z=8&amp;N=6&amp;Sheet=1&amp;Row=375&amp;Col=11","")</f>
      </c>
      <c r="M376" t="s" s="1">
        <f>HYPERLINK("http://141.218.60.56/~jnz1568/discussion.php?&amp;Z=8&amp;N=6&amp;Sheet=1&amp;Row=375&amp;Col=12","")</f>
      </c>
      <c r="N376" t="s" s="1">
        <f>HYPERLINK("http://141.218.60.56/~jnz1568/discussion.php?&amp;Z=8&amp;N=6&amp;Sheet=1&amp;Row=375&amp;Col=13","1139000")</f>
      </c>
      <c r="O376" t="s" s="1">
        <f>HYPERLINK("http://141.218.60.56/~jnz1568/discussion.php?&amp;Z=8&amp;N=6&amp;Sheet=1&amp;Row=375&amp;Col=14","")</f>
      </c>
      <c r="P376" t="s" s="1">
        <f>HYPERLINK("http://141.218.60.56/~jnz1568/discussion.php?&amp;Z=8&amp;N=6&amp;Sheet=1&amp;Row=375&amp;Col=15","")</f>
      </c>
      <c r="Q376" t="s" s="1">
        <f>HYPERLINK("http://141.218.60.56/~jnz1568/discussion.php?&amp;Z=8&amp;N=6&amp;Sheet=1&amp;Row=375&amp;Col=16","")</f>
      </c>
    </row>
    <row r="377">
      <c r="A377" t="s">
        <v>15</v>
      </c>
      <c r="B377" t="s">
        <v>16</v>
      </c>
      <c r="C377" t="s">
        <v>182</v>
      </c>
      <c r="D377" t="s">
        <v>105</v>
      </c>
      <c r="E377" t="s">
        <v>1690</v>
      </c>
      <c r="F377" t="s" s="1">
        <f>HYPERLINK("http://141.218.60.56/~jnz1568/discussion.php?&amp;Z=8&amp;N=6&amp;Sheet=1&amp;Row=376&amp;Col=5","441.08")</f>
      </c>
      <c r="G377" t="s" s="1">
        <f>HYPERLINK("http://141.218.60.56/~jnz1568/discussion.php?&amp;Z=8&amp;N=6&amp;Sheet=1&amp;Row=376&amp;Col=6","")</f>
      </c>
      <c r="H377" t="s" s="1">
        <f>HYPERLINK("http://141.218.60.56/~jnz1568/discussion.php?&amp;Z=8&amp;N=6&amp;Sheet=1&amp;Row=376&amp;Col=7","")</f>
      </c>
      <c r="I377" t="s" s="1">
        <f>HYPERLINK("http://141.218.60.56/~jnz1568/discussion.php?&amp;Z=8&amp;N=6&amp;Sheet=1&amp;Row=376&amp;Col=8","")</f>
      </c>
      <c r="J377" t="s" s="1">
        <f>HYPERLINK("http://141.218.60.56/~jnz1568/discussion.php?&amp;Z=8&amp;N=6&amp;Sheet=1&amp;Row=376&amp;Col=9","395.61")</f>
      </c>
      <c r="K377" t="s" s="1">
        <f>HYPERLINK("http://141.218.60.56/~jnz1568/discussion.php?&amp;Z=8&amp;N=6&amp;Sheet=1&amp;Row=376&amp;Col=10","")</f>
      </c>
      <c r="L377" t="s" s="1">
        <f>HYPERLINK("http://141.218.60.56/~jnz1568/discussion.php?&amp;Z=8&amp;N=6&amp;Sheet=1&amp;Row=376&amp;Col=11","")</f>
      </c>
      <c r="M377" t="s" s="1">
        <f>HYPERLINK("http://141.218.60.56/~jnz1568/discussion.php?&amp;Z=8&amp;N=6&amp;Sheet=1&amp;Row=376&amp;Col=12","")</f>
      </c>
      <c r="N377" t="s" s="1">
        <f>HYPERLINK("http://141.218.60.56/~jnz1568/discussion.php?&amp;Z=8&amp;N=6&amp;Sheet=1&amp;Row=376&amp;Col=13","57.15")</f>
      </c>
      <c r="O377" t="s" s="1">
        <f>HYPERLINK("http://141.218.60.56/~jnz1568/discussion.php?&amp;Z=8&amp;N=6&amp;Sheet=1&amp;Row=376&amp;Col=14","")</f>
      </c>
      <c r="P377" t="s" s="1">
        <f>HYPERLINK("http://141.218.60.56/~jnz1568/discussion.php?&amp;Z=8&amp;N=6&amp;Sheet=1&amp;Row=376&amp;Col=15","")</f>
      </c>
      <c r="Q377" t="s" s="1">
        <f>HYPERLINK("http://141.218.60.56/~jnz1568/discussion.php?&amp;Z=8&amp;N=6&amp;Sheet=1&amp;Row=376&amp;Col=16","")</f>
      </c>
    </row>
    <row r="378">
      <c r="A378" t="s">
        <v>15</v>
      </c>
      <c r="B378" t="s">
        <v>16</v>
      </c>
      <c r="C378" t="s">
        <v>182</v>
      </c>
      <c r="D378" t="s">
        <v>111</v>
      </c>
      <c r="E378" t="s">
        <v>1694</v>
      </c>
      <c r="F378" t="s" s="1">
        <f>HYPERLINK("http://141.218.60.56/~jnz1568/discussion.php?&amp;Z=8&amp;N=6&amp;Sheet=1&amp;Row=377&amp;Col=5","17026000")</f>
      </c>
      <c r="G378" t="s" s="1">
        <f>HYPERLINK("http://141.218.60.56/~jnz1568/discussion.php?&amp;Z=8&amp;N=6&amp;Sheet=1&amp;Row=377&amp;Col=6","")</f>
      </c>
      <c r="H378" t="s" s="1">
        <f>HYPERLINK("http://141.218.60.56/~jnz1568/discussion.php?&amp;Z=8&amp;N=6&amp;Sheet=1&amp;Row=377&amp;Col=7","")</f>
      </c>
      <c r="I378" t="s" s="1">
        <f>HYPERLINK("http://141.218.60.56/~jnz1568/discussion.php?&amp;Z=8&amp;N=6&amp;Sheet=1&amp;Row=377&amp;Col=8","")</f>
      </c>
      <c r="J378" t="s" s="1">
        <f>HYPERLINK("http://141.218.60.56/~jnz1568/discussion.php?&amp;Z=8&amp;N=6&amp;Sheet=1&amp;Row=377&amp;Col=9","16881000")</f>
      </c>
      <c r="K378" t="s" s="1">
        <f>HYPERLINK("http://141.218.60.56/~jnz1568/discussion.php?&amp;Z=8&amp;N=6&amp;Sheet=1&amp;Row=377&amp;Col=10","")</f>
      </c>
      <c r="L378" t="s" s="1">
        <f>HYPERLINK("http://141.218.60.56/~jnz1568/discussion.php?&amp;Z=8&amp;N=6&amp;Sheet=1&amp;Row=377&amp;Col=11","")</f>
      </c>
      <c r="M378" t="s" s="1">
        <f>HYPERLINK("http://141.218.60.56/~jnz1568/discussion.php?&amp;Z=8&amp;N=6&amp;Sheet=1&amp;Row=377&amp;Col=12","")</f>
      </c>
      <c r="N378" t="s" s="1">
        <f>HYPERLINK("http://141.218.60.56/~jnz1568/discussion.php?&amp;Z=8&amp;N=6&amp;Sheet=1&amp;Row=377&amp;Col=13","15360000")</f>
      </c>
      <c r="O378" t="s" s="1">
        <f>HYPERLINK("http://141.218.60.56/~jnz1568/discussion.php?&amp;Z=8&amp;N=6&amp;Sheet=1&amp;Row=377&amp;Col=14","")</f>
      </c>
      <c r="P378" t="s" s="1">
        <f>HYPERLINK("http://141.218.60.56/~jnz1568/discussion.php?&amp;Z=8&amp;N=6&amp;Sheet=1&amp;Row=377&amp;Col=15","")</f>
      </c>
      <c r="Q378" t="s" s="1">
        <f>HYPERLINK("http://141.218.60.56/~jnz1568/discussion.php?&amp;Z=8&amp;N=6&amp;Sheet=1&amp;Row=377&amp;Col=16","")</f>
      </c>
    </row>
    <row r="379">
      <c r="A379" t="s">
        <v>15</v>
      </c>
      <c r="B379" t="s">
        <v>16</v>
      </c>
      <c r="C379" t="s">
        <v>182</v>
      </c>
      <c r="D379" t="s">
        <v>122</v>
      </c>
      <c r="E379" t="s">
        <v>1698</v>
      </c>
      <c r="F379" t="s" s="1">
        <f>HYPERLINK("http://141.218.60.56/~jnz1568/discussion.php?&amp;Z=8&amp;N=6&amp;Sheet=1&amp;Row=378&amp;Col=5","135130000")</f>
      </c>
      <c r="G379" t="s" s="1">
        <f>HYPERLINK("http://141.218.60.56/~jnz1568/discussion.php?&amp;Z=8&amp;N=6&amp;Sheet=1&amp;Row=378&amp;Col=6","")</f>
      </c>
      <c r="H379" t="s" s="1">
        <f>HYPERLINK("http://141.218.60.56/~jnz1568/discussion.php?&amp;Z=8&amp;N=6&amp;Sheet=1&amp;Row=378&amp;Col=7","")</f>
      </c>
      <c r="I379" t="s" s="1">
        <f>HYPERLINK("http://141.218.60.56/~jnz1568/discussion.php?&amp;Z=8&amp;N=6&amp;Sheet=1&amp;Row=378&amp;Col=8","")</f>
      </c>
      <c r="J379" t="s" s="1">
        <f>HYPERLINK("http://141.218.60.56/~jnz1568/discussion.php?&amp;Z=8&amp;N=6&amp;Sheet=1&amp;Row=378&amp;Col=9","134360000")</f>
      </c>
      <c r="K379" t="s" s="1">
        <f>HYPERLINK("http://141.218.60.56/~jnz1568/discussion.php?&amp;Z=8&amp;N=6&amp;Sheet=1&amp;Row=378&amp;Col=10","")</f>
      </c>
      <c r="L379" t="s" s="1">
        <f>HYPERLINK("http://141.218.60.56/~jnz1568/discussion.php?&amp;Z=8&amp;N=6&amp;Sheet=1&amp;Row=378&amp;Col=11","")</f>
      </c>
      <c r="M379" t="s" s="1">
        <f>HYPERLINK("http://141.218.60.56/~jnz1568/discussion.php?&amp;Z=8&amp;N=6&amp;Sheet=1&amp;Row=378&amp;Col=12","")</f>
      </c>
      <c r="N379" t="s" s="1">
        <f>HYPERLINK("http://141.218.60.56/~jnz1568/discussion.php?&amp;Z=8&amp;N=6&amp;Sheet=1&amp;Row=378&amp;Col=13","102300000")</f>
      </c>
      <c r="O379" t="s" s="1">
        <f>HYPERLINK("http://141.218.60.56/~jnz1568/discussion.php?&amp;Z=8&amp;N=6&amp;Sheet=1&amp;Row=378&amp;Col=14","")</f>
      </c>
      <c r="P379" t="s" s="1">
        <f>HYPERLINK("http://141.218.60.56/~jnz1568/discussion.php?&amp;Z=8&amp;N=6&amp;Sheet=1&amp;Row=378&amp;Col=15","")</f>
      </c>
      <c r="Q379" t="s" s="1">
        <f>HYPERLINK("http://141.218.60.56/~jnz1568/discussion.php?&amp;Z=8&amp;N=6&amp;Sheet=1&amp;Row=378&amp;Col=16","")</f>
      </c>
    </row>
    <row r="380">
      <c r="A380" t="s">
        <v>15</v>
      </c>
      <c r="B380" t="s">
        <v>16</v>
      </c>
      <c r="C380" t="s">
        <v>182</v>
      </c>
      <c r="D380" t="s">
        <v>135</v>
      </c>
      <c r="E380" t="s">
        <v>1702</v>
      </c>
      <c r="F380" t="s" s="1">
        <f>HYPERLINK("http://141.218.60.56/~jnz1568/discussion.php?&amp;Z=8&amp;N=6&amp;Sheet=1&amp;Row=379&amp;Col=5","68456000")</f>
      </c>
      <c r="G380" t="s" s="1">
        <f>HYPERLINK("http://141.218.60.56/~jnz1568/discussion.php?&amp;Z=8&amp;N=6&amp;Sheet=1&amp;Row=379&amp;Col=6","")</f>
      </c>
      <c r="H380" t="s" s="1">
        <f>HYPERLINK("http://141.218.60.56/~jnz1568/discussion.php?&amp;Z=8&amp;N=6&amp;Sheet=1&amp;Row=379&amp;Col=7","")</f>
      </c>
      <c r="I380" t="s" s="1">
        <f>HYPERLINK("http://141.218.60.56/~jnz1568/discussion.php?&amp;Z=8&amp;N=6&amp;Sheet=1&amp;Row=379&amp;Col=8","")</f>
      </c>
      <c r="J380" t="s" s="1">
        <f>HYPERLINK("http://141.218.60.56/~jnz1568/discussion.php?&amp;Z=8&amp;N=6&amp;Sheet=1&amp;Row=379&amp;Col=9","68055000")</f>
      </c>
      <c r="K380" t="s" s="1">
        <f>HYPERLINK("http://141.218.60.56/~jnz1568/discussion.php?&amp;Z=8&amp;N=6&amp;Sheet=1&amp;Row=379&amp;Col=10","")</f>
      </c>
      <c r="L380" t="s" s="1">
        <f>HYPERLINK("http://141.218.60.56/~jnz1568/discussion.php?&amp;Z=8&amp;N=6&amp;Sheet=1&amp;Row=379&amp;Col=11","")</f>
      </c>
      <c r="M380" t="s" s="1">
        <f>HYPERLINK("http://141.218.60.56/~jnz1568/discussion.php?&amp;Z=8&amp;N=6&amp;Sheet=1&amp;Row=379&amp;Col=12","")</f>
      </c>
      <c r="N380" t="s" s="1">
        <f>HYPERLINK("http://141.218.60.56/~jnz1568/discussion.php?&amp;Z=8&amp;N=6&amp;Sheet=1&amp;Row=379&amp;Col=13","43290000")</f>
      </c>
      <c r="O380" t="s" s="1">
        <f>HYPERLINK("http://141.218.60.56/~jnz1568/discussion.php?&amp;Z=8&amp;N=6&amp;Sheet=1&amp;Row=379&amp;Col=14","")</f>
      </c>
      <c r="P380" t="s" s="1">
        <f>HYPERLINK("http://141.218.60.56/~jnz1568/discussion.php?&amp;Z=8&amp;N=6&amp;Sheet=1&amp;Row=379&amp;Col=15","")</f>
      </c>
      <c r="Q380" t="s" s="1">
        <f>HYPERLINK("http://141.218.60.56/~jnz1568/discussion.php?&amp;Z=8&amp;N=6&amp;Sheet=1&amp;Row=379&amp;Col=16","")</f>
      </c>
    </row>
    <row r="381">
      <c r="A381" t="s">
        <v>15</v>
      </c>
      <c r="B381" t="s">
        <v>16</v>
      </c>
      <c r="C381" t="s">
        <v>185</v>
      </c>
      <c r="D381" t="s">
        <v>20</v>
      </c>
      <c r="E381" t="s">
        <v>1706</v>
      </c>
      <c r="F381" t="s" s="1">
        <f>HYPERLINK("http://141.218.60.56/~jnz1568/discussion.php?&amp;Z=8&amp;N=6&amp;Sheet=1&amp;Row=380&amp;Col=5","4854200")</f>
      </c>
      <c r="G381" t="s" s="1">
        <f>HYPERLINK("http://141.218.60.56/~jnz1568/discussion.php?&amp;Z=8&amp;N=6&amp;Sheet=1&amp;Row=380&amp;Col=6","")</f>
      </c>
      <c r="H381" t="s" s="1">
        <f>HYPERLINK("http://141.218.60.56/~jnz1568/discussion.php?&amp;Z=8&amp;N=6&amp;Sheet=1&amp;Row=380&amp;Col=7","")</f>
      </c>
      <c r="I381" t="s" s="1">
        <f>HYPERLINK("http://141.218.60.56/~jnz1568/discussion.php?&amp;Z=8&amp;N=6&amp;Sheet=1&amp;Row=380&amp;Col=8","")</f>
      </c>
      <c r="J381" t="s" s="1">
        <f>HYPERLINK("http://141.218.60.56/~jnz1568/discussion.php?&amp;Z=8&amp;N=6&amp;Sheet=1&amp;Row=380&amp;Col=9","4803200")</f>
      </c>
      <c r="K381" t="s" s="1">
        <f>HYPERLINK("http://141.218.60.56/~jnz1568/discussion.php?&amp;Z=8&amp;N=6&amp;Sheet=1&amp;Row=380&amp;Col=10","")</f>
      </c>
      <c r="L381" t="s" s="1">
        <f>HYPERLINK("http://141.218.60.56/~jnz1568/discussion.php?&amp;Z=8&amp;N=6&amp;Sheet=1&amp;Row=380&amp;Col=11","")</f>
      </c>
      <c r="M381" t="s" s="1">
        <f>HYPERLINK("http://141.218.60.56/~jnz1568/discussion.php?&amp;Z=8&amp;N=6&amp;Sheet=1&amp;Row=380&amp;Col=12","")</f>
      </c>
      <c r="N381" t="s" s="1">
        <f>HYPERLINK("http://141.218.60.56/~jnz1568/discussion.php?&amp;Z=8&amp;N=6&amp;Sheet=1&amp;Row=380&amp;Col=13","789400")</f>
      </c>
      <c r="O381" t="s" s="1">
        <f>HYPERLINK("http://141.218.60.56/~jnz1568/discussion.php?&amp;Z=8&amp;N=6&amp;Sheet=1&amp;Row=380&amp;Col=14","")</f>
      </c>
      <c r="P381" t="s" s="1">
        <f>HYPERLINK("http://141.218.60.56/~jnz1568/discussion.php?&amp;Z=8&amp;N=6&amp;Sheet=1&amp;Row=380&amp;Col=15","")</f>
      </c>
      <c r="Q381" t="s" s="1">
        <f>HYPERLINK("http://141.218.60.56/~jnz1568/discussion.php?&amp;Z=8&amp;N=6&amp;Sheet=1&amp;Row=380&amp;Col=16","")</f>
      </c>
    </row>
    <row r="382">
      <c r="A382" t="s">
        <v>15</v>
      </c>
      <c r="B382" t="s">
        <v>16</v>
      </c>
      <c r="C382" t="s">
        <v>185</v>
      </c>
      <c r="D382" t="s">
        <v>28</v>
      </c>
      <c r="E382" t="s">
        <v>1710</v>
      </c>
      <c r="F382" t="s" s="1">
        <f>HYPERLINK("http://141.218.60.56/~jnz1568/discussion.php?&amp;Z=8&amp;N=6&amp;Sheet=1&amp;Row=381&amp;Col=5","19706000000")</f>
      </c>
      <c r="G382" t="s" s="1">
        <f>HYPERLINK("http://141.218.60.56/~jnz1568/discussion.php?&amp;Z=8&amp;N=6&amp;Sheet=1&amp;Row=381&amp;Col=6","")</f>
      </c>
      <c r="H382" t="s" s="1">
        <f>HYPERLINK("http://141.218.60.56/~jnz1568/discussion.php?&amp;Z=8&amp;N=6&amp;Sheet=1&amp;Row=381&amp;Col=7","")</f>
      </c>
      <c r="I382" t="s" s="1">
        <f>HYPERLINK("http://141.218.60.56/~jnz1568/discussion.php?&amp;Z=8&amp;N=6&amp;Sheet=1&amp;Row=381&amp;Col=8","")</f>
      </c>
      <c r="J382" t="s" s="1">
        <f>HYPERLINK("http://141.218.60.56/~jnz1568/discussion.php?&amp;Z=8&amp;N=6&amp;Sheet=1&amp;Row=381&amp;Col=9","19812000000")</f>
      </c>
      <c r="K382" t="s" s="1">
        <f>HYPERLINK("http://141.218.60.56/~jnz1568/discussion.php?&amp;Z=8&amp;N=6&amp;Sheet=1&amp;Row=381&amp;Col=10","")</f>
      </c>
      <c r="L382" t="s" s="1">
        <f>HYPERLINK("http://141.218.60.56/~jnz1568/discussion.php?&amp;Z=8&amp;N=6&amp;Sheet=1&amp;Row=381&amp;Col=11","")</f>
      </c>
      <c r="M382" t="s" s="1">
        <f>HYPERLINK("http://141.218.60.56/~jnz1568/discussion.php?&amp;Z=8&amp;N=6&amp;Sheet=1&amp;Row=381&amp;Col=12","")</f>
      </c>
      <c r="N382" t="s" s="1">
        <f>HYPERLINK("http://141.218.60.56/~jnz1568/discussion.php?&amp;Z=8&amp;N=6&amp;Sheet=1&amp;Row=381&amp;Col=13","24640000000")</f>
      </c>
      <c r="O382" t="s" s="1">
        <f>HYPERLINK("http://141.218.60.56/~jnz1568/discussion.php?&amp;Z=8&amp;N=6&amp;Sheet=1&amp;Row=381&amp;Col=14","")</f>
      </c>
      <c r="P382" t="s" s="1">
        <f>HYPERLINK("http://141.218.60.56/~jnz1568/discussion.php?&amp;Z=8&amp;N=6&amp;Sheet=1&amp;Row=381&amp;Col=15","")</f>
      </c>
      <c r="Q382" t="s" s="1">
        <f>HYPERLINK("http://141.218.60.56/~jnz1568/discussion.php?&amp;Z=8&amp;N=6&amp;Sheet=1&amp;Row=381&amp;Col=16","")</f>
      </c>
    </row>
    <row r="383">
      <c r="A383" t="s">
        <v>15</v>
      </c>
      <c r="B383" t="s">
        <v>16</v>
      </c>
      <c r="C383" t="s">
        <v>185</v>
      </c>
      <c r="D383" t="s">
        <v>94</v>
      </c>
      <c r="E383" t="s">
        <v>1714</v>
      </c>
      <c r="F383" t="s" s="1">
        <f>HYPERLINK("http://141.218.60.56/~jnz1568/discussion.php?&amp;Z=8&amp;N=6&amp;Sheet=1&amp;Row=382&amp;Col=5","815.12")</f>
      </c>
      <c r="G383" t="s" s="1">
        <f>HYPERLINK("http://141.218.60.56/~jnz1568/discussion.php?&amp;Z=8&amp;N=6&amp;Sheet=1&amp;Row=382&amp;Col=6","")</f>
      </c>
      <c r="H383" t="s" s="1">
        <f>HYPERLINK("http://141.218.60.56/~jnz1568/discussion.php?&amp;Z=8&amp;N=6&amp;Sheet=1&amp;Row=382&amp;Col=7","")</f>
      </c>
      <c r="I383" t="s" s="1">
        <f>HYPERLINK("http://141.218.60.56/~jnz1568/discussion.php?&amp;Z=8&amp;N=6&amp;Sheet=1&amp;Row=382&amp;Col=8","")</f>
      </c>
      <c r="J383" t="s" s="1">
        <f>HYPERLINK("http://141.218.60.56/~jnz1568/discussion.php?&amp;Z=8&amp;N=6&amp;Sheet=1&amp;Row=382&amp;Col=9","848.64")</f>
      </c>
      <c r="K383" t="s" s="1">
        <f>HYPERLINK("http://141.218.60.56/~jnz1568/discussion.php?&amp;Z=8&amp;N=6&amp;Sheet=1&amp;Row=382&amp;Col=10","")</f>
      </c>
      <c r="L383" t="s" s="1">
        <f>HYPERLINK("http://141.218.60.56/~jnz1568/discussion.php?&amp;Z=8&amp;N=6&amp;Sheet=1&amp;Row=382&amp;Col=11","")</f>
      </c>
      <c r="M383" t="s" s="1">
        <f>HYPERLINK("http://141.218.60.56/~jnz1568/discussion.php?&amp;Z=8&amp;N=6&amp;Sheet=1&amp;Row=382&amp;Col=12","")</f>
      </c>
      <c r="N383" t="s" s="1">
        <f>HYPERLINK("http://141.218.60.56/~jnz1568/discussion.php?&amp;Z=8&amp;N=6&amp;Sheet=1&amp;Row=382&amp;Col=13","327.9")</f>
      </c>
      <c r="O383" t="s" s="1">
        <f>HYPERLINK("http://141.218.60.56/~jnz1568/discussion.php?&amp;Z=8&amp;N=6&amp;Sheet=1&amp;Row=382&amp;Col=14","")</f>
      </c>
      <c r="P383" t="s" s="1">
        <f>HYPERLINK("http://141.218.60.56/~jnz1568/discussion.php?&amp;Z=8&amp;N=6&amp;Sheet=1&amp;Row=382&amp;Col=15","")</f>
      </c>
      <c r="Q383" t="s" s="1">
        <f>HYPERLINK("http://141.218.60.56/~jnz1568/discussion.php?&amp;Z=8&amp;N=6&amp;Sheet=1&amp;Row=382&amp;Col=16","")</f>
      </c>
    </row>
    <row r="384">
      <c r="A384" t="s">
        <v>15</v>
      </c>
      <c r="B384" t="s">
        <v>16</v>
      </c>
      <c r="C384" t="s">
        <v>185</v>
      </c>
      <c r="D384" t="s">
        <v>116</v>
      </c>
      <c r="E384" t="s">
        <v>1718</v>
      </c>
      <c r="F384" t="s" s="1">
        <f>HYPERLINK("http://141.218.60.56/~jnz1568/discussion.php?&amp;Z=8&amp;N=6&amp;Sheet=1&amp;Row=383&amp;Col=5","46595")</f>
      </c>
      <c r="G384" t="s" s="1">
        <f>HYPERLINK("http://141.218.60.56/~jnz1568/discussion.php?&amp;Z=8&amp;N=6&amp;Sheet=1&amp;Row=383&amp;Col=6","")</f>
      </c>
      <c r="H384" t="s" s="1">
        <f>HYPERLINK("http://141.218.60.56/~jnz1568/discussion.php?&amp;Z=8&amp;N=6&amp;Sheet=1&amp;Row=383&amp;Col=7","")</f>
      </c>
      <c r="I384" t="s" s="1">
        <f>HYPERLINK("http://141.218.60.56/~jnz1568/discussion.php?&amp;Z=8&amp;N=6&amp;Sheet=1&amp;Row=383&amp;Col=8","")</f>
      </c>
      <c r="J384" t="s" s="1">
        <f>HYPERLINK("http://141.218.60.56/~jnz1568/discussion.php?&amp;Z=8&amp;N=6&amp;Sheet=1&amp;Row=383&amp;Col=9","46813")</f>
      </c>
      <c r="K384" t="s" s="1">
        <f>HYPERLINK("http://141.218.60.56/~jnz1568/discussion.php?&amp;Z=8&amp;N=6&amp;Sheet=1&amp;Row=383&amp;Col=10","")</f>
      </c>
      <c r="L384" t="s" s="1">
        <f>HYPERLINK("http://141.218.60.56/~jnz1568/discussion.php?&amp;Z=8&amp;N=6&amp;Sheet=1&amp;Row=383&amp;Col=11","")</f>
      </c>
      <c r="M384" t="s" s="1">
        <f>HYPERLINK("http://141.218.60.56/~jnz1568/discussion.php?&amp;Z=8&amp;N=6&amp;Sheet=1&amp;Row=383&amp;Col=12","")</f>
      </c>
      <c r="N384" t="s" s="1">
        <f>HYPERLINK("http://141.218.60.56/~jnz1568/discussion.php?&amp;Z=8&amp;N=6&amp;Sheet=1&amp;Row=383&amp;Col=13","9271")</f>
      </c>
      <c r="O384" t="s" s="1">
        <f>HYPERLINK("http://141.218.60.56/~jnz1568/discussion.php?&amp;Z=8&amp;N=6&amp;Sheet=1&amp;Row=383&amp;Col=14","")</f>
      </c>
      <c r="P384" t="s" s="1">
        <f>HYPERLINK("http://141.218.60.56/~jnz1568/discussion.php?&amp;Z=8&amp;N=6&amp;Sheet=1&amp;Row=383&amp;Col=15","")</f>
      </c>
      <c r="Q384" t="s" s="1">
        <f>HYPERLINK("http://141.218.60.56/~jnz1568/discussion.php?&amp;Z=8&amp;N=6&amp;Sheet=1&amp;Row=383&amp;Col=16","")</f>
      </c>
    </row>
    <row r="385">
      <c r="A385" t="s">
        <v>15</v>
      </c>
      <c r="B385" t="s">
        <v>16</v>
      </c>
      <c r="C385" t="s">
        <v>185</v>
      </c>
      <c r="D385" t="s">
        <v>119</v>
      </c>
      <c r="E385" t="s">
        <v>1722</v>
      </c>
      <c r="F385" t="s" s="1">
        <f>HYPERLINK("http://141.218.60.56/~jnz1568/discussion.php?&amp;Z=8&amp;N=6&amp;Sheet=1&amp;Row=384&amp;Col=5","7547.3")</f>
      </c>
      <c r="G385" t="s" s="1">
        <f>HYPERLINK("http://141.218.60.56/~jnz1568/discussion.php?&amp;Z=8&amp;N=6&amp;Sheet=1&amp;Row=384&amp;Col=6","")</f>
      </c>
      <c r="H385" t="s" s="1">
        <f>HYPERLINK("http://141.218.60.56/~jnz1568/discussion.php?&amp;Z=8&amp;N=6&amp;Sheet=1&amp;Row=384&amp;Col=7","")</f>
      </c>
      <c r="I385" t="s" s="1">
        <f>HYPERLINK("http://141.218.60.56/~jnz1568/discussion.php?&amp;Z=8&amp;N=6&amp;Sheet=1&amp;Row=384&amp;Col=8","")</f>
      </c>
      <c r="J385" t="s" s="1">
        <f>HYPERLINK("http://141.218.60.56/~jnz1568/discussion.php?&amp;Z=8&amp;N=6&amp;Sheet=1&amp;Row=384&amp;Col=9","7175.2")</f>
      </c>
      <c r="K385" t="s" s="1">
        <f>HYPERLINK("http://141.218.60.56/~jnz1568/discussion.php?&amp;Z=8&amp;N=6&amp;Sheet=1&amp;Row=384&amp;Col=10","")</f>
      </c>
      <c r="L385" t="s" s="1">
        <f>HYPERLINK("http://141.218.60.56/~jnz1568/discussion.php?&amp;Z=8&amp;N=6&amp;Sheet=1&amp;Row=384&amp;Col=11","")</f>
      </c>
      <c r="M385" t="s" s="1">
        <f>HYPERLINK("http://141.218.60.56/~jnz1568/discussion.php?&amp;Z=8&amp;N=6&amp;Sheet=1&amp;Row=384&amp;Col=12","")</f>
      </c>
      <c r="N385" t="s" s="1">
        <f>HYPERLINK("http://141.218.60.56/~jnz1568/discussion.php?&amp;Z=8&amp;N=6&amp;Sheet=1&amp;Row=384&amp;Col=13","1800")</f>
      </c>
      <c r="O385" t="s" s="1">
        <f>HYPERLINK("http://141.218.60.56/~jnz1568/discussion.php?&amp;Z=8&amp;N=6&amp;Sheet=1&amp;Row=384&amp;Col=14","")</f>
      </c>
      <c r="P385" t="s" s="1">
        <f>HYPERLINK("http://141.218.60.56/~jnz1568/discussion.php?&amp;Z=8&amp;N=6&amp;Sheet=1&amp;Row=384&amp;Col=15","")</f>
      </c>
      <c r="Q385" t="s" s="1">
        <f>HYPERLINK("http://141.218.60.56/~jnz1568/discussion.php?&amp;Z=8&amp;N=6&amp;Sheet=1&amp;Row=384&amp;Col=16","")</f>
      </c>
    </row>
    <row r="386">
      <c r="A386" t="s">
        <v>15</v>
      </c>
      <c r="B386" t="s">
        <v>16</v>
      </c>
      <c r="C386" t="s">
        <v>185</v>
      </c>
      <c r="D386" t="s">
        <v>127</v>
      </c>
      <c r="E386" t="s">
        <v>1726</v>
      </c>
      <c r="F386" t="s" s="1">
        <f>HYPERLINK("http://141.218.60.56/~jnz1568/discussion.php?&amp;Z=8&amp;N=6&amp;Sheet=1&amp;Row=385&amp;Col=5","311650")</f>
      </c>
      <c r="G386" t="s" s="1">
        <f>HYPERLINK("http://141.218.60.56/~jnz1568/discussion.php?&amp;Z=8&amp;N=6&amp;Sheet=1&amp;Row=385&amp;Col=6","")</f>
      </c>
      <c r="H386" t="s" s="1">
        <f>HYPERLINK("http://141.218.60.56/~jnz1568/discussion.php?&amp;Z=8&amp;N=6&amp;Sheet=1&amp;Row=385&amp;Col=7","")</f>
      </c>
      <c r="I386" t="s" s="1">
        <f>HYPERLINK("http://141.218.60.56/~jnz1568/discussion.php?&amp;Z=8&amp;N=6&amp;Sheet=1&amp;Row=385&amp;Col=8","")</f>
      </c>
      <c r="J386" t="s" s="1">
        <f>HYPERLINK("http://141.218.60.56/~jnz1568/discussion.php?&amp;Z=8&amp;N=6&amp;Sheet=1&amp;Row=385&amp;Col=9","508170")</f>
      </c>
      <c r="K386" t="s" s="1">
        <f>HYPERLINK("http://141.218.60.56/~jnz1568/discussion.php?&amp;Z=8&amp;N=6&amp;Sheet=1&amp;Row=385&amp;Col=10","")</f>
      </c>
      <c r="L386" t="s" s="1">
        <f>HYPERLINK("http://141.218.60.56/~jnz1568/discussion.php?&amp;Z=8&amp;N=6&amp;Sheet=1&amp;Row=385&amp;Col=11","")</f>
      </c>
      <c r="M386" t="s" s="1">
        <f>HYPERLINK("http://141.218.60.56/~jnz1568/discussion.php?&amp;Z=8&amp;N=6&amp;Sheet=1&amp;Row=385&amp;Col=12","")</f>
      </c>
      <c r="N386" t="s" s="1">
        <f>HYPERLINK("http://141.218.60.56/~jnz1568/discussion.php?&amp;Z=8&amp;N=6&amp;Sheet=1&amp;Row=385&amp;Col=13","505300")</f>
      </c>
      <c r="O386" t="s" s="1">
        <f>HYPERLINK("http://141.218.60.56/~jnz1568/discussion.php?&amp;Z=8&amp;N=6&amp;Sheet=1&amp;Row=385&amp;Col=14","")</f>
      </c>
      <c r="P386" t="s" s="1">
        <f>HYPERLINK("http://141.218.60.56/~jnz1568/discussion.php?&amp;Z=8&amp;N=6&amp;Sheet=1&amp;Row=385&amp;Col=15","")</f>
      </c>
      <c r="Q386" t="s" s="1">
        <f>HYPERLINK("http://141.218.60.56/~jnz1568/discussion.php?&amp;Z=8&amp;N=6&amp;Sheet=1&amp;Row=385&amp;Col=16","")</f>
      </c>
    </row>
    <row r="387">
      <c r="A387" t="s">
        <v>15</v>
      </c>
      <c r="B387" t="s">
        <v>16</v>
      </c>
      <c r="C387" t="s">
        <v>185</v>
      </c>
      <c r="D387" t="s">
        <v>138</v>
      </c>
      <c r="E387" t="s">
        <v>1730</v>
      </c>
      <c r="F387" t="s" s="1">
        <f>HYPERLINK("http://141.218.60.56/~jnz1568/discussion.php?&amp;Z=8&amp;N=6&amp;Sheet=1&amp;Row=386&amp;Col=5","1686.6")</f>
      </c>
      <c r="G387" t="s" s="1">
        <f>HYPERLINK("http://141.218.60.56/~jnz1568/discussion.php?&amp;Z=8&amp;N=6&amp;Sheet=1&amp;Row=386&amp;Col=6","")</f>
      </c>
      <c r="H387" t="s" s="1">
        <f>HYPERLINK("http://141.218.60.56/~jnz1568/discussion.php?&amp;Z=8&amp;N=6&amp;Sheet=1&amp;Row=386&amp;Col=7","")</f>
      </c>
      <c r="I387" t="s" s="1">
        <f>HYPERLINK("http://141.218.60.56/~jnz1568/discussion.php?&amp;Z=8&amp;N=6&amp;Sheet=1&amp;Row=386&amp;Col=8","")</f>
      </c>
      <c r="J387" t="s" s="1">
        <f>HYPERLINK("http://141.218.60.56/~jnz1568/discussion.php?&amp;Z=8&amp;N=6&amp;Sheet=1&amp;Row=386&amp;Col=9","1795.1")</f>
      </c>
      <c r="K387" t="s" s="1">
        <f>HYPERLINK("http://141.218.60.56/~jnz1568/discussion.php?&amp;Z=8&amp;N=6&amp;Sheet=1&amp;Row=386&amp;Col=10","")</f>
      </c>
      <c r="L387" t="s" s="1">
        <f>HYPERLINK("http://141.218.60.56/~jnz1568/discussion.php?&amp;Z=8&amp;N=6&amp;Sheet=1&amp;Row=386&amp;Col=11","")</f>
      </c>
      <c r="M387" t="s" s="1">
        <f>HYPERLINK("http://141.218.60.56/~jnz1568/discussion.php?&amp;Z=8&amp;N=6&amp;Sheet=1&amp;Row=386&amp;Col=12","")</f>
      </c>
      <c r="N387" t="s" s="1">
        <f>HYPERLINK("http://141.218.60.56/~jnz1568/discussion.php?&amp;Z=8&amp;N=6&amp;Sheet=1&amp;Row=386&amp;Col=13","200.1")</f>
      </c>
      <c r="O387" t="s" s="1">
        <f>HYPERLINK("http://141.218.60.56/~jnz1568/discussion.php?&amp;Z=8&amp;N=6&amp;Sheet=1&amp;Row=386&amp;Col=14","")</f>
      </c>
      <c r="P387" t="s" s="1">
        <f>HYPERLINK("http://141.218.60.56/~jnz1568/discussion.php?&amp;Z=8&amp;N=6&amp;Sheet=1&amp;Row=386&amp;Col=15","")</f>
      </c>
      <c r="Q387" t="s" s="1">
        <f>HYPERLINK("http://141.218.60.56/~jnz1568/discussion.php?&amp;Z=8&amp;N=6&amp;Sheet=1&amp;Row=386&amp;Col=16","")</f>
      </c>
    </row>
    <row r="388">
      <c r="A388" t="s">
        <v>15</v>
      </c>
      <c r="B388" t="s">
        <v>16</v>
      </c>
      <c r="C388" t="s">
        <v>185</v>
      </c>
      <c r="D388" t="s">
        <v>141</v>
      </c>
      <c r="E388" t="s">
        <v>1734</v>
      </c>
      <c r="F388" t="s" s="1">
        <f>HYPERLINK("http://141.218.60.56/~jnz1568/discussion.php?&amp;Z=8&amp;N=6&amp;Sheet=1&amp;Row=387&amp;Col=5","127720000")</f>
      </c>
      <c r="G388" t="s" s="1">
        <f>HYPERLINK("http://141.218.60.56/~jnz1568/discussion.php?&amp;Z=8&amp;N=6&amp;Sheet=1&amp;Row=387&amp;Col=6","")</f>
      </c>
      <c r="H388" t="s" s="1">
        <f>HYPERLINK("http://141.218.60.56/~jnz1568/discussion.php?&amp;Z=8&amp;N=6&amp;Sheet=1&amp;Row=387&amp;Col=7","")</f>
      </c>
      <c r="I388" t="s" s="1">
        <f>HYPERLINK("http://141.218.60.56/~jnz1568/discussion.php?&amp;Z=8&amp;N=6&amp;Sheet=1&amp;Row=387&amp;Col=8","")</f>
      </c>
      <c r="J388" t="s" s="1">
        <f>HYPERLINK("http://141.218.60.56/~jnz1568/discussion.php?&amp;Z=8&amp;N=6&amp;Sheet=1&amp;Row=387&amp;Col=9","126120000")</f>
      </c>
      <c r="K388" t="s" s="1">
        <f>HYPERLINK("http://141.218.60.56/~jnz1568/discussion.php?&amp;Z=8&amp;N=6&amp;Sheet=1&amp;Row=387&amp;Col=10","")</f>
      </c>
      <c r="L388" t="s" s="1">
        <f>HYPERLINK("http://141.218.60.56/~jnz1568/discussion.php?&amp;Z=8&amp;N=6&amp;Sheet=1&amp;Row=387&amp;Col=11","")</f>
      </c>
      <c r="M388" t="s" s="1">
        <f>HYPERLINK("http://141.218.60.56/~jnz1568/discussion.php?&amp;Z=8&amp;N=6&amp;Sheet=1&amp;Row=387&amp;Col=12","")</f>
      </c>
      <c r="N388" t="s" s="1">
        <f>HYPERLINK("http://141.218.60.56/~jnz1568/discussion.php?&amp;Z=8&amp;N=6&amp;Sheet=1&amp;Row=387&amp;Col=13","88490000")</f>
      </c>
      <c r="O388" t="s" s="1">
        <f>HYPERLINK("http://141.218.60.56/~jnz1568/discussion.php?&amp;Z=8&amp;N=6&amp;Sheet=1&amp;Row=387&amp;Col=14","")</f>
      </c>
      <c r="P388" t="s" s="1">
        <f>HYPERLINK("http://141.218.60.56/~jnz1568/discussion.php?&amp;Z=8&amp;N=6&amp;Sheet=1&amp;Row=387&amp;Col=15","")</f>
      </c>
      <c r="Q388" t="s" s="1">
        <f>HYPERLINK("http://141.218.60.56/~jnz1568/discussion.php?&amp;Z=8&amp;N=6&amp;Sheet=1&amp;Row=387&amp;Col=16","")</f>
      </c>
    </row>
    <row r="389">
      <c r="A389" t="s">
        <v>15</v>
      </c>
      <c r="B389" t="s">
        <v>16</v>
      </c>
      <c r="C389" t="s">
        <v>190</v>
      </c>
      <c r="D389" t="s">
        <v>17</v>
      </c>
      <c r="E389" t="s">
        <v>1738</v>
      </c>
      <c r="F389" t="s" s="1">
        <f>HYPERLINK("http://141.218.60.56/~jnz1568/discussion.php?&amp;Z=8&amp;N=6&amp;Sheet=1&amp;Row=388&amp;Col=5","15678000")</f>
      </c>
      <c r="G389" t="s" s="1">
        <f>HYPERLINK("http://141.218.60.56/~jnz1568/discussion.php?&amp;Z=8&amp;N=6&amp;Sheet=1&amp;Row=388&amp;Col=6","")</f>
      </c>
      <c r="H389" t="s" s="1">
        <f>HYPERLINK("http://141.218.60.56/~jnz1568/discussion.php?&amp;Z=8&amp;N=6&amp;Sheet=1&amp;Row=388&amp;Col=7","")</f>
      </c>
      <c r="I389" t="s" s="1">
        <f>HYPERLINK("http://141.218.60.56/~jnz1568/discussion.php?&amp;Z=8&amp;N=6&amp;Sheet=1&amp;Row=388&amp;Col=8","")</f>
      </c>
      <c r="J389" t="s" s="1">
        <f>HYPERLINK("http://141.218.60.56/~jnz1568/discussion.php?&amp;Z=8&amp;N=6&amp;Sheet=1&amp;Row=388&amp;Col=9","15462000")</f>
      </c>
      <c r="K389" t="s" s="1">
        <f>HYPERLINK("http://141.218.60.56/~jnz1568/discussion.php?&amp;Z=8&amp;N=6&amp;Sheet=1&amp;Row=388&amp;Col=10","")</f>
      </c>
      <c r="L389" t="s" s="1">
        <f>HYPERLINK("http://141.218.60.56/~jnz1568/discussion.php?&amp;Z=8&amp;N=6&amp;Sheet=1&amp;Row=388&amp;Col=11","")</f>
      </c>
      <c r="M389" t="s" s="1">
        <f>HYPERLINK("http://141.218.60.56/~jnz1568/discussion.php?&amp;Z=8&amp;N=6&amp;Sheet=1&amp;Row=388&amp;Col=12","")</f>
      </c>
      <c r="N389" t="s" s="1">
        <f>HYPERLINK("http://141.218.60.56/~jnz1568/discussion.php?&amp;Z=8&amp;N=6&amp;Sheet=1&amp;Row=388&amp;Col=13","3993000")</f>
      </c>
      <c r="O389" t="s" s="1">
        <f>HYPERLINK("http://141.218.60.56/~jnz1568/discussion.php?&amp;Z=8&amp;N=6&amp;Sheet=1&amp;Row=388&amp;Col=14","")</f>
      </c>
      <c r="P389" t="s" s="1">
        <f>HYPERLINK("http://141.218.60.56/~jnz1568/discussion.php?&amp;Z=8&amp;N=6&amp;Sheet=1&amp;Row=388&amp;Col=15","")</f>
      </c>
      <c r="Q389" t="s" s="1">
        <f>HYPERLINK("http://141.218.60.56/~jnz1568/discussion.php?&amp;Z=8&amp;N=6&amp;Sheet=1&amp;Row=388&amp;Col=16","")</f>
      </c>
    </row>
    <row r="390">
      <c r="A390" t="s">
        <v>15</v>
      </c>
      <c r="B390" t="s">
        <v>16</v>
      </c>
      <c r="C390" t="s">
        <v>190</v>
      </c>
      <c r="D390" t="s">
        <v>23</v>
      </c>
      <c r="E390" t="s">
        <v>1742</v>
      </c>
      <c r="F390" t="s" s="1">
        <f>HYPERLINK("http://141.218.60.56/~jnz1568/discussion.php?&amp;Z=8&amp;N=6&amp;Sheet=1&amp;Row=389&amp;Col=5","1169900")</f>
      </c>
      <c r="G390" t="s" s="1">
        <f>HYPERLINK("http://141.218.60.56/~jnz1568/discussion.php?&amp;Z=8&amp;N=6&amp;Sheet=1&amp;Row=389&amp;Col=6","")</f>
      </c>
      <c r="H390" t="s" s="1">
        <f>HYPERLINK("http://141.218.60.56/~jnz1568/discussion.php?&amp;Z=8&amp;N=6&amp;Sheet=1&amp;Row=389&amp;Col=7","")</f>
      </c>
      <c r="I390" t="s" s="1">
        <f>HYPERLINK("http://141.218.60.56/~jnz1568/discussion.php?&amp;Z=8&amp;N=6&amp;Sheet=1&amp;Row=389&amp;Col=8","")</f>
      </c>
      <c r="J390" t="s" s="1">
        <f>HYPERLINK("http://141.218.60.56/~jnz1568/discussion.php?&amp;Z=8&amp;N=6&amp;Sheet=1&amp;Row=389&amp;Col=9","1241500")</f>
      </c>
      <c r="K390" t="s" s="1">
        <f>HYPERLINK("http://141.218.60.56/~jnz1568/discussion.php?&amp;Z=8&amp;N=6&amp;Sheet=1&amp;Row=389&amp;Col=10","")</f>
      </c>
      <c r="L390" t="s" s="1">
        <f>HYPERLINK("http://141.218.60.56/~jnz1568/discussion.php?&amp;Z=8&amp;N=6&amp;Sheet=1&amp;Row=389&amp;Col=11","")</f>
      </c>
      <c r="M390" t="s" s="1">
        <f>HYPERLINK("http://141.218.60.56/~jnz1568/discussion.php?&amp;Z=8&amp;N=6&amp;Sheet=1&amp;Row=389&amp;Col=12","")</f>
      </c>
      <c r="N390" t="s" s="1">
        <f>HYPERLINK("http://141.218.60.56/~jnz1568/discussion.php?&amp;Z=8&amp;N=6&amp;Sheet=1&amp;Row=389&amp;Col=13","681100")</f>
      </c>
      <c r="O390" t="s" s="1">
        <f>HYPERLINK("http://141.218.60.56/~jnz1568/discussion.php?&amp;Z=8&amp;N=6&amp;Sheet=1&amp;Row=389&amp;Col=14","")</f>
      </c>
      <c r="P390" t="s" s="1">
        <f>HYPERLINK("http://141.218.60.56/~jnz1568/discussion.php?&amp;Z=8&amp;N=6&amp;Sheet=1&amp;Row=389&amp;Col=15","")</f>
      </c>
      <c r="Q390" t="s" s="1">
        <f>HYPERLINK("http://141.218.60.56/~jnz1568/discussion.php?&amp;Z=8&amp;N=6&amp;Sheet=1&amp;Row=389&amp;Col=16","")</f>
      </c>
    </row>
    <row r="391">
      <c r="A391" t="s">
        <v>15</v>
      </c>
      <c r="B391" t="s">
        <v>16</v>
      </c>
      <c r="C391" t="s">
        <v>190</v>
      </c>
      <c r="D391" t="s">
        <v>20</v>
      </c>
      <c r="E391" t="s">
        <v>1746</v>
      </c>
      <c r="F391" t="s" s="1">
        <f>HYPERLINK("http://141.218.60.56/~jnz1568/discussion.php?&amp;Z=8&amp;N=6&amp;Sheet=1&amp;Row=390&amp;Col=5","1371000")</f>
      </c>
      <c r="G391" t="s" s="1">
        <f>HYPERLINK("http://141.218.60.56/~jnz1568/discussion.php?&amp;Z=8&amp;N=6&amp;Sheet=1&amp;Row=390&amp;Col=6","")</f>
      </c>
      <c r="H391" t="s" s="1">
        <f>HYPERLINK("http://141.218.60.56/~jnz1568/discussion.php?&amp;Z=8&amp;N=6&amp;Sheet=1&amp;Row=390&amp;Col=7","")</f>
      </c>
      <c r="I391" t="s" s="1">
        <f>HYPERLINK("http://141.218.60.56/~jnz1568/discussion.php?&amp;Z=8&amp;N=6&amp;Sheet=1&amp;Row=390&amp;Col=8","")</f>
      </c>
      <c r="J391" t="s" s="1">
        <f>HYPERLINK("http://141.218.60.56/~jnz1568/discussion.php?&amp;Z=8&amp;N=6&amp;Sheet=1&amp;Row=390&amp;Col=9","1345800")</f>
      </c>
      <c r="K391" t="s" s="1">
        <f>HYPERLINK("http://141.218.60.56/~jnz1568/discussion.php?&amp;Z=8&amp;N=6&amp;Sheet=1&amp;Row=390&amp;Col=10","")</f>
      </c>
      <c r="L391" t="s" s="1">
        <f>HYPERLINK("http://141.218.60.56/~jnz1568/discussion.php?&amp;Z=8&amp;N=6&amp;Sheet=1&amp;Row=390&amp;Col=11","")</f>
      </c>
      <c r="M391" t="s" s="1">
        <f>HYPERLINK("http://141.218.60.56/~jnz1568/discussion.php?&amp;Z=8&amp;N=6&amp;Sheet=1&amp;Row=390&amp;Col=12","")</f>
      </c>
      <c r="N391" t="s" s="1">
        <f>HYPERLINK("http://141.218.60.56/~jnz1568/discussion.php?&amp;Z=8&amp;N=6&amp;Sheet=1&amp;Row=390&amp;Col=13","170800")</f>
      </c>
      <c r="O391" t="s" s="1">
        <f>HYPERLINK("http://141.218.60.56/~jnz1568/discussion.php?&amp;Z=8&amp;N=6&amp;Sheet=1&amp;Row=390&amp;Col=14","")</f>
      </c>
      <c r="P391" t="s" s="1">
        <f>HYPERLINK("http://141.218.60.56/~jnz1568/discussion.php?&amp;Z=8&amp;N=6&amp;Sheet=1&amp;Row=390&amp;Col=15","")</f>
      </c>
      <c r="Q391" t="s" s="1">
        <f>HYPERLINK("http://141.218.60.56/~jnz1568/discussion.php?&amp;Z=8&amp;N=6&amp;Sheet=1&amp;Row=390&amp;Col=16","")</f>
      </c>
    </row>
    <row r="392">
      <c r="A392" t="s">
        <v>15</v>
      </c>
      <c r="B392" t="s">
        <v>16</v>
      </c>
      <c r="C392" t="s">
        <v>190</v>
      </c>
      <c r="D392" t="s">
        <v>28</v>
      </c>
      <c r="E392" t="s">
        <v>1750</v>
      </c>
      <c r="F392" t="s" s="1">
        <f>HYPERLINK("http://141.218.60.56/~jnz1568/discussion.php?&amp;Z=8&amp;N=6&amp;Sheet=1&amp;Row=391&amp;Col=5","286240000")</f>
      </c>
      <c r="G392" t="s" s="1">
        <f>HYPERLINK("http://141.218.60.56/~jnz1568/discussion.php?&amp;Z=8&amp;N=6&amp;Sheet=1&amp;Row=391&amp;Col=6","")</f>
      </c>
      <c r="H392" t="s" s="1">
        <f>HYPERLINK("http://141.218.60.56/~jnz1568/discussion.php?&amp;Z=8&amp;N=6&amp;Sheet=1&amp;Row=391&amp;Col=7","")</f>
      </c>
      <c r="I392" t="s" s="1">
        <f>HYPERLINK("http://141.218.60.56/~jnz1568/discussion.php?&amp;Z=8&amp;N=6&amp;Sheet=1&amp;Row=391&amp;Col=8","")</f>
      </c>
      <c r="J392" t="s" s="1">
        <f>HYPERLINK("http://141.218.60.56/~jnz1568/discussion.php?&amp;Z=8&amp;N=6&amp;Sheet=1&amp;Row=391&amp;Col=9","287860000")</f>
      </c>
      <c r="K392" t="s" s="1">
        <f>HYPERLINK("http://141.218.60.56/~jnz1568/discussion.php?&amp;Z=8&amp;N=6&amp;Sheet=1&amp;Row=391&amp;Col=10","")</f>
      </c>
      <c r="L392" t="s" s="1">
        <f>HYPERLINK("http://141.218.60.56/~jnz1568/discussion.php?&amp;Z=8&amp;N=6&amp;Sheet=1&amp;Row=391&amp;Col=11","")</f>
      </c>
      <c r="M392" t="s" s="1">
        <f>HYPERLINK("http://141.218.60.56/~jnz1568/discussion.php?&amp;Z=8&amp;N=6&amp;Sheet=1&amp;Row=391&amp;Col=12","")</f>
      </c>
      <c r="N392" t="s" s="1">
        <f>HYPERLINK("http://141.218.60.56/~jnz1568/discussion.php?&amp;Z=8&amp;N=6&amp;Sheet=1&amp;Row=391&amp;Col=13","775400000")</f>
      </c>
      <c r="O392" t="s" s="1">
        <f>HYPERLINK("http://141.218.60.56/~jnz1568/discussion.php?&amp;Z=8&amp;N=6&amp;Sheet=1&amp;Row=391&amp;Col=14","")</f>
      </c>
      <c r="P392" t="s" s="1">
        <f>HYPERLINK("http://141.218.60.56/~jnz1568/discussion.php?&amp;Z=8&amp;N=6&amp;Sheet=1&amp;Row=391&amp;Col=15","")</f>
      </c>
      <c r="Q392" t="s" s="1">
        <f>HYPERLINK("http://141.218.60.56/~jnz1568/discussion.php?&amp;Z=8&amp;N=6&amp;Sheet=1&amp;Row=391&amp;Col=16","")</f>
      </c>
    </row>
    <row r="393">
      <c r="A393" t="s">
        <v>15</v>
      </c>
      <c r="B393" t="s">
        <v>16</v>
      </c>
      <c r="C393" t="s">
        <v>190</v>
      </c>
      <c r="D393" t="s">
        <v>33</v>
      </c>
      <c r="E393" t="s">
        <v>1754</v>
      </c>
      <c r="F393" t="s" s="1">
        <f>HYPERLINK("http://141.218.60.56/~jnz1568/discussion.php?&amp;Z=8&amp;N=6&amp;Sheet=1&amp;Row=392&amp;Col=5","11803000000")</f>
      </c>
      <c r="G393" t="s" s="1">
        <f>HYPERLINK("http://141.218.60.56/~jnz1568/discussion.php?&amp;Z=8&amp;N=6&amp;Sheet=1&amp;Row=392&amp;Col=6","")</f>
      </c>
      <c r="H393" t="s" s="1">
        <f>HYPERLINK("http://141.218.60.56/~jnz1568/discussion.php?&amp;Z=8&amp;N=6&amp;Sheet=1&amp;Row=392&amp;Col=7","")</f>
      </c>
      <c r="I393" t="s" s="1">
        <f>HYPERLINK("http://141.218.60.56/~jnz1568/discussion.php?&amp;Z=8&amp;N=6&amp;Sheet=1&amp;Row=392&amp;Col=8","")</f>
      </c>
      <c r="J393" t="s" s="1">
        <f>HYPERLINK("http://141.218.60.56/~jnz1568/discussion.php?&amp;Z=8&amp;N=6&amp;Sheet=1&amp;Row=392&amp;Col=9","11874000000")</f>
      </c>
      <c r="K393" t="s" s="1">
        <f>HYPERLINK("http://141.218.60.56/~jnz1568/discussion.php?&amp;Z=8&amp;N=6&amp;Sheet=1&amp;Row=392&amp;Col=10","")</f>
      </c>
      <c r="L393" t="s" s="1">
        <f>HYPERLINK("http://141.218.60.56/~jnz1568/discussion.php?&amp;Z=8&amp;N=6&amp;Sheet=1&amp;Row=392&amp;Col=11","")</f>
      </c>
      <c r="M393" t="s" s="1">
        <f>HYPERLINK("http://141.218.60.56/~jnz1568/discussion.php?&amp;Z=8&amp;N=6&amp;Sheet=1&amp;Row=392&amp;Col=12","")</f>
      </c>
      <c r="N393" t="s" s="1">
        <f>HYPERLINK("http://141.218.60.56/~jnz1568/discussion.php?&amp;Z=8&amp;N=6&amp;Sheet=1&amp;Row=392&amp;Col=13","15620000000")</f>
      </c>
      <c r="O393" t="s" s="1">
        <f>HYPERLINK("http://141.218.60.56/~jnz1568/discussion.php?&amp;Z=8&amp;N=6&amp;Sheet=1&amp;Row=392&amp;Col=14","")</f>
      </c>
      <c r="P393" t="s" s="1">
        <f>HYPERLINK("http://141.218.60.56/~jnz1568/discussion.php?&amp;Z=8&amp;N=6&amp;Sheet=1&amp;Row=392&amp;Col=15","")</f>
      </c>
      <c r="Q393" t="s" s="1">
        <f>HYPERLINK("http://141.218.60.56/~jnz1568/discussion.php?&amp;Z=8&amp;N=6&amp;Sheet=1&amp;Row=392&amp;Col=16","")</f>
      </c>
    </row>
    <row r="394">
      <c r="A394" t="s">
        <v>15</v>
      </c>
      <c r="B394" t="s">
        <v>16</v>
      </c>
      <c r="C394" t="s">
        <v>190</v>
      </c>
      <c r="D394" t="s">
        <v>94</v>
      </c>
      <c r="E394" t="s">
        <v>1758</v>
      </c>
      <c r="F394" t="s" s="1">
        <f>HYPERLINK("http://141.218.60.56/~jnz1568/discussion.php?&amp;Z=8&amp;N=6&amp;Sheet=1&amp;Row=393&amp;Col=5","109.6")</f>
      </c>
      <c r="G394" t="s" s="1">
        <f>HYPERLINK("http://141.218.60.56/~jnz1568/discussion.php?&amp;Z=8&amp;N=6&amp;Sheet=1&amp;Row=393&amp;Col=6","")</f>
      </c>
      <c r="H394" t="s" s="1">
        <f>HYPERLINK("http://141.218.60.56/~jnz1568/discussion.php?&amp;Z=8&amp;N=6&amp;Sheet=1&amp;Row=393&amp;Col=7","")</f>
      </c>
      <c r="I394" t="s" s="1">
        <f>HYPERLINK("http://141.218.60.56/~jnz1568/discussion.php?&amp;Z=8&amp;N=6&amp;Sheet=1&amp;Row=393&amp;Col=8","")</f>
      </c>
      <c r="J394" t="s" s="1">
        <f>HYPERLINK("http://141.218.60.56/~jnz1568/discussion.php?&amp;Z=8&amp;N=6&amp;Sheet=1&amp;Row=393&amp;Col=9","123.4")</f>
      </c>
      <c r="K394" t="s" s="1">
        <f>HYPERLINK("http://141.218.60.56/~jnz1568/discussion.php?&amp;Z=8&amp;N=6&amp;Sheet=1&amp;Row=393&amp;Col=10","")</f>
      </c>
      <c r="L394" t="s" s="1">
        <f>HYPERLINK("http://141.218.60.56/~jnz1568/discussion.php?&amp;Z=8&amp;N=6&amp;Sheet=1&amp;Row=393&amp;Col=11","")</f>
      </c>
      <c r="M394" t="s" s="1">
        <f>HYPERLINK("http://141.218.60.56/~jnz1568/discussion.php?&amp;Z=8&amp;N=6&amp;Sheet=1&amp;Row=393&amp;Col=12","")</f>
      </c>
      <c r="N394" t="s" s="1">
        <f>HYPERLINK("http://141.218.60.56/~jnz1568/discussion.php?&amp;Z=8&amp;N=6&amp;Sheet=1&amp;Row=393&amp;Col=13","45.57")</f>
      </c>
      <c r="O394" t="s" s="1">
        <f>HYPERLINK("http://141.218.60.56/~jnz1568/discussion.php?&amp;Z=8&amp;N=6&amp;Sheet=1&amp;Row=393&amp;Col=14","")</f>
      </c>
      <c r="P394" t="s" s="1">
        <f>HYPERLINK("http://141.218.60.56/~jnz1568/discussion.php?&amp;Z=8&amp;N=6&amp;Sheet=1&amp;Row=393&amp;Col=15","")</f>
      </c>
      <c r="Q394" t="s" s="1">
        <f>HYPERLINK("http://141.218.60.56/~jnz1568/discussion.php?&amp;Z=8&amp;N=6&amp;Sheet=1&amp;Row=393&amp;Col=16","")</f>
      </c>
    </row>
    <row r="395">
      <c r="A395" t="s">
        <v>15</v>
      </c>
      <c r="B395" t="s">
        <v>16</v>
      </c>
      <c r="C395" t="s">
        <v>190</v>
      </c>
      <c r="D395" t="s">
        <v>99</v>
      </c>
      <c r="E395" t="s">
        <v>1762</v>
      </c>
      <c r="F395" t="s" s="1">
        <f>HYPERLINK("http://141.218.60.56/~jnz1568/discussion.php?&amp;Z=8&amp;N=6&amp;Sheet=1&amp;Row=394&amp;Col=5","0.38351")</f>
      </c>
      <c r="G395" t="s" s="1">
        <f>HYPERLINK("http://141.218.60.56/~jnz1568/discussion.php?&amp;Z=8&amp;N=6&amp;Sheet=1&amp;Row=394&amp;Col=6","")</f>
      </c>
      <c r="H395" t="s" s="1">
        <f>HYPERLINK("http://141.218.60.56/~jnz1568/discussion.php?&amp;Z=8&amp;N=6&amp;Sheet=1&amp;Row=394&amp;Col=7","")</f>
      </c>
      <c r="I395" t="s" s="1">
        <f>HYPERLINK("http://141.218.60.56/~jnz1568/discussion.php?&amp;Z=8&amp;N=6&amp;Sheet=1&amp;Row=394&amp;Col=8","")</f>
      </c>
      <c r="J395" t="s" s="1">
        <f>HYPERLINK("http://141.218.60.56/~jnz1568/discussion.php?&amp;Z=8&amp;N=6&amp;Sheet=1&amp;Row=394&amp;Col=9","2.7565")</f>
      </c>
      <c r="K395" t="s" s="1">
        <f>HYPERLINK("http://141.218.60.56/~jnz1568/discussion.php?&amp;Z=8&amp;N=6&amp;Sheet=1&amp;Row=394&amp;Col=10","")</f>
      </c>
      <c r="L395" t="s" s="1">
        <f>HYPERLINK("http://141.218.60.56/~jnz1568/discussion.php?&amp;Z=8&amp;N=6&amp;Sheet=1&amp;Row=394&amp;Col=11","")</f>
      </c>
      <c r="M395" t="s" s="1">
        <f>HYPERLINK("http://141.218.60.56/~jnz1568/discussion.php?&amp;Z=8&amp;N=6&amp;Sheet=1&amp;Row=394&amp;Col=12","")</f>
      </c>
      <c r="N395" t="s" s="1">
        <f>HYPERLINK("http://141.218.60.56/~jnz1568/discussion.php?&amp;Z=8&amp;N=6&amp;Sheet=1&amp;Row=394&amp;Col=13","2063")</f>
      </c>
      <c r="O395" t="s" s="1">
        <f>HYPERLINK("http://141.218.60.56/~jnz1568/discussion.php?&amp;Z=8&amp;N=6&amp;Sheet=1&amp;Row=394&amp;Col=14","")</f>
      </c>
      <c r="P395" t="s" s="1">
        <f>HYPERLINK("http://141.218.60.56/~jnz1568/discussion.php?&amp;Z=8&amp;N=6&amp;Sheet=1&amp;Row=394&amp;Col=15","")</f>
      </c>
      <c r="Q395" t="s" s="1">
        <f>HYPERLINK("http://141.218.60.56/~jnz1568/discussion.php?&amp;Z=8&amp;N=6&amp;Sheet=1&amp;Row=394&amp;Col=16","")</f>
      </c>
    </row>
    <row r="396">
      <c r="A396" t="s">
        <v>15</v>
      </c>
      <c r="B396" t="s">
        <v>16</v>
      </c>
      <c r="C396" t="s">
        <v>190</v>
      </c>
      <c r="D396" t="s">
        <v>102</v>
      </c>
      <c r="E396" t="s">
        <v>1766</v>
      </c>
      <c r="F396" t="s" s="1">
        <f>HYPERLINK("http://141.218.60.56/~jnz1568/discussion.php?&amp;Z=8&amp;N=6&amp;Sheet=1&amp;Row=395&amp;Col=5","816.04")</f>
      </c>
      <c r="G396" t="s" s="1">
        <f>HYPERLINK("http://141.218.60.56/~jnz1568/discussion.php?&amp;Z=8&amp;N=6&amp;Sheet=1&amp;Row=395&amp;Col=6","")</f>
      </c>
      <c r="H396" t="s" s="1">
        <f>HYPERLINK("http://141.218.60.56/~jnz1568/discussion.php?&amp;Z=8&amp;N=6&amp;Sheet=1&amp;Row=395&amp;Col=7","")</f>
      </c>
      <c r="I396" t="s" s="1">
        <f>HYPERLINK("http://141.218.60.56/~jnz1568/discussion.php?&amp;Z=8&amp;N=6&amp;Sheet=1&amp;Row=395&amp;Col=8","")</f>
      </c>
      <c r="J396" t="s" s="1">
        <f>HYPERLINK("http://141.218.60.56/~jnz1568/discussion.php?&amp;Z=8&amp;N=6&amp;Sheet=1&amp;Row=395&amp;Col=9","879.79")</f>
      </c>
      <c r="K396" t="s" s="1">
        <f>HYPERLINK("http://141.218.60.56/~jnz1568/discussion.php?&amp;Z=8&amp;N=6&amp;Sheet=1&amp;Row=395&amp;Col=10","")</f>
      </c>
      <c r="L396" t="s" s="1">
        <f>HYPERLINK("http://141.218.60.56/~jnz1568/discussion.php?&amp;Z=8&amp;N=6&amp;Sheet=1&amp;Row=395&amp;Col=11","")</f>
      </c>
      <c r="M396" t="s" s="1">
        <f>HYPERLINK("http://141.218.60.56/~jnz1568/discussion.php?&amp;Z=8&amp;N=6&amp;Sheet=1&amp;Row=395&amp;Col=12","")</f>
      </c>
      <c r="N396" t="s" s="1">
        <f>HYPERLINK("http://141.218.60.56/~jnz1568/discussion.php?&amp;Z=8&amp;N=6&amp;Sheet=1&amp;Row=395&amp;Col=13","316.2")</f>
      </c>
      <c r="O396" t="s" s="1">
        <f>HYPERLINK("http://141.218.60.56/~jnz1568/discussion.php?&amp;Z=8&amp;N=6&amp;Sheet=1&amp;Row=395&amp;Col=14","")</f>
      </c>
      <c r="P396" t="s" s="1">
        <f>HYPERLINK("http://141.218.60.56/~jnz1568/discussion.php?&amp;Z=8&amp;N=6&amp;Sheet=1&amp;Row=395&amp;Col=15","")</f>
      </c>
      <c r="Q396" t="s" s="1">
        <f>HYPERLINK("http://141.218.60.56/~jnz1568/discussion.php?&amp;Z=8&amp;N=6&amp;Sheet=1&amp;Row=395&amp;Col=16","")</f>
      </c>
    </row>
    <row r="397">
      <c r="A397" t="s">
        <v>15</v>
      </c>
      <c r="B397" t="s">
        <v>16</v>
      </c>
      <c r="C397" t="s">
        <v>190</v>
      </c>
      <c r="D397" t="s">
        <v>105</v>
      </c>
      <c r="E397" t="s">
        <v>1770</v>
      </c>
      <c r="F397" t="s" s="1">
        <f>HYPERLINK("http://141.218.60.56/~jnz1568/discussion.php?&amp;Z=8&amp;N=6&amp;Sheet=1&amp;Row=396&amp;Col=5","184420000")</f>
      </c>
      <c r="G397" t="s" s="1">
        <f>HYPERLINK("http://141.218.60.56/~jnz1568/discussion.php?&amp;Z=8&amp;N=6&amp;Sheet=1&amp;Row=396&amp;Col=6","")</f>
      </c>
      <c r="H397" t="s" s="1">
        <f>HYPERLINK("http://141.218.60.56/~jnz1568/discussion.php?&amp;Z=8&amp;N=6&amp;Sheet=1&amp;Row=396&amp;Col=7","")</f>
      </c>
      <c r="I397" t="s" s="1">
        <f>HYPERLINK("http://141.218.60.56/~jnz1568/discussion.php?&amp;Z=8&amp;N=6&amp;Sheet=1&amp;Row=396&amp;Col=8","")</f>
      </c>
      <c r="J397" t="s" s="1">
        <f>HYPERLINK("http://141.218.60.56/~jnz1568/discussion.php?&amp;Z=8&amp;N=6&amp;Sheet=1&amp;Row=396&amp;Col=9","183480000")</f>
      </c>
      <c r="K397" t="s" s="1">
        <f>HYPERLINK("http://141.218.60.56/~jnz1568/discussion.php?&amp;Z=8&amp;N=6&amp;Sheet=1&amp;Row=396&amp;Col=10","")</f>
      </c>
      <c r="L397" t="s" s="1">
        <f>HYPERLINK("http://141.218.60.56/~jnz1568/discussion.php?&amp;Z=8&amp;N=6&amp;Sheet=1&amp;Row=396&amp;Col=11","")</f>
      </c>
      <c r="M397" t="s" s="1">
        <f>HYPERLINK("http://141.218.60.56/~jnz1568/discussion.php?&amp;Z=8&amp;N=6&amp;Sheet=1&amp;Row=396&amp;Col=12","")</f>
      </c>
      <c r="N397" t="s" s="1">
        <f>HYPERLINK("http://141.218.60.56/~jnz1568/discussion.php?&amp;Z=8&amp;N=6&amp;Sheet=1&amp;Row=396&amp;Col=13","151900000")</f>
      </c>
      <c r="O397" t="s" s="1">
        <f>HYPERLINK("http://141.218.60.56/~jnz1568/discussion.php?&amp;Z=8&amp;N=6&amp;Sheet=1&amp;Row=396&amp;Col=14","")</f>
      </c>
      <c r="P397" t="s" s="1">
        <f>HYPERLINK("http://141.218.60.56/~jnz1568/discussion.php?&amp;Z=8&amp;N=6&amp;Sheet=1&amp;Row=396&amp;Col=15","")</f>
      </c>
      <c r="Q397" t="s" s="1">
        <f>HYPERLINK("http://141.218.60.56/~jnz1568/discussion.php?&amp;Z=8&amp;N=6&amp;Sheet=1&amp;Row=396&amp;Col=16","")</f>
      </c>
    </row>
    <row r="398">
      <c r="A398" t="s">
        <v>15</v>
      </c>
      <c r="B398" t="s">
        <v>16</v>
      </c>
      <c r="C398" t="s">
        <v>190</v>
      </c>
      <c r="D398" t="s">
        <v>111</v>
      </c>
      <c r="E398" t="s">
        <v>1774</v>
      </c>
      <c r="F398" t="s" s="1">
        <f>HYPERLINK("http://141.218.60.56/~jnz1568/discussion.php?&amp;Z=8&amp;N=6&amp;Sheet=1&amp;Row=397&amp;Col=5","746780")</f>
      </c>
      <c r="G398" t="s" s="1">
        <f>HYPERLINK("http://141.218.60.56/~jnz1568/discussion.php?&amp;Z=8&amp;N=6&amp;Sheet=1&amp;Row=397&amp;Col=6","")</f>
      </c>
      <c r="H398" t="s" s="1">
        <f>HYPERLINK("http://141.218.60.56/~jnz1568/discussion.php?&amp;Z=8&amp;N=6&amp;Sheet=1&amp;Row=397&amp;Col=7","")</f>
      </c>
      <c r="I398" t="s" s="1">
        <f>HYPERLINK("http://141.218.60.56/~jnz1568/discussion.php?&amp;Z=8&amp;N=6&amp;Sheet=1&amp;Row=397&amp;Col=8","")</f>
      </c>
      <c r="J398" t="s" s="1">
        <f>HYPERLINK("http://141.218.60.56/~jnz1568/discussion.php?&amp;Z=8&amp;N=6&amp;Sheet=1&amp;Row=397&amp;Col=9","740450")</f>
      </c>
      <c r="K398" t="s" s="1">
        <f>HYPERLINK("http://141.218.60.56/~jnz1568/discussion.php?&amp;Z=8&amp;N=6&amp;Sheet=1&amp;Row=397&amp;Col=10","")</f>
      </c>
      <c r="L398" t="s" s="1">
        <f>HYPERLINK("http://141.218.60.56/~jnz1568/discussion.php?&amp;Z=8&amp;N=6&amp;Sheet=1&amp;Row=397&amp;Col=11","")</f>
      </c>
      <c r="M398" t="s" s="1">
        <f>HYPERLINK("http://141.218.60.56/~jnz1568/discussion.php?&amp;Z=8&amp;N=6&amp;Sheet=1&amp;Row=397&amp;Col=12","")</f>
      </c>
      <c r="N398" t="s" s="1">
        <f>HYPERLINK("http://141.218.60.56/~jnz1568/discussion.php?&amp;Z=8&amp;N=6&amp;Sheet=1&amp;Row=397&amp;Col=13","295100")</f>
      </c>
      <c r="O398" t="s" s="1">
        <f>HYPERLINK("http://141.218.60.56/~jnz1568/discussion.php?&amp;Z=8&amp;N=6&amp;Sheet=1&amp;Row=397&amp;Col=14","")</f>
      </c>
      <c r="P398" t="s" s="1">
        <f>HYPERLINK("http://141.218.60.56/~jnz1568/discussion.php?&amp;Z=8&amp;N=6&amp;Sheet=1&amp;Row=397&amp;Col=15","")</f>
      </c>
      <c r="Q398" t="s" s="1">
        <f>HYPERLINK("http://141.218.60.56/~jnz1568/discussion.php?&amp;Z=8&amp;N=6&amp;Sheet=1&amp;Row=397&amp;Col=16","")</f>
      </c>
    </row>
    <row r="399">
      <c r="A399" t="s">
        <v>15</v>
      </c>
      <c r="B399" t="s">
        <v>16</v>
      </c>
      <c r="C399" t="s">
        <v>190</v>
      </c>
      <c r="D399" t="s">
        <v>116</v>
      </c>
      <c r="E399" t="s">
        <v>1778</v>
      </c>
      <c r="F399" t="s" s="1">
        <f>HYPERLINK("http://141.218.60.56/~jnz1568/discussion.php?&amp;Z=8&amp;N=6&amp;Sheet=1&amp;Row=398&amp;Col=5","437.43")</f>
      </c>
      <c r="G399" t="s" s="1">
        <f>HYPERLINK("http://141.218.60.56/~jnz1568/discussion.php?&amp;Z=8&amp;N=6&amp;Sheet=1&amp;Row=398&amp;Col=6","")</f>
      </c>
      <c r="H399" t="s" s="1">
        <f>HYPERLINK("http://141.218.60.56/~jnz1568/discussion.php?&amp;Z=8&amp;N=6&amp;Sheet=1&amp;Row=398&amp;Col=7","")</f>
      </c>
      <c r="I399" t="s" s="1">
        <f>HYPERLINK("http://141.218.60.56/~jnz1568/discussion.php?&amp;Z=8&amp;N=6&amp;Sheet=1&amp;Row=398&amp;Col=8","")</f>
      </c>
      <c r="J399" t="s" s="1">
        <f>HYPERLINK("http://141.218.60.56/~jnz1568/discussion.php?&amp;Z=8&amp;N=6&amp;Sheet=1&amp;Row=398&amp;Col=9","426.38")</f>
      </c>
      <c r="K399" t="s" s="1">
        <f>HYPERLINK("http://141.218.60.56/~jnz1568/discussion.php?&amp;Z=8&amp;N=6&amp;Sheet=1&amp;Row=398&amp;Col=10","")</f>
      </c>
      <c r="L399" t="s" s="1">
        <f>HYPERLINK("http://141.218.60.56/~jnz1568/discussion.php?&amp;Z=8&amp;N=6&amp;Sheet=1&amp;Row=398&amp;Col=11","")</f>
      </c>
      <c r="M399" t="s" s="1">
        <f>HYPERLINK("http://141.218.60.56/~jnz1568/discussion.php?&amp;Z=8&amp;N=6&amp;Sheet=1&amp;Row=398&amp;Col=12","")</f>
      </c>
      <c r="N399" t="s" s="1">
        <f>HYPERLINK("http://141.218.60.56/~jnz1568/discussion.php?&amp;Z=8&amp;N=6&amp;Sheet=1&amp;Row=398&amp;Col=13","335.1")</f>
      </c>
      <c r="O399" t="s" s="1">
        <f>HYPERLINK("http://141.218.60.56/~jnz1568/discussion.php?&amp;Z=8&amp;N=6&amp;Sheet=1&amp;Row=398&amp;Col=14","")</f>
      </c>
      <c r="P399" t="s" s="1">
        <f>HYPERLINK("http://141.218.60.56/~jnz1568/discussion.php?&amp;Z=8&amp;N=6&amp;Sheet=1&amp;Row=398&amp;Col=15","")</f>
      </c>
      <c r="Q399" t="s" s="1">
        <f>HYPERLINK("http://141.218.60.56/~jnz1568/discussion.php?&amp;Z=8&amp;N=6&amp;Sheet=1&amp;Row=398&amp;Col=16","")</f>
      </c>
    </row>
    <row r="400">
      <c r="A400" t="s">
        <v>15</v>
      </c>
      <c r="B400" t="s">
        <v>16</v>
      </c>
      <c r="C400" t="s">
        <v>190</v>
      </c>
      <c r="D400" t="s">
        <v>122</v>
      </c>
      <c r="E400" t="s">
        <v>1782</v>
      </c>
      <c r="F400" t="s" s="1">
        <f>HYPERLINK("http://141.218.60.56/~jnz1568/discussion.php?&amp;Z=8&amp;N=6&amp;Sheet=1&amp;Row=399&amp;Col=5","345270")</f>
      </c>
      <c r="G400" t="s" s="1">
        <f>HYPERLINK("http://141.218.60.56/~jnz1568/discussion.php?&amp;Z=8&amp;N=6&amp;Sheet=1&amp;Row=399&amp;Col=6","")</f>
      </c>
      <c r="H400" t="s" s="1">
        <f>HYPERLINK("http://141.218.60.56/~jnz1568/discussion.php?&amp;Z=8&amp;N=6&amp;Sheet=1&amp;Row=399&amp;Col=7","")</f>
      </c>
      <c r="I400" t="s" s="1">
        <f>HYPERLINK("http://141.218.60.56/~jnz1568/discussion.php?&amp;Z=8&amp;N=6&amp;Sheet=1&amp;Row=399&amp;Col=8","")</f>
      </c>
      <c r="J400" t="s" s="1">
        <f>HYPERLINK("http://141.218.60.56/~jnz1568/discussion.php?&amp;Z=8&amp;N=6&amp;Sheet=1&amp;Row=399&amp;Col=9","341320")</f>
      </c>
      <c r="K400" t="s" s="1">
        <f>HYPERLINK("http://141.218.60.56/~jnz1568/discussion.php?&amp;Z=8&amp;N=6&amp;Sheet=1&amp;Row=399&amp;Col=10","")</f>
      </c>
      <c r="L400" t="s" s="1">
        <f>HYPERLINK("http://141.218.60.56/~jnz1568/discussion.php?&amp;Z=8&amp;N=6&amp;Sheet=1&amp;Row=399&amp;Col=11","")</f>
      </c>
      <c r="M400" t="s" s="1">
        <f>HYPERLINK("http://141.218.60.56/~jnz1568/discussion.php?&amp;Z=8&amp;N=6&amp;Sheet=1&amp;Row=399&amp;Col=12","")</f>
      </c>
      <c r="N400" t="s" s="1">
        <f>HYPERLINK("http://141.218.60.56/~jnz1568/discussion.php?&amp;Z=8&amp;N=6&amp;Sheet=1&amp;Row=399&amp;Col=13","99500")</f>
      </c>
      <c r="O400" t="s" s="1">
        <f>HYPERLINK("http://141.218.60.56/~jnz1568/discussion.php?&amp;Z=8&amp;N=6&amp;Sheet=1&amp;Row=399&amp;Col=14","")</f>
      </c>
      <c r="P400" t="s" s="1">
        <f>HYPERLINK("http://141.218.60.56/~jnz1568/discussion.php?&amp;Z=8&amp;N=6&amp;Sheet=1&amp;Row=399&amp;Col=15","")</f>
      </c>
      <c r="Q400" t="s" s="1">
        <f>HYPERLINK("http://141.218.60.56/~jnz1568/discussion.php?&amp;Z=8&amp;N=6&amp;Sheet=1&amp;Row=399&amp;Col=16","")</f>
      </c>
    </row>
    <row r="401">
      <c r="A401" t="s">
        <v>15</v>
      </c>
      <c r="B401" t="s">
        <v>16</v>
      </c>
      <c r="C401" t="s">
        <v>190</v>
      </c>
      <c r="D401" t="s">
        <v>127</v>
      </c>
      <c r="E401" t="s">
        <v>1786</v>
      </c>
      <c r="F401" t="s" s="1">
        <f>HYPERLINK("http://141.218.60.56/~jnz1568/discussion.php?&amp;Z=8&amp;N=6&amp;Sheet=1&amp;Row=400&amp;Col=5","20186")</f>
      </c>
      <c r="G401" t="s" s="1">
        <f>HYPERLINK("http://141.218.60.56/~jnz1568/discussion.php?&amp;Z=8&amp;N=6&amp;Sheet=1&amp;Row=400&amp;Col=6","")</f>
      </c>
      <c r="H401" t="s" s="1">
        <f>HYPERLINK("http://141.218.60.56/~jnz1568/discussion.php?&amp;Z=8&amp;N=6&amp;Sheet=1&amp;Row=400&amp;Col=7","")</f>
      </c>
      <c r="I401" t="s" s="1">
        <f>HYPERLINK("http://141.218.60.56/~jnz1568/discussion.php?&amp;Z=8&amp;N=6&amp;Sheet=1&amp;Row=400&amp;Col=8","")</f>
      </c>
      <c r="J401" t="s" s="1">
        <f>HYPERLINK("http://141.218.60.56/~jnz1568/discussion.php?&amp;Z=8&amp;N=6&amp;Sheet=1&amp;Row=400&amp;Col=9","37528")</f>
      </c>
      <c r="K401" t="s" s="1">
        <f>HYPERLINK("http://141.218.60.56/~jnz1568/discussion.php?&amp;Z=8&amp;N=6&amp;Sheet=1&amp;Row=400&amp;Col=10","")</f>
      </c>
      <c r="L401" t="s" s="1">
        <f>HYPERLINK("http://141.218.60.56/~jnz1568/discussion.php?&amp;Z=8&amp;N=6&amp;Sheet=1&amp;Row=400&amp;Col=11","")</f>
      </c>
      <c r="M401" t="s" s="1">
        <f>HYPERLINK("http://141.218.60.56/~jnz1568/discussion.php?&amp;Z=8&amp;N=6&amp;Sheet=1&amp;Row=400&amp;Col=12","")</f>
      </c>
      <c r="N401" t="s" s="1">
        <f>HYPERLINK("http://141.218.60.56/~jnz1568/discussion.php?&amp;Z=8&amp;N=6&amp;Sheet=1&amp;Row=400&amp;Col=13","63040")</f>
      </c>
      <c r="O401" t="s" s="1">
        <f>HYPERLINK("http://141.218.60.56/~jnz1568/discussion.php?&amp;Z=8&amp;N=6&amp;Sheet=1&amp;Row=400&amp;Col=14","")</f>
      </c>
      <c r="P401" t="s" s="1">
        <f>HYPERLINK("http://141.218.60.56/~jnz1568/discussion.php?&amp;Z=8&amp;N=6&amp;Sheet=1&amp;Row=400&amp;Col=15","")</f>
      </c>
      <c r="Q401" t="s" s="1">
        <f>HYPERLINK("http://141.218.60.56/~jnz1568/discussion.php?&amp;Z=8&amp;N=6&amp;Sheet=1&amp;Row=400&amp;Col=16","")</f>
      </c>
    </row>
    <row r="402">
      <c r="A402" t="s">
        <v>15</v>
      </c>
      <c r="B402" t="s">
        <v>16</v>
      </c>
      <c r="C402" t="s">
        <v>190</v>
      </c>
      <c r="D402" t="s">
        <v>131</v>
      </c>
      <c r="E402" t="s">
        <v>1790</v>
      </c>
      <c r="F402" t="s" s="1">
        <f>HYPERLINK("http://141.218.60.56/~jnz1568/discussion.php?&amp;Z=8&amp;N=6&amp;Sheet=1&amp;Row=401&amp;Col=5","57294")</f>
      </c>
      <c r="G402" t="s" s="1">
        <f>HYPERLINK("http://141.218.60.56/~jnz1568/discussion.php?&amp;Z=8&amp;N=6&amp;Sheet=1&amp;Row=401&amp;Col=6","")</f>
      </c>
      <c r="H402" t="s" s="1">
        <f>HYPERLINK("http://141.218.60.56/~jnz1568/discussion.php?&amp;Z=8&amp;N=6&amp;Sheet=1&amp;Row=401&amp;Col=7","")</f>
      </c>
      <c r="I402" t="s" s="1">
        <f>HYPERLINK("http://141.218.60.56/~jnz1568/discussion.php?&amp;Z=8&amp;N=6&amp;Sheet=1&amp;Row=401&amp;Col=8","")</f>
      </c>
      <c r="J402" t="s" s="1">
        <f>HYPERLINK("http://141.218.60.56/~jnz1568/discussion.php?&amp;Z=8&amp;N=6&amp;Sheet=1&amp;Row=401&amp;Col=9","56787")</f>
      </c>
      <c r="K402" t="s" s="1">
        <f>HYPERLINK("http://141.218.60.56/~jnz1568/discussion.php?&amp;Z=8&amp;N=6&amp;Sheet=1&amp;Row=401&amp;Col=10","")</f>
      </c>
      <c r="L402" t="s" s="1">
        <f>HYPERLINK("http://141.218.60.56/~jnz1568/discussion.php?&amp;Z=8&amp;N=6&amp;Sheet=1&amp;Row=401&amp;Col=11","")</f>
      </c>
      <c r="M402" t="s" s="1">
        <f>HYPERLINK("http://141.218.60.56/~jnz1568/discussion.php?&amp;Z=8&amp;N=6&amp;Sheet=1&amp;Row=401&amp;Col=12","")</f>
      </c>
      <c r="N402" t="s" s="1">
        <f>HYPERLINK("http://141.218.60.56/~jnz1568/discussion.php?&amp;Z=8&amp;N=6&amp;Sheet=1&amp;Row=401&amp;Col=13","8865")</f>
      </c>
      <c r="O402" t="s" s="1">
        <f>HYPERLINK("http://141.218.60.56/~jnz1568/discussion.php?&amp;Z=8&amp;N=6&amp;Sheet=1&amp;Row=401&amp;Col=14","")</f>
      </c>
      <c r="P402" t="s" s="1">
        <f>HYPERLINK("http://141.218.60.56/~jnz1568/discussion.php?&amp;Z=8&amp;N=6&amp;Sheet=1&amp;Row=401&amp;Col=15","")</f>
      </c>
      <c r="Q402" t="s" s="1">
        <f>HYPERLINK("http://141.218.60.56/~jnz1568/discussion.php?&amp;Z=8&amp;N=6&amp;Sheet=1&amp;Row=401&amp;Col=16","")</f>
      </c>
    </row>
    <row r="403">
      <c r="A403" t="s">
        <v>15</v>
      </c>
      <c r="B403" t="s">
        <v>16</v>
      </c>
      <c r="C403" t="s">
        <v>190</v>
      </c>
      <c r="D403" t="s">
        <v>135</v>
      </c>
      <c r="E403" t="s">
        <v>1794</v>
      </c>
      <c r="F403" t="s" s="1">
        <f>HYPERLINK("http://141.218.60.56/~jnz1568/discussion.php?&amp;Z=8&amp;N=6&amp;Sheet=1&amp;Row=402&amp;Col=5","29198")</f>
      </c>
      <c r="G403" t="s" s="1">
        <f>HYPERLINK("http://141.218.60.56/~jnz1568/discussion.php?&amp;Z=8&amp;N=6&amp;Sheet=1&amp;Row=402&amp;Col=6","")</f>
      </c>
      <c r="H403" t="s" s="1">
        <f>HYPERLINK("http://141.218.60.56/~jnz1568/discussion.php?&amp;Z=8&amp;N=6&amp;Sheet=1&amp;Row=402&amp;Col=7","")</f>
      </c>
      <c r="I403" t="s" s="1">
        <f>HYPERLINK("http://141.218.60.56/~jnz1568/discussion.php?&amp;Z=8&amp;N=6&amp;Sheet=1&amp;Row=402&amp;Col=8","")</f>
      </c>
      <c r="J403" t="s" s="1">
        <f>HYPERLINK("http://141.218.60.56/~jnz1568/discussion.php?&amp;Z=8&amp;N=6&amp;Sheet=1&amp;Row=402&amp;Col=9","29108")</f>
      </c>
      <c r="K403" t="s" s="1">
        <f>HYPERLINK("http://141.218.60.56/~jnz1568/discussion.php?&amp;Z=8&amp;N=6&amp;Sheet=1&amp;Row=402&amp;Col=10","")</f>
      </c>
      <c r="L403" t="s" s="1">
        <f>HYPERLINK("http://141.218.60.56/~jnz1568/discussion.php?&amp;Z=8&amp;N=6&amp;Sheet=1&amp;Row=402&amp;Col=11","")</f>
      </c>
      <c r="M403" t="s" s="1">
        <f>HYPERLINK("http://141.218.60.56/~jnz1568/discussion.php?&amp;Z=8&amp;N=6&amp;Sheet=1&amp;Row=402&amp;Col=12","")</f>
      </c>
      <c r="N403" t="s" s="1">
        <f>HYPERLINK("http://141.218.60.56/~jnz1568/discussion.php?&amp;Z=8&amp;N=6&amp;Sheet=1&amp;Row=402&amp;Col=13","12790")</f>
      </c>
      <c r="O403" t="s" s="1">
        <f>HYPERLINK("http://141.218.60.56/~jnz1568/discussion.php?&amp;Z=8&amp;N=6&amp;Sheet=1&amp;Row=402&amp;Col=14","")</f>
      </c>
      <c r="P403" t="s" s="1">
        <f>HYPERLINK("http://141.218.60.56/~jnz1568/discussion.php?&amp;Z=8&amp;N=6&amp;Sheet=1&amp;Row=402&amp;Col=15","")</f>
      </c>
      <c r="Q403" t="s" s="1">
        <f>HYPERLINK("http://141.218.60.56/~jnz1568/discussion.php?&amp;Z=8&amp;N=6&amp;Sheet=1&amp;Row=402&amp;Col=16","")</f>
      </c>
    </row>
    <row r="404">
      <c r="A404" t="s">
        <v>15</v>
      </c>
      <c r="B404" t="s">
        <v>16</v>
      </c>
      <c r="C404" t="s">
        <v>190</v>
      </c>
      <c r="D404" t="s">
        <v>138</v>
      </c>
      <c r="E404" t="s">
        <v>1798</v>
      </c>
      <c r="F404" t="s" s="1">
        <f>HYPERLINK("http://141.218.60.56/~jnz1568/discussion.php?&amp;Z=8&amp;N=6&amp;Sheet=1&amp;Row=403&amp;Col=5","1896.7")</f>
      </c>
      <c r="G404" t="s" s="1">
        <f>HYPERLINK("http://141.218.60.56/~jnz1568/discussion.php?&amp;Z=8&amp;N=6&amp;Sheet=1&amp;Row=403&amp;Col=6","")</f>
      </c>
      <c r="H404" t="s" s="1">
        <f>HYPERLINK("http://141.218.60.56/~jnz1568/discussion.php?&amp;Z=8&amp;N=6&amp;Sheet=1&amp;Row=403&amp;Col=7","")</f>
      </c>
      <c r="I404" t="s" s="1">
        <f>HYPERLINK("http://141.218.60.56/~jnz1568/discussion.php?&amp;Z=8&amp;N=6&amp;Sheet=1&amp;Row=403&amp;Col=8","")</f>
      </c>
      <c r="J404" t="s" s="1">
        <f>HYPERLINK("http://141.218.60.56/~jnz1568/discussion.php?&amp;Z=8&amp;N=6&amp;Sheet=1&amp;Row=403&amp;Col=9","1861.8")</f>
      </c>
      <c r="K404" t="s" s="1">
        <f>HYPERLINK("http://141.218.60.56/~jnz1568/discussion.php?&amp;Z=8&amp;N=6&amp;Sheet=1&amp;Row=403&amp;Col=10","")</f>
      </c>
      <c r="L404" t="s" s="1">
        <f>HYPERLINK("http://141.218.60.56/~jnz1568/discussion.php?&amp;Z=8&amp;N=6&amp;Sheet=1&amp;Row=403&amp;Col=11","")</f>
      </c>
      <c r="M404" t="s" s="1">
        <f>HYPERLINK("http://141.218.60.56/~jnz1568/discussion.php?&amp;Z=8&amp;N=6&amp;Sheet=1&amp;Row=403&amp;Col=12","")</f>
      </c>
      <c r="N404" t="s" s="1">
        <f>HYPERLINK("http://141.218.60.56/~jnz1568/discussion.php?&amp;Z=8&amp;N=6&amp;Sheet=1&amp;Row=403&amp;Col=13","169.6")</f>
      </c>
      <c r="O404" t="s" s="1">
        <f>HYPERLINK("http://141.218.60.56/~jnz1568/discussion.php?&amp;Z=8&amp;N=6&amp;Sheet=1&amp;Row=403&amp;Col=14","")</f>
      </c>
      <c r="P404" t="s" s="1">
        <f>HYPERLINK("http://141.218.60.56/~jnz1568/discussion.php?&amp;Z=8&amp;N=6&amp;Sheet=1&amp;Row=403&amp;Col=15","")</f>
      </c>
      <c r="Q404" t="s" s="1">
        <f>HYPERLINK("http://141.218.60.56/~jnz1568/discussion.php?&amp;Z=8&amp;N=6&amp;Sheet=1&amp;Row=403&amp;Col=16","")</f>
      </c>
    </row>
    <row r="405">
      <c r="A405" t="s">
        <v>15</v>
      </c>
      <c r="B405" t="s">
        <v>16</v>
      </c>
      <c r="C405" t="s">
        <v>190</v>
      </c>
      <c r="D405" t="s">
        <v>141</v>
      </c>
      <c r="E405" t="s">
        <v>1802</v>
      </c>
      <c r="F405" t="s" s="1">
        <f>HYPERLINK("http://141.218.60.56/~jnz1568/discussion.php?&amp;Z=8&amp;N=6&amp;Sheet=1&amp;Row=404&amp;Col=5","7108900")</f>
      </c>
      <c r="G405" t="s" s="1">
        <f>HYPERLINK("http://141.218.60.56/~jnz1568/discussion.php?&amp;Z=8&amp;N=6&amp;Sheet=1&amp;Row=404&amp;Col=6","")</f>
      </c>
      <c r="H405" t="s" s="1">
        <f>HYPERLINK("http://141.218.60.56/~jnz1568/discussion.php?&amp;Z=8&amp;N=6&amp;Sheet=1&amp;Row=404&amp;Col=7","")</f>
      </c>
      <c r="I405" t="s" s="1">
        <f>HYPERLINK("http://141.218.60.56/~jnz1568/discussion.php?&amp;Z=8&amp;N=6&amp;Sheet=1&amp;Row=404&amp;Col=8","")</f>
      </c>
      <c r="J405" t="s" s="1">
        <f>HYPERLINK("http://141.218.60.56/~jnz1568/discussion.php?&amp;Z=8&amp;N=6&amp;Sheet=1&amp;Row=404&amp;Col=9","7032800")</f>
      </c>
      <c r="K405" t="s" s="1">
        <f>HYPERLINK("http://141.218.60.56/~jnz1568/discussion.php?&amp;Z=8&amp;N=6&amp;Sheet=1&amp;Row=404&amp;Col=10","")</f>
      </c>
      <c r="L405" t="s" s="1">
        <f>HYPERLINK("http://141.218.60.56/~jnz1568/discussion.php?&amp;Z=8&amp;N=6&amp;Sheet=1&amp;Row=404&amp;Col=11","")</f>
      </c>
      <c r="M405" t="s" s="1">
        <f>HYPERLINK("http://141.218.60.56/~jnz1568/discussion.php?&amp;Z=8&amp;N=6&amp;Sheet=1&amp;Row=404&amp;Col=12","")</f>
      </c>
      <c r="N405" t="s" s="1">
        <f>HYPERLINK("http://141.218.60.56/~jnz1568/discussion.php?&amp;Z=8&amp;N=6&amp;Sheet=1&amp;Row=404&amp;Col=13","9622000")</f>
      </c>
      <c r="O405" t="s" s="1">
        <f>HYPERLINK("http://141.218.60.56/~jnz1568/discussion.php?&amp;Z=8&amp;N=6&amp;Sheet=1&amp;Row=404&amp;Col=14","")</f>
      </c>
      <c r="P405" t="s" s="1">
        <f>HYPERLINK("http://141.218.60.56/~jnz1568/discussion.php?&amp;Z=8&amp;N=6&amp;Sheet=1&amp;Row=404&amp;Col=15","")</f>
      </c>
      <c r="Q405" t="s" s="1">
        <f>HYPERLINK("http://141.218.60.56/~jnz1568/discussion.php?&amp;Z=8&amp;N=6&amp;Sheet=1&amp;Row=404&amp;Col=16","")</f>
      </c>
    </row>
    <row r="406">
      <c r="A406" t="s">
        <v>15</v>
      </c>
      <c r="B406" t="s">
        <v>16</v>
      </c>
      <c r="C406" t="s">
        <v>190</v>
      </c>
      <c r="D406" t="s">
        <v>145</v>
      </c>
      <c r="E406" t="s">
        <v>1806</v>
      </c>
      <c r="F406" t="s" s="1">
        <f>HYPERLINK("http://141.218.60.56/~jnz1568/discussion.php?&amp;Z=8&amp;N=6&amp;Sheet=1&amp;Row=405&amp;Col=5","34466000")</f>
      </c>
      <c r="G406" t="s" s="1">
        <f>HYPERLINK("http://141.218.60.56/~jnz1568/discussion.php?&amp;Z=8&amp;N=6&amp;Sheet=1&amp;Row=405&amp;Col=6","")</f>
      </c>
      <c r="H406" t="s" s="1">
        <f>HYPERLINK("http://141.218.60.56/~jnz1568/discussion.php?&amp;Z=8&amp;N=6&amp;Sheet=1&amp;Row=405&amp;Col=7","")</f>
      </c>
      <c r="I406" t="s" s="1">
        <f>HYPERLINK("http://141.218.60.56/~jnz1568/discussion.php?&amp;Z=8&amp;N=6&amp;Sheet=1&amp;Row=405&amp;Col=8","")</f>
      </c>
      <c r="J406" t="s" s="1">
        <f>HYPERLINK("http://141.218.60.56/~jnz1568/discussion.php?&amp;Z=8&amp;N=6&amp;Sheet=1&amp;Row=405&amp;Col=9","33248000")</f>
      </c>
      <c r="K406" t="s" s="1">
        <f>HYPERLINK("http://141.218.60.56/~jnz1568/discussion.php?&amp;Z=8&amp;N=6&amp;Sheet=1&amp;Row=405&amp;Col=10","")</f>
      </c>
      <c r="L406" t="s" s="1">
        <f>HYPERLINK("http://141.218.60.56/~jnz1568/discussion.php?&amp;Z=8&amp;N=6&amp;Sheet=1&amp;Row=405&amp;Col=11","")</f>
      </c>
      <c r="M406" t="s" s="1">
        <f>HYPERLINK("http://141.218.60.56/~jnz1568/discussion.php?&amp;Z=8&amp;N=6&amp;Sheet=1&amp;Row=405&amp;Col=12","")</f>
      </c>
      <c r="N406" t="s" s="1">
        <f>HYPERLINK("http://141.218.60.56/~jnz1568/discussion.php?&amp;Z=8&amp;N=6&amp;Sheet=1&amp;Row=405&amp;Col=13","19220000")</f>
      </c>
      <c r="O406" t="s" s="1">
        <f>HYPERLINK("http://141.218.60.56/~jnz1568/discussion.php?&amp;Z=8&amp;N=6&amp;Sheet=1&amp;Row=405&amp;Col=14","")</f>
      </c>
      <c r="P406" t="s" s="1">
        <f>HYPERLINK("http://141.218.60.56/~jnz1568/discussion.php?&amp;Z=8&amp;N=6&amp;Sheet=1&amp;Row=405&amp;Col=15","")</f>
      </c>
      <c r="Q406" t="s" s="1">
        <f>HYPERLINK("http://141.218.60.56/~jnz1568/discussion.php?&amp;Z=8&amp;N=6&amp;Sheet=1&amp;Row=405&amp;Col=16","")</f>
      </c>
    </row>
    <row r="407">
      <c r="A407" t="s">
        <v>15</v>
      </c>
      <c r="B407" t="s">
        <v>16</v>
      </c>
      <c r="C407" t="s">
        <v>194</v>
      </c>
      <c r="D407" t="s">
        <v>50</v>
      </c>
      <c r="E407" t="s">
        <v>1810</v>
      </c>
      <c r="F407" t="s" s="1">
        <f>HYPERLINK("http://141.218.60.56/~jnz1568/discussion.php?&amp;Z=8&amp;N=6&amp;Sheet=1&amp;Row=406&amp;Col=5","12054")</f>
      </c>
      <c r="G407" t="s" s="1">
        <f>HYPERLINK("http://141.218.60.56/~jnz1568/discussion.php?&amp;Z=8&amp;N=6&amp;Sheet=1&amp;Row=406&amp;Col=6","")</f>
      </c>
      <c r="H407" t="s" s="1">
        <f>HYPERLINK("http://141.218.60.56/~jnz1568/discussion.php?&amp;Z=8&amp;N=6&amp;Sheet=1&amp;Row=406&amp;Col=7","")</f>
      </c>
      <c r="I407" t="s" s="1">
        <f>HYPERLINK("http://141.218.60.56/~jnz1568/discussion.php?&amp;Z=8&amp;N=6&amp;Sheet=1&amp;Row=406&amp;Col=8","")</f>
      </c>
      <c r="J407" t="s" s="1">
        <f>HYPERLINK("http://141.218.60.56/~jnz1568/discussion.php?&amp;Z=8&amp;N=6&amp;Sheet=1&amp;Row=406&amp;Col=9","9295.3")</f>
      </c>
      <c r="K407" t="s" s="1">
        <f>HYPERLINK("http://141.218.60.56/~jnz1568/discussion.php?&amp;Z=8&amp;N=6&amp;Sheet=1&amp;Row=406&amp;Col=10","")</f>
      </c>
      <c r="L407" t="s" s="1">
        <f>HYPERLINK("http://141.218.60.56/~jnz1568/discussion.php?&amp;Z=8&amp;N=6&amp;Sheet=1&amp;Row=406&amp;Col=11","")</f>
      </c>
      <c r="M407" t="s" s="1">
        <f>HYPERLINK("http://141.218.60.56/~jnz1568/discussion.php?&amp;Z=8&amp;N=6&amp;Sheet=1&amp;Row=406&amp;Col=12","")</f>
      </c>
      <c r="N407" t="s" s="1">
        <f>HYPERLINK("http://141.218.60.56/~jnz1568/discussion.php?&amp;Z=8&amp;N=6&amp;Sheet=1&amp;Row=406&amp;Col=13","33300")</f>
      </c>
      <c r="O407" t="s" s="1">
        <f>HYPERLINK("http://141.218.60.56/~jnz1568/discussion.php?&amp;Z=8&amp;N=6&amp;Sheet=1&amp;Row=406&amp;Col=14","")</f>
      </c>
      <c r="P407" t="s" s="1">
        <f>HYPERLINK("http://141.218.60.56/~jnz1568/discussion.php?&amp;Z=8&amp;N=6&amp;Sheet=1&amp;Row=406&amp;Col=15","")</f>
      </c>
      <c r="Q407" t="s" s="1">
        <f>HYPERLINK("http://141.218.60.56/~jnz1568/discussion.php?&amp;Z=8&amp;N=6&amp;Sheet=1&amp;Row=406&amp;Col=16","")</f>
      </c>
    </row>
    <row r="408">
      <c r="A408" t="s">
        <v>15</v>
      </c>
      <c r="B408" t="s">
        <v>16</v>
      </c>
      <c r="C408" t="s">
        <v>194</v>
      </c>
      <c r="D408" t="s">
        <v>58</v>
      </c>
      <c r="E408" t="s">
        <v>1814</v>
      </c>
      <c r="F408" t="s" s="1">
        <f>HYPERLINK("http://141.218.60.56/~jnz1568/discussion.php?&amp;Z=8&amp;N=6&amp;Sheet=1&amp;Row=407&amp;Col=5","79126")</f>
      </c>
      <c r="G408" t="s" s="1">
        <f>HYPERLINK("http://141.218.60.56/~jnz1568/discussion.php?&amp;Z=8&amp;N=6&amp;Sheet=1&amp;Row=407&amp;Col=6","")</f>
      </c>
      <c r="H408" t="s" s="1">
        <f>HYPERLINK("http://141.218.60.56/~jnz1568/discussion.php?&amp;Z=8&amp;N=6&amp;Sheet=1&amp;Row=407&amp;Col=7","")</f>
      </c>
      <c r="I408" t="s" s="1">
        <f>HYPERLINK("http://141.218.60.56/~jnz1568/discussion.php?&amp;Z=8&amp;N=6&amp;Sheet=1&amp;Row=407&amp;Col=8","")</f>
      </c>
      <c r="J408" t="s" s="1">
        <f>HYPERLINK("http://141.218.60.56/~jnz1568/discussion.php?&amp;Z=8&amp;N=6&amp;Sheet=1&amp;Row=407&amp;Col=9","83420")</f>
      </c>
      <c r="K408" t="s" s="1">
        <f>HYPERLINK("http://141.218.60.56/~jnz1568/discussion.php?&amp;Z=8&amp;N=6&amp;Sheet=1&amp;Row=407&amp;Col=10","")</f>
      </c>
      <c r="L408" t="s" s="1">
        <f>HYPERLINK("http://141.218.60.56/~jnz1568/discussion.php?&amp;Z=8&amp;N=6&amp;Sheet=1&amp;Row=407&amp;Col=11","")</f>
      </c>
      <c r="M408" t="s" s="1">
        <f>HYPERLINK("http://141.218.60.56/~jnz1568/discussion.php?&amp;Z=8&amp;N=6&amp;Sheet=1&amp;Row=407&amp;Col=12","")</f>
      </c>
      <c r="N408" t="s" s="1">
        <f>HYPERLINK("http://141.218.60.56/~jnz1568/discussion.php?&amp;Z=8&amp;N=6&amp;Sheet=1&amp;Row=407&amp;Col=13","20290")</f>
      </c>
      <c r="O408" t="s" s="1">
        <f>HYPERLINK("http://141.218.60.56/~jnz1568/discussion.php?&amp;Z=8&amp;N=6&amp;Sheet=1&amp;Row=407&amp;Col=14","")</f>
      </c>
      <c r="P408" t="s" s="1">
        <f>HYPERLINK("http://141.218.60.56/~jnz1568/discussion.php?&amp;Z=8&amp;N=6&amp;Sheet=1&amp;Row=407&amp;Col=15","")</f>
      </c>
      <c r="Q408" t="s" s="1">
        <f>HYPERLINK("http://141.218.60.56/~jnz1568/discussion.php?&amp;Z=8&amp;N=6&amp;Sheet=1&amp;Row=407&amp;Col=16","")</f>
      </c>
    </row>
    <row r="409">
      <c r="A409" t="s">
        <v>15</v>
      </c>
      <c r="B409" t="s">
        <v>16</v>
      </c>
      <c r="C409" t="s">
        <v>194</v>
      </c>
      <c r="D409" t="s">
        <v>69</v>
      </c>
      <c r="E409" t="s">
        <v>1818</v>
      </c>
      <c r="F409" t="s" s="1">
        <f>HYPERLINK("http://141.218.60.56/~jnz1568/discussion.php?&amp;Z=8&amp;N=6&amp;Sheet=1&amp;Row=408&amp;Col=5","934160")</f>
      </c>
      <c r="G409" t="s" s="1">
        <f>HYPERLINK("http://141.218.60.56/~jnz1568/discussion.php?&amp;Z=8&amp;N=6&amp;Sheet=1&amp;Row=408&amp;Col=6","")</f>
      </c>
      <c r="H409" t="s" s="1">
        <f>HYPERLINK("http://141.218.60.56/~jnz1568/discussion.php?&amp;Z=8&amp;N=6&amp;Sheet=1&amp;Row=408&amp;Col=7","")</f>
      </c>
      <c r="I409" t="s" s="1">
        <f>HYPERLINK("http://141.218.60.56/~jnz1568/discussion.php?&amp;Z=8&amp;N=6&amp;Sheet=1&amp;Row=408&amp;Col=8","")</f>
      </c>
      <c r="J409" t="s" s="1">
        <f>HYPERLINK("http://141.218.60.56/~jnz1568/discussion.php?&amp;Z=8&amp;N=6&amp;Sheet=1&amp;Row=408&amp;Col=9","931670")</f>
      </c>
      <c r="K409" t="s" s="1">
        <f>HYPERLINK("http://141.218.60.56/~jnz1568/discussion.php?&amp;Z=8&amp;N=6&amp;Sheet=1&amp;Row=408&amp;Col=10","")</f>
      </c>
      <c r="L409" t="s" s="1">
        <f>HYPERLINK("http://141.218.60.56/~jnz1568/discussion.php?&amp;Z=8&amp;N=6&amp;Sheet=1&amp;Row=408&amp;Col=11","")</f>
      </c>
      <c r="M409" t="s" s="1">
        <f>HYPERLINK("http://141.218.60.56/~jnz1568/discussion.php?&amp;Z=8&amp;N=6&amp;Sheet=1&amp;Row=408&amp;Col=12","")</f>
      </c>
      <c r="N409" t="s" s="1">
        <f>HYPERLINK("http://141.218.60.56/~jnz1568/discussion.php?&amp;Z=8&amp;N=6&amp;Sheet=1&amp;Row=408&amp;Col=13","507000")</f>
      </c>
      <c r="O409" t="s" s="1">
        <f>HYPERLINK("http://141.218.60.56/~jnz1568/discussion.php?&amp;Z=8&amp;N=6&amp;Sheet=1&amp;Row=408&amp;Col=14","")</f>
      </c>
      <c r="P409" t="s" s="1">
        <f>HYPERLINK("http://141.218.60.56/~jnz1568/discussion.php?&amp;Z=8&amp;N=6&amp;Sheet=1&amp;Row=408&amp;Col=15","")</f>
      </c>
      <c r="Q409" t="s" s="1">
        <f>HYPERLINK("http://141.218.60.56/~jnz1568/discussion.php?&amp;Z=8&amp;N=6&amp;Sheet=1&amp;Row=408&amp;Col=16","")</f>
      </c>
    </row>
    <row r="410">
      <c r="A410" t="s">
        <v>15</v>
      </c>
      <c r="B410" t="s">
        <v>16</v>
      </c>
      <c r="C410" t="s">
        <v>194</v>
      </c>
      <c r="D410" t="s">
        <v>74</v>
      </c>
      <c r="E410" t="s">
        <v>1822</v>
      </c>
      <c r="F410" t="s" s="1">
        <f>HYPERLINK("http://141.218.60.56/~jnz1568/discussion.php?&amp;Z=8&amp;N=6&amp;Sheet=1&amp;Row=409&amp;Col=5","5920600000")</f>
      </c>
      <c r="G410" t="s" s="1">
        <f>HYPERLINK("http://141.218.60.56/~jnz1568/discussion.php?&amp;Z=8&amp;N=6&amp;Sheet=1&amp;Row=409&amp;Col=6","")</f>
      </c>
      <c r="H410" t="s" s="1">
        <f>HYPERLINK("http://141.218.60.56/~jnz1568/discussion.php?&amp;Z=8&amp;N=6&amp;Sheet=1&amp;Row=409&amp;Col=7","")</f>
      </c>
      <c r="I410" t="s" s="1">
        <f>HYPERLINK("http://141.218.60.56/~jnz1568/discussion.php?&amp;Z=8&amp;N=6&amp;Sheet=1&amp;Row=409&amp;Col=8","")</f>
      </c>
      <c r="J410" t="s" s="1">
        <f>HYPERLINK("http://141.218.60.56/~jnz1568/discussion.php?&amp;Z=8&amp;N=6&amp;Sheet=1&amp;Row=409&amp;Col=9","6082800000")</f>
      </c>
      <c r="K410" t="s" s="1">
        <f>HYPERLINK("http://141.218.60.56/~jnz1568/discussion.php?&amp;Z=8&amp;N=6&amp;Sheet=1&amp;Row=409&amp;Col=10","")</f>
      </c>
      <c r="L410" t="s" s="1">
        <f>HYPERLINK("http://141.218.60.56/~jnz1568/discussion.php?&amp;Z=8&amp;N=6&amp;Sheet=1&amp;Row=409&amp;Col=11","")</f>
      </c>
      <c r="M410" t="s" s="1">
        <f>HYPERLINK("http://141.218.60.56/~jnz1568/discussion.php?&amp;Z=8&amp;N=6&amp;Sheet=1&amp;Row=409&amp;Col=12","")</f>
      </c>
      <c r="N410" t="s" s="1">
        <f>HYPERLINK("http://141.218.60.56/~jnz1568/discussion.php?&amp;Z=8&amp;N=6&amp;Sheet=1&amp;Row=409&amp;Col=13","6676000000")</f>
      </c>
      <c r="O410" t="s" s="1">
        <f>HYPERLINK("http://141.218.60.56/~jnz1568/discussion.php?&amp;Z=8&amp;N=6&amp;Sheet=1&amp;Row=409&amp;Col=14","")</f>
      </c>
      <c r="P410" t="s" s="1">
        <f>HYPERLINK("http://141.218.60.56/~jnz1568/discussion.php?&amp;Z=8&amp;N=6&amp;Sheet=1&amp;Row=409&amp;Col=15","")</f>
      </c>
      <c r="Q410" t="s" s="1">
        <f>HYPERLINK("http://141.218.60.56/~jnz1568/discussion.php?&amp;Z=8&amp;N=6&amp;Sheet=1&amp;Row=409&amp;Col=16","")</f>
      </c>
    </row>
    <row r="411">
      <c r="A411" t="s">
        <v>15</v>
      </c>
      <c r="B411" t="s">
        <v>16</v>
      </c>
      <c r="C411" t="s">
        <v>194</v>
      </c>
      <c r="D411" t="s">
        <v>84</v>
      </c>
      <c r="E411" t="s">
        <v>1826</v>
      </c>
      <c r="F411" t="s" s="1">
        <f>HYPERLINK("http://141.218.60.56/~jnz1568/discussion.php?&amp;Z=8&amp;N=6&amp;Sheet=1&amp;Row=410&amp;Col=5","16111")</f>
      </c>
      <c r="G411" t="s" s="1">
        <f>HYPERLINK("http://141.218.60.56/~jnz1568/discussion.php?&amp;Z=8&amp;N=6&amp;Sheet=1&amp;Row=410&amp;Col=6","")</f>
      </c>
      <c r="H411" t="s" s="1">
        <f>HYPERLINK("http://141.218.60.56/~jnz1568/discussion.php?&amp;Z=8&amp;N=6&amp;Sheet=1&amp;Row=410&amp;Col=7","")</f>
      </c>
      <c r="I411" t="s" s="1">
        <f>HYPERLINK("http://141.218.60.56/~jnz1568/discussion.php?&amp;Z=8&amp;N=6&amp;Sheet=1&amp;Row=410&amp;Col=8","")</f>
      </c>
      <c r="J411" t="s" s="1">
        <f>HYPERLINK("http://141.218.60.56/~jnz1568/discussion.php?&amp;Z=8&amp;N=6&amp;Sheet=1&amp;Row=410&amp;Col=9","13666")</f>
      </c>
      <c r="K411" t="s" s="1">
        <f>HYPERLINK("http://141.218.60.56/~jnz1568/discussion.php?&amp;Z=8&amp;N=6&amp;Sheet=1&amp;Row=410&amp;Col=10","")</f>
      </c>
      <c r="L411" t="s" s="1">
        <f>HYPERLINK("http://141.218.60.56/~jnz1568/discussion.php?&amp;Z=8&amp;N=6&amp;Sheet=1&amp;Row=410&amp;Col=11","")</f>
      </c>
      <c r="M411" t="s" s="1">
        <f>HYPERLINK("http://141.218.60.56/~jnz1568/discussion.php?&amp;Z=8&amp;N=6&amp;Sheet=1&amp;Row=410&amp;Col=12","")</f>
      </c>
      <c r="N411" t="s" s="1">
        <f>HYPERLINK("http://141.218.60.56/~jnz1568/discussion.php?&amp;Z=8&amp;N=6&amp;Sheet=1&amp;Row=410&amp;Col=13","4151")</f>
      </c>
      <c r="O411" t="s" s="1">
        <f>HYPERLINK("http://141.218.60.56/~jnz1568/discussion.php?&amp;Z=8&amp;N=6&amp;Sheet=1&amp;Row=410&amp;Col=14","")</f>
      </c>
      <c r="P411" t="s" s="1">
        <f>HYPERLINK("http://141.218.60.56/~jnz1568/discussion.php?&amp;Z=8&amp;N=6&amp;Sheet=1&amp;Row=410&amp;Col=15","")</f>
      </c>
      <c r="Q411" t="s" s="1">
        <f>HYPERLINK("http://141.218.60.56/~jnz1568/discussion.php?&amp;Z=8&amp;N=6&amp;Sheet=1&amp;Row=410&amp;Col=16","")</f>
      </c>
    </row>
    <row r="412">
      <c r="A412" t="s">
        <v>15</v>
      </c>
      <c r="B412" t="s">
        <v>16</v>
      </c>
      <c r="C412" t="s">
        <v>194</v>
      </c>
      <c r="D412" t="s">
        <v>90</v>
      </c>
      <c r="E412" t="s">
        <v>1830</v>
      </c>
      <c r="F412" t="s" s="1">
        <f>HYPERLINK("http://141.218.60.56/~jnz1568/discussion.php?&amp;Z=8&amp;N=6&amp;Sheet=1&amp;Row=411&amp;Col=5","13752000")</f>
      </c>
      <c r="G412" t="s" s="1">
        <f>HYPERLINK("http://141.218.60.56/~jnz1568/discussion.php?&amp;Z=8&amp;N=6&amp;Sheet=1&amp;Row=411&amp;Col=6","")</f>
      </c>
      <c r="H412" t="s" s="1">
        <f>HYPERLINK("http://141.218.60.56/~jnz1568/discussion.php?&amp;Z=8&amp;N=6&amp;Sheet=1&amp;Row=411&amp;Col=7","")</f>
      </c>
      <c r="I412" t="s" s="1">
        <f>HYPERLINK("http://141.218.60.56/~jnz1568/discussion.php?&amp;Z=8&amp;N=6&amp;Sheet=1&amp;Row=411&amp;Col=8","")</f>
      </c>
      <c r="J412" t="s" s="1">
        <f>HYPERLINK("http://141.218.60.56/~jnz1568/discussion.php?&amp;Z=8&amp;N=6&amp;Sheet=1&amp;Row=411&amp;Col=9","10628000")</f>
      </c>
      <c r="K412" t="s" s="1">
        <f>HYPERLINK("http://141.218.60.56/~jnz1568/discussion.php?&amp;Z=8&amp;N=6&amp;Sheet=1&amp;Row=411&amp;Col=10","")</f>
      </c>
      <c r="L412" t="s" s="1">
        <f>HYPERLINK("http://141.218.60.56/~jnz1568/discussion.php?&amp;Z=8&amp;N=6&amp;Sheet=1&amp;Row=411&amp;Col=11","")</f>
      </c>
      <c r="M412" t="s" s="1">
        <f>HYPERLINK("http://141.218.60.56/~jnz1568/discussion.php?&amp;Z=8&amp;N=6&amp;Sheet=1&amp;Row=411&amp;Col=12","")</f>
      </c>
      <c r="N412" t="s" s="1">
        <f>HYPERLINK("http://141.218.60.56/~jnz1568/discussion.php?&amp;Z=8&amp;N=6&amp;Sheet=1&amp;Row=411&amp;Col=13","13580000")</f>
      </c>
      <c r="O412" t="s" s="1">
        <f>HYPERLINK("http://141.218.60.56/~jnz1568/discussion.php?&amp;Z=8&amp;N=6&amp;Sheet=1&amp;Row=411&amp;Col=14","")</f>
      </c>
      <c r="P412" t="s" s="1">
        <f>HYPERLINK("http://141.218.60.56/~jnz1568/discussion.php?&amp;Z=8&amp;N=6&amp;Sheet=1&amp;Row=411&amp;Col=15","")</f>
      </c>
      <c r="Q412" t="s" s="1">
        <f>HYPERLINK("http://141.218.60.56/~jnz1568/discussion.php?&amp;Z=8&amp;N=6&amp;Sheet=1&amp;Row=411&amp;Col=16","")</f>
      </c>
    </row>
    <row r="413">
      <c r="A413" t="s">
        <v>15</v>
      </c>
      <c r="B413" t="s">
        <v>16</v>
      </c>
      <c r="C413" t="s">
        <v>194</v>
      </c>
      <c r="D413" t="s">
        <v>165</v>
      </c>
      <c r="E413" t="s">
        <v>1834</v>
      </c>
      <c r="F413" t="s" s="1">
        <f>HYPERLINK("http://141.218.60.56/~jnz1568/discussion.php?&amp;Z=8&amp;N=6&amp;Sheet=1&amp;Row=412&amp;Col=5","41.607")</f>
      </c>
      <c r="G413" t="s" s="1">
        <f>HYPERLINK("http://141.218.60.56/~jnz1568/discussion.php?&amp;Z=8&amp;N=6&amp;Sheet=1&amp;Row=412&amp;Col=6","")</f>
      </c>
      <c r="H413" t="s" s="1">
        <f>HYPERLINK("http://141.218.60.56/~jnz1568/discussion.php?&amp;Z=8&amp;N=6&amp;Sheet=1&amp;Row=412&amp;Col=7","")</f>
      </c>
      <c r="I413" t="s" s="1">
        <f>HYPERLINK("http://141.218.60.56/~jnz1568/discussion.php?&amp;Z=8&amp;N=6&amp;Sheet=1&amp;Row=412&amp;Col=8","")</f>
      </c>
      <c r="J413" t="s" s="1">
        <f>HYPERLINK("http://141.218.60.56/~jnz1568/discussion.php?&amp;Z=8&amp;N=6&amp;Sheet=1&amp;Row=412&amp;Col=9","36.526")</f>
      </c>
      <c r="K413" t="s" s="1">
        <f>HYPERLINK("http://141.218.60.56/~jnz1568/discussion.php?&amp;Z=8&amp;N=6&amp;Sheet=1&amp;Row=412&amp;Col=10","")</f>
      </c>
      <c r="L413" t="s" s="1">
        <f>HYPERLINK("http://141.218.60.56/~jnz1568/discussion.php?&amp;Z=8&amp;N=6&amp;Sheet=1&amp;Row=412&amp;Col=11","")</f>
      </c>
      <c r="M413" t="s" s="1">
        <f>HYPERLINK("http://141.218.60.56/~jnz1568/discussion.php?&amp;Z=8&amp;N=6&amp;Sheet=1&amp;Row=412&amp;Col=12","")</f>
      </c>
      <c r="N413" t="s" s="1">
        <f>HYPERLINK("http://141.218.60.56/~jnz1568/discussion.php?&amp;Z=8&amp;N=6&amp;Sheet=1&amp;Row=412&amp;Col=13","59.5")</f>
      </c>
      <c r="O413" t="s" s="1">
        <f>HYPERLINK("http://141.218.60.56/~jnz1568/discussion.php?&amp;Z=8&amp;N=6&amp;Sheet=1&amp;Row=412&amp;Col=14","")</f>
      </c>
      <c r="P413" t="s" s="1">
        <f>HYPERLINK("http://141.218.60.56/~jnz1568/discussion.php?&amp;Z=8&amp;N=6&amp;Sheet=1&amp;Row=412&amp;Col=15","")</f>
      </c>
      <c r="Q413" t="s" s="1">
        <f>HYPERLINK("http://141.218.60.56/~jnz1568/discussion.php?&amp;Z=8&amp;N=6&amp;Sheet=1&amp;Row=412&amp;Col=16","")</f>
      </c>
    </row>
    <row r="414">
      <c r="A414" t="s">
        <v>15</v>
      </c>
      <c r="B414" t="s">
        <v>16</v>
      </c>
      <c r="C414" t="s">
        <v>194</v>
      </c>
      <c r="D414" t="s">
        <v>179</v>
      </c>
      <c r="E414" t="s">
        <v>1838</v>
      </c>
      <c r="F414" t="s" s="1">
        <f>HYPERLINK("http://141.218.60.56/~jnz1568/discussion.php?&amp;Z=8&amp;N=6&amp;Sheet=1&amp;Row=413&amp;Col=5","28.222")</f>
      </c>
      <c r="G414" t="s" s="1">
        <f>HYPERLINK("http://141.218.60.56/~jnz1568/discussion.php?&amp;Z=8&amp;N=6&amp;Sheet=1&amp;Row=413&amp;Col=6","")</f>
      </c>
      <c r="H414" t="s" s="1">
        <f>HYPERLINK("http://141.218.60.56/~jnz1568/discussion.php?&amp;Z=8&amp;N=6&amp;Sheet=1&amp;Row=413&amp;Col=7","")</f>
      </c>
      <c r="I414" t="s" s="1">
        <f>HYPERLINK("http://141.218.60.56/~jnz1568/discussion.php?&amp;Z=8&amp;N=6&amp;Sheet=1&amp;Row=413&amp;Col=8","")</f>
      </c>
      <c r="J414" t="s" s="1">
        <f>HYPERLINK("http://141.218.60.56/~jnz1568/discussion.php?&amp;Z=8&amp;N=6&amp;Sheet=1&amp;Row=413&amp;Col=9","22.646")</f>
      </c>
      <c r="K414" t="s" s="1">
        <f>HYPERLINK("http://141.218.60.56/~jnz1568/discussion.php?&amp;Z=8&amp;N=6&amp;Sheet=1&amp;Row=413&amp;Col=10","")</f>
      </c>
      <c r="L414" t="s" s="1">
        <f>HYPERLINK("http://141.218.60.56/~jnz1568/discussion.php?&amp;Z=8&amp;N=6&amp;Sheet=1&amp;Row=413&amp;Col=11","")</f>
      </c>
      <c r="M414" t="s" s="1">
        <f>HYPERLINK("http://141.218.60.56/~jnz1568/discussion.php?&amp;Z=8&amp;N=6&amp;Sheet=1&amp;Row=413&amp;Col=12","")</f>
      </c>
      <c r="N414" t="s" s="1">
        <f>HYPERLINK("http://141.218.60.56/~jnz1568/discussion.php?&amp;Z=8&amp;N=6&amp;Sheet=1&amp;Row=413&amp;Col=13","4.476")</f>
      </c>
      <c r="O414" t="s" s="1">
        <f>HYPERLINK("http://141.218.60.56/~jnz1568/discussion.php?&amp;Z=8&amp;N=6&amp;Sheet=1&amp;Row=413&amp;Col=14","")</f>
      </c>
      <c r="P414" t="s" s="1">
        <f>HYPERLINK("http://141.218.60.56/~jnz1568/discussion.php?&amp;Z=8&amp;N=6&amp;Sheet=1&amp;Row=413&amp;Col=15","")</f>
      </c>
      <c r="Q414" t="s" s="1">
        <f>HYPERLINK("http://141.218.60.56/~jnz1568/discussion.php?&amp;Z=8&amp;N=6&amp;Sheet=1&amp;Row=413&amp;Col=16","")</f>
      </c>
    </row>
    <row r="415">
      <c r="A415" t="s">
        <v>15</v>
      </c>
      <c r="B415" t="s">
        <v>16</v>
      </c>
      <c r="C415" t="s">
        <v>194</v>
      </c>
      <c r="D415" t="s">
        <v>190</v>
      </c>
      <c r="E415" t="s">
        <v>1842</v>
      </c>
      <c r="F415" t="s" s="1">
        <f>HYPERLINK("http://141.218.60.56/~jnz1568/discussion.php?&amp;Z=8&amp;N=6&amp;Sheet=1&amp;Row=414&amp;Col=5","18304")</f>
      </c>
      <c r="G415" t="s" s="1">
        <f>HYPERLINK("http://141.218.60.56/~jnz1568/discussion.php?&amp;Z=8&amp;N=6&amp;Sheet=1&amp;Row=414&amp;Col=6","")</f>
      </c>
      <c r="H415" t="s" s="1">
        <f>HYPERLINK("http://141.218.60.56/~jnz1568/discussion.php?&amp;Z=8&amp;N=6&amp;Sheet=1&amp;Row=414&amp;Col=7","")</f>
      </c>
      <c r="I415" t="s" s="1">
        <f>HYPERLINK("http://141.218.60.56/~jnz1568/discussion.php?&amp;Z=8&amp;N=6&amp;Sheet=1&amp;Row=414&amp;Col=8","")</f>
      </c>
      <c r="J415" t="s" s="1">
        <f>HYPERLINK("http://141.218.60.56/~jnz1568/discussion.php?&amp;Z=8&amp;N=6&amp;Sheet=1&amp;Row=414&amp;Col=9","13228")</f>
      </c>
      <c r="K415" t="s" s="1">
        <f>HYPERLINK("http://141.218.60.56/~jnz1568/discussion.php?&amp;Z=8&amp;N=6&amp;Sheet=1&amp;Row=414&amp;Col=10","")</f>
      </c>
      <c r="L415" t="s" s="1">
        <f>HYPERLINK("http://141.218.60.56/~jnz1568/discussion.php?&amp;Z=8&amp;N=6&amp;Sheet=1&amp;Row=414&amp;Col=11","")</f>
      </c>
      <c r="M415" t="s" s="1">
        <f>HYPERLINK("http://141.218.60.56/~jnz1568/discussion.php?&amp;Z=8&amp;N=6&amp;Sheet=1&amp;Row=414&amp;Col=12","")</f>
      </c>
      <c r="N415" t="s" s="1">
        <f>HYPERLINK("http://141.218.60.56/~jnz1568/discussion.php?&amp;Z=8&amp;N=6&amp;Sheet=1&amp;Row=414&amp;Col=13","1416")</f>
      </c>
      <c r="O415" t="s" s="1">
        <f>HYPERLINK("http://141.218.60.56/~jnz1568/discussion.php?&amp;Z=8&amp;N=6&amp;Sheet=1&amp;Row=414&amp;Col=14","")</f>
      </c>
      <c r="P415" t="s" s="1">
        <f>HYPERLINK("http://141.218.60.56/~jnz1568/discussion.php?&amp;Z=8&amp;N=6&amp;Sheet=1&amp;Row=414&amp;Col=15","")</f>
      </c>
      <c r="Q415" t="s" s="1">
        <f>HYPERLINK("http://141.218.60.56/~jnz1568/discussion.php?&amp;Z=8&amp;N=6&amp;Sheet=1&amp;Row=414&amp;Col=16","")</f>
      </c>
    </row>
  </sheetData>
  <mergeCells>
    <mergeCell ref="A1:Q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.90625" customWidth="true" bestFit="true"/>
    <col min="2" max="2" width="3.70703125" customWidth="true" bestFit="true"/>
    <col min="3" max="3" width="3.76953125" customWidth="true" bestFit="true"/>
    <col min="4" max="4" width="3.76953125" customWidth="true" bestFit="true"/>
    <col min="5" max="5" width="4.8125" customWidth="true" bestFit="true"/>
    <col min="6" max="6" width="8.6171875" customWidth="true" bestFit="true"/>
    <col min="7" max="7" width="8.9765625" customWidth="true" bestFit="true"/>
    <col min="8" max="8" width="14.91796875" customWidth="true" bestFit="true"/>
    <col min="9" max="9" width="8.203125" customWidth="true" bestFit="true"/>
    <col min="10" max="10" width="8.6171875" customWidth="true" bestFit="true"/>
    <col min="11" max="11" width="17.125" customWidth="true" bestFit="true"/>
    <col min="12" max="12" width="14.91796875" customWidth="true" bestFit="true"/>
    <col min="13" max="13" width="16.0078125" customWidth="true" bestFit="true"/>
  </cols>
  <sheetData>
    <row r="1">
      <c r="A1" t="s" s="62">
        <v>1846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</row>
    <row r="2">
      <c r="A2" t="s" s="63">
        <v>1</v>
      </c>
      <c r="B2" t="s" s="64">
        <v>1</v>
      </c>
      <c r="C2" t="s" s="65">
        <v>1</v>
      </c>
      <c r="D2" t="s" s="66">
        <v>1</v>
      </c>
      <c r="E2" t="s" s="67">
        <v>1</v>
      </c>
      <c r="F2" t="s" s="68">
        <v>4</v>
      </c>
      <c r="G2" t="s" s="69">
        <v>4</v>
      </c>
      <c r="H2" t="s" s="70">
        <v>1847</v>
      </c>
      <c r="I2" t="s" s="71">
        <v>1847</v>
      </c>
      <c r="J2" t="s" s="72">
        <v>1848</v>
      </c>
      <c r="K2" t="s" s="73">
        <v>1848</v>
      </c>
      <c r="L2" t="s" s="74">
        <v>1849</v>
      </c>
      <c r="M2" t="s" s="75">
        <v>1849</v>
      </c>
    </row>
    <row r="3">
      <c r="A3" t="s" s="76">
        <v>5</v>
      </c>
      <c r="B3" t="s" s="77">
        <v>6</v>
      </c>
      <c r="C3" t="s" s="78">
        <v>203</v>
      </c>
      <c r="D3" t="s" s="79">
        <v>7</v>
      </c>
      <c r="E3" t="s" s="80">
        <v>1850</v>
      </c>
      <c r="F3" t="s" s="81">
        <v>1851</v>
      </c>
      <c r="G3" t="s" s="82">
        <v>1852</v>
      </c>
      <c r="H3" t="s" s="83">
        <v>1851</v>
      </c>
      <c r="I3" t="s" s="84">
        <v>1852</v>
      </c>
      <c r="J3" t="s" s="85">
        <v>1851</v>
      </c>
      <c r="K3" t="s" s="86">
        <v>1852</v>
      </c>
      <c r="L3" t="s" s="87">
        <v>1851</v>
      </c>
      <c r="M3" t="s" s="88">
        <v>1852</v>
      </c>
    </row>
    <row r="4">
      <c r="A4" t="s">
        <v>15</v>
      </c>
      <c r="B4" t="s">
        <v>16</v>
      </c>
      <c r="C4" t="s">
        <v>23</v>
      </c>
      <c r="D4" t="s">
        <v>17</v>
      </c>
      <c r="E4" t="s">
        <v>17</v>
      </c>
      <c r="F4" t="s" s="1">
        <f>HYPERLINK("http://141.218.60.56/~jnz1568/discussion.php?&amp;Z=8&amp;N=6&amp;Sheet=2&amp;Row=3&amp;Col=5","3.4")</f>
      </c>
      <c r="G4" t="s" s="1">
        <f>HYPERLINK("http://141.218.60.56/~jnz1568/discussion.php?&amp;Z=8&amp;N=6&amp;Sheet=2&amp;Row=3&amp;Col=6","0.501")</f>
      </c>
      <c r="H4" t="s" s="1">
        <f>HYPERLINK("http://141.218.60.56/~jnz1568/discussion.php?&amp;Z=8&amp;N=6&amp;Sheet=2&amp;Row=3&amp;Col=7","2")</f>
      </c>
      <c r="I4" t="s" s="1">
        <f>HYPERLINK("http://141.218.60.56/~jnz1568/discussion.php?&amp;Z=8&amp;N=6&amp;Sheet=2&amp;Row=3&amp;Col=8","0.5814")</f>
      </c>
      <c r="J4" t="s" s="1">
        <f>HYPERLINK("http://141.218.60.56/~jnz1568/discussion.php?&amp;Z=8&amp;N=6&amp;Sheet=2&amp;Row=3&amp;Col=9","3")</f>
      </c>
      <c r="K4" t="s" s="1">
        <f>HYPERLINK("http://141.218.60.56/~jnz1568/discussion.php?&amp;Z=8&amp;N=6&amp;Sheet=2&amp;Row=3&amp;Col=10","0.4975")</f>
      </c>
      <c r="L4" t="s" s="1">
        <f>HYPERLINK("http://141.218.60.56/~jnz1568/discussion.php?&amp;Z=8&amp;N=6&amp;Sheet=2&amp;Row=3&amp;Col=11","3.69897000434")</f>
      </c>
      <c r="M4" t="s" s="1">
        <f>HYPERLINK("http://141.218.60.56/~jnz1568/discussion.php?&amp;Z=8&amp;N=6&amp;Sheet=2&amp;Row=3&amp;Col=12","0.40377452992")</f>
      </c>
    </row>
    <row r="5">
      <c r="A5" t="s">
        <v>1</v>
      </c>
      <c r="B5" t="s">
        <v>1</v>
      </c>
      <c r="C5" t="s">
        <v>1</v>
      </c>
      <c r="D5" t="s">
        <v>1</v>
      </c>
      <c r="E5" t="s">
        <v>23</v>
      </c>
      <c r="F5" t="s" s="1">
        <f>HYPERLINK("http://141.218.60.56/~jnz1568/discussion.php?&amp;Z=8&amp;N=6&amp;Sheet=2&amp;Row=4&amp;Col=5","3.7")</f>
      </c>
      <c r="G5" t="s" s="1">
        <f>HYPERLINK("http://141.218.60.56/~jnz1568/discussion.php?&amp;Z=8&amp;N=6&amp;Sheet=2&amp;Row=4&amp;Col=6","0.508")</f>
      </c>
      <c r="H5" t="s" s="1">
        <f>HYPERLINK("http://141.218.60.56/~jnz1568/discussion.php?&amp;Z=8&amp;N=6&amp;Sheet=2&amp;Row=4&amp;Col=7","2.69897000434")</f>
      </c>
      <c r="I5" t="s" s="1">
        <f>HYPERLINK("http://141.218.60.56/~jnz1568/discussion.php?&amp;Z=8&amp;N=6&amp;Sheet=2&amp;Row=4&amp;Col=8","0.5005")</f>
      </c>
      <c r="J5" t="s" s="1">
        <f>HYPERLINK("http://141.218.60.56/~jnz1568/discussion.php?&amp;Z=8&amp;N=6&amp;Sheet=2&amp;Row=4&amp;Col=9","3.2")</f>
      </c>
      <c r="K5" t="s" s="1">
        <f>HYPERLINK("http://141.218.60.56/~jnz1568/discussion.php?&amp;Z=8&amp;N=6&amp;Sheet=2&amp;Row=4&amp;Col=10","0.5066")</f>
      </c>
      <c r="L5" t="s" s="1">
        <f>HYPERLINK("http://141.218.60.56/~jnz1568/discussion.php?&amp;Z=8&amp;N=6&amp;Sheet=2&amp;Row=4&amp;Col=11","3.77815125038")</f>
      </c>
      <c r="M5" t="s" s="1">
        <f>HYPERLINK("http://141.218.60.56/~jnz1568/discussion.php?&amp;Z=8&amp;N=6&amp;Sheet=2&amp;Row=4&amp;Col=12","0.41117328557")</f>
      </c>
    </row>
    <row r="6">
      <c r="A6" t="s">
        <v>1</v>
      </c>
      <c r="B6" t="s">
        <v>1</v>
      </c>
      <c r="C6" t="s">
        <v>1</v>
      </c>
      <c r="D6" t="s">
        <v>1</v>
      </c>
      <c r="E6" t="s">
        <v>20</v>
      </c>
      <c r="F6" t="s" s="1">
        <f>HYPERLINK("http://141.218.60.56/~jnz1568/discussion.php?&amp;Z=8&amp;N=6&amp;Sheet=2&amp;Row=5&amp;Col=5","3.88")</f>
      </c>
      <c r="G6" t="s" s="1">
        <f>HYPERLINK("http://141.218.60.56/~jnz1568/discussion.php?&amp;Z=8&amp;N=6&amp;Sheet=2&amp;Row=5&amp;Col=6","0.516")</f>
      </c>
      <c r="H6" t="s" s="1">
        <f>HYPERLINK("http://141.218.60.56/~jnz1568/discussion.php?&amp;Z=8&amp;N=6&amp;Sheet=2&amp;Row=5&amp;Col=7","3")</f>
      </c>
      <c r="I6" t="s" s="1">
        <f>HYPERLINK("http://141.218.60.56/~jnz1568/discussion.php?&amp;Z=8&amp;N=6&amp;Sheet=2&amp;Row=5&amp;Col=8","0.4866")</f>
      </c>
      <c r="J6" t="s" s="1">
        <f>HYPERLINK("http://141.218.60.56/~jnz1568/discussion.php?&amp;Z=8&amp;N=6&amp;Sheet=2&amp;Row=5&amp;Col=9","3.4")</f>
      </c>
      <c r="K6" t="s" s="1">
        <f>HYPERLINK("http://141.218.60.56/~jnz1568/discussion.php?&amp;Z=8&amp;N=6&amp;Sheet=2&amp;Row=5&amp;Col=10","0.5115")</f>
      </c>
      <c r="L6" t="s" s="1">
        <f>HYPERLINK("http://141.218.60.56/~jnz1568/discussion.php?&amp;Z=8&amp;N=6&amp;Sheet=2&amp;Row=5&amp;Col=11","3.84509804001")</f>
      </c>
      <c r="M6" t="s" s="1">
        <f>HYPERLINK("http://141.218.60.56/~jnz1568/discussion.php?&amp;Z=8&amp;N=6&amp;Sheet=2&amp;Row=5&amp;Col=12","0.418658990285")</f>
      </c>
    </row>
    <row r="7">
      <c r="A7" t="s">
        <v>1</v>
      </c>
      <c r="B7" t="s">
        <v>1</v>
      </c>
      <c r="C7" t="s">
        <v>1</v>
      </c>
      <c r="D7" t="s">
        <v>1</v>
      </c>
      <c r="E7" t="s">
        <v>28</v>
      </c>
      <c r="F7" t="s" s="1">
        <f>HYPERLINK("http://141.218.60.56/~jnz1568/discussion.php?&amp;Z=8&amp;N=6&amp;Sheet=2&amp;Row=6&amp;Col=5","4")</f>
      </c>
      <c r="G7" t="s" s="1">
        <f>HYPERLINK("http://141.218.60.56/~jnz1568/discussion.php?&amp;Z=8&amp;N=6&amp;Sheet=2&amp;Row=6&amp;Col=6","0.522")</f>
      </c>
      <c r="H7" t="s" s="1">
        <f>HYPERLINK("http://141.218.60.56/~jnz1568/discussion.php?&amp;Z=8&amp;N=6&amp;Sheet=2&amp;Row=6&amp;Col=7","3.69897000434")</f>
      </c>
      <c r="I7" t="s" s="1">
        <f>HYPERLINK("http://141.218.60.56/~jnz1568/discussion.php?&amp;Z=8&amp;N=6&amp;Sheet=2&amp;Row=6&amp;Col=8","0.524")</f>
      </c>
      <c r="J7" t="s" s="1">
        <f>HYPERLINK("http://141.218.60.56/~jnz1568/discussion.php?&amp;Z=8&amp;N=6&amp;Sheet=2&amp;Row=6&amp;Col=9","3.6")</f>
      </c>
      <c r="K7" t="s" s="1">
        <f>HYPERLINK("http://141.218.60.56/~jnz1568/discussion.php?&amp;Z=8&amp;N=6&amp;Sheet=2&amp;Row=6&amp;Col=10","0.518")</f>
      </c>
      <c r="L7" t="s" s="1">
        <f>HYPERLINK("http://141.218.60.56/~jnz1568/discussion.php?&amp;Z=8&amp;N=6&amp;Sheet=2&amp;Row=6&amp;Col=11","3.90308998699")</f>
      </c>
      <c r="M7" t="s" s="1">
        <f>HYPERLINK("http://141.218.60.56/~jnz1568/discussion.php?&amp;Z=8&amp;N=6&amp;Sheet=2&amp;Row=6&amp;Col=12","0.425739368525")</f>
      </c>
    </row>
    <row r="8">
      <c r="A8" t="s">
        <v>1</v>
      </c>
      <c r="B8" t="s">
        <v>1</v>
      </c>
      <c r="C8" t="s">
        <v>1</v>
      </c>
      <c r="D8" t="s">
        <v>1</v>
      </c>
      <c r="E8" t="s">
        <v>33</v>
      </c>
      <c r="F8" t="s" s="1">
        <f>HYPERLINK("http://141.218.60.56/~jnz1568/discussion.php?&amp;Z=8&amp;N=6&amp;Sheet=2&amp;Row=7&amp;Col=5","4.1")</f>
      </c>
      <c r="G8" t="s" s="1">
        <f>HYPERLINK("http://141.218.60.56/~jnz1568/discussion.php?&amp;Z=8&amp;N=6&amp;Sheet=2&amp;Row=7&amp;Col=6","0.527")</f>
      </c>
      <c r="H8" t="s" s="1">
        <f>HYPERLINK("http://141.218.60.56/~jnz1568/discussion.php?&amp;Z=8&amp;N=6&amp;Sheet=2&amp;Row=7&amp;Col=7","4")</f>
      </c>
      <c r="I8" t="s" s="1">
        <f>HYPERLINK("http://141.218.60.56/~jnz1568/discussion.php?&amp;Z=8&amp;N=6&amp;Sheet=2&amp;Row=7&amp;Col=8","0.5648")</f>
      </c>
      <c r="J8" t="s" s="1">
        <f>HYPERLINK("http://141.218.60.56/~jnz1568/discussion.php?&amp;Z=8&amp;N=6&amp;Sheet=2&amp;Row=7&amp;Col=9","3.8")</f>
      </c>
      <c r="K8" t="s" s="1">
        <f>HYPERLINK("http://141.218.60.56/~jnz1568/discussion.php?&amp;Z=8&amp;N=6&amp;Sheet=2&amp;Row=7&amp;Col=10","0.5296")</f>
      </c>
      <c r="L8" t="s" s="1">
        <f>HYPERLINK("http://141.218.60.56/~jnz1568/discussion.php?&amp;Z=8&amp;N=6&amp;Sheet=2&amp;Row=7&amp;Col=11","3.95424250944")</f>
      </c>
      <c r="M8" t="s" s="1">
        <f>HYPERLINK("http://141.218.60.56/~jnz1568/discussion.php?&amp;Z=8&amp;N=6&amp;Sheet=2&amp;Row=7&amp;Col=12","0.432162058688")</f>
      </c>
    </row>
    <row r="9">
      <c r="A9" t="s">
        <v>1</v>
      </c>
      <c r="B9" t="s">
        <v>1</v>
      </c>
      <c r="C9" t="s">
        <v>1</v>
      </c>
      <c r="D9" t="s">
        <v>1</v>
      </c>
      <c r="E9" t="s">
        <v>16</v>
      </c>
      <c r="F9" t="s" s="1">
        <f>HYPERLINK("http://141.218.60.56/~jnz1568/discussion.php?&amp;Z=8&amp;N=6&amp;Sheet=2&amp;Row=8&amp;Col=5","4.18")</f>
      </c>
      <c r="G9" t="s" s="1">
        <f>HYPERLINK("http://141.218.60.56/~jnz1568/discussion.php?&amp;Z=8&amp;N=6&amp;Sheet=2&amp;Row=8&amp;Col=6","0.529")</f>
      </c>
      <c r="H9" t="s" s="1">
        <f>HYPERLINK("http://141.218.60.56/~jnz1568/discussion.php?&amp;Z=8&amp;N=6&amp;Sheet=2&amp;Row=8&amp;Col=7","4.30102999566")</f>
      </c>
      <c r="I9" t="s" s="1">
        <f>HYPERLINK("http://141.218.60.56/~jnz1568/discussion.php?&amp;Z=8&amp;N=6&amp;Sheet=2&amp;Row=8&amp;Col=8","0.6007")</f>
      </c>
      <c r="J9" t="s" s="1">
        <f>HYPERLINK("http://141.218.60.56/~jnz1568/discussion.php?&amp;Z=8&amp;N=6&amp;Sheet=2&amp;Row=8&amp;Col=9","4")</f>
      </c>
      <c r="K9" t="s" s="1">
        <f>HYPERLINK("http://141.218.60.56/~jnz1568/discussion.php?&amp;Z=8&amp;N=6&amp;Sheet=2&amp;Row=8&amp;Col=10","0.5454")</f>
      </c>
      <c r="L9" t="s" s="1">
        <f>HYPERLINK("http://141.218.60.56/~jnz1568/discussion.php?&amp;Z=8&amp;N=6&amp;Sheet=2&amp;Row=8&amp;Col=11","4")</f>
      </c>
      <c r="M9" t="s" s="1">
        <f>HYPERLINK("http://141.218.60.56/~jnz1568/discussion.php?&amp;Z=8&amp;N=6&amp;Sheet=2&amp;Row=8&amp;Col=12","0.43783099528")</f>
      </c>
    </row>
    <row r="10">
      <c r="A10" t="s">
        <v>1</v>
      </c>
      <c r="B10" t="s">
        <v>1</v>
      </c>
      <c r="C10" t="s">
        <v>1</v>
      </c>
      <c r="D10" t="s">
        <v>1</v>
      </c>
      <c r="E10" t="s">
        <v>43</v>
      </c>
      <c r="F10" t="s" s="1">
        <f>HYPERLINK("http://141.218.60.56/~jnz1568/discussion.php?&amp;Z=8&amp;N=6&amp;Sheet=2&amp;Row=9&amp;Col=5","4.24")</f>
      </c>
      <c r="G10" t="s" s="1">
        <f>HYPERLINK("http://141.218.60.56/~jnz1568/discussion.php?&amp;Z=8&amp;N=6&amp;Sheet=2&amp;Row=9&amp;Col=6","0.531")</f>
      </c>
      <c r="H10" t="s" s="1">
        <f>HYPERLINK("http://141.218.60.56/~jnz1568/discussion.php?&amp;Z=8&amp;N=6&amp;Sheet=2&amp;Row=9&amp;Col=7","4.47712125472")</f>
      </c>
      <c r="I10" t="s" s="1">
        <f>HYPERLINK("http://141.218.60.56/~jnz1568/discussion.php?&amp;Z=8&amp;N=6&amp;Sheet=2&amp;Row=9&amp;Col=8","0.6116")</f>
      </c>
      <c r="J10" t="s" s="1">
        <f>HYPERLINK("http://141.218.60.56/~jnz1568/discussion.php?&amp;Z=8&amp;N=6&amp;Sheet=2&amp;Row=9&amp;Col=9","4.2")</f>
      </c>
      <c r="K10" t="s" s="1">
        <f>HYPERLINK("http://141.218.60.56/~jnz1568/discussion.php?&amp;Z=8&amp;N=6&amp;Sheet=2&amp;Row=9&amp;Col=10","0.559")</f>
      </c>
      <c r="L10" t="s" s="1">
        <f>HYPERLINK("http://141.218.60.56/~jnz1568/discussion.php?&amp;Z=8&amp;N=6&amp;Sheet=2&amp;Row=9&amp;Col=11","4.04139268516")</f>
      </c>
      <c r="M10" t="s" s="1">
        <f>HYPERLINK("http://141.218.60.56/~jnz1568/discussion.php?&amp;Z=8&amp;N=6&amp;Sheet=2&amp;Row=9&amp;Col=12","0.44274546324")</f>
      </c>
    </row>
    <row r="11">
      <c r="A11" t="s">
        <v>1</v>
      </c>
      <c r="B11" t="s">
        <v>1</v>
      </c>
      <c r="C11" t="s">
        <v>1</v>
      </c>
      <c r="D11" t="s">
        <v>1</v>
      </c>
      <c r="E11" t="s">
        <v>15</v>
      </c>
      <c r="F11" t="s" s="1">
        <f>HYPERLINK("http://141.218.60.56/~jnz1568/discussion.php?&amp;Z=8&amp;N=6&amp;Sheet=2&amp;Row=10&amp;Col=5","4.3")</f>
      </c>
      <c r="G11" t="s" s="1">
        <f>HYPERLINK("http://141.218.60.56/~jnz1568/discussion.php?&amp;Z=8&amp;N=6&amp;Sheet=2&amp;Row=10&amp;Col=6","0.532")</f>
      </c>
      <c r="H11" t="s" s="1">
        <f>HYPERLINK("http://141.218.60.56/~jnz1568/discussion.php?&amp;Z=8&amp;N=6&amp;Sheet=2&amp;Row=10&amp;Col=7","")</f>
      </c>
      <c r="I11" t="s" s="1">
        <f>HYPERLINK("http://141.218.60.56/~jnz1568/discussion.php?&amp;Z=8&amp;N=6&amp;Sheet=2&amp;Row=10&amp;Col=8","")</f>
      </c>
      <c r="J11" t="s" s="1">
        <f>HYPERLINK("http://141.218.60.56/~jnz1568/discussion.php?&amp;Z=8&amp;N=6&amp;Sheet=2&amp;Row=10&amp;Col=9","4.4")</f>
      </c>
      <c r="K11" t="s" s="1">
        <f>HYPERLINK("http://141.218.60.56/~jnz1568/discussion.php?&amp;Z=8&amp;N=6&amp;Sheet=2&amp;Row=10&amp;Col=10","0.5678")</f>
      </c>
      <c r="L11" t="s" s="1">
        <f>HYPERLINK("http://141.218.60.56/~jnz1568/discussion.php?&amp;Z=8&amp;N=6&amp;Sheet=2&amp;Row=10&amp;Col=11","4.07918124605")</f>
      </c>
      <c r="M11" t="s" s="1">
        <f>HYPERLINK("http://141.218.60.56/~jnz1568/discussion.php?&amp;Z=8&amp;N=6&amp;Sheet=2&amp;Row=10&amp;Col=12","0.44695776055")</f>
      </c>
    </row>
    <row r="12">
      <c r="A12" t="s">
        <v>1</v>
      </c>
      <c r="B12" t="s">
        <v>1</v>
      </c>
      <c r="C12" t="s">
        <v>1</v>
      </c>
      <c r="D12" t="s">
        <v>1</v>
      </c>
      <c r="E12" t="s">
        <v>50</v>
      </c>
      <c r="F12" t="s" s="1">
        <f>HYPERLINK("http://141.218.60.56/~jnz1568/discussion.php?&amp;Z=8&amp;N=6&amp;Sheet=2&amp;Row=11&amp;Col=5","4.4")</f>
      </c>
      <c r="G12" t="s" s="1">
        <f>HYPERLINK("http://141.218.60.56/~jnz1568/discussion.php?&amp;Z=8&amp;N=6&amp;Sheet=2&amp;Row=11&amp;Col=6","0.535")</f>
      </c>
      <c r="H12" t="s" s="1">
        <f>HYPERLINK("http://141.218.60.56/~jnz1568/discussion.php?&amp;Z=8&amp;N=6&amp;Sheet=2&amp;Row=11&amp;Col=7","")</f>
      </c>
      <c r="I12" t="s" s="1">
        <f>HYPERLINK("http://141.218.60.56/~jnz1568/discussion.php?&amp;Z=8&amp;N=6&amp;Sheet=2&amp;Row=11&amp;Col=8","")</f>
      </c>
      <c r="J12" t="s" s="1">
        <f>HYPERLINK("http://141.218.60.56/~jnz1568/discussion.php?&amp;Z=8&amp;N=6&amp;Sheet=2&amp;Row=11&amp;Col=9","4.6")</f>
      </c>
      <c r="K12" t="s" s="1">
        <f>HYPERLINK("http://141.218.60.56/~jnz1568/discussion.php?&amp;Z=8&amp;N=6&amp;Sheet=2&amp;Row=11&amp;Col=10","0.5788")</f>
      </c>
      <c r="L12" t="s" s="1">
        <f>HYPERLINK("http://141.218.60.56/~jnz1568/discussion.php?&amp;Z=8&amp;N=6&amp;Sheet=2&amp;Row=11&amp;Col=11","4.11394335231")</f>
      </c>
      <c r="M12" t="s" s="1">
        <f>HYPERLINK("http://141.218.60.56/~jnz1568/discussion.php?&amp;Z=8&amp;N=6&amp;Sheet=2&amp;Row=11&amp;Col=12","0.45054567744")</f>
      </c>
    </row>
    <row r="13">
      <c r="A13" t="s">
        <v>1</v>
      </c>
      <c r="B13" t="s">
        <v>1</v>
      </c>
      <c r="C13" t="s">
        <v>1</v>
      </c>
      <c r="D13" t="s">
        <v>1</v>
      </c>
      <c r="E13" t="s">
        <v>53</v>
      </c>
      <c r="F13" t="s" s="1">
        <f>HYPERLINK("http://141.218.60.56/~jnz1568/discussion.php?&amp;Z=8&amp;N=6&amp;Sheet=2&amp;Row=12&amp;Col=5","4.48")</f>
      </c>
      <c r="G13" t="s" s="1">
        <f>HYPERLINK("http://141.218.60.56/~jnz1568/discussion.php?&amp;Z=8&amp;N=6&amp;Sheet=2&amp;Row=12&amp;Col=6","0.538")</f>
      </c>
      <c r="H13" t="s" s="1">
        <f>HYPERLINK("http://141.218.60.56/~jnz1568/discussion.php?&amp;Z=8&amp;N=6&amp;Sheet=2&amp;Row=12&amp;Col=7","")</f>
      </c>
      <c r="I13" t="s" s="1">
        <f>HYPERLINK("http://141.218.60.56/~jnz1568/discussion.php?&amp;Z=8&amp;N=6&amp;Sheet=2&amp;Row=12&amp;Col=8","")</f>
      </c>
      <c r="J13" t="s" s="1">
        <f>HYPERLINK("http://141.218.60.56/~jnz1568/discussion.php?&amp;Z=8&amp;N=6&amp;Sheet=2&amp;Row=12&amp;Col=9","4.8")</f>
      </c>
      <c r="K13" t="s" s="1">
        <f>HYPERLINK("http://141.218.60.56/~jnz1568/discussion.php?&amp;Z=8&amp;N=6&amp;Sheet=2&amp;Row=12&amp;Col=10","0.5918")</f>
      </c>
      <c r="L13" t="s" s="1">
        <f>HYPERLINK("http://141.218.60.56/~jnz1568/discussion.php?&amp;Z=8&amp;N=6&amp;Sheet=2&amp;Row=12&amp;Col=11","4.14612803568")</f>
      </c>
      <c r="M13" t="s" s="1">
        <f>HYPERLINK("http://141.218.60.56/~jnz1568/discussion.php?&amp;Z=8&amp;N=6&amp;Sheet=2&amp;Row=12&amp;Col=12","0.45359564233")</f>
      </c>
    </row>
    <row r="14">
      <c r="A14" t="s">
        <v>1</v>
      </c>
      <c r="B14" t="s">
        <v>1</v>
      </c>
      <c r="C14" t="s">
        <v>1</v>
      </c>
      <c r="D14" t="s">
        <v>1</v>
      </c>
      <c r="E14" t="s">
        <v>58</v>
      </c>
      <c r="F14" t="s" s="1">
        <f>HYPERLINK("http://141.218.60.56/~jnz1568/discussion.php?&amp;Z=8&amp;N=6&amp;Sheet=2&amp;Row=13&amp;Col=5","4.6")</f>
      </c>
      <c r="G14" t="s" s="1">
        <f>HYPERLINK("http://141.218.60.56/~jnz1568/discussion.php?&amp;Z=8&amp;N=6&amp;Sheet=2&amp;Row=13&amp;Col=6","0.547")</f>
      </c>
      <c r="H14" t="s" s="1">
        <f>HYPERLINK("http://141.218.60.56/~jnz1568/discussion.php?&amp;Z=8&amp;N=6&amp;Sheet=2&amp;Row=13&amp;Col=7","")</f>
      </c>
      <c r="I14" t="s" s="1">
        <f>HYPERLINK("http://141.218.60.56/~jnz1568/discussion.php?&amp;Z=8&amp;N=6&amp;Sheet=2&amp;Row=13&amp;Col=8","")</f>
      </c>
      <c r="J14" t="s" s="1">
        <f>HYPERLINK("http://141.218.60.56/~jnz1568/discussion.php?&amp;Z=8&amp;N=6&amp;Sheet=2&amp;Row=13&amp;Col=9","5")</f>
      </c>
      <c r="K14" t="s" s="1">
        <f>HYPERLINK("http://141.218.60.56/~jnz1568/discussion.php?&amp;Z=8&amp;N=6&amp;Sheet=2&amp;Row=13&amp;Col=10","0.5938")</f>
      </c>
      <c r="L14" t="s" s="1">
        <f>HYPERLINK("http://141.218.60.56/~jnz1568/discussion.php?&amp;Z=8&amp;N=6&amp;Sheet=2&amp;Row=13&amp;Col=11","4.17609125906")</f>
      </c>
      <c r="M14" t="s" s="1">
        <f>HYPERLINK("http://141.218.60.56/~jnz1568/discussion.php?&amp;Z=8&amp;N=6&amp;Sheet=2&amp;Row=13&amp;Col=12","0.45619300606")</f>
      </c>
    </row>
    <row r="15">
      <c r="A15" t="s">
        <v>1</v>
      </c>
      <c r="B15" t="s">
        <v>1</v>
      </c>
      <c r="C15" t="s">
        <v>1</v>
      </c>
      <c r="D15" t="s">
        <v>1</v>
      </c>
      <c r="E15" t="s">
        <v>61</v>
      </c>
      <c r="F15" t="s" s="1">
        <f>HYPERLINK("http://141.218.60.56/~jnz1568/discussion.php?&amp;Z=8&amp;N=6&amp;Sheet=2&amp;Row=14&amp;Col=5","4.7")</f>
      </c>
      <c r="G15" t="s" s="1">
        <f>HYPERLINK("http://141.218.60.56/~jnz1568/discussion.php?&amp;Z=8&amp;N=6&amp;Sheet=2&amp;Row=14&amp;Col=6","0.558")</f>
      </c>
      <c r="H15" t="s" s="1">
        <f>HYPERLINK("http://141.218.60.56/~jnz1568/discussion.php?&amp;Z=8&amp;N=6&amp;Sheet=2&amp;Row=14&amp;Col=7","")</f>
      </c>
      <c r="I15" t="s" s="1">
        <f>HYPERLINK("http://141.218.60.56/~jnz1568/discussion.php?&amp;Z=8&amp;N=6&amp;Sheet=2&amp;Row=14&amp;Col=8","")</f>
      </c>
      <c r="J15" t="s" s="1">
        <f>HYPERLINK("http://141.218.60.56/~jnz1568/discussion.php?&amp;Z=8&amp;N=6&amp;Sheet=2&amp;Row=14&amp;Col=9","")</f>
      </c>
      <c r="K15" t="s" s="1">
        <f>HYPERLINK("http://141.218.60.56/~jnz1568/discussion.php?&amp;Z=8&amp;N=6&amp;Sheet=2&amp;Row=14&amp;Col=10","")</f>
      </c>
      <c r="L15" t="s" s="1">
        <f>HYPERLINK("http://141.218.60.56/~jnz1568/discussion.php?&amp;Z=8&amp;N=6&amp;Sheet=2&amp;Row=14&amp;Col=11","4.20411998266")</f>
      </c>
      <c r="M15" t="s" s="1">
        <f>HYPERLINK("http://141.218.60.56/~jnz1568/discussion.php?&amp;Z=8&amp;N=6&amp;Sheet=2&amp;Row=14&amp;Col=12","0.45841687251")</f>
      </c>
    </row>
    <row r="16">
      <c r="A16" t="s">
        <v>1</v>
      </c>
      <c r="B16" t="s">
        <v>1</v>
      </c>
      <c r="C16" t="s">
        <v>1</v>
      </c>
      <c r="D16" t="s">
        <v>1</v>
      </c>
      <c r="E16" t="s">
        <v>64</v>
      </c>
      <c r="F16" t="s" s="1">
        <f>HYPERLINK("http://141.218.60.56/~jnz1568/discussion.php?&amp;Z=8&amp;N=6&amp;Sheet=2&amp;Row=15&amp;Col=5","4.78")</f>
      </c>
      <c r="G16" t="s" s="1">
        <f>HYPERLINK("http://141.218.60.56/~jnz1568/discussion.php?&amp;Z=8&amp;N=6&amp;Sheet=2&amp;Row=15&amp;Col=6","0.567")</f>
      </c>
      <c r="H16" t="s" s="1">
        <f>HYPERLINK("http://141.218.60.56/~jnz1568/discussion.php?&amp;Z=8&amp;N=6&amp;Sheet=2&amp;Row=15&amp;Col=7","")</f>
      </c>
      <c r="I16" t="s" s="1">
        <f>HYPERLINK("http://141.218.60.56/~jnz1568/discussion.php?&amp;Z=8&amp;N=6&amp;Sheet=2&amp;Row=15&amp;Col=8","")</f>
      </c>
      <c r="J16" t="s" s="1">
        <f>HYPERLINK("http://141.218.60.56/~jnz1568/discussion.php?&amp;Z=8&amp;N=6&amp;Sheet=2&amp;Row=15&amp;Col=9","")</f>
      </c>
      <c r="K16" t="s" s="1">
        <f>HYPERLINK("http://141.218.60.56/~jnz1568/discussion.php?&amp;Z=8&amp;N=6&amp;Sheet=2&amp;Row=15&amp;Col=10","")</f>
      </c>
      <c r="L16" t="s" s="1">
        <f>HYPERLINK("http://141.218.60.56/~jnz1568/discussion.php?&amp;Z=8&amp;N=6&amp;Sheet=2&amp;Row=15&amp;Col=11","4.23044892138")</f>
      </c>
      <c r="M16" t="s" s="1">
        <f>HYPERLINK("http://141.218.60.56/~jnz1568/discussion.php?&amp;Z=8&amp;N=6&amp;Sheet=2&amp;Row=15&amp;Col=12","0.460337717883")</f>
      </c>
    </row>
    <row r="17">
      <c r="A17" t="s">
        <v>1</v>
      </c>
      <c r="B17" t="s">
        <v>1</v>
      </c>
      <c r="C17" t="s">
        <v>1</v>
      </c>
      <c r="D17" t="s">
        <v>1</v>
      </c>
      <c r="E17" t="s">
        <v>69</v>
      </c>
      <c r="F17" t="s" s="1">
        <f>HYPERLINK("http://141.218.60.56/~jnz1568/discussion.php?&amp;Z=8&amp;N=6&amp;Sheet=2&amp;Row=16&amp;Col=5","4.9")</f>
      </c>
      <c r="G17" t="s" s="1">
        <f>HYPERLINK("http://141.218.60.56/~jnz1568/discussion.php?&amp;Z=8&amp;N=6&amp;Sheet=2&amp;Row=16&amp;Col=6","0.58")</f>
      </c>
      <c r="H17" t="s" s="1">
        <f>HYPERLINK("http://141.218.60.56/~jnz1568/discussion.php?&amp;Z=8&amp;N=6&amp;Sheet=2&amp;Row=16&amp;Col=7","")</f>
      </c>
      <c r="I17" t="s" s="1">
        <f>HYPERLINK("http://141.218.60.56/~jnz1568/discussion.php?&amp;Z=8&amp;N=6&amp;Sheet=2&amp;Row=16&amp;Col=8","")</f>
      </c>
      <c r="J17" t="s" s="1">
        <f>HYPERLINK("http://141.218.60.56/~jnz1568/discussion.php?&amp;Z=8&amp;N=6&amp;Sheet=2&amp;Row=16&amp;Col=9","")</f>
      </c>
      <c r="K17" t="s" s="1">
        <f>HYPERLINK("http://141.218.60.56/~jnz1568/discussion.php?&amp;Z=8&amp;N=6&amp;Sheet=2&amp;Row=16&amp;Col=10","")</f>
      </c>
      <c r="L17" t="s" s="1">
        <f>HYPERLINK("http://141.218.60.56/~jnz1568/discussion.php?&amp;Z=8&amp;N=6&amp;Sheet=2&amp;Row=16&amp;Col=11","4.2552725051")</f>
      </c>
      <c r="M17" t="s" s="1">
        <f>HYPERLINK("http://141.218.60.56/~jnz1568/discussion.php?&amp;Z=8&amp;N=6&amp;Sheet=2&amp;Row=16&amp;Col=12","0.462016658791")</f>
      </c>
    </row>
    <row r="18">
      <c r="A18" t="s">
        <v>1</v>
      </c>
      <c r="B18" t="s">
        <v>1</v>
      </c>
      <c r="C18" t="s">
        <v>1</v>
      </c>
      <c r="D18" t="s">
        <v>1</v>
      </c>
      <c r="E18" t="s">
        <v>74</v>
      </c>
      <c r="F18" t="s" s="1">
        <f>HYPERLINK("http://141.218.60.56/~jnz1568/discussion.php?&amp;Z=8&amp;N=6&amp;Sheet=2&amp;Row=17&amp;Col=5","5")</f>
      </c>
      <c r="G18" t="s" s="1">
        <f>HYPERLINK("http://141.218.60.56/~jnz1568/discussion.php?&amp;Z=8&amp;N=6&amp;Sheet=2&amp;Row=17&amp;Col=6","0.586")</f>
      </c>
      <c r="H18" t="s" s="1">
        <f>HYPERLINK("http://141.218.60.56/~jnz1568/discussion.php?&amp;Z=8&amp;N=6&amp;Sheet=2&amp;Row=17&amp;Col=7","")</f>
      </c>
      <c r="I18" t="s" s="1">
        <f>HYPERLINK("http://141.218.60.56/~jnz1568/discussion.php?&amp;Z=8&amp;N=6&amp;Sheet=2&amp;Row=17&amp;Col=8","")</f>
      </c>
      <c r="J18" t="s" s="1">
        <f>HYPERLINK("http://141.218.60.56/~jnz1568/discussion.php?&amp;Z=8&amp;N=6&amp;Sheet=2&amp;Row=17&amp;Col=9","")</f>
      </c>
      <c r="K18" t="s" s="1">
        <f>HYPERLINK("http://141.218.60.56/~jnz1568/discussion.php?&amp;Z=8&amp;N=6&amp;Sheet=2&amp;Row=17&amp;Col=10","")</f>
      </c>
      <c r="L18" t="s" s="1">
        <f>HYPERLINK("http://141.218.60.56/~jnz1568/discussion.php?&amp;Z=8&amp;N=6&amp;Sheet=2&amp;Row=17&amp;Col=11","4.27875360095")</f>
      </c>
      <c r="M18" t="s" s="1">
        <f>HYPERLINK("http://141.218.60.56/~jnz1568/discussion.php?&amp;Z=8&amp;N=6&amp;Sheet=2&amp;Row=17&amp;Col=12","0.463505651392")</f>
      </c>
    </row>
    <row r="19">
      <c r="A19" t="s">
        <v>1</v>
      </c>
      <c r="B19" t="s">
        <v>1</v>
      </c>
      <c r="C19" t="s">
        <v>1</v>
      </c>
      <c r="D19" t="s">
        <v>1</v>
      </c>
      <c r="E19" t="s">
        <v>79</v>
      </c>
      <c r="F19" t="s" s="1">
        <f>HYPERLINK("http://141.218.60.56/~jnz1568/discussion.php?&amp;Z=8&amp;N=6&amp;Sheet=2&amp;Row=18&amp;Col=5","5.08")</f>
      </c>
      <c r="G19" t="s" s="1">
        <f>HYPERLINK("http://141.218.60.56/~jnz1568/discussion.php?&amp;Z=8&amp;N=6&amp;Sheet=2&amp;Row=18&amp;Col=6","0.585")</f>
      </c>
      <c r="H19" t="s" s="1">
        <f>HYPERLINK("http://141.218.60.56/~jnz1568/discussion.php?&amp;Z=8&amp;N=6&amp;Sheet=2&amp;Row=18&amp;Col=7","")</f>
      </c>
      <c r="I19" t="s" s="1">
        <f>HYPERLINK("http://141.218.60.56/~jnz1568/discussion.php?&amp;Z=8&amp;N=6&amp;Sheet=2&amp;Row=18&amp;Col=8","")</f>
      </c>
      <c r="J19" t="s" s="1">
        <f>HYPERLINK("http://141.218.60.56/~jnz1568/discussion.php?&amp;Z=8&amp;N=6&amp;Sheet=2&amp;Row=18&amp;Col=9","")</f>
      </c>
      <c r="K19" t="s" s="1">
        <f>HYPERLINK("http://141.218.60.56/~jnz1568/discussion.php?&amp;Z=8&amp;N=6&amp;Sheet=2&amp;Row=18&amp;Col=10","")</f>
      </c>
      <c r="L19" t="s" s="1">
        <f>HYPERLINK("http://141.218.60.56/~jnz1568/discussion.php?&amp;Z=8&amp;N=6&amp;Sheet=2&amp;Row=18&amp;Col=11","4.30102999566")</f>
      </c>
      <c r="M19" t="s" s="1">
        <f>HYPERLINK("http://141.218.60.56/~jnz1568/discussion.php?&amp;Z=8&amp;N=6&amp;Sheet=2&amp;Row=18&amp;Col=12","0.46484817864")</f>
      </c>
    </row>
    <row r="20">
      <c r="A20" t="s">
        <v>1</v>
      </c>
      <c r="B20" t="s">
        <v>1</v>
      </c>
      <c r="C20" t="s">
        <v>1</v>
      </c>
      <c r="D20" t="s">
        <v>1</v>
      </c>
      <c r="E20" t="s">
        <v>84</v>
      </c>
      <c r="F20" t="s" s="1">
        <f>HYPERLINK("http://141.218.60.56/~jnz1568/discussion.php?&amp;Z=8&amp;N=6&amp;Sheet=2&amp;Row=19&amp;Col=5","5.15")</f>
      </c>
      <c r="G20" t="s" s="1">
        <f>HYPERLINK("http://141.218.60.56/~jnz1568/discussion.php?&amp;Z=8&amp;N=6&amp;Sheet=2&amp;Row=19&amp;Col=6","0.581")</f>
      </c>
      <c r="H20" t="s" s="1">
        <f>HYPERLINK("http://141.218.60.56/~jnz1568/discussion.php?&amp;Z=8&amp;N=6&amp;Sheet=2&amp;Row=19&amp;Col=7","")</f>
      </c>
      <c r="I20" t="s" s="1">
        <f>HYPERLINK("http://141.218.60.56/~jnz1568/discussion.php?&amp;Z=8&amp;N=6&amp;Sheet=2&amp;Row=19&amp;Col=8","")</f>
      </c>
      <c r="J20" t="s" s="1">
        <f>HYPERLINK("http://141.218.60.56/~jnz1568/discussion.php?&amp;Z=8&amp;N=6&amp;Sheet=2&amp;Row=19&amp;Col=9","")</f>
      </c>
      <c r="K20" t="s" s="1">
        <f>HYPERLINK("http://141.218.60.56/~jnz1568/discussion.php?&amp;Z=8&amp;N=6&amp;Sheet=2&amp;Row=19&amp;Col=10","")</f>
      </c>
      <c r="L20" t="s" s="1">
        <f>HYPERLINK("http://141.218.60.56/~jnz1568/discussion.php?&amp;Z=8&amp;N=6&amp;Sheet=2&amp;Row=19&amp;Col=11","")</f>
      </c>
      <c r="M20" t="s" s="1">
        <f>HYPERLINK("http://141.218.60.56/~jnz1568/discussion.php?&amp;Z=8&amp;N=6&amp;Sheet=2&amp;Row=19&amp;Col=12","")</f>
      </c>
    </row>
    <row r="21">
      <c r="A21" t="s">
        <v>1</v>
      </c>
      <c r="B21" t="s">
        <v>1</v>
      </c>
      <c r="C21" t="s">
        <v>1</v>
      </c>
      <c r="D21" t="s">
        <v>1</v>
      </c>
      <c r="E21" t="s">
        <v>87</v>
      </c>
      <c r="F21" t="s" s="1">
        <f>HYPERLINK("http://141.218.60.56/~jnz1568/discussion.php?&amp;Z=8&amp;N=6&amp;Sheet=2&amp;Row=20&amp;Col=5","5.2")</f>
      </c>
      <c r="G21" t="s" s="1">
        <f>HYPERLINK("http://141.218.60.56/~jnz1568/discussion.php?&amp;Z=8&amp;N=6&amp;Sheet=2&amp;Row=20&amp;Col=6","0.575")</f>
      </c>
      <c r="H21" t="s" s="1">
        <f>HYPERLINK("http://141.218.60.56/~jnz1568/discussion.php?&amp;Z=8&amp;N=6&amp;Sheet=2&amp;Row=20&amp;Col=7","")</f>
      </c>
      <c r="I21" t="s" s="1">
        <f>HYPERLINK("http://141.218.60.56/~jnz1568/discussion.php?&amp;Z=8&amp;N=6&amp;Sheet=2&amp;Row=20&amp;Col=8","")</f>
      </c>
      <c r="J21" t="s" s="1">
        <f>HYPERLINK("http://141.218.60.56/~jnz1568/discussion.php?&amp;Z=8&amp;N=6&amp;Sheet=2&amp;Row=20&amp;Col=9","")</f>
      </c>
      <c r="K21" t="s" s="1">
        <f>HYPERLINK("http://141.218.60.56/~jnz1568/discussion.php?&amp;Z=8&amp;N=6&amp;Sheet=2&amp;Row=20&amp;Col=10","")</f>
      </c>
      <c r="L21" t="s" s="1">
        <f>HYPERLINK("http://141.218.60.56/~jnz1568/discussion.php?&amp;Z=8&amp;N=6&amp;Sheet=2&amp;Row=20&amp;Col=11","")</f>
      </c>
      <c r="M21" t="s" s="1">
        <f>HYPERLINK("http://141.218.60.56/~jnz1568/discussion.php?&amp;Z=8&amp;N=6&amp;Sheet=2&amp;Row=20&amp;Col=12","")</f>
      </c>
    </row>
    <row r="22">
      <c r="A22" t="s">
        <v>1</v>
      </c>
      <c r="B22" t="s">
        <v>1</v>
      </c>
      <c r="C22" t="s">
        <v>1</v>
      </c>
      <c r="D22" t="s">
        <v>1</v>
      </c>
      <c r="E22" t="s">
        <v>90</v>
      </c>
      <c r="F22" t="s" s="1">
        <f>HYPERLINK("http://141.218.60.56/~jnz1568/discussion.php?&amp;Z=8&amp;N=6&amp;Sheet=2&amp;Row=21&amp;Col=5","5.26")</f>
      </c>
      <c r="G22" t="s" s="1">
        <f>HYPERLINK("http://141.218.60.56/~jnz1568/discussion.php?&amp;Z=8&amp;N=6&amp;Sheet=2&amp;Row=21&amp;Col=6","0.567")</f>
      </c>
      <c r="H22" t="s" s="1">
        <f>HYPERLINK("http://141.218.60.56/~jnz1568/discussion.php?&amp;Z=8&amp;N=6&amp;Sheet=2&amp;Row=21&amp;Col=7","")</f>
      </c>
      <c r="I22" t="s" s="1">
        <f>HYPERLINK("http://141.218.60.56/~jnz1568/discussion.php?&amp;Z=8&amp;N=6&amp;Sheet=2&amp;Row=21&amp;Col=8","")</f>
      </c>
      <c r="J22" t="s" s="1">
        <f>HYPERLINK("http://141.218.60.56/~jnz1568/discussion.php?&amp;Z=8&amp;N=6&amp;Sheet=2&amp;Row=21&amp;Col=9","")</f>
      </c>
      <c r="K22" t="s" s="1">
        <f>HYPERLINK("http://141.218.60.56/~jnz1568/discussion.php?&amp;Z=8&amp;N=6&amp;Sheet=2&amp;Row=21&amp;Col=10","")</f>
      </c>
      <c r="L22" t="s" s="1">
        <f>HYPERLINK("http://141.218.60.56/~jnz1568/discussion.php?&amp;Z=8&amp;N=6&amp;Sheet=2&amp;Row=21&amp;Col=11","")</f>
      </c>
      <c r="M22" t="s" s="1">
        <f>HYPERLINK("http://141.218.60.56/~jnz1568/discussion.php?&amp;Z=8&amp;N=6&amp;Sheet=2&amp;Row=21&amp;Col=12","")</f>
      </c>
    </row>
    <row r="23">
      <c r="A23" t="s">
        <v>1</v>
      </c>
      <c r="B23" t="s">
        <v>1</v>
      </c>
      <c r="C23" t="s">
        <v>1</v>
      </c>
      <c r="D23" t="s">
        <v>1</v>
      </c>
      <c r="E23" t="s">
        <v>94</v>
      </c>
      <c r="F23" t="s" s="1">
        <f>HYPERLINK("http://141.218.60.56/~jnz1568/discussion.php?&amp;Z=8&amp;N=6&amp;Sheet=2&amp;Row=22&amp;Col=5","5.3")</f>
      </c>
      <c r="G23" t="s" s="1">
        <f>HYPERLINK("http://141.218.60.56/~jnz1568/discussion.php?&amp;Z=8&amp;N=6&amp;Sheet=2&amp;Row=22&amp;Col=6","0.558")</f>
      </c>
      <c r="H23" t="s" s="1">
        <f>HYPERLINK("http://141.218.60.56/~jnz1568/discussion.php?&amp;Z=8&amp;N=6&amp;Sheet=2&amp;Row=22&amp;Col=7","")</f>
      </c>
      <c r="I23" t="s" s="1">
        <f>HYPERLINK("http://141.218.60.56/~jnz1568/discussion.php?&amp;Z=8&amp;N=6&amp;Sheet=2&amp;Row=22&amp;Col=8","")</f>
      </c>
      <c r="J23" t="s" s="1">
        <f>HYPERLINK("http://141.218.60.56/~jnz1568/discussion.php?&amp;Z=8&amp;N=6&amp;Sheet=2&amp;Row=22&amp;Col=9","")</f>
      </c>
      <c r="K23" t="s" s="1">
        <f>HYPERLINK("http://141.218.60.56/~jnz1568/discussion.php?&amp;Z=8&amp;N=6&amp;Sheet=2&amp;Row=22&amp;Col=10","")</f>
      </c>
      <c r="L23" t="s" s="1">
        <f>HYPERLINK("http://141.218.60.56/~jnz1568/discussion.php?&amp;Z=8&amp;N=6&amp;Sheet=2&amp;Row=22&amp;Col=11","")</f>
      </c>
      <c r="M23" t="s" s="1">
        <f>HYPERLINK("http://141.218.60.56/~jnz1568/discussion.php?&amp;Z=8&amp;N=6&amp;Sheet=2&amp;Row=22&amp;Col=12","")</f>
      </c>
    </row>
    <row r="24">
      <c r="A24" t="s">
        <v>15</v>
      </c>
      <c r="B24" t="s">
        <v>16</v>
      </c>
      <c r="C24" t="s">
        <v>20</v>
      </c>
      <c r="D24" t="s">
        <v>17</v>
      </c>
      <c r="E24" t="s">
        <v>17</v>
      </c>
      <c r="F24" t="s" s="1">
        <f>HYPERLINK("http://141.218.60.56/~jnz1568/discussion.php?&amp;Z=8&amp;N=6&amp;Sheet=2&amp;Row=23&amp;Col=5","3.4")</f>
      </c>
      <c r="G24" t="s" s="1">
        <f>HYPERLINK("http://141.218.60.56/~jnz1568/discussion.php?&amp;Z=8&amp;N=6&amp;Sheet=2&amp;Row=23&amp;Col=6","0.241")</f>
      </c>
      <c r="H24" t="s" s="1">
        <f>HYPERLINK("http://141.218.60.56/~jnz1568/discussion.php?&amp;Z=8&amp;N=6&amp;Sheet=2&amp;Row=23&amp;Col=7","2")</f>
      </c>
      <c r="I24" t="s" s="1">
        <f>HYPERLINK("http://141.218.60.56/~jnz1568/discussion.php?&amp;Z=8&amp;N=6&amp;Sheet=2&amp;Row=23&amp;Col=8","0.2142")</f>
      </c>
      <c r="J24" t="s" s="1">
        <f>HYPERLINK("http://141.218.60.56/~jnz1568/discussion.php?&amp;Z=8&amp;N=6&amp;Sheet=2&amp;Row=23&amp;Col=9","3")</f>
      </c>
      <c r="K24" t="s" s="1">
        <f>HYPERLINK("http://141.218.60.56/~jnz1568/discussion.php?&amp;Z=8&amp;N=6&amp;Sheet=2&amp;Row=23&amp;Col=10","0.2455")</f>
      </c>
      <c r="L24" t="s" s="1">
        <f>HYPERLINK("http://141.218.60.56/~jnz1568/discussion.php?&amp;Z=8&amp;N=6&amp;Sheet=2&amp;Row=23&amp;Col=11","3.69897000434")</f>
      </c>
      <c r="M24" t="s" s="1">
        <f>HYPERLINK("http://141.218.60.56/~jnz1568/discussion.php?&amp;Z=8&amp;N=6&amp;Sheet=2&amp;Row=23&amp;Col=12","0.19001836121")</f>
      </c>
    </row>
    <row r="25">
      <c r="A25" t="s">
        <v>1</v>
      </c>
      <c r="B25" t="s">
        <v>1</v>
      </c>
      <c r="C25" t="s">
        <v>1</v>
      </c>
      <c r="D25" t="s">
        <v>1</v>
      </c>
      <c r="E25" t="s">
        <v>23</v>
      </c>
      <c r="F25" t="s" s="1">
        <f>HYPERLINK("http://141.218.60.56/~jnz1568/discussion.php?&amp;Z=8&amp;N=6&amp;Sheet=2&amp;Row=24&amp;Col=5","3.7")</f>
      </c>
      <c r="G25" t="s" s="1">
        <f>HYPERLINK("http://141.218.60.56/~jnz1568/discussion.php?&amp;Z=8&amp;N=6&amp;Sheet=2&amp;Row=24&amp;Col=6","0.245")</f>
      </c>
      <c r="H25" t="s" s="1">
        <f>HYPERLINK("http://141.218.60.56/~jnz1568/discussion.php?&amp;Z=8&amp;N=6&amp;Sheet=2&amp;Row=24&amp;Col=7","2.69897000434")</f>
      </c>
      <c r="I25" t="s" s="1">
        <f>HYPERLINK("http://141.218.60.56/~jnz1568/discussion.php?&amp;Z=8&amp;N=6&amp;Sheet=2&amp;Row=24&amp;Col=8","0.2153")</f>
      </c>
      <c r="J25" t="s" s="1">
        <f>HYPERLINK("http://141.218.60.56/~jnz1568/discussion.php?&amp;Z=8&amp;N=6&amp;Sheet=2&amp;Row=24&amp;Col=9","3.2")</f>
      </c>
      <c r="K25" t="s" s="1">
        <f>HYPERLINK("http://141.218.60.56/~jnz1568/discussion.php?&amp;Z=8&amp;N=6&amp;Sheet=2&amp;Row=24&amp;Col=10","0.2493")</f>
      </c>
      <c r="L25" t="s" s="1">
        <f>HYPERLINK("http://141.218.60.56/~jnz1568/discussion.php?&amp;Z=8&amp;N=6&amp;Sheet=2&amp;Row=24&amp;Col=11","3.77815125038")</f>
      </c>
      <c r="M25" t="s" s="1">
        <f>HYPERLINK("http://141.218.60.56/~jnz1568/discussion.php?&amp;Z=8&amp;N=6&amp;Sheet=2&amp;Row=24&amp;Col=12","0.19605424182")</f>
      </c>
    </row>
    <row r="26">
      <c r="A26" t="s">
        <v>1</v>
      </c>
      <c r="B26" t="s">
        <v>1</v>
      </c>
      <c r="C26" t="s">
        <v>1</v>
      </c>
      <c r="D26" t="s">
        <v>1</v>
      </c>
      <c r="E26" t="s">
        <v>20</v>
      </c>
      <c r="F26" t="s" s="1">
        <f>HYPERLINK("http://141.218.60.56/~jnz1568/discussion.php?&amp;Z=8&amp;N=6&amp;Sheet=2&amp;Row=25&amp;Col=5","3.88")</f>
      </c>
      <c r="G26" t="s" s="1">
        <f>HYPERLINK("http://141.218.60.56/~jnz1568/discussion.php?&amp;Z=8&amp;N=6&amp;Sheet=2&amp;Row=25&amp;Col=6","0.251")</f>
      </c>
      <c r="H26" t="s" s="1">
        <f>HYPERLINK("http://141.218.60.56/~jnz1568/discussion.php?&amp;Z=8&amp;N=6&amp;Sheet=2&amp;Row=25&amp;Col=7","3")</f>
      </c>
      <c r="I26" t="s" s="1">
        <f>HYPERLINK("http://141.218.60.56/~jnz1568/discussion.php?&amp;Z=8&amp;N=6&amp;Sheet=2&amp;Row=25&amp;Col=8","0.2234")</f>
      </c>
      <c r="J26" t="s" s="1">
        <f>HYPERLINK("http://141.218.60.56/~jnz1568/discussion.php?&amp;Z=8&amp;N=6&amp;Sheet=2&amp;Row=25&amp;Col=9","3.4")</f>
      </c>
      <c r="K26" t="s" s="1">
        <f>HYPERLINK("http://141.218.60.56/~jnz1568/discussion.php?&amp;Z=8&amp;N=6&amp;Sheet=2&amp;Row=25&amp;Col=10","0.2509")</f>
      </c>
      <c r="L26" t="s" s="1">
        <f>HYPERLINK("http://141.218.60.56/~jnz1568/discussion.php?&amp;Z=8&amp;N=6&amp;Sheet=2&amp;Row=25&amp;Col=11","3.84509804001")</f>
      </c>
      <c r="M26" t="s" s="1">
        <f>HYPERLINK("http://141.218.60.56/~jnz1568/discussion.php?&amp;Z=8&amp;N=6&amp;Sheet=2&amp;Row=25&amp;Col=12","0.202274794421")</f>
      </c>
    </row>
    <row r="27">
      <c r="A27" t="s">
        <v>1</v>
      </c>
      <c r="B27" t="s">
        <v>1</v>
      </c>
      <c r="C27" t="s">
        <v>1</v>
      </c>
      <c r="D27" t="s">
        <v>1</v>
      </c>
      <c r="E27" t="s">
        <v>28</v>
      </c>
      <c r="F27" t="s" s="1">
        <f>HYPERLINK("http://141.218.60.56/~jnz1568/discussion.php?&amp;Z=8&amp;N=6&amp;Sheet=2&amp;Row=26&amp;Col=5","4")</f>
      </c>
      <c r="G27" t="s" s="1">
        <f>HYPERLINK("http://141.218.60.56/~jnz1568/discussion.php?&amp;Z=8&amp;N=6&amp;Sheet=2&amp;Row=26&amp;Col=6","0.257")</f>
      </c>
      <c r="H27" t="s" s="1">
        <f>HYPERLINK("http://141.218.60.56/~jnz1568/discussion.php?&amp;Z=8&amp;N=6&amp;Sheet=2&amp;Row=26&amp;Col=7","3.69897000434")</f>
      </c>
      <c r="I27" t="s" s="1">
        <f>HYPERLINK("http://141.218.60.56/~jnz1568/discussion.php?&amp;Z=8&amp;N=6&amp;Sheet=2&amp;Row=26&amp;Col=8","0.2469")</f>
      </c>
      <c r="J27" t="s" s="1">
        <f>HYPERLINK("http://141.218.60.56/~jnz1568/discussion.php?&amp;Z=8&amp;N=6&amp;Sheet=2&amp;Row=26&amp;Col=9","3.6")</f>
      </c>
      <c r="K27" t="s" s="1">
        <f>HYPERLINK("http://141.218.60.56/~jnz1568/discussion.php?&amp;Z=8&amp;N=6&amp;Sheet=2&amp;Row=26&amp;Col=10","0.2541")</f>
      </c>
      <c r="L27" t="s" s="1">
        <f>HYPERLINK("http://141.218.60.56/~jnz1568/discussion.php?&amp;Z=8&amp;N=6&amp;Sheet=2&amp;Row=26&amp;Col=11","3.90308998699")</f>
      </c>
      <c r="M27" t="s" s="1">
        <f>HYPERLINK("http://141.218.60.56/~jnz1568/discussion.php?&amp;Z=8&amp;N=6&amp;Sheet=2&amp;Row=26&amp;Col=12","0.208354404922")</f>
      </c>
    </row>
    <row r="28">
      <c r="A28" t="s">
        <v>1</v>
      </c>
      <c r="B28" t="s">
        <v>1</v>
      </c>
      <c r="C28" t="s">
        <v>1</v>
      </c>
      <c r="D28" t="s">
        <v>1</v>
      </c>
      <c r="E28" t="s">
        <v>33</v>
      </c>
      <c r="F28" t="s" s="1">
        <f>HYPERLINK("http://141.218.60.56/~jnz1568/discussion.php?&amp;Z=8&amp;N=6&amp;Sheet=2&amp;Row=27&amp;Col=5","4.1")</f>
      </c>
      <c r="G28" t="s" s="1">
        <f>HYPERLINK("http://141.218.60.56/~jnz1568/discussion.php?&amp;Z=8&amp;N=6&amp;Sheet=2&amp;Row=27&amp;Col=6","0.263")</f>
      </c>
      <c r="H28" t="s" s="1">
        <f>HYPERLINK("http://141.218.60.56/~jnz1568/discussion.php?&amp;Z=8&amp;N=6&amp;Sheet=2&amp;Row=27&amp;Col=7","4")</f>
      </c>
      <c r="I28" t="s" s="1">
        <f>HYPERLINK("http://141.218.60.56/~jnz1568/discussion.php?&amp;Z=8&amp;N=6&amp;Sheet=2&amp;Row=27&amp;Col=8","0.2766")</f>
      </c>
      <c r="J28" t="s" s="1">
        <f>HYPERLINK("http://141.218.60.56/~jnz1568/discussion.php?&amp;Z=8&amp;N=6&amp;Sheet=2&amp;Row=27&amp;Col=9","3.8")</f>
      </c>
      <c r="K28" t="s" s="1">
        <f>HYPERLINK("http://141.218.60.56/~jnz1568/discussion.php?&amp;Z=8&amp;N=6&amp;Sheet=2&amp;Row=27&amp;Col=10","0.2609")</f>
      </c>
      <c r="L28" t="s" s="1">
        <f>HYPERLINK("http://141.218.60.56/~jnz1568/discussion.php?&amp;Z=8&amp;N=6&amp;Sheet=2&amp;Row=27&amp;Col=11","3.95424250944")</f>
      </c>
      <c r="M28" t="s" s="1">
        <f>HYPERLINK("http://141.218.60.56/~jnz1568/discussion.php?&amp;Z=8&amp;N=6&amp;Sheet=2&amp;Row=27&amp;Col=12","0.214106280102")</f>
      </c>
    </row>
    <row r="29">
      <c r="A29" t="s">
        <v>1</v>
      </c>
      <c r="B29" t="s">
        <v>1</v>
      </c>
      <c r="C29" t="s">
        <v>1</v>
      </c>
      <c r="D29" t="s">
        <v>1</v>
      </c>
      <c r="E29" t="s">
        <v>16</v>
      </c>
      <c r="F29" t="s" s="1">
        <f>HYPERLINK("http://141.218.60.56/~jnz1568/discussion.php?&amp;Z=8&amp;N=6&amp;Sheet=2&amp;Row=28&amp;Col=5","4.18")</f>
      </c>
      <c r="G29" t="s" s="1">
        <f>HYPERLINK("http://141.218.60.56/~jnz1568/discussion.php?&amp;Z=8&amp;N=6&amp;Sheet=2&amp;Row=28&amp;Col=6","0.267")</f>
      </c>
      <c r="H29" t="s" s="1">
        <f>HYPERLINK("http://141.218.60.56/~jnz1568/discussion.php?&amp;Z=8&amp;N=6&amp;Sheet=2&amp;Row=28&amp;Col=7","4.30102999566")</f>
      </c>
      <c r="I29" t="s" s="1">
        <f>HYPERLINK("http://141.218.60.56/~jnz1568/discussion.php?&amp;Z=8&amp;N=6&amp;Sheet=2&amp;Row=28&amp;Col=8","0.3106")</f>
      </c>
      <c r="J29" t="s" s="1">
        <f>HYPERLINK("http://141.218.60.56/~jnz1568/discussion.php?&amp;Z=8&amp;N=6&amp;Sheet=2&amp;Row=28&amp;Col=9","4")</f>
      </c>
      <c r="K29" t="s" s="1">
        <f>HYPERLINK("http://141.218.60.56/~jnz1568/discussion.php?&amp;Z=8&amp;N=6&amp;Sheet=2&amp;Row=28&amp;Col=10","0.2713")</f>
      </c>
      <c r="L29" t="s" s="1">
        <f>HYPERLINK("http://141.218.60.56/~jnz1568/discussion.php?&amp;Z=8&amp;N=6&amp;Sheet=2&amp;Row=28&amp;Col=11","4")</f>
      </c>
      <c r="M29" t="s" s="1">
        <f>HYPERLINK("http://141.218.60.56/~jnz1568/discussion.php?&amp;Z=8&amp;N=6&amp;Sheet=2&amp;Row=28&amp;Col=12","0.21944319033")</f>
      </c>
    </row>
    <row r="30">
      <c r="A30" t="s">
        <v>1</v>
      </c>
      <c r="B30" t="s">
        <v>1</v>
      </c>
      <c r="C30" t="s">
        <v>1</v>
      </c>
      <c r="D30" t="s">
        <v>1</v>
      </c>
      <c r="E30" t="s">
        <v>43</v>
      </c>
      <c r="F30" t="s" s="1">
        <f>HYPERLINK("http://141.218.60.56/~jnz1568/discussion.php?&amp;Z=8&amp;N=6&amp;Sheet=2&amp;Row=29&amp;Col=5","4.24")</f>
      </c>
      <c r="G30" t="s" s="1">
        <f>HYPERLINK("http://141.218.60.56/~jnz1568/discussion.php?&amp;Z=8&amp;N=6&amp;Sheet=2&amp;Row=29&amp;Col=6","0.271")</f>
      </c>
      <c r="H30" t="s" s="1">
        <f>HYPERLINK("http://141.218.60.56/~jnz1568/discussion.php?&amp;Z=8&amp;N=6&amp;Sheet=2&amp;Row=29&amp;Col=7","4.47712125472")</f>
      </c>
      <c r="I30" t="s" s="1">
        <f>HYPERLINK("http://141.218.60.56/~jnz1568/discussion.php?&amp;Z=8&amp;N=6&amp;Sheet=2&amp;Row=29&amp;Col=8","0.3264")</f>
      </c>
      <c r="J30" t="s" s="1">
        <f>HYPERLINK("http://141.218.60.56/~jnz1568/discussion.php?&amp;Z=8&amp;N=6&amp;Sheet=2&amp;Row=29&amp;Col=9","4.2")</f>
      </c>
      <c r="K30" t="s" s="1">
        <f>HYPERLINK("http://141.218.60.56/~jnz1568/discussion.php?&amp;Z=8&amp;N=6&amp;Sheet=2&amp;Row=29&amp;Col=10","0.2832")</f>
      </c>
      <c r="L30" t="s" s="1">
        <f>HYPERLINK("http://141.218.60.56/~jnz1568/discussion.php?&amp;Z=8&amp;N=6&amp;Sheet=2&amp;Row=29&amp;Col=11","4.04139268516")</f>
      </c>
      <c r="M30" t="s" s="1">
        <f>HYPERLINK("http://141.218.60.56/~jnz1568/discussion.php?&amp;Z=8&amp;N=6&amp;Sheet=2&amp;Row=29&amp;Col=12","0.22434072311")</f>
      </c>
    </row>
    <row r="31">
      <c r="A31" t="s">
        <v>1</v>
      </c>
      <c r="B31" t="s">
        <v>1</v>
      </c>
      <c r="C31" t="s">
        <v>1</v>
      </c>
      <c r="D31" t="s">
        <v>1</v>
      </c>
      <c r="E31" t="s">
        <v>15</v>
      </c>
      <c r="F31" t="s" s="1">
        <f>HYPERLINK("http://141.218.60.56/~jnz1568/discussion.php?&amp;Z=8&amp;N=6&amp;Sheet=2&amp;Row=30&amp;Col=5","4.3")</f>
      </c>
      <c r="G31" t="s" s="1">
        <f>HYPERLINK("http://141.218.60.56/~jnz1568/discussion.php?&amp;Z=8&amp;N=6&amp;Sheet=2&amp;Row=30&amp;Col=6","0.274")</f>
      </c>
      <c r="H31" t="s" s="1">
        <f>HYPERLINK("http://141.218.60.56/~jnz1568/discussion.php?&amp;Z=8&amp;N=6&amp;Sheet=2&amp;Row=30&amp;Col=7","")</f>
      </c>
      <c r="I31" t="s" s="1">
        <f>HYPERLINK("http://141.218.60.56/~jnz1568/discussion.php?&amp;Z=8&amp;N=6&amp;Sheet=2&amp;Row=30&amp;Col=8","")</f>
      </c>
      <c r="J31" t="s" s="1">
        <f>HYPERLINK("http://141.218.60.56/~jnz1568/discussion.php?&amp;Z=8&amp;N=6&amp;Sheet=2&amp;Row=30&amp;Col=9","4.4")</f>
      </c>
      <c r="K31" t="s" s="1">
        <f>HYPERLINK("http://141.218.60.56/~jnz1568/discussion.php?&amp;Z=8&amp;N=6&amp;Sheet=2&amp;Row=30&amp;Col=10","0.2955")</f>
      </c>
      <c r="L31" t="s" s="1">
        <f>HYPERLINK("http://141.218.60.56/~jnz1568/discussion.php?&amp;Z=8&amp;N=6&amp;Sheet=2&amp;Row=30&amp;Col=11","4.07918124605")</f>
      </c>
      <c r="M31" t="s" s="1">
        <f>HYPERLINK("http://141.218.60.56/~jnz1568/discussion.php?&amp;Z=8&amp;N=6&amp;Sheet=2&amp;Row=30&amp;Col=12","0.22881046142")</f>
      </c>
    </row>
    <row r="32">
      <c r="A32" t="s">
        <v>1</v>
      </c>
      <c r="B32" t="s">
        <v>1</v>
      </c>
      <c r="C32" t="s">
        <v>1</v>
      </c>
      <c r="D32" t="s">
        <v>1</v>
      </c>
      <c r="E32" t="s">
        <v>50</v>
      </c>
      <c r="F32" t="s" s="1">
        <f>HYPERLINK("http://141.218.60.56/~jnz1568/discussion.php?&amp;Z=8&amp;N=6&amp;Sheet=2&amp;Row=31&amp;Col=5","4.4")</f>
      </c>
      <c r="G32" t="s" s="1">
        <f>HYPERLINK("http://141.218.60.56/~jnz1568/discussion.php?&amp;Z=8&amp;N=6&amp;Sheet=2&amp;Row=31&amp;Col=6","0.28")</f>
      </c>
      <c r="H32" t="s" s="1">
        <f>HYPERLINK("http://141.218.60.56/~jnz1568/discussion.php?&amp;Z=8&amp;N=6&amp;Sheet=2&amp;Row=31&amp;Col=7","")</f>
      </c>
      <c r="I32" t="s" s="1">
        <f>HYPERLINK("http://141.218.60.56/~jnz1568/discussion.php?&amp;Z=8&amp;N=6&amp;Sheet=2&amp;Row=31&amp;Col=8","")</f>
      </c>
      <c r="J32" t="s" s="1">
        <f>HYPERLINK("http://141.218.60.56/~jnz1568/discussion.php?&amp;Z=8&amp;N=6&amp;Sheet=2&amp;Row=31&amp;Col=9","4.6")</f>
      </c>
      <c r="K32" t="s" s="1">
        <f>HYPERLINK("http://141.218.60.56/~jnz1568/discussion.php?&amp;Z=8&amp;N=6&amp;Sheet=2&amp;Row=31&amp;Col=10","0.3101")</f>
      </c>
      <c r="L32" t="s" s="1">
        <f>HYPERLINK("http://141.218.60.56/~jnz1568/discussion.php?&amp;Z=8&amp;N=6&amp;Sheet=2&amp;Row=31&amp;Col=11","4.11394335231")</f>
      </c>
      <c r="M32" t="s" s="1">
        <f>HYPERLINK("http://141.218.60.56/~jnz1568/discussion.php?&amp;Z=8&amp;N=6&amp;Sheet=2&amp;Row=31&amp;Col=12","0.23288264869")</f>
      </c>
    </row>
    <row r="33">
      <c r="A33" t="s">
        <v>1</v>
      </c>
      <c r="B33" t="s">
        <v>1</v>
      </c>
      <c r="C33" t="s">
        <v>1</v>
      </c>
      <c r="D33" t="s">
        <v>1</v>
      </c>
      <c r="E33" t="s">
        <v>53</v>
      </c>
      <c r="F33" t="s" s="1">
        <f>HYPERLINK("http://141.218.60.56/~jnz1568/discussion.php?&amp;Z=8&amp;N=6&amp;Sheet=2&amp;Row=32&amp;Col=5","4.48")</f>
      </c>
      <c r="G33" t="s" s="1">
        <f>HYPERLINK("http://141.218.60.56/~jnz1568/discussion.php?&amp;Z=8&amp;N=6&amp;Sheet=2&amp;Row=32&amp;Col=6","0.285")</f>
      </c>
      <c r="H33" t="s" s="1">
        <f>HYPERLINK("http://141.218.60.56/~jnz1568/discussion.php?&amp;Z=8&amp;N=6&amp;Sheet=2&amp;Row=32&amp;Col=7","")</f>
      </c>
      <c r="I33" t="s" s="1">
        <f>HYPERLINK("http://141.218.60.56/~jnz1568/discussion.php?&amp;Z=8&amp;N=6&amp;Sheet=2&amp;Row=32&amp;Col=8","")</f>
      </c>
      <c r="J33" t="s" s="1">
        <f>HYPERLINK("http://141.218.60.56/~jnz1568/discussion.php?&amp;Z=8&amp;N=6&amp;Sheet=2&amp;Row=32&amp;Col=9","4.8")</f>
      </c>
      <c r="K33" t="s" s="1">
        <f>HYPERLINK("http://141.218.60.56/~jnz1568/discussion.php?&amp;Z=8&amp;N=6&amp;Sheet=2&amp;Row=32&amp;Col=10","0.3254")</f>
      </c>
      <c r="L33" t="s" s="1">
        <f>HYPERLINK("http://141.218.60.56/~jnz1568/discussion.php?&amp;Z=8&amp;N=6&amp;Sheet=2&amp;Row=32&amp;Col=11","4.14612803568")</f>
      </c>
      <c r="M33" t="s" s="1">
        <f>HYPERLINK("http://141.218.60.56/~jnz1568/discussion.php?&amp;Z=8&amp;N=6&amp;Sheet=2&amp;Row=32&amp;Col=12","0.23659574895")</f>
      </c>
    </row>
    <row r="34">
      <c r="A34" t="s">
        <v>1</v>
      </c>
      <c r="B34" t="s">
        <v>1</v>
      </c>
      <c r="C34" t="s">
        <v>1</v>
      </c>
      <c r="D34" t="s">
        <v>1</v>
      </c>
      <c r="E34" t="s">
        <v>58</v>
      </c>
      <c r="F34" t="s" s="1">
        <f>HYPERLINK("http://141.218.60.56/~jnz1568/discussion.php?&amp;Z=8&amp;N=6&amp;Sheet=2&amp;Row=33&amp;Col=5","4.6")</f>
      </c>
      <c r="G34" t="s" s="1">
        <f>HYPERLINK("http://141.218.60.56/~jnz1568/discussion.php?&amp;Z=8&amp;N=6&amp;Sheet=2&amp;Row=33&amp;Col=6","0.296")</f>
      </c>
      <c r="H34" t="s" s="1">
        <f>HYPERLINK("http://141.218.60.56/~jnz1568/discussion.php?&amp;Z=8&amp;N=6&amp;Sheet=2&amp;Row=33&amp;Col=7","")</f>
      </c>
      <c r="I34" t="s" s="1">
        <f>HYPERLINK("http://141.218.60.56/~jnz1568/discussion.php?&amp;Z=8&amp;N=6&amp;Sheet=2&amp;Row=33&amp;Col=8","")</f>
      </c>
      <c r="J34" t="s" s="1">
        <f>HYPERLINK("http://141.218.60.56/~jnz1568/discussion.php?&amp;Z=8&amp;N=6&amp;Sheet=2&amp;Row=33&amp;Col=9","5")</f>
      </c>
      <c r="K34" t="s" s="1">
        <f>HYPERLINK("http://141.218.60.56/~jnz1568/discussion.php?&amp;Z=8&amp;N=6&amp;Sheet=2&amp;Row=33&amp;Col=10","0.3314")</f>
      </c>
      <c r="L34" t="s" s="1">
        <f>HYPERLINK("http://141.218.60.56/~jnz1568/discussion.php?&amp;Z=8&amp;N=6&amp;Sheet=2&amp;Row=33&amp;Col=11","4.17609125906")</f>
      </c>
      <c r="M34" t="s" s="1">
        <f>HYPERLINK("http://141.218.60.56/~jnz1568/discussion.php?&amp;Z=8&amp;N=6&amp;Sheet=2&amp;Row=33&amp;Col=12","0.23999046174")</f>
      </c>
    </row>
    <row r="35">
      <c r="A35" t="s">
        <v>1</v>
      </c>
      <c r="B35" t="s">
        <v>1</v>
      </c>
      <c r="C35" t="s">
        <v>1</v>
      </c>
      <c r="D35" t="s">
        <v>1</v>
      </c>
      <c r="E35" t="s">
        <v>61</v>
      </c>
      <c r="F35" t="s" s="1">
        <f>HYPERLINK("http://141.218.60.56/~jnz1568/discussion.php?&amp;Z=8&amp;N=6&amp;Sheet=2&amp;Row=34&amp;Col=5","4.7")</f>
      </c>
      <c r="G35" t="s" s="1">
        <f>HYPERLINK("http://141.218.60.56/~jnz1568/discussion.php?&amp;Z=8&amp;N=6&amp;Sheet=2&amp;Row=34&amp;Col=6","0.307")</f>
      </c>
      <c r="H35" t="s" s="1">
        <f>HYPERLINK("http://141.218.60.56/~jnz1568/discussion.php?&amp;Z=8&amp;N=6&amp;Sheet=2&amp;Row=34&amp;Col=7","")</f>
      </c>
      <c r="I35" t="s" s="1">
        <f>HYPERLINK("http://141.218.60.56/~jnz1568/discussion.php?&amp;Z=8&amp;N=6&amp;Sheet=2&amp;Row=34&amp;Col=8","")</f>
      </c>
      <c r="J35" t="s" s="1">
        <f>HYPERLINK("http://141.218.60.56/~jnz1568/discussion.php?&amp;Z=8&amp;N=6&amp;Sheet=2&amp;Row=34&amp;Col=9","")</f>
      </c>
      <c r="K35" t="s" s="1">
        <f>HYPERLINK("http://141.218.60.56/~jnz1568/discussion.php?&amp;Z=8&amp;N=6&amp;Sheet=2&amp;Row=34&amp;Col=10","")</f>
      </c>
      <c r="L35" t="s" s="1">
        <f>HYPERLINK("http://141.218.60.56/~jnz1568/discussion.php?&amp;Z=8&amp;N=6&amp;Sheet=2&amp;Row=34&amp;Col=11","4.20411998266")</f>
      </c>
      <c r="M35" t="s" s="1">
        <f>HYPERLINK("http://141.218.60.56/~jnz1568/discussion.php?&amp;Z=8&amp;N=6&amp;Sheet=2&amp;Row=34&amp;Col=12","0.24310644572")</f>
      </c>
    </row>
    <row r="36">
      <c r="A36" t="s">
        <v>1</v>
      </c>
      <c r="B36" t="s">
        <v>1</v>
      </c>
      <c r="C36" t="s">
        <v>1</v>
      </c>
      <c r="D36" t="s">
        <v>1</v>
      </c>
      <c r="E36" t="s">
        <v>64</v>
      </c>
      <c r="F36" t="s" s="1">
        <f>HYPERLINK("http://141.218.60.56/~jnz1568/discussion.php?&amp;Z=8&amp;N=6&amp;Sheet=2&amp;Row=35&amp;Col=5","4.78")</f>
      </c>
      <c r="G36" t="s" s="1">
        <f>HYPERLINK("http://141.218.60.56/~jnz1568/discussion.php?&amp;Z=8&amp;N=6&amp;Sheet=2&amp;Row=35&amp;Col=6","0.315")</f>
      </c>
      <c r="H36" t="s" s="1">
        <f>HYPERLINK("http://141.218.60.56/~jnz1568/discussion.php?&amp;Z=8&amp;N=6&amp;Sheet=2&amp;Row=35&amp;Col=7","")</f>
      </c>
      <c r="I36" t="s" s="1">
        <f>HYPERLINK("http://141.218.60.56/~jnz1568/discussion.php?&amp;Z=8&amp;N=6&amp;Sheet=2&amp;Row=35&amp;Col=8","")</f>
      </c>
      <c r="J36" t="s" s="1">
        <f>HYPERLINK("http://141.218.60.56/~jnz1568/discussion.php?&amp;Z=8&amp;N=6&amp;Sheet=2&amp;Row=35&amp;Col=9","")</f>
      </c>
      <c r="K36" t="s" s="1">
        <f>HYPERLINK("http://141.218.60.56/~jnz1568/discussion.php?&amp;Z=8&amp;N=6&amp;Sheet=2&amp;Row=35&amp;Col=10","")</f>
      </c>
      <c r="L36" t="s" s="1">
        <f>HYPERLINK("http://141.218.60.56/~jnz1568/discussion.php?&amp;Z=8&amp;N=6&amp;Sheet=2&amp;Row=35&amp;Col=11","4.23044892138")</f>
      </c>
      <c r="M36" t="s" s="1">
        <f>HYPERLINK("http://141.218.60.56/~jnz1568/discussion.php?&amp;Z=8&amp;N=6&amp;Sheet=2&amp;Row=35&amp;Col=12","0.245980635753")</f>
      </c>
    </row>
    <row r="37">
      <c r="A37" t="s">
        <v>1</v>
      </c>
      <c r="B37" t="s">
        <v>1</v>
      </c>
      <c r="C37" t="s">
        <v>1</v>
      </c>
      <c r="D37" t="s">
        <v>1</v>
      </c>
      <c r="E37" t="s">
        <v>69</v>
      </c>
      <c r="F37" t="s" s="1">
        <f>HYPERLINK("http://141.218.60.56/~jnz1568/discussion.php?&amp;Z=8&amp;N=6&amp;Sheet=2&amp;Row=36&amp;Col=5","4.9")</f>
      </c>
      <c r="G37" t="s" s="1">
        <f>HYPERLINK("http://141.218.60.56/~jnz1568/discussion.php?&amp;Z=8&amp;N=6&amp;Sheet=2&amp;Row=36&amp;Col=6","0.327")</f>
      </c>
      <c r="H37" t="s" s="1">
        <f>HYPERLINK("http://141.218.60.56/~jnz1568/discussion.php?&amp;Z=8&amp;N=6&amp;Sheet=2&amp;Row=36&amp;Col=7","")</f>
      </c>
      <c r="I37" t="s" s="1">
        <f>HYPERLINK("http://141.218.60.56/~jnz1568/discussion.php?&amp;Z=8&amp;N=6&amp;Sheet=2&amp;Row=36&amp;Col=8","")</f>
      </c>
      <c r="J37" t="s" s="1">
        <f>HYPERLINK("http://141.218.60.56/~jnz1568/discussion.php?&amp;Z=8&amp;N=6&amp;Sheet=2&amp;Row=36&amp;Col=9","")</f>
      </c>
      <c r="K37" t="s" s="1">
        <f>HYPERLINK("http://141.218.60.56/~jnz1568/discussion.php?&amp;Z=8&amp;N=6&amp;Sheet=2&amp;Row=36&amp;Col=10","")</f>
      </c>
      <c r="L37" t="s" s="1">
        <f>HYPERLINK("http://141.218.60.56/~jnz1568/discussion.php?&amp;Z=8&amp;N=6&amp;Sheet=2&amp;Row=36&amp;Col=11","4.2552725051")</f>
      </c>
      <c r="M37" t="s" s="1">
        <f>HYPERLINK("http://141.218.60.56/~jnz1568/discussion.php?&amp;Z=8&amp;N=6&amp;Sheet=2&amp;Row=36&amp;Col=12","0.248646479181")</f>
      </c>
    </row>
    <row r="38">
      <c r="A38" t="s">
        <v>1</v>
      </c>
      <c r="B38" t="s">
        <v>1</v>
      </c>
      <c r="C38" t="s">
        <v>1</v>
      </c>
      <c r="D38" t="s">
        <v>1</v>
      </c>
      <c r="E38" t="s">
        <v>74</v>
      </c>
      <c r="F38" t="s" s="1">
        <f>HYPERLINK("http://141.218.60.56/~jnz1568/discussion.php?&amp;Z=8&amp;N=6&amp;Sheet=2&amp;Row=37&amp;Col=5","5")</f>
      </c>
      <c r="G38" t="s" s="1">
        <f>HYPERLINK("http://141.218.60.56/~jnz1568/discussion.php?&amp;Z=8&amp;N=6&amp;Sheet=2&amp;Row=37&amp;Col=6","0.333")</f>
      </c>
      <c r="H38" t="s" s="1">
        <f>HYPERLINK("http://141.218.60.56/~jnz1568/discussion.php?&amp;Z=8&amp;N=6&amp;Sheet=2&amp;Row=37&amp;Col=7","")</f>
      </c>
      <c r="I38" t="s" s="1">
        <f>HYPERLINK("http://141.218.60.56/~jnz1568/discussion.php?&amp;Z=8&amp;N=6&amp;Sheet=2&amp;Row=37&amp;Col=8","")</f>
      </c>
      <c r="J38" t="s" s="1">
        <f>HYPERLINK("http://141.218.60.56/~jnz1568/discussion.php?&amp;Z=8&amp;N=6&amp;Sheet=2&amp;Row=37&amp;Col=9","")</f>
      </c>
      <c r="K38" t="s" s="1">
        <f>HYPERLINK("http://141.218.60.56/~jnz1568/discussion.php?&amp;Z=8&amp;N=6&amp;Sheet=2&amp;Row=37&amp;Col=10","")</f>
      </c>
      <c r="L38" t="s" s="1">
        <f>HYPERLINK("http://141.218.60.56/~jnz1568/discussion.php?&amp;Z=8&amp;N=6&amp;Sheet=2&amp;Row=37&amp;Col=11","4.27875360095")</f>
      </c>
      <c r="M38" t="s" s="1">
        <f>HYPERLINK("http://141.218.60.56/~jnz1568/discussion.php?&amp;Z=8&amp;N=6&amp;Sheet=2&amp;Row=37&amp;Col=12","0.251133694882")</f>
      </c>
    </row>
    <row r="39">
      <c r="A39" t="s">
        <v>1</v>
      </c>
      <c r="B39" t="s">
        <v>1</v>
      </c>
      <c r="C39" t="s">
        <v>1</v>
      </c>
      <c r="D39" t="s">
        <v>1</v>
      </c>
      <c r="E39" t="s">
        <v>79</v>
      </c>
      <c r="F39" t="s" s="1">
        <f>HYPERLINK("http://141.218.60.56/~jnz1568/discussion.php?&amp;Z=8&amp;N=6&amp;Sheet=2&amp;Row=38&amp;Col=5","5.08")</f>
      </c>
      <c r="G39" t="s" s="1">
        <f>HYPERLINK("http://141.218.60.56/~jnz1568/discussion.php?&amp;Z=8&amp;N=6&amp;Sheet=2&amp;Row=38&amp;Col=6","0.335")</f>
      </c>
      <c r="H39" t="s" s="1">
        <f>HYPERLINK("http://141.218.60.56/~jnz1568/discussion.php?&amp;Z=8&amp;N=6&amp;Sheet=2&amp;Row=38&amp;Col=7","")</f>
      </c>
      <c r="I39" t="s" s="1">
        <f>HYPERLINK("http://141.218.60.56/~jnz1568/discussion.php?&amp;Z=8&amp;N=6&amp;Sheet=2&amp;Row=38&amp;Col=8","")</f>
      </c>
      <c r="J39" t="s" s="1">
        <f>HYPERLINK("http://141.218.60.56/~jnz1568/discussion.php?&amp;Z=8&amp;N=6&amp;Sheet=2&amp;Row=38&amp;Col=9","")</f>
      </c>
      <c r="K39" t="s" s="1">
        <f>HYPERLINK("http://141.218.60.56/~jnz1568/discussion.php?&amp;Z=8&amp;N=6&amp;Sheet=2&amp;Row=38&amp;Col=10","")</f>
      </c>
      <c r="L39" t="s" s="1">
        <f>HYPERLINK("http://141.218.60.56/~jnz1568/discussion.php?&amp;Z=8&amp;N=6&amp;Sheet=2&amp;Row=38&amp;Col=11","4.30102999566")</f>
      </c>
      <c r="M39" t="s" s="1">
        <f>HYPERLINK("http://141.218.60.56/~jnz1568/discussion.php?&amp;Z=8&amp;N=6&amp;Sheet=2&amp;Row=38&amp;Col=12","0.253468324024")</f>
      </c>
    </row>
    <row r="40">
      <c r="A40" t="s">
        <v>1</v>
      </c>
      <c r="B40" t="s">
        <v>1</v>
      </c>
      <c r="C40" t="s">
        <v>1</v>
      </c>
      <c r="D40" t="s">
        <v>1</v>
      </c>
      <c r="E40" t="s">
        <v>84</v>
      </c>
      <c r="F40" t="s" s="1">
        <f>HYPERLINK("http://141.218.60.56/~jnz1568/discussion.php?&amp;Z=8&amp;N=6&amp;Sheet=2&amp;Row=39&amp;Col=5","5.15")</f>
      </c>
      <c r="G40" t="s" s="1">
        <f>HYPERLINK("http://141.218.60.56/~jnz1568/discussion.php?&amp;Z=8&amp;N=6&amp;Sheet=2&amp;Row=39&amp;Col=6","0.334")</f>
      </c>
      <c r="H40" t="s" s="1">
        <f>HYPERLINK("http://141.218.60.56/~jnz1568/discussion.php?&amp;Z=8&amp;N=6&amp;Sheet=2&amp;Row=39&amp;Col=7","")</f>
      </c>
      <c r="I40" t="s" s="1">
        <f>HYPERLINK("http://141.218.60.56/~jnz1568/discussion.php?&amp;Z=8&amp;N=6&amp;Sheet=2&amp;Row=39&amp;Col=8","")</f>
      </c>
      <c r="J40" t="s" s="1">
        <f>HYPERLINK("http://141.218.60.56/~jnz1568/discussion.php?&amp;Z=8&amp;N=6&amp;Sheet=2&amp;Row=39&amp;Col=9","")</f>
      </c>
      <c r="K40" t="s" s="1">
        <f>HYPERLINK("http://141.218.60.56/~jnz1568/discussion.php?&amp;Z=8&amp;N=6&amp;Sheet=2&amp;Row=39&amp;Col=10","")</f>
      </c>
      <c r="L40" t="s" s="1">
        <f>HYPERLINK("http://141.218.60.56/~jnz1568/discussion.php?&amp;Z=8&amp;N=6&amp;Sheet=2&amp;Row=39&amp;Col=11","")</f>
      </c>
      <c r="M40" t="s" s="1">
        <f>HYPERLINK("http://141.218.60.56/~jnz1568/discussion.php?&amp;Z=8&amp;N=6&amp;Sheet=2&amp;Row=39&amp;Col=12","")</f>
      </c>
    </row>
    <row r="41">
      <c r="A41" t="s">
        <v>1</v>
      </c>
      <c r="B41" t="s">
        <v>1</v>
      </c>
      <c r="C41" t="s">
        <v>1</v>
      </c>
      <c r="D41" t="s">
        <v>1</v>
      </c>
      <c r="E41" t="s">
        <v>87</v>
      </c>
      <c r="F41" t="s" s="1">
        <f>HYPERLINK("http://141.218.60.56/~jnz1568/discussion.php?&amp;Z=8&amp;N=6&amp;Sheet=2&amp;Row=40&amp;Col=5","5.2")</f>
      </c>
      <c r="G41" t="s" s="1">
        <f>HYPERLINK("http://141.218.60.56/~jnz1568/discussion.php?&amp;Z=8&amp;N=6&amp;Sheet=2&amp;Row=40&amp;Col=6","0.331")</f>
      </c>
      <c r="H41" t="s" s="1">
        <f>HYPERLINK("http://141.218.60.56/~jnz1568/discussion.php?&amp;Z=8&amp;N=6&amp;Sheet=2&amp;Row=40&amp;Col=7","")</f>
      </c>
      <c r="I41" t="s" s="1">
        <f>HYPERLINK("http://141.218.60.56/~jnz1568/discussion.php?&amp;Z=8&amp;N=6&amp;Sheet=2&amp;Row=40&amp;Col=8","")</f>
      </c>
      <c r="J41" t="s" s="1">
        <f>HYPERLINK("http://141.218.60.56/~jnz1568/discussion.php?&amp;Z=8&amp;N=6&amp;Sheet=2&amp;Row=40&amp;Col=9","")</f>
      </c>
      <c r="K41" t="s" s="1">
        <f>HYPERLINK("http://141.218.60.56/~jnz1568/discussion.php?&amp;Z=8&amp;N=6&amp;Sheet=2&amp;Row=40&amp;Col=10","")</f>
      </c>
      <c r="L41" t="s" s="1">
        <f>HYPERLINK("http://141.218.60.56/~jnz1568/discussion.php?&amp;Z=8&amp;N=6&amp;Sheet=2&amp;Row=40&amp;Col=11","")</f>
      </c>
      <c r="M41" t="s" s="1">
        <f>HYPERLINK("http://141.218.60.56/~jnz1568/discussion.php?&amp;Z=8&amp;N=6&amp;Sheet=2&amp;Row=40&amp;Col=12","")</f>
      </c>
    </row>
    <row r="42">
      <c r="A42" t="s">
        <v>1</v>
      </c>
      <c r="B42" t="s">
        <v>1</v>
      </c>
      <c r="C42" t="s">
        <v>1</v>
      </c>
      <c r="D42" t="s">
        <v>1</v>
      </c>
      <c r="E42" t="s">
        <v>90</v>
      </c>
      <c r="F42" t="s" s="1">
        <f>HYPERLINK("http://141.218.60.56/~jnz1568/discussion.php?&amp;Z=8&amp;N=6&amp;Sheet=2&amp;Row=41&amp;Col=5","5.26")</f>
      </c>
      <c r="G42" t="s" s="1">
        <f>HYPERLINK("http://141.218.60.56/~jnz1568/discussion.php?&amp;Z=8&amp;N=6&amp;Sheet=2&amp;Row=41&amp;Col=6","0.326")</f>
      </c>
      <c r="H42" t="s" s="1">
        <f>HYPERLINK("http://141.218.60.56/~jnz1568/discussion.php?&amp;Z=8&amp;N=6&amp;Sheet=2&amp;Row=41&amp;Col=7","")</f>
      </c>
      <c r="I42" t="s" s="1">
        <f>HYPERLINK("http://141.218.60.56/~jnz1568/discussion.php?&amp;Z=8&amp;N=6&amp;Sheet=2&amp;Row=41&amp;Col=8","")</f>
      </c>
      <c r="J42" t="s" s="1">
        <f>HYPERLINK("http://141.218.60.56/~jnz1568/discussion.php?&amp;Z=8&amp;N=6&amp;Sheet=2&amp;Row=41&amp;Col=9","")</f>
      </c>
      <c r="K42" t="s" s="1">
        <f>HYPERLINK("http://141.218.60.56/~jnz1568/discussion.php?&amp;Z=8&amp;N=6&amp;Sheet=2&amp;Row=41&amp;Col=10","")</f>
      </c>
      <c r="L42" t="s" s="1">
        <f>HYPERLINK("http://141.218.60.56/~jnz1568/discussion.php?&amp;Z=8&amp;N=6&amp;Sheet=2&amp;Row=41&amp;Col=11","")</f>
      </c>
      <c r="M42" t="s" s="1">
        <f>HYPERLINK("http://141.218.60.56/~jnz1568/discussion.php?&amp;Z=8&amp;N=6&amp;Sheet=2&amp;Row=41&amp;Col=12","")</f>
      </c>
    </row>
    <row r="43">
      <c r="A43" t="s">
        <v>1</v>
      </c>
      <c r="B43" t="s">
        <v>1</v>
      </c>
      <c r="C43" t="s">
        <v>1</v>
      </c>
      <c r="D43" t="s">
        <v>1</v>
      </c>
      <c r="E43" t="s">
        <v>94</v>
      </c>
      <c r="F43" t="s" s="1">
        <f>HYPERLINK("http://141.218.60.56/~jnz1568/discussion.php?&amp;Z=8&amp;N=6&amp;Sheet=2&amp;Row=42&amp;Col=5","5.3")</f>
      </c>
      <c r="G43" t="s" s="1">
        <f>HYPERLINK("http://141.218.60.56/~jnz1568/discussion.php?&amp;Z=8&amp;N=6&amp;Sheet=2&amp;Row=42&amp;Col=6","0.322")</f>
      </c>
      <c r="H43" t="s" s="1">
        <f>HYPERLINK("http://141.218.60.56/~jnz1568/discussion.php?&amp;Z=8&amp;N=6&amp;Sheet=2&amp;Row=42&amp;Col=7","")</f>
      </c>
      <c r="I43" t="s" s="1">
        <f>HYPERLINK("http://141.218.60.56/~jnz1568/discussion.php?&amp;Z=8&amp;N=6&amp;Sheet=2&amp;Row=42&amp;Col=8","")</f>
      </c>
      <c r="J43" t="s" s="1">
        <f>HYPERLINK("http://141.218.60.56/~jnz1568/discussion.php?&amp;Z=8&amp;N=6&amp;Sheet=2&amp;Row=42&amp;Col=9","")</f>
      </c>
      <c r="K43" t="s" s="1">
        <f>HYPERLINK("http://141.218.60.56/~jnz1568/discussion.php?&amp;Z=8&amp;N=6&amp;Sheet=2&amp;Row=42&amp;Col=10","")</f>
      </c>
      <c r="L43" t="s" s="1">
        <f>HYPERLINK("http://141.218.60.56/~jnz1568/discussion.php?&amp;Z=8&amp;N=6&amp;Sheet=2&amp;Row=42&amp;Col=11","")</f>
      </c>
      <c r="M43" t="s" s="1">
        <f>HYPERLINK("http://141.218.60.56/~jnz1568/discussion.php?&amp;Z=8&amp;N=6&amp;Sheet=2&amp;Row=42&amp;Col=12","")</f>
      </c>
    </row>
    <row r="44">
      <c r="A44" t="s">
        <v>15</v>
      </c>
      <c r="B44" t="s">
        <v>16</v>
      </c>
      <c r="C44" t="s">
        <v>20</v>
      </c>
      <c r="D44" t="s">
        <v>23</v>
      </c>
      <c r="E44" t="s">
        <v>17</v>
      </c>
      <c r="F44" t="s" s="1">
        <f>HYPERLINK("http://141.218.60.56/~jnz1568/discussion.php?&amp;Z=8&amp;N=6&amp;Sheet=2&amp;Row=43&amp;Col=5","3.4")</f>
      </c>
      <c r="G44" t="s" s="1">
        <f>HYPERLINK("http://141.218.60.56/~jnz1568/discussion.php?&amp;Z=8&amp;N=6&amp;Sheet=2&amp;Row=43&amp;Col=6","1.17")</f>
      </c>
      <c r="H44" t="s" s="1">
        <f>HYPERLINK("http://141.218.60.56/~jnz1568/discussion.php?&amp;Z=8&amp;N=6&amp;Sheet=2&amp;Row=43&amp;Col=7","2")</f>
      </c>
      <c r="I44" t="s" s="1">
        <f>HYPERLINK("http://141.218.60.56/~jnz1568/discussion.php?&amp;Z=8&amp;N=6&amp;Sheet=2&amp;Row=43&amp;Col=8","1.036")</f>
      </c>
      <c r="J44" t="s" s="1">
        <f>HYPERLINK("http://141.218.60.56/~jnz1568/discussion.php?&amp;Z=8&amp;N=6&amp;Sheet=2&amp;Row=43&amp;Col=9","3")</f>
      </c>
      <c r="K44" t="s" s="1">
        <f>HYPERLINK("http://141.218.60.56/~jnz1568/discussion.php?&amp;Z=8&amp;N=6&amp;Sheet=2&amp;Row=43&amp;Col=10","1.173")</f>
      </c>
      <c r="L44" t="s" s="1">
        <f>HYPERLINK("http://141.218.60.56/~jnz1568/discussion.php?&amp;Z=8&amp;N=6&amp;Sheet=2&amp;Row=43&amp;Col=11","3.69897000434")</f>
      </c>
      <c r="M44" t="s" s="1">
        <f>HYPERLINK("http://141.218.60.56/~jnz1568/discussion.php?&amp;Z=8&amp;N=6&amp;Sheet=2&amp;Row=43&amp;Col=12","0.93197106763")</f>
      </c>
    </row>
    <row r="45">
      <c r="A45" t="s">
        <v>1</v>
      </c>
      <c r="B45" t="s">
        <v>1</v>
      </c>
      <c r="C45" t="s">
        <v>1</v>
      </c>
      <c r="D45" t="s">
        <v>1</v>
      </c>
      <c r="E45" t="s">
        <v>23</v>
      </c>
      <c r="F45" t="s" s="1">
        <f>HYPERLINK("http://141.218.60.56/~jnz1568/discussion.php?&amp;Z=8&amp;N=6&amp;Sheet=2&amp;Row=44&amp;Col=5","3.7")</f>
      </c>
      <c r="G45" t="s" s="1">
        <f>HYPERLINK("http://141.218.60.56/~jnz1568/discussion.php?&amp;Z=8&amp;N=6&amp;Sheet=2&amp;Row=44&amp;Col=6","1.19")</f>
      </c>
      <c r="H45" t="s" s="1">
        <f>HYPERLINK("http://141.218.60.56/~jnz1568/discussion.php?&amp;Z=8&amp;N=6&amp;Sheet=2&amp;Row=44&amp;Col=7","2.69897000434")</f>
      </c>
      <c r="I45" t="s" s="1">
        <f>HYPERLINK("http://141.218.60.56/~jnz1568/discussion.php?&amp;Z=8&amp;N=6&amp;Sheet=2&amp;Row=44&amp;Col=8","1.032")</f>
      </c>
      <c r="J45" t="s" s="1">
        <f>HYPERLINK("http://141.218.60.56/~jnz1568/discussion.php?&amp;Z=8&amp;N=6&amp;Sheet=2&amp;Row=44&amp;Col=9","3.2")</f>
      </c>
      <c r="K45" t="s" s="1">
        <f>HYPERLINK("http://141.218.60.56/~jnz1568/discussion.php?&amp;Z=8&amp;N=6&amp;Sheet=2&amp;Row=44&amp;Col=10","1.193")</f>
      </c>
      <c r="L45" t="s" s="1">
        <f>HYPERLINK("http://141.218.60.56/~jnz1568/discussion.php?&amp;Z=8&amp;N=6&amp;Sheet=2&amp;Row=44&amp;Col=11","3.77815125038")</f>
      </c>
      <c r="M45" t="s" s="1">
        <f>HYPERLINK("http://141.218.60.56/~jnz1568/discussion.php?&amp;Z=8&amp;N=6&amp;Sheet=2&amp;Row=44&amp;Col=12","0.95479652762")</f>
      </c>
    </row>
    <row r="46">
      <c r="A46" t="s">
        <v>1</v>
      </c>
      <c r="B46" t="s">
        <v>1</v>
      </c>
      <c r="C46" t="s">
        <v>1</v>
      </c>
      <c r="D46" t="s">
        <v>1</v>
      </c>
      <c r="E46" t="s">
        <v>20</v>
      </c>
      <c r="F46" t="s" s="1">
        <f>HYPERLINK("http://141.218.60.56/~jnz1568/discussion.php?&amp;Z=8&amp;N=6&amp;Sheet=2&amp;Row=45&amp;Col=5","3.88")</f>
      </c>
      <c r="G46" t="s" s="1">
        <f>HYPERLINK("http://141.218.60.56/~jnz1568/discussion.php?&amp;Z=8&amp;N=6&amp;Sheet=2&amp;Row=45&amp;Col=6","1.21")</f>
      </c>
      <c r="H46" t="s" s="1">
        <f>HYPERLINK("http://141.218.60.56/~jnz1568/discussion.php?&amp;Z=8&amp;N=6&amp;Sheet=2&amp;Row=45&amp;Col=7","3")</f>
      </c>
      <c r="I46" t="s" s="1">
        <f>HYPERLINK("http://141.218.60.56/~jnz1568/discussion.php?&amp;Z=8&amp;N=6&amp;Sheet=2&amp;Row=45&amp;Col=8","1.072")</f>
      </c>
      <c r="J46" t="s" s="1">
        <f>HYPERLINK("http://141.218.60.56/~jnz1568/discussion.php?&amp;Z=8&amp;N=6&amp;Sheet=2&amp;Row=45&amp;Col=9","3.4")</f>
      </c>
      <c r="K46" t="s" s="1">
        <f>HYPERLINK("http://141.218.60.56/~jnz1568/discussion.php?&amp;Z=8&amp;N=6&amp;Sheet=2&amp;Row=45&amp;Col=10","1.203")</f>
      </c>
      <c r="L46" t="s" s="1">
        <f>HYPERLINK("http://141.218.60.56/~jnz1568/discussion.php?&amp;Z=8&amp;N=6&amp;Sheet=2&amp;Row=45&amp;Col=11","3.84509804001")</f>
      </c>
      <c r="M46" t="s" s="1">
        <f>HYPERLINK("http://141.218.60.56/~jnz1568/discussion.php?&amp;Z=8&amp;N=6&amp;Sheet=2&amp;Row=45&amp;Col=12","0.978146489128")</f>
      </c>
    </row>
    <row r="47">
      <c r="A47" t="s">
        <v>1</v>
      </c>
      <c r="B47" t="s">
        <v>1</v>
      </c>
      <c r="C47" t="s">
        <v>1</v>
      </c>
      <c r="D47" t="s">
        <v>1</v>
      </c>
      <c r="E47" t="s">
        <v>28</v>
      </c>
      <c r="F47" t="s" s="1">
        <f>HYPERLINK("http://141.218.60.56/~jnz1568/discussion.php?&amp;Z=8&amp;N=6&amp;Sheet=2&amp;Row=46&amp;Col=5","4")</f>
      </c>
      <c r="G47" t="s" s="1">
        <f>HYPERLINK("http://141.218.60.56/~jnz1568/discussion.php?&amp;Z=8&amp;N=6&amp;Sheet=2&amp;Row=46&amp;Col=6","1.23")</f>
      </c>
      <c r="H47" t="s" s="1">
        <f>HYPERLINK("http://141.218.60.56/~jnz1568/discussion.php?&amp;Z=8&amp;N=6&amp;Sheet=2&amp;Row=46&amp;Col=7","3.69897000434")</f>
      </c>
      <c r="I47" t="s" s="1">
        <f>HYPERLINK("http://141.218.60.56/~jnz1568/discussion.php?&amp;Z=8&amp;N=6&amp;Sheet=2&amp;Row=46&amp;Col=8","1.21")</f>
      </c>
      <c r="J47" t="s" s="1">
        <f>HYPERLINK("http://141.218.60.56/~jnz1568/discussion.php?&amp;Z=8&amp;N=6&amp;Sheet=2&amp;Row=46&amp;Col=9","3.6")</f>
      </c>
      <c r="K47" t="s" s="1">
        <f>HYPERLINK("http://141.218.60.56/~jnz1568/discussion.php?&amp;Z=8&amp;N=6&amp;Sheet=2&amp;Row=46&amp;Col=10","1.218")</f>
      </c>
      <c r="L47" t="s" s="1">
        <f>HYPERLINK("http://141.218.60.56/~jnz1568/discussion.php?&amp;Z=8&amp;N=6&amp;Sheet=2&amp;Row=46&amp;Col=11","3.90308998699")</f>
      </c>
      <c r="M47" t="s" s="1">
        <f>HYPERLINK("http://141.218.60.56/~jnz1568/discussion.php?&amp;Z=8&amp;N=6&amp;Sheet=2&amp;Row=46&amp;Col=12","1.00067287574")</f>
      </c>
    </row>
    <row r="48">
      <c r="A48" t="s">
        <v>1</v>
      </c>
      <c r="B48" t="s">
        <v>1</v>
      </c>
      <c r="C48" t="s">
        <v>1</v>
      </c>
      <c r="D48" t="s">
        <v>1</v>
      </c>
      <c r="E48" t="s">
        <v>33</v>
      </c>
      <c r="F48" t="s" s="1">
        <f>HYPERLINK("http://141.218.60.56/~jnz1568/discussion.php?&amp;Z=8&amp;N=6&amp;Sheet=2&amp;Row=47&amp;Col=5","4.1")</f>
      </c>
      <c r="G48" t="s" s="1">
        <f>HYPERLINK("http://141.218.60.56/~jnz1568/discussion.php?&amp;Z=8&amp;N=6&amp;Sheet=2&amp;Row=47&amp;Col=6","1.25")</f>
      </c>
      <c r="H48" t="s" s="1">
        <f>HYPERLINK("http://141.218.60.56/~jnz1568/discussion.php?&amp;Z=8&amp;N=6&amp;Sheet=2&amp;Row=47&amp;Col=7","4")</f>
      </c>
      <c r="I48" t="s" s="1">
        <f>HYPERLINK("http://141.218.60.56/~jnz1568/discussion.php?&amp;Z=8&amp;N=6&amp;Sheet=2&amp;Row=47&amp;Col=8","1.33")</f>
      </c>
      <c r="J48" t="s" s="1">
        <f>HYPERLINK("http://141.218.60.56/~jnz1568/discussion.php?&amp;Z=8&amp;N=6&amp;Sheet=2&amp;Row=47&amp;Col=9","3.8")</f>
      </c>
      <c r="K48" t="s" s="1">
        <f>HYPERLINK("http://141.218.60.56/~jnz1568/discussion.php?&amp;Z=8&amp;N=6&amp;Sheet=2&amp;Row=47&amp;Col=10","1.248")</f>
      </c>
      <c r="L48" t="s" s="1">
        <f>HYPERLINK("http://141.218.60.56/~jnz1568/discussion.php?&amp;Z=8&amp;N=6&amp;Sheet=2&amp;Row=47&amp;Col=11","3.95424250944")</f>
      </c>
      <c r="M48" t="s" s="1">
        <f>HYPERLINK("http://141.218.60.56/~jnz1568/discussion.php?&amp;Z=8&amp;N=6&amp;Sheet=2&amp;Row=47&amp;Col=12","1.02163988653")</f>
      </c>
    </row>
    <row r="49">
      <c r="A49" t="s">
        <v>1</v>
      </c>
      <c r="B49" t="s">
        <v>1</v>
      </c>
      <c r="C49" t="s">
        <v>1</v>
      </c>
      <c r="D49" t="s">
        <v>1</v>
      </c>
      <c r="E49" t="s">
        <v>16</v>
      </c>
      <c r="F49" t="s" s="1">
        <f>HYPERLINK("http://141.218.60.56/~jnz1568/discussion.php?&amp;Z=8&amp;N=6&amp;Sheet=2&amp;Row=48&amp;Col=5","4.18")</f>
      </c>
      <c r="G49" t="s" s="1">
        <f>HYPERLINK("http://141.218.60.56/~jnz1568/discussion.php?&amp;Z=8&amp;N=6&amp;Sheet=2&amp;Row=48&amp;Col=6","1.26")</f>
      </c>
      <c r="H49" t="s" s="1">
        <f>HYPERLINK("http://141.218.60.56/~jnz1568/discussion.php?&amp;Z=8&amp;N=6&amp;Sheet=2&amp;Row=48&amp;Col=7","4.30102999566")</f>
      </c>
      <c r="I49" t="s" s="1">
        <f>HYPERLINK("http://141.218.60.56/~jnz1568/discussion.php?&amp;Z=8&amp;N=6&amp;Sheet=2&amp;Row=48&amp;Col=8","1.451")</f>
      </c>
      <c r="J49" t="s" s="1">
        <f>HYPERLINK("http://141.218.60.56/~jnz1568/discussion.php?&amp;Z=8&amp;N=6&amp;Sheet=2&amp;Row=48&amp;Col=9","4")</f>
      </c>
      <c r="K49" t="s" s="1">
        <f>HYPERLINK("http://141.218.60.56/~jnz1568/discussion.php?&amp;Z=8&amp;N=6&amp;Sheet=2&amp;Row=48&amp;Col=10","1.291")</f>
      </c>
      <c r="L49" t="s" s="1">
        <f>HYPERLINK("http://141.218.60.56/~jnz1568/discussion.php?&amp;Z=8&amp;N=6&amp;Sheet=2&amp;Row=48&amp;Col=11","4")</f>
      </c>
      <c r="M49" t="s" s="1">
        <f>HYPERLINK("http://141.218.60.56/~jnz1568/discussion.php?&amp;Z=8&amp;N=6&amp;Sheet=2&amp;Row=48&amp;Col=12","1.04073113017")</f>
      </c>
    </row>
    <row r="50">
      <c r="A50" t="s">
        <v>1</v>
      </c>
      <c r="B50" t="s">
        <v>1</v>
      </c>
      <c r="C50" t="s">
        <v>1</v>
      </c>
      <c r="D50" t="s">
        <v>1</v>
      </c>
      <c r="E50" t="s">
        <v>43</v>
      </c>
      <c r="F50" t="s" s="1">
        <f>HYPERLINK("http://141.218.60.56/~jnz1568/discussion.php?&amp;Z=8&amp;N=6&amp;Sheet=2&amp;Row=49&amp;Col=5","4.24")</f>
      </c>
      <c r="G50" t="s" s="1">
        <f>HYPERLINK("http://141.218.60.56/~jnz1568/discussion.php?&amp;Z=8&amp;N=6&amp;Sheet=2&amp;Row=49&amp;Col=6","1.27")</f>
      </c>
      <c r="H50" t="s" s="1">
        <f>HYPERLINK("http://141.218.60.56/~jnz1568/discussion.php?&amp;Z=8&amp;N=6&amp;Sheet=2&amp;Row=49&amp;Col=7","4.47712125472")</f>
      </c>
      <c r="I50" t="s" s="1">
        <f>HYPERLINK("http://141.218.60.56/~jnz1568/discussion.php?&amp;Z=8&amp;N=6&amp;Sheet=2&amp;Row=49&amp;Col=8","1.499")</f>
      </c>
      <c r="J50" t="s" s="1">
        <f>HYPERLINK("http://141.218.60.56/~jnz1568/discussion.php?&amp;Z=8&amp;N=6&amp;Sheet=2&amp;Row=49&amp;Col=9","4.2")</f>
      </c>
      <c r="K50" t="s" s="1">
        <f>HYPERLINK("http://141.218.60.56/~jnz1568/discussion.php?&amp;Z=8&amp;N=6&amp;Sheet=2&amp;Row=49&amp;Col=10","1.335")</f>
      </c>
      <c r="L50" t="s" s="1">
        <f>HYPERLINK("http://141.218.60.56/~jnz1568/discussion.php?&amp;Z=8&amp;N=6&amp;Sheet=2&amp;Row=49&amp;Col=11","4.04139268516")</f>
      </c>
      <c r="M50" t="s" s="1">
        <f>HYPERLINK("http://141.218.60.56/~jnz1568/discussion.php?&amp;Z=8&amp;N=6&amp;Sheet=2&amp;Row=49&amp;Col=12","1.0578907552")</f>
      </c>
    </row>
    <row r="51">
      <c r="A51" t="s">
        <v>1</v>
      </c>
      <c r="B51" t="s">
        <v>1</v>
      </c>
      <c r="C51" t="s">
        <v>1</v>
      </c>
      <c r="D51" t="s">
        <v>1</v>
      </c>
      <c r="E51" t="s">
        <v>15</v>
      </c>
      <c r="F51" t="s" s="1">
        <f>HYPERLINK("http://141.218.60.56/~jnz1568/discussion.php?&amp;Z=8&amp;N=6&amp;Sheet=2&amp;Row=50&amp;Col=5","4.3")</f>
      </c>
      <c r="G51" t="s" s="1">
        <f>HYPERLINK("http://141.218.60.56/~jnz1568/discussion.php?&amp;Z=8&amp;N=6&amp;Sheet=2&amp;Row=50&amp;Col=6","1.28")</f>
      </c>
      <c r="H51" t="s" s="1">
        <f>HYPERLINK("http://141.218.60.56/~jnz1568/discussion.php?&amp;Z=8&amp;N=6&amp;Sheet=2&amp;Row=50&amp;Col=7","")</f>
      </c>
      <c r="I51" t="s" s="1">
        <f>HYPERLINK("http://141.218.60.56/~jnz1568/discussion.php?&amp;Z=8&amp;N=6&amp;Sheet=2&amp;Row=50&amp;Col=8","")</f>
      </c>
      <c r="J51" t="s" s="1">
        <f>HYPERLINK("http://141.218.60.56/~jnz1568/discussion.php?&amp;Z=8&amp;N=6&amp;Sheet=2&amp;Row=50&amp;Col=9","4.4")</f>
      </c>
      <c r="K51" t="s" s="1">
        <f>HYPERLINK("http://141.218.60.56/~jnz1568/discussion.php?&amp;Z=8&amp;N=6&amp;Sheet=2&amp;Row=50&amp;Col=10","1.373")</f>
      </c>
      <c r="L51" t="s" s="1">
        <f>HYPERLINK("http://141.218.60.56/~jnz1568/discussion.php?&amp;Z=8&amp;N=6&amp;Sheet=2&amp;Row=50&amp;Col=11","4.07918124605")</f>
      </c>
      <c r="M51" t="s" s="1">
        <f>HYPERLINK("http://141.218.60.56/~jnz1568/discussion.php?&amp;Z=8&amp;N=6&amp;Sheet=2&amp;Row=50&amp;Col=12","1.07321017406")</f>
      </c>
    </row>
    <row r="52">
      <c r="A52" t="s">
        <v>1</v>
      </c>
      <c r="B52" t="s">
        <v>1</v>
      </c>
      <c r="C52" t="s">
        <v>1</v>
      </c>
      <c r="D52" t="s">
        <v>1</v>
      </c>
      <c r="E52" t="s">
        <v>50</v>
      </c>
      <c r="F52" t="s" s="1">
        <f>HYPERLINK("http://141.218.60.56/~jnz1568/discussion.php?&amp;Z=8&amp;N=6&amp;Sheet=2&amp;Row=51&amp;Col=5","4.4")</f>
      </c>
      <c r="G52" t="s" s="1">
        <f>HYPERLINK("http://141.218.60.56/~jnz1568/discussion.php?&amp;Z=8&amp;N=6&amp;Sheet=2&amp;Row=51&amp;Col=6","1.3")</f>
      </c>
      <c r="H52" t="s" s="1">
        <f>HYPERLINK("http://141.218.60.56/~jnz1568/discussion.php?&amp;Z=8&amp;N=6&amp;Sheet=2&amp;Row=51&amp;Col=7","")</f>
      </c>
      <c r="I52" t="s" s="1">
        <f>HYPERLINK("http://141.218.60.56/~jnz1568/discussion.php?&amp;Z=8&amp;N=6&amp;Sheet=2&amp;Row=51&amp;Col=8","")</f>
      </c>
      <c r="J52" t="s" s="1">
        <f>HYPERLINK("http://141.218.60.56/~jnz1568/discussion.php?&amp;Z=8&amp;N=6&amp;Sheet=2&amp;Row=51&amp;Col=9","4.6")</f>
      </c>
      <c r="K52" t="s" s="1">
        <f>HYPERLINK("http://141.218.60.56/~jnz1568/discussion.php?&amp;Z=8&amp;N=6&amp;Sheet=2&amp;Row=51&amp;Col=10","1.419")</f>
      </c>
      <c r="L52" t="s" s="1">
        <f>HYPERLINK("http://141.218.60.56/~jnz1568/discussion.php?&amp;Z=8&amp;N=6&amp;Sheet=2&amp;Row=51&amp;Col=11","4.11394335231")</f>
      </c>
      <c r="M52" t="s" s="1">
        <f>HYPERLINK("http://141.218.60.56/~jnz1568/discussion.php?&amp;Z=8&amp;N=6&amp;Sheet=2&amp;Row=51&amp;Col=12","1.08685465401")</f>
      </c>
    </row>
    <row r="53">
      <c r="A53" t="s">
        <v>1</v>
      </c>
      <c r="B53" t="s">
        <v>1</v>
      </c>
      <c r="C53" t="s">
        <v>1</v>
      </c>
      <c r="D53" t="s">
        <v>1</v>
      </c>
      <c r="E53" t="s">
        <v>53</v>
      </c>
      <c r="F53" t="s" s="1">
        <f>HYPERLINK("http://141.218.60.56/~jnz1568/discussion.php?&amp;Z=8&amp;N=6&amp;Sheet=2&amp;Row=52&amp;Col=5","4.48")</f>
      </c>
      <c r="G53" t="s" s="1">
        <f>HYPERLINK("http://141.218.60.56/~jnz1568/discussion.php?&amp;Z=8&amp;N=6&amp;Sheet=2&amp;Row=52&amp;Col=6","1.32")</f>
      </c>
      <c r="H53" t="s" s="1">
        <f>HYPERLINK("http://141.218.60.56/~jnz1568/discussion.php?&amp;Z=8&amp;N=6&amp;Sheet=2&amp;Row=52&amp;Col=7","")</f>
      </c>
      <c r="I53" t="s" s="1">
        <f>HYPERLINK("http://141.218.60.56/~jnz1568/discussion.php?&amp;Z=8&amp;N=6&amp;Sheet=2&amp;Row=52&amp;Col=8","")</f>
      </c>
      <c r="J53" t="s" s="1">
        <f>HYPERLINK("http://141.218.60.56/~jnz1568/discussion.php?&amp;Z=8&amp;N=6&amp;Sheet=2&amp;Row=52&amp;Col=9","4.8")</f>
      </c>
      <c r="K53" t="s" s="1">
        <f>HYPERLINK("http://141.218.60.56/~jnz1568/discussion.php?&amp;Z=8&amp;N=6&amp;Sheet=2&amp;Row=52&amp;Col=10","1.468")</f>
      </c>
      <c r="L53" t="s" s="1">
        <f>HYPERLINK("http://141.218.60.56/~jnz1568/discussion.php?&amp;Z=8&amp;N=6&amp;Sheet=2&amp;Row=52&amp;Col=11","4.14612803568")</f>
      </c>
      <c r="M53" t="s" s="1">
        <f>HYPERLINK("http://141.218.60.56/~jnz1568/discussion.php?&amp;Z=8&amp;N=6&amp;Sheet=2&amp;Row=52&amp;Col=12","1.09901875699")</f>
      </c>
    </row>
    <row r="54">
      <c r="A54" t="s">
        <v>1</v>
      </c>
      <c r="B54" t="s">
        <v>1</v>
      </c>
      <c r="C54" t="s">
        <v>1</v>
      </c>
      <c r="D54" t="s">
        <v>1</v>
      </c>
      <c r="E54" t="s">
        <v>58</v>
      </c>
      <c r="F54" t="s" s="1">
        <f>HYPERLINK("http://141.218.60.56/~jnz1568/discussion.php?&amp;Z=8&amp;N=6&amp;Sheet=2&amp;Row=53&amp;Col=5","4.6")</f>
      </c>
      <c r="G54" t="s" s="1">
        <f>HYPERLINK("http://141.218.60.56/~jnz1568/discussion.php?&amp;Z=8&amp;N=6&amp;Sheet=2&amp;Row=53&amp;Col=6","1.35")</f>
      </c>
      <c r="H54" t="s" s="1">
        <f>HYPERLINK("http://141.218.60.56/~jnz1568/discussion.php?&amp;Z=8&amp;N=6&amp;Sheet=2&amp;Row=53&amp;Col=7","")</f>
      </c>
      <c r="I54" t="s" s="1">
        <f>HYPERLINK("http://141.218.60.56/~jnz1568/discussion.php?&amp;Z=8&amp;N=6&amp;Sheet=2&amp;Row=53&amp;Col=8","")</f>
      </c>
      <c r="J54" t="s" s="1">
        <f>HYPERLINK("http://141.218.60.56/~jnz1568/discussion.php?&amp;Z=8&amp;N=6&amp;Sheet=2&amp;Row=53&amp;Col=9","5")</f>
      </c>
      <c r="K54" t="s" s="1">
        <f>HYPERLINK("http://141.218.60.56/~jnz1568/discussion.php?&amp;Z=8&amp;N=6&amp;Sheet=2&amp;Row=53&amp;Col=10","1.482")</f>
      </c>
      <c r="L54" t="s" s="1">
        <f>HYPERLINK("http://141.218.60.56/~jnz1568/discussion.php?&amp;Z=8&amp;N=6&amp;Sheet=2&amp;Row=53&amp;Col=11","4.17609125906")</f>
      </c>
      <c r="M54" t="s" s="1">
        <f>HYPERLINK("http://141.218.60.56/~jnz1568/discussion.php?&amp;Z=8&amp;N=6&amp;Sheet=2&amp;Row=53&amp;Col=12","1.10990072641")</f>
      </c>
    </row>
    <row r="55">
      <c r="A55" t="s">
        <v>1</v>
      </c>
      <c r="B55" t="s">
        <v>1</v>
      </c>
      <c r="C55" t="s">
        <v>1</v>
      </c>
      <c r="D55" t="s">
        <v>1</v>
      </c>
      <c r="E55" t="s">
        <v>61</v>
      </c>
      <c r="F55" t="s" s="1">
        <f>HYPERLINK("http://141.218.60.56/~jnz1568/discussion.php?&amp;Z=8&amp;N=6&amp;Sheet=2&amp;Row=54&amp;Col=5","4.7")</f>
      </c>
      <c r="G55" t="s" s="1">
        <f>HYPERLINK("http://141.218.60.56/~jnz1568/discussion.php?&amp;Z=8&amp;N=6&amp;Sheet=2&amp;Row=54&amp;Col=6","1.39")</f>
      </c>
      <c r="H55" t="s" s="1">
        <f>HYPERLINK("http://141.218.60.56/~jnz1568/discussion.php?&amp;Z=8&amp;N=6&amp;Sheet=2&amp;Row=54&amp;Col=7","")</f>
      </c>
      <c r="I55" t="s" s="1">
        <f>HYPERLINK("http://141.218.60.56/~jnz1568/discussion.php?&amp;Z=8&amp;N=6&amp;Sheet=2&amp;Row=54&amp;Col=8","")</f>
      </c>
      <c r="J55" t="s" s="1">
        <f>HYPERLINK("http://141.218.60.56/~jnz1568/discussion.php?&amp;Z=8&amp;N=6&amp;Sheet=2&amp;Row=54&amp;Col=9","")</f>
      </c>
      <c r="K55" t="s" s="1">
        <f>HYPERLINK("http://141.218.60.56/~jnz1568/discussion.php?&amp;Z=8&amp;N=6&amp;Sheet=2&amp;Row=54&amp;Col=10","")</f>
      </c>
      <c r="L55" t="s" s="1">
        <f>HYPERLINK("http://141.218.60.56/~jnz1568/discussion.php?&amp;Z=8&amp;N=6&amp;Sheet=2&amp;Row=54&amp;Col=11","4.20411998266")</f>
      </c>
      <c r="M55" t="s" s="1">
        <f>HYPERLINK("http://141.218.60.56/~jnz1568/discussion.php?&amp;Z=8&amp;N=6&amp;Sheet=2&amp;Row=54&amp;Col=12","1.1196886528")</f>
      </c>
    </row>
    <row r="56">
      <c r="A56" t="s">
        <v>1</v>
      </c>
      <c r="B56" t="s">
        <v>1</v>
      </c>
      <c r="C56" t="s">
        <v>1</v>
      </c>
      <c r="D56" t="s">
        <v>1</v>
      </c>
      <c r="E56" t="s">
        <v>64</v>
      </c>
      <c r="F56" t="s" s="1">
        <f>HYPERLINK("http://141.218.60.56/~jnz1568/discussion.php?&amp;Z=8&amp;N=6&amp;Sheet=2&amp;Row=55&amp;Col=5","4.78")</f>
      </c>
      <c r="G56" t="s" s="1">
        <f>HYPERLINK("http://141.218.60.56/~jnz1568/discussion.php?&amp;Z=8&amp;N=6&amp;Sheet=2&amp;Row=55&amp;Col=6","1.42")</f>
      </c>
      <c r="H56" t="s" s="1">
        <f>HYPERLINK("http://141.218.60.56/~jnz1568/discussion.php?&amp;Z=8&amp;N=6&amp;Sheet=2&amp;Row=55&amp;Col=7","")</f>
      </c>
      <c r="I56" t="s" s="1">
        <f>HYPERLINK("http://141.218.60.56/~jnz1568/discussion.php?&amp;Z=8&amp;N=6&amp;Sheet=2&amp;Row=55&amp;Col=8","")</f>
      </c>
      <c r="J56" t="s" s="1">
        <f>HYPERLINK("http://141.218.60.56/~jnz1568/discussion.php?&amp;Z=8&amp;N=6&amp;Sheet=2&amp;Row=55&amp;Col=9","")</f>
      </c>
      <c r="K56" t="s" s="1">
        <f>HYPERLINK("http://141.218.60.56/~jnz1568/discussion.php?&amp;Z=8&amp;N=6&amp;Sheet=2&amp;Row=55&amp;Col=10","")</f>
      </c>
      <c r="L56" t="s" s="1">
        <f>HYPERLINK("http://141.218.60.56/~jnz1568/discussion.php?&amp;Z=8&amp;N=6&amp;Sheet=2&amp;Row=55&amp;Col=11","4.23044892138")</f>
      </c>
      <c r="M56" t="s" s="1">
        <f>HYPERLINK("http://141.218.60.56/~jnz1568/discussion.php?&amp;Z=8&amp;N=6&amp;Sheet=2&amp;Row=55&amp;Col=12","1.12855371109")</f>
      </c>
    </row>
    <row r="57">
      <c r="A57" t="s">
        <v>1</v>
      </c>
      <c r="B57" t="s">
        <v>1</v>
      </c>
      <c r="C57" t="s">
        <v>1</v>
      </c>
      <c r="D57" t="s">
        <v>1</v>
      </c>
      <c r="E57" t="s">
        <v>69</v>
      </c>
      <c r="F57" t="s" s="1">
        <f>HYPERLINK("http://141.218.60.56/~jnz1568/discussion.php?&amp;Z=8&amp;N=6&amp;Sheet=2&amp;Row=56&amp;Col=5","4.9")</f>
      </c>
      <c r="G57" t="s" s="1">
        <f>HYPERLINK("http://141.218.60.56/~jnz1568/discussion.php?&amp;Z=8&amp;N=6&amp;Sheet=2&amp;Row=56&amp;Col=6","1.46")</f>
      </c>
      <c r="H57" t="s" s="1">
        <f>HYPERLINK("http://141.218.60.56/~jnz1568/discussion.php?&amp;Z=8&amp;N=6&amp;Sheet=2&amp;Row=56&amp;Col=7","")</f>
      </c>
      <c r="I57" t="s" s="1">
        <f>HYPERLINK("http://141.218.60.56/~jnz1568/discussion.php?&amp;Z=8&amp;N=6&amp;Sheet=2&amp;Row=56&amp;Col=8","")</f>
      </c>
      <c r="J57" t="s" s="1">
        <f>HYPERLINK("http://141.218.60.56/~jnz1568/discussion.php?&amp;Z=8&amp;N=6&amp;Sheet=2&amp;Row=56&amp;Col=9","")</f>
      </c>
      <c r="K57" t="s" s="1">
        <f>HYPERLINK("http://141.218.60.56/~jnz1568/discussion.php?&amp;Z=8&amp;N=6&amp;Sheet=2&amp;Row=56&amp;Col=10","")</f>
      </c>
      <c r="L57" t="s" s="1">
        <f>HYPERLINK("http://141.218.60.56/~jnz1568/discussion.php?&amp;Z=8&amp;N=6&amp;Sheet=2&amp;Row=56&amp;Col=11","4.2552725051")</f>
      </c>
      <c r="M57" t="s" s="1">
        <f>HYPERLINK("http://141.218.60.56/~jnz1568/discussion.php?&amp;Z=8&amp;N=6&amp;Sheet=2&amp;Row=56&amp;Col=12","1.13664752801")</f>
      </c>
    </row>
    <row r="58">
      <c r="A58" t="s">
        <v>1</v>
      </c>
      <c r="B58" t="s">
        <v>1</v>
      </c>
      <c r="C58" t="s">
        <v>1</v>
      </c>
      <c r="D58" t="s">
        <v>1</v>
      </c>
      <c r="E58" t="s">
        <v>74</v>
      </c>
      <c r="F58" t="s" s="1">
        <f>HYPERLINK("http://141.218.60.56/~jnz1568/discussion.php?&amp;Z=8&amp;N=6&amp;Sheet=2&amp;Row=57&amp;Col=5","5")</f>
      </c>
      <c r="G58" t="s" s="1">
        <f>HYPERLINK("http://141.218.60.56/~jnz1568/discussion.php?&amp;Z=8&amp;N=6&amp;Sheet=2&amp;Row=57&amp;Col=6","1.48")</f>
      </c>
      <c r="H58" t="s" s="1">
        <f>HYPERLINK("http://141.218.60.56/~jnz1568/discussion.php?&amp;Z=8&amp;N=6&amp;Sheet=2&amp;Row=57&amp;Col=7","")</f>
      </c>
      <c r="I58" t="s" s="1">
        <f>HYPERLINK("http://141.218.60.56/~jnz1568/discussion.php?&amp;Z=8&amp;N=6&amp;Sheet=2&amp;Row=57&amp;Col=8","")</f>
      </c>
      <c r="J58" t="s" s="1">
        <f>HYPERLINK("http://141.218.60.56/~jnz1568/discussion.php?&amp;Z=8&amp;N=6&amp;Sheet=2&amp;Row=57&amp;Col=9","")</f>
      </c>
      <c r="K58" t="s" s="1">
        <f>HYPERLINK("http://141.218.60.56/~jnz1568/discussion.php?&amp;Z=8&amp;N=6&amp;Sheet=2&amp;Row=57&amp;Col=10","")</f>
      </c>
      <c r="L58" t="s" s="1">
        <f>HYPERLINK("http://141.218.60.56/~jnz1568/discussion.php?&amp;Z=8&amp;N=6&amp;Sheet=2&amp;Row=57&amp;Col=11","4.27875360095")</f>
      </c>
      <c r="M58" t="s" s="1">
        <f>HYPERLINK("http://141.218.60.56/~jnz1568/discussion.php?&amp;Z=8&amp;N=6&amp;Sheet=2&amp;Row=57&amp;Col=12","1.14410188972")</f>
      </c>
    </row>
    <row r="59">
      <c r="A59" t="s">
        <v>1</v>
      </c>
      <c r="B59" t="s">
        <v>1</v>
      </c>
      <c r="C59" t="s">
        <v>1</v>
      </c>
      <c r="D59" t="s">
        <v>1</v>
      </c>
      <c r="E59" t="s">
        <v>79</v>
      </c>
      <c r="F59" t="s" s="1">
        <f>HYPERLINK("http://141.218.60.56/~jnz1568/discussion.php?&amp;Z=8&amp;N=6&amp;Sheet=2&amp;Row=58&amp;Col=5","5.08")</f>
      </c>
      <c r="G59" t="s" s="1">
        <f>HYPERLINK("http://141.218.60.56/~jnz1568/discussion.php?&amp;Z=8&amp;N=6&amp;Sheet=2&amp;Row=58&amp;Col=6","1.49")</f>
      </c>
      <c r="H59" t="s" s="1">
        <f>HYPERLINK("http://141.218.60.56/~jnz1568/discussion.php?&amp;Z=8&amp;N=6&amp;Sheet=2&amp;Row=58&amp;Col=7","")</f>
      </c>
      <c r="I59" t="s" s="1">
        <f>HYPERLINK("http://141.218.60.56/~jnz1568/discussion.php?&amp;Z=8&amp;N=6&amp;Sheet=2&amp;Row=58&amp;Col=8","")</f>
      </c>
      <c r="J59" t="s" s="1">
        <f>HYPERLINK("http://141.218.60.56/~jnz1568/discussion.php?&amp;Z=8&amp;N=6&amp;Sheet=2&amp;Row=58&amp;Col=9","")</f>
      </c>
      <c r="K59" t="s" s="1">
        <f>HYPERLINK("http://141.218.60.56/~jnz1568/discussion.php?&amp;Z=8&amp;N=6&amp;Sheet=2&amp;Row=58&amp;Col=10","")</f>
      </c>
      <c r="L59" t="s" s="1">
        <f>HYPERLINK("http://141.218.60.56/~jnz1568/discussion.php?&amp;Z=8&amp;N=6&amp;Sheet=2&amp;Row=58&amp;Col=11","4.30102999566")</f>
      </c>
      <c r="M59" t="s" s="1">
        <f>HYPERLINK("http://141.218.60.56/~jnz1568/discussion.php?&amp;Z=8&amp;N=6&amp;Sheet=2&amp;Row=58&amp;Col=12","1.15102971614")</f>
      </c>
    </row>
    <row r="60">
      <c r="A60" t="s">
        <v>1</v>
      </c>
      <c r="B60" t="s">
        <v>1</v>
      </c>
      <c r="C60" t="s">
        <v>1</v>
      </c>
      <c r="D60" t="s">
        <v>1</v>
      </c>
      <c r="E60" t="s">
        <v>84</v>
      </c>
      <c r="F60" t="s" s="1">
        <f>HYPERLINK("http://141.218.60.56/~jnz1568/discussion.php?&amp;Z=8&amp;N=6&amp;Sheet=2&amp;Row=59&amp;Col=5","5.15")</f>
      </c>
      <c r="G60" t="s" s="1">
        <f>HYPERLINK("http://141.218.60.56/~jnz1568/discussion.php?&amp;Z=8&amp;N=6&amp;Sheet=2&amp;Row=59&amp;Col=6","1.48")</f>
      </c>
      <c r="H60" t="s" s="1">
        <f>HYPERLINK("http://141.218.60.56/~jnz1568/discussion.php?&amp;Z=8&amp;N=6&amp;Sheet=2&amp;Row=59&amp;Col=7","")</f>
      </c>
      <c r="I60" t="s" s="1">
        <f>HYPERLINK("http://141.218.60.56/~jnz1568/discussion.php?&amp;Z=8&amp;N=6&amp;Sheet=2&amp;Row=59&amp;Col=8","")</f>
      </c>
      <c r="J60" t="s" s="1">
        <f>HYPERLINK("http://141.218.60.56/~jnz1568/discussion.php?&amp;Z=8&amp;N=6&amp;Sheet=2&amp;Row=59&amp;Col=9","")</f>
      </c>
      <c r="K60" t="s" s="1">
        <f>HYPERLINK("http://141.218.60.56/~jnz1568/discussion.php?&amp;Z=8&amp;N=6&amp;Sheet=2&amp;Row=59&amp;Col=10","")</f>
      </c>
      <c r="L60" t="s" s="1">
        <f>HYPERLINK("http://141.218.60.56/~jnz1568/discussion.php?&amp;Z=8&amp;N=6&amp;Sheet=2&amp;Row=59&amp;Col=11","")</f>
      </c>
      <c r="M60" t="s" s="1">
        <f>HYPERLINK("http://141.218.60.56/~jnz1568/discussion.php?&amp;Z=8&amp;N=6&amp;Sheet=2&amp;Row=59&amp;Col=12","")</f>
      </c>
    </row>
    <row r="61">
      <c r="A61" t="s">
        <v>1</v>
      </c>
      <c r="B61" t="s">
        <v>1</v>
      </c>
      <c r="C61" t="s">
        <v>1</v>
      </c>
      <c r="D61" t="s">
        <v>1</v>
      </c>
      <c r="E61" t="s">
        <v>87</v>
      </c>
      <c r="F61" t="s" s="1">
        <f>HYPERLINK("http://141.218.60.56/~jnz1568/discussion.php?&amp;Z=8&amp;N=6&amp;Sheet=2&amp;Row=60&amp;Col=5","5.2")</f>
      </c>
      <c r="G61" t="s" s="1">
        <f>HYPERLINK("http://141.218.60.56/~jnz1568/discussion.php?&amp;Z=8&amp;N=6&amp;Sheet=2&amp;Row=60&amp;Col=6","1.46")</f>
      </c>
      <c r="H61" t="s" s="1">
        <f>HYPERLINK("http://141.218.60.56/~jnz1568/discussion.php?&amp;Z=8&amp;N=6&amp;Sheet=2&amp;Row=60&amp;Col=7","")</f>
      </c>
      <c r="I61" t="s" s="1">
        <f>HYPERLINK("http://141.218.60.56/~jnz1568/discussion.php?&amp;Z=8&amp;N=6&amp;Sheet=2&amp;Row=60&amp;Col=8","")</f>
      </c>
      <c r="J61" t="s" s="1">
        <f>HYPERLINK("http://141.218.60.56/~jnz1568/discussion.php?&amp;Z=8&amp;N=6&amp;Sheet=2&amp;Row=60&amp;Col=9","")</f>
      </c>
      <c r="K61" t="s" s="1">
        <f>HYPERLINK("http://141.218.60.56/~jnz1568/discussion.php?&amp;Z=8&amp;N=6&amp;Sheet=2&amp;Row=60&amp;Col=10","")</f>
      </c>
      <c r="L61" t="s" s="1">
        <f>HYPERLINK("http://141.218.60.56/~jnz1568/discussion.php?&amp;Z=8&amp;N=6&amp;Sheet=2&amp;Row=60&amp;Col=11","")</f>
      </c>
      <c r="M61" t="s" s="1">
        <f>HYPERLINK("http://141.218.60.56/~jnz1568/discussion.php?&amp;Z=8&amp;N=6&amp;Sheet=2&amp;Row=60&amp;Col=12","")</f>
      </c>
    </row>
    <row r="62">
      <c r="A62" t="s">
        <v>1</v>
      </c>
      <c r="B62" t="s">
        <v>1</v>
      </c>
      <c r="C62" t="s">
        <v>1</v>
      </c>
      <c r="D62" t="s">
        <v>1</v>
      </c>
      <c r="E62" t="s">
        <v>90</v>
      </c>
      <c r="F62" t="s" s="1">
        <f>HYPERLINK("http://141.218.60.56/~jnz1568/discussion.php?&amp;Z=8&amp;N=6&amp;Sheet=2&amp;Row=61&amp;Col=5","5.26")</f>
      </c>
      <c r="G62" t="s" s="1">
        <f>HYPERLINK("http://141.218.60.56/~jnz1568/discussion.php?&amp;Z=8&amp;N=6&amp;Sheet=2&amp;Row=61&amp;Col=6","1.44")</f>
      </c>
      <c r="H62" t="s" s="1">
        <f>HYPERLINK("http://141.218.60.56/~jnz1568/discussion.php?&amp;Z=8&amp;N=6&amp;Sheet=2&amp;Row=61&amp;Col=7","")</f>
      </c>
      <c r="I62" t="s" s="1">
        <f>HYPERLINK("http://141.218.60.56/~jnz1568/discussion.php?&amp;Z=8&amp;N=6&amp;Sheet=2&amp;Row=61&amp;Col=8","")</f>
      </c>
      <c r="J62" t="s" s="1">
        <f>HYPERLINK("http://141.218.60.56/~jnz1568/discussion.php?&amp;Z=8&amp;N=6&amp;Sheet=2&amp;Row=61&amp;Col=9","")</f>
      </c>
      <c r="K62" t="s" s="1">
        <f>HYPERLINK("http://141.218.60.56/~jnz1568/discussion.php?&amp;Z=8&amp;N=6&amp;Sheet=2&amp;Row=61&amp;Col=10","")</f>
      </c>
      <c r="L62" t="s" s="1">
        <f>HYPERLINK("http://141.218.60.56/~jnz1568/discussion.php?&amp;Z=8&amp;N=6&amp;Sheet=2&amp;Row=61&amp;Col=11","")</f>
      </c>
      <c r="M62" t="s" s="1">
        <f>HYPERLINK("http://141.218.60.56/~jnz1568/discussion.php?&amp;Z=8&amp;N=6&amp;Sheet=2&amp;Row=61&amp;Col=12","")</f>
      </c>
    </row>
    <row r="63">
      <c r="A63" t="s">
        <v>1</v>
      </c>
      <c r="B63" t="s">
        <v>1</v>
      </c>
      <c r="C63" t="s">
        <v>1</v>
      </c>
      <c r="D63" t="s">
        <v>1</v>
      </c>
      <c r="E63" t="s">
        <v>94</v>
      </c>
      <c r="F63" t="s" s="1">
        <f>HYPERLINK("http://141.218.60.56/~jnz1568/discussion.php?&amp;Z=8&amp;N=6&amp;Sheet=2&amp;Row=62&amp;Col=5","5.3")</f>
      </c>
      <c r="G63" t="s" s="1">
        <f>HYPERLINK("http://141.218.60.56/~jnz1568/discussion.php?&amp;Z=8&amp;N=6&amp;Sheet=2&amp;Row=62&amp;Col=6","1.42")</f>
      </c>
      <c r="H63" t="s" s="1">
        <f>HYPERLINK("http://141.218.60.56/~jnz1568/discussion.php?&amp;Z=8&amp;N=6&amp;Sheet=2&amp;Row=62&amp;Col=7","")</f>
      </c>
      <c r="I63" t="s" s="1">
        <f>HYPERLINK("http://141.218.60.56/~jnz1568/discussion.php?&amp;Z=8&amp;N=6&amp;Sheet=2&amp;Row=62&amp;Col=8","")</f>
      </c>
      <c r="J63" t="s" s="1">
        <f>HYPERLINK("http://141.218.60.56/~jnz1568/discussion.php?&amp;Z=8&amp;N=6&amp;Sheet=2&amp;Row=62&amp;Col=9","")</f>
      </c>
      <c r="K63" t="s" s="1">
        <f>HYPERLINK("http://141.218.60.56/~jnz1568/discussion.php?&amp;Z=8&amp;N=6&amp;Sheet=2&amp;Row=62&amp;Col=10","")</f>
      </c>
      <c r="L63" t="s" s="1">
        <f>HYPERLINK("http://141.218.60.56/~jnz1568/discussion.php?&amp;Z=8&amp;N=6&amp;Sheet=2&amp;Row=62&amp;Col=11","")</f>
      </c>
      <c r="M63" t="s" s="1">
        <f>HYPERLINK("http://141.218.60.56/~jnz1568/discussion.php?&amp;Z=8&amp;N=6&amp;Sheet=2&amp;Row=62&amp;Col=12","")</f>
      </c>
    </row>
    <row r="64">
      <c r="A64" t="s">
        <v>15</v>
      </c>
      <c r="B64" t="s">
        <v>16</v>
      </c>
      <c r="C64" t="s">
        <v>28</v>
      </c>
      <c r="D64" t="s">
        <v>17</v>
      </c>
      <c r="E64" t="s">
        <v>17</v>
      </c>
      <c r="F64" t="s" s="1">
        <f>HYPERLINK("http://141.218.60.56/~jnz1568/discussion.php?&amp;Z=8&amp;N=6&amp;Sheet=2&amp;Row=63&amp;Col=5","3.4")</f>
      </c>
      <c r="G64" t="s" s="1">
        <f>HYPERLINK("http://141.218.60.56/~jnz1568/discussion.php?&amp;Z=8&amp;N=6&amp;Sheet=2&amp;Row=63&amp;Col=6","0.226")</f>
      </c>
      <c r="H64" t="s" s="1">
        <f>HYPERLINK("http://141.218.60.56/~jnz1568/discussion.php?&amp;Z=8&amp;N=6&amp;Sheet=2&amp;Row=63&amp;Col=7","2")</f>
      </c>
      <c r="I64" t="s" s="1">
        <f>HYPERLINK("http://141.218.60.56/~jnz1568/discussion.php?&amp;Z=8&amp;N=6&amp;Sheet=2&amp;Row=63&amp;Col=8","0.1959")</f>
      </c>
      <c r="J64" t="s" s="1">
        <f>HYPERLINK("http://141.218.60.56/~jnz1568/discussion.php?&amp;Z=8&amp;N=6&amp;Sheet=2&amp;Row=63&amp;Col=9","3")</f>
      </c>
      <c r="K64" t="s" s="1">
        <f>HYPERLINK("http://141.218.60.56/~jnz1568/discussion.php?&amp;Z=8&amp;N=6&amp;Sheet=2&amp;Row=63&amp;Col=10","0.247033333333")</f>
      </c>
      <c r="L64" t="s" s="1">
        <f>HYPERLINK("http://141.218.60.56/~jnz1568/discussion.php?&amp;Z=8&amp;N=6&amp;Sheet=2&amp;Row=63&amp;Col=11","3.69897000434")</f>
      </c>
      <c r="M64" t="s" s="1">
        <f>HYPERLINK("http://141.218.60.56/~jnz1568/discussion.php?&amp;Z=8&amp;N=6&amp;Sheet=2&amp;Row=63&amp;Col=12","0.18545807849")</f>
      </c>
    </row>
    <row r="65">
      <c r="A65" t="s">
        <v>1</v>
      </c>
      <c r="B65" t="s">
        <v>1</v>
      </c>
      <c r="C65" t="s">
        <v>1</v>
      </c>
      <c r="D65" t="s">
        <v>1</v>
      </c>
      <c r="E65" t="s">
        <v>23</v>
      </c>
      <c r="F65" t="s" s="1">
        <f>HYPERLINK("http://141.218.60.56/~jnz1568/discussion.php?&amp;Z=8&amp;N=6&amp;Sheet=2&amp;Row=64&amp;Col=5","3.7")</f>
      </c>
      <c r="G65" t="s" s="1">
        <f>HYPERLINK("http://141.218.60.56/~jnz1568/discussion.php?&amp;Z=8&amp;N=6&amp;Sheet=2&amp;Row=64&amp;Col=6","0.227")</f>
      </c>
      <c r="H65" t="s" s="1">
        <f>HYPERLINK("http://141.218.60.56/~jnz1568/discussion.php?&amp;Z=8&amp;N=6&amp;Sheet=2&amp;Row=64&amp;Col=7","2.69897000434")</f>
      </c>
      <c r="I65" t="s" s="1">
        <f>HYPERLINK("http://141.218.60.56/~jnz1568/discussion.php?&amp;Z=8&amp;N=6&amp;Sheet=2&amp;Row=64&amp;Col=8","0.2088")</f>
      </c>
      <c r="J65" t="s" s="1">
        <f>HYPERLINK("http://141.218.60.56/~jnz1568/discussion.php?&amp;Z=8&amp;N=6&amp;Sheet=2&amp;Row=64&amp;Col=9","3.2")</f>
      </c>
      <c r="K65" t="s" s="1">
        <f>HYPERLINK("http://141.218.60.56/~jnz1568/discussion.php?&amp;Z=8&amp;N=6&amp;Sheet=2&amp;Row=64&amp;Col=10","0.2432")</f>
      </c>
      <c r="L65" t="s" s="1">
        <f>HYPERLINK("http://141.218.60.56/~jnz1568/discussion.php?&amp;Z=8&amp;N=6&amp;Sheet=2&amp;Row=64&amp;Col=11","3.77815125038")</f>
      </c>
      <c r="M65" t="s" s="1">
        <f>HYPERLINK("http://141.218.60.56/~jnz1568/discussion.php?&amp;Z=8&amp;N=6&amp;Sheet=2&amp;Row=64&amp;Col=12","0.19222478992")</f>
      </c>
    </row>
    <row r="66">
      <c r="A66" t="s">
        <v>1</v>
      </c>
      <c r="B66" t="s">
        <v>1</v>
      </c>
      <c r="C66" t="s">
        <v>1</v>
      </c>
      <c r="D66" t="s">
        <v>1</v>
      </c>
      <c r="E66" t="s">
        <v>20</v>
      </c>
      <c r="F66" t="s" s="1">
        <f>HYPERLINK("http://141.218.60.56/~jnz1568/discussion.php?&amp;Z=8&amp;N=6&amp;Sheet=2&amp;Row=65&amp;Col=5","3.88")</f>
      </c>
      <c r="G66" t="s" s="1">
        <f>HYPERLINK("http://141.218.60.56/~jnz1568/discussion.php?&amp;Z=8&amp;N=6&amp;Sheet=2&amp;Row=65&amp;Col=6","0.234")</f>
      </c>
      <c r="H66" t="s" s="1">
        <f>HYPERLINK("http://141.218.60.56/~jnz1568/discussion.php?&amp;Z=8&amp;N=6&amp;Sheet=2&amp;Row=65&amp;Col=7","3")</f>
      </c>
      <c r="I66" t="s" s="1">
        <f>HYPERLINK("http://141.218.60.56/~jnz1568/discussion.php?&amp;Z=8&amp;N=6&amp;Sheet=2&amp;Row=65&amp;Col=8","0.2154")</f>
      </c>
      <c r="J66" t="s" s="1">
        <f>HYPERLINK("http://141.218.60.56/~jnz1568/discussion.php?&amp;Z=8&amp;N=6&amp;Sheet=2&amp;Row=65&amp;Col=9","3.4")</f>
      </c>
      <c r="K66" t="s" s="1">
        <f>HYPERLINK("http://141.218.60.56/~jnz1568/discussion.php?&amp;Z=8&amp;N=6&amp;Sheet=2&amp;Row=65&amp;Col=10","0.237955555556")</f>
      </c>
      <c r="L66" t="s" s="1">
        <f>HYPERLINK("http://141.218.60.56/~jnz1568/discussion.php?&amp;Z=8&amp;N=6&amp;Sheet=2&amp;Row=65&amp;Col=11","3.84509804001")</f>
      </c>
      <c r="M66" t="s" s="1">
        <f>HYPERLINK("http://141.218.60.56/~jnz1568/discussion.php?&amp;Z=8&amp;N=6&amp;Sheet=2&amp;Row=65&amp;Col=12","0.199550205382")</f>
      </c>
    </row>
    <row r="67">
      <c r="A67" t="s">
        <v>1</v>
      </c>
      <c r="B67" t="s">
        <v>1</v>
      </c>
      <c r="C67" t="s">
        <v>1</v>
      </c>
      <c r="D67" t="s">
        <v>1</v>
      </c>
      <c r="E67" t="s">
        <v>28</v>
      </c>
      <c r="F67" t="s" s="1">
        <f>HYPERLINK("http://141.218.60.56/~jnz1568/discussion.php?&amp;Z=8&amp;N=6&amp;Sheet=2&amp;Row=66&amp;Col=5","4")</f>
      </c>
      <c r="G67" t="s" s="1">
        <f>HYPERLINK("http://141.218.60.56/~jnz1568/discussion.php?&amp;Z=8&amp;N=6&amp;Sheet=2&amp;Row=66&amp;Col=6","0.243")</f>
      </c>
      <c r="H67" t="s" s="1">
        <f>HYPERLINK("http://141.218.60.56/~jnz1568/discussion.php?&amp;Z=8&amp;N=6&amp;Sheet=2&amp;Row=66&amp;Col=7","3.69897000434")</f>
      </c>
      <c r="I67" t="s" s="1">
        <f>HYPERLINK("http://141.218.60.56/~jnz1568/discussion.php?&amp;Z=8&amp;N=6&amp;Sheet=2&amp;Row=66&amp;Col=8","0.2347")</f>
      </c>
      <c r="J67" t="s" s="1">
        <f>HYPERLINK("http://141.218.60.56/~jnz1568/discussion.php?&amp;Z=8&amp;N=6&amp;Sheet=2&amp;Row=66&amp;Col=9","3.6")</f>
      </c>
      <c r="K67" t="s" s="1">
        <f>HYPERLINK("http://141.218.60.56/~jnz1568/discussion.php?&amp;Z=8&amp;N=6&amp;Sheet=2&amp;Row=66&amp;Col=10","0.234633333333")</f>
      </c>
      <c r="L67" t="s" s="1">
        <f>HYPERLINK("http://141.218.60.56/~jnz1568/discussion.php?&amp;Z=8&amp;N=6&amp;Sheet=2&amp;Row=66&amp;Col=11","3.90308998699")</f>
      </c>
      <c r="M67" t="s" s="1">
        <f>HYPERLINK("http://141.218.60.56/~jnz1568/discussion.php?&amp;Z=8&amp;N=6&amp;Sheet=2&amp;Row=66&amp;Col=12","0.206763403134")</f>
      </c>
    </row>
    <row r="68">
      <c r="A68" t="s">
        <v>1</v>
      </c>
      <c r="B68" t="s">
        <v>1</v>
      </c>
      <c r="C68" t="s">
        <v>1</v>
      </c>
      <c r="D68" t="s">
        <v>1</v>
      </c>
      <c r="E68" t="s">
        <v>33</v>
      </c>
      <c r="F68" t="s" s="1">
        <f>HYPERLINK("http://141.218.60.56/~jnz1568/discussion.php?&amp;Z=8&amp;N=6&amp;Sheet=2&amp;Row=67&amp;Col=5","4.1")</f>
      </c>
      <c r="G68" t="s" s="1">
        <f>HYPERLINK("http://141.218.60.56/~jnz1568/discussion.php?&amp;Z=8&amp;N=6&amp;Sheet=2&amp;Row=67&amp;Col=6","0.252")</f>
      </c>
      <c r="H68" t="s" s="1">
        <f>HYPERLINK("http://141.218.60.56/~jnz1568/discussion.php?&amp;Z=8&amp;N=6&amp;Sheet=2&amp;Row=67&amp;Col=7","4")</f>
      </c>
      <c r="I68" t="s" s="1">
        <f>HYPERLINK("http://141.218.60.56/~jnz1568/discussion.php?&amp;Z=8&amp;N=6&amp;Sheet=2&amp;Row=67&amp;Col=8","0.2693")</f>
      </c>
      <c r="J68" t="s" s="1">
        <f>HYPERLINK("http://141.218.60.56/~jnz1568/discussion.php?&amp;Z=8&amp;N=6&amp;Sheet=2&amp;Row=67&amp;Col=9","3.8")</f>
      </c>
      <c r="K68" t="s" s="1">
        <f>HYPERLINK("http://141.218.60.56/~jnz1568/discussion.php?&amp;Z=8&amp;N=6&amp;Sheet=2&amp;Row=67&amp;Col=10","0.239755555556")</f>
      </c>
      <c r="L68" t="s" s="1">
        <f>HYPERLINK("http://141.218.60.56/~jnz1568/discussion.php?&amp;Z=8&amp;N=6&amp;Sheet=2&amp;Row=67&amp;Col=11","3.95424250944")</f>
      </c>
      <c r="M68" t="s" s="1">
        <f>HYPERLINK("http://141.218.60.56/~jnz1568/discussion.php?&amp;Z=8&amp;N=6&amp;Sheet=2&amp;Row=67&amp;Col=12","0.213546587081")</f>
      </c>
    </row>
    <row r="69">
      <c r="A69" t="s">
        <v>1</v>
      </c>
      <c r="B69" t="s">
        <v>1</v>
      </c>
      <c r="C69" t="s">
        <v>1</v>
      </c>
      <c r="D69" t="s">
        <v>1</v>
      </c>
      <c r="E69" t="s">
        <v>16</v>
      </c>
      <c r="F69" t="s" s="1">
        <f>HYPERLINK("http://141.218.60.56/~jnz1568/discussion.php?&amp;Z=8&amp;N=6&amp;Sheet=2&amp;Row=68&amp;Col=5","4.18")</f>
      </c>
      <c r="G69" t="s" s="1">
        <f>HYPERLINK("http://141.218.60.56/~jnz1568/discussion.php?&amp;Z=8&amp;N=6&amp;Sheet=2&amp;Row=68&amp;Col=6","0.258")</f>
      </c>
      <c r="H69" t="s" s="1">
        <f>HYPERLINK("http://141.218.60.56/~jnz1568/discussion.php?&amp;Z=8&amp;N=6&amp;Sheet=2&amp;Row=68&amp;Col=7","4.30102999566")</f>
      </c>
      <c r="I69" t="s" s="1">
        <f>HYPERLINK("http://141.218.60.56/~jnz1568/discussion.php?&amp;Z=8&amp;N=6&amp;Sheet=2&amp;Row=68&amp;Col=8","0.3094")</f>
      </c>
      <c r="J69" t="s" s="1">
        <f>HYPERLINK("http://141.218.60.56/~jnz1568/discussion.php?&amp;Z=8&amp;N=6&amp;Sheet=2&amp;Row=68&amp;Col=9","4")</f>
      </c>
      <c r="K69" t="s" s="1">
        <f>HYPERLINK("http://141.218.60.56/~jnz1568/discussion.php?&amp;Z=8&amp;N=6&amp;Sheet=2&amp;Row=68&amp;Col=10","0.254355555556")</f>
      </c>
      <c r="L69" t="s" s="1">
        <f>HYPERLINK("http://141.218.60.56/~jnz1568/discussion.php?&amp;Z=8&amp;N=6&amp;Sheet=2&amp;Row=68&amp;Col=11","4")</f>
      </c>
      <c r="M69" t="s" s="1">
        <f>HYPERLINK("http://141.218.60.56/~jnz1568/discussion.php?&amp;Z=8&amp;N=6&amp;Sheet=2&amp;Row=68&amp;Col=12","0.21977592991")</f>
      </c>
    </row>
    <row r="70">
      <c r="A70" t="s">
        <v>1</v>
      </c>
      <c r="B70" t="s">
        <v>1</v>
      </c>
      <c r="C70" t="s">
        <v>1</v>
      </c>
      <c r="D70" t="s">
        <v>1</v>
      </c>
      <c r="E70" t="s">
        <v>43</v>
      </c>
      <c r="F70" t="s" s="1">
        <f>HYPERLINK("http://141.218.60.56/~jnz1568/discussion.php?&amp;Z=8&amp;N=6&amp;Sheet=2&amp;Row=69&amp;Col=5","4.24")</f>
      </c>
      <c r="G70" t="s" s="1">
        <f>HYPERLINK("http://141.218.60.56/~jnz1568/discussion.php?&amp;Z=8&amp;N=6&amp;Sheet=2&amp;Row=69&amp;Col=6","0.264")</f>
      </c>
      <c r="H70" t="s" s="1">
        <f>HYPERLINK("http://141.218.60.56/~jnz1568/discussion.php?&amp;Z=8&amp;N=6&amp;Sheet=2&amp;Row=69&amp;Col=7","4.47712125472")</f>
      </c>
      <c r="I70" t="s" s="1">
        <f>HYPERLINK("http://141.218.60.56/~jnz1568/discussion.php?&amp;Z=8&amp;N=6&amp;Sheet=2&amp;Row=69&amp;Col=8","0.3256")</f>
      </c>
      <c r="J70" t="s" s="1">
        <f>HYPERLINK("http://141.218.60.56/~jnz1568/discussion.php?&amp;Z=8&amp;N=6&amp;Sheet=2&amp;Row=69&amp;Col=9","4.2")</f>
      </c>
      <c r="K70" t="s" s="1">
        <f>HYPERLINK("http://141.218.60.56/~jnz1568/discussion.php?&amp;Z=8&amp;N=6&amp;Sheet=2&amp;Row=69&amp;Col=10","0.272188888889")</f>
      </c>
      <c r="L70" t="s" s="1">
        <f>HYPERLINK("http://141.218.60.56/~jnz1568/discussion.php?&amp;Z=8&amp;N=6&amp;Sheet=2&amp;Row=69&amp;Col=11","4.04139268516")</f>
      </c>
      <c r="M70" t="s" s="1">
        <f>HYPERLINK("http://141.218.60.56/~jnz1568/discussion.php?&amp;Z=8&amp;N=6&amp;Sheet=2&amp;Row=69&amp;Col=12","0.22542796992")</f>
      </c>
    </row>
    <row r="71">
      <c r="A71" t="s">
        <v>1</v>
      </c>
      <c r="B71" t="s">
        <v>1</v>
      </c>
      <c r="C71" t="s">
        <v>1</v>
      </c>
      <c r="D71" t="s">
        <v>1</v>
      </c>
      <c r="E71" t="s">
        <v>15</v>
      </c>
      <c r="F71" t="s" s="1">
        <f>HYPERLINK("http://141.218.60.56/~jnz1568/discussion.php?&amp;Z=8&amp;N=6&amp;Sheet=2&amp;Row=70&amp;Col=5","4.3")</f>
      </c>
      <c r="G71" t="s" s="1">
        <f>HYPERLINK("http://141.218.60.56/~jnz1568/discussion.php?&amp;Z=8&amp;N=6&amp;Sheet=2&amp;Row=70&amp;Col=6","0.268")</f>
      </c>
      <c r="H71" t="s" s="1">
        <f>HYPERLINK("http://141.218.60.56/~jnz1568/discussion.php?&amp;Z=8&amp;N=6&amp;Sheet=2&amp;Row=70&amp;Col=7","")</f>
      </c>
      <c r="I71" t="s" s="1">
        <f>HYPERLINK("http://141.218.60.56/~jnz1568/discussion.php?&amp;Z=8&amp;N=6&amp;Sheet=2&amp;Row=70&amp;Col=8","")</f>
      </c>
      <c r="J71" t="s" s="1">
        <f>HYPERLINK("http://141.218.60.56/~jnz1568/discussion.php?&amp;Z=8&amp;N=6&amp;Sheet=2&amp;Row=70&amp;Col=9","4.4")</f>
      </c>
      <c r="K71" t="s" s="1">
        <f>HYPERLINK("http://141.218.60.56/~jnz1568/discussion.php?&amp;Z=8&amp;N=6&amp;Sheet=2&amp;Row=70&amp;Col=10","0.287233333333")</f>
      </c>
      <c r="L71" t="s" s="1">
        <f>HYPERLINK("http://141.218.60.56/~jnz1568/discussion.php?&amp;Z=8&amp;N=6&amp;Sheet=2&amp;Row=70&amp;Col=11","4.07918124605")</f>
      </c>
      <c r="M71" t="s" s="1">
        <f>HYPERLINK("http://141.218.60.56/~jnz1568/discussion.php?&amp;Z=8&amp;N=6&amp;Sheet=2&amp;Row=70&amp;Col=12","0.23052795932")</f>
      </c>
    </row>
    <row r="72">
      <c r="A72" t="s">
        <v>1</v>
      </c>
      <c r="B72" t="s">
        <v>1</v>
      </c>
      <c r="C72" t="s">
        <v>1</v>
      </c>
      <c r="D72" t="s">
        <v>1</v>
      </c>
      <c r="E72" t="s">
        <v>50</v>
      </c>
      <c r="F72" t="s" s="1">
        <f>HYPERLINK("http://141.218.60.56/~jnz1568/discussion.php?&amp;Z=8&amp;N=6&amp;Sheet=2&amp;Row=71&amp;Col=5","4.4")</f>
      </c>
      <c r="G72" t="s" s="1">
        <f>HYPERLINK("http://141.218.60.56/~jnz1568/discussion.php?&amp;Z=8&amp;N=6&amp;Sheet=2&amp;Row=71&amp;Col=6","0.275")</f>
      </c>
      <c r="H72" t="s" s="1">
        <f>HYPERLINK("http://141.218.60.56/~jnz1568/discussion.php?&amp;Z=8&amp;N=6&amp;Sheet=2&amp;Row=71&amp;Col=7","")</f>
      </c>
      <c r="I72" t="s" s="1">
        <f>HYPERLINK("http://141.218.60.56/~jnz1568/discussion.php?&amp;Z=8&amp;N=6&amp;Sheet=2&amp;Row=71&amp;Col=8","")</f>
      </c>
      <c r="J72" t="s" s="1">
        <f>HYPERLINK("http://141.218.60.56/~jnz1568/discussion.php?&amp;Z=8&amp;N=6&amp;Sheet=2&amp;Row=71&amp;Col=9","4.6")</f>
      </c>
      <c r="K72" t="s" s="1">
        <f>HYPERLINK("http://141.218.60.56/~jnz1568/discussion.php?&amp;Z=8&amp;N=6&amp;Sheet=2&amp;Row=71&amp;Col=10","0.297")</f>
      </c>
      <c r="L72" t="s" s="1">
        <f>HYPERLINK("http://141.218.60.56/~jnz1568/discussion.php?&amp;Z=8&amp;N=6&amp;Sheet=2&amp;Row=71&amp;Col=11","4.11394335231")</f>
      </c>
      <c r="M72" t="s" s="1">
        <f>HYPERLINK("http://141.218.60.56/~jnz1568/discussion.php?&amp;Z=8&amp;N=6&amp;Sheet=2&amp;Row=71&amp;Col=12","0.23512224622")</f>
      </c>
    </row>
    <row r="73">
      <c r="A73" t="s">
        <v>1</v>
      </c>
      <c r="B73" t="s">
        <v>1</v>
      </c>
      <c r="C73" t="s">
        <v>1</v>
      </c>
      <c r="D73" t="s">
        <v>1</v>
      </c>
      <c r="E73" t="s">
        <v>53</v>
      </c>
      <c r="F73" t="s" s="1">
        <f>HYPERLINK("http://141.218.60.56/~jnz1568/discussion.php?&amp;Z=8&amp;N=6&amp;Sheet=2&amp;Row=72&amp;Col=5","4.48")</f>
      </c>
      <c r="G73" t="s" s="1">
        <f>HYPERLINK("http://141.218.60.56/~jnz1568/discussion.php?&amp;Z=8&amp;N=6&amp;Sheet=2&amp;Row=72&amp;Col=6","0.28")</f>
      </c>
      <c r="H73" t="s" s="1">
        <f>HYPERLINK("http://141.218.60.56/~jnz1568/discussion.php?&amp;Z=8&amp;N=6&amp;Sheet=2&amp;Row=72&amp;Col=7","")</f>
      </c>
      <c r="I73" t="s" s="1">
        <f>HYPERLINK("http://141.218.60.56/~jnz1568/discussion.php?&amp;Z=8&amp;N=6&amp;Sheet=2&amp;Row=72&amp;Col=8","")</f>
      </c>
      <c r="J73" t="s" s="1">
        <f>HYPERLINK("http://141.218.60.56/~jnz1568/discussion.php?&amp;Z=8&amp;N=6&amp;Sheet=2&amp;Row=72&amp;Col=9","4.8")</f>
      </c>
      <c r="K73" t="s" s="1">
        <f>HYPERLINK("http://141.218.60.56/~jnz1568/discussion.php?&amp;Z=8&amp;N=6&amp;Sheet=2&amp;Row=72&amp;Col=10","0.300211111111")</f>
      </c>
      <c r="L73" t="s" s="1">
        <f>HYPERLINK("http://141.218.60.56/~jnz1568/discussion.php?&amp;Z=8&amp;N=6&amp;Sheet=2&amp;Row=72&amp;Col=11","4.14612803568")</f>
      </c>
      <c r="M73" t="s" s="1">
        <f>HYPERLINK("http://141.218.60.56/~jnz1568/discussion.php?&amp;Z=8&amp;N=6&amp;Sheet=2&amp;Row=72&amp;Col=12","0.23926390188")</f>
      </c>
    </row>
    <row r="74">
      <c r="A74" t="s">
        <v>1</v>
      </c>
      <c r="B74" t="s">
        <v>1</v>
      </c>
      <c r="C74" t="s">
        <v>1</v>
      </c>
      <c r="D74" t="s">
        <v>1</v>
      </c>
      <c r="E74" t="s">
        <v>58</v>
      </c>
      <c r="F74" t="s" s="1">
        <f>HYPERLINK("http://141.218.60.56/~jnz1568/discussion.php?&amp;Z=8&amp;N=6&amp;Sheet=2&amp;Row=73&amp;Col=5","4.6")</f>
      </c>
      <c r="G74" t="s" s="1">
        <f>HYPERLINK("http://141.218.60.56/~jnz1568/discussion.php?&amp;Z=8&amp;N=6&amp;Sheet=2&amp;Row=73&amp;Col=6","0.286")</f>
      </c>
      <c r="H74" t="s" s="1">
        <f>HYPERLINK("http://141.218.60.56/~jnz1568/discussion.php?&amp;Z=8&amp;N=6&amp;Sheet=2&amp;Row=73&amp;Col=7","")</f>
      </c>
      <c r="I74" t="s" s="1">
        <f>HYPERLINK("http://141.218.60.56/~jnz1568/discussion.php?&amp;Z=8&amp;N=6&amp;Sheet=2&amp;Row=73&amp;Col=8","")</f>
      </c>
      <c r="J74" t="s" s="1">
        <f>HYPERLINK("http://141.218.60.56/~jnz1568/discussion.php?&amp;Z=8&amp;N=6&amp;Sheet=2&amp;Row=73&amp;Col=9","5")</f>
      </c>
      <c r="K74" t="s" s="1">
        <f>HYPERLINK("http://141.218.60.56/~jnz1568/discussion.php?&amp;Z=8&amp;N=6&amp;Sheet=2&amp;Row=73&amp;Col=10","0.295488888889")</f>
      </c>
      <c r="L74" t="s" s="1">
        <f>HYPERLINK("http://141.218.60.56/~jnz1568/discussion.php?&amp;Z=8&amp;N=6&amp;Sheet=2&amp;Row=73&amp;Col=11","4.17609125906")</f>
      </c>
      <c r="M74" t="s" s="1">
        <f>HYPERLINK("http://141.218.60.56/~jnz1568/discussion.php?&amp;Z=8&amp;N=6&amp;Sheet=2&amp;Row=73&amp;Col=12","0.24300553311")</f>
      </c>
    </row>
    <row r="75">
      <c r="A75" t="s">
        <v>1</v>
      </c>
      <c r="B75" t="s">
        <v>1</v>
      </c>
      <c r="C75" t="s">
        <v>1</v>
      </c>
      <c r="D75" t="s">
        <v>1</v>
      </c>
      <c r="E75" t="s">
        <v>61</v>
      </c>
      <c r="F75" t="s" s="1">
        <f>HYPERLINK("http://141.218.60.56/~jnz1568/discussion.php?&amp;Z=8&amp;N=6&amp;Sheet=2&amp;Row=74&amp;Col=5","4.7")</f>
      </c>
      <c r="G75" t="s" s="1">
        <f>HYPERLINK("http://141.218.60.56/~jnz1568/discussion.php?&amp;Z=8&amp;N=6&amp;Sheet=2&amp;Row=74&amp;Col=6","0.289")</f>
      </c>
      <c r="H75" t="s" s="1">
        <f>HYPERLINK("http://141.218.60.56/~jnz1568/discussion.php?&amp;Z=8&amp;N=6&amp;Sheet=2&amp;Row=74&amp;Col=7","")</f>
      </c>
      <c r="I75" t="s" s="1">
        <f>HYPERLINK("http://141.218.60.56/~jnz1568/discussion.php?&amp;Z=8&amp;N=6&amp;Sheet=2&amp;Row=74&amp;Col=8","")</f>
      </c>
      <c r="J75" t="s" s="1">
        <f>HYPERLINK("http://141.218.60.56/~jnz1568/discussion.php?&amp;Z=8&amp;N=6&amp;Sheet=2&amp;Row=74&amp;Col=9","")</f>
      </c>
      <c r="K75" t="s" s="1">
        <f>HYPERLINK("http://141.218.60.56/~jnz1568/discussion.php?&amp;Z=8&amp;N=6&amp;Sheet=2&amp;Row=74&amp;Col=10","")</f>
      </c>
      <c r="L75" t="s" s="1">
        <f>HYPERLINK("http://141.218.60.56/~jnz1568/discussion.php?&amp;Z=8&amp;N=6&amp;Sheet=2&amp;Row=74&amp;Col=11","4.20411998266")</f>
      </c>
      <c r="M75" t="s" s="1">
        <f>HYPERLINK("http://141.218.60.56/~jnz1568/discussion.php?&amp;Z=8&amp;N=6&amp;Sheet=2&amp;Row=74&amp;Col=12","0.24639595104")</f>
      </c>
    </row>
    <row r="76">
      <c r="A76" t="s">
        <v>1</v>
      </c>
      <c r="B76" t="s">
        <v>1</v>
      </c>
      <c r="C76" t="s">
        <v>1</v>
      </c>
      <c r="D76" t="s">
        <v>1</v>
      </c>
      <c r="E76" t="s">
        <v>64</v>
      </c>
      <c r="F76" t="s" s="1">
        <f>HYPERLINK("http://141.218.60.56/~jnz1568/discussion.php?&amp;Z=8&amp;N=6&amp;Sheet=2&amp;Row=75&amp;Col=5","4.78")</f>
      </c>
      <c r="G76" t="s" s="1">
        <f>HYPERLINK("http://141.218.60.56/~jnz1568/discussion.php?&amp;Z=8&amp;N=6&amp;Sheet=2&amp;Row=75&amp;Col=6","0.29")</f>
      </c>
      <c r="H76" t="s" s="1">
        <f>HYPERLINK("http://141.218.60.56/~jnz1568/discussion.php?&amp;Z=8&amp;N=6&amp;Sheet=2&amp;Row=75&amp;Col=7","")</f>
      </c>
      <c r="I76" t="s" s="1">
        <f>HYPERLINK("http://141.218.60.56/~jnz1568/discussion.php?&amp;Z=8&amp;N=6&amp;Sheet=2&amp;Row=75&amp;Col=8","")</f>
      </c>
      <c r="J76" t="s" s="1">
        <f>HYPERLINK("http://141.218.60.56/~jnz1568/discussion.php?&amp;Z=8&amp;N=6&amp;Sheet=2&amp;Row=75&amp;Col=9","")</f>
      </c>
      <c r="K76" t="s" s="1">
        <f>HYPERLINK("http://141.218.60.56/~jnz1568/discussion.php?&amp;Z=8&amp;N=6&amp;Sheet=2&amp;Row=75&amp;Col=10","")</f>
      </c>
      <c r="L76" t="s" s="1">
        <f>HYPERLINK("http://141.218.60.56/~jnz1568/discussion.php?&amp;Z=8&amp;N=6&amp;Sheet=2&amp;Row=75&amp;Col=11","4.23044892138")</f>
      </c>
      <c r="M76" t="s" s="1">
        <f>HYPERLINK("http://141.218.60.56/~jnz1568/discussion.php?&amp;Z=8&amp;N=6&amp;Sheet=2&amp;Row=75&amp;Col=12","0.249478878901")</f>
      </c>
    </row>
    <row r="77">
      <c r="A77" t="s">
        <v>1</v>
      </c>
      <c r="B77" t="s">
        <v>1</v>
      </c>
      <c r="C77" t="s">
        <v>1</v>
      </c>
      <c r="D77" t="s">
        <v>1</v>
      </c>
      <c r="E77" t="s">
        <v>69</v>
      </c>
      <c r="F77" t="s" s="1">
        <f>HYPERLINK("http://141.218.60.56/~jnz1568/discussion.php?&amp;Z=8&amp;N=6&amp;Sheet=2&amp;Row=76&amp;Col=5","4.9")</f>
      </c>
      <c r="G77" t="s" s="1">
        <f>HYPERLINK("http://141.218.60.56/~jnz1568/discussion.php?&amp;Z=8&amp;N=6&amp;Sheet=2&amp;Row=76&amp;Col=6","0.289")</f>
      </c>
      <c r="H77" t="s" s="1">
        <f>HYPERLINK("http://141.218.60.56/~jnz1568/discussion.php?&amp;Z=8&amp;N=6&amp;Sheet=2&amp;Row=76&amp;Col=7","")</f>
      </c>
      <c r="I77" t="s" s="1">
        <f>HYPERLINK("http://141.218.60.56/~jnz1568/discussion.php?&amp;Z=8&amp;N=6&amp;Sheet=2&amp;Row=76&amp;Col=8","")</f>
      </c>
      <c r="J77" t="s" s="1">
        <f>HYPERLINK("http://141.218.60.56/~jnz1568/discussion.php?&amp;Z=8&amp;N=6&amp;Sheet=2&amp;Row=76&amp;Col=9","")</f>
      </c>
      <c r="K77" t="s" s="1">
        <f>HYPERLINK("http://141.218.60.56/~jnz1568/discussion.php?&amp;Z=8&amp;N=6&amp;Sheet=2&amp;Row=76&amp;Col=10","")</f>
      </c>
      <c r="L77" t="s" s="1">
        <f>HYPERLINK("http://141.218.60.56/~jnz1568/discussion.php?&amp;Z=8&amp;N=6&amp;Sheet=2&amp;Row=76&amp;Col=11","4.2552725051")</f>
      </c>
      <c r="M77" t="s" s="1">
        <f>HYPERLINK("http://141.218.60.56/~jnz1568/discussion.php?&amp;Z=8&amp;N=6&amp;Sheet=2&amp;Row=76&amp;Col=12","0.252292708481")</f>
      </c>
    </row>
    <row r="78">
      <c r="A78" t="s">
        <v>1</v>
      </c>
      <c r="B78" t="s">
        <v>1</v>
      </c>
      <c r="C78" t="s">
        <v>1</v>
      </c>
      <c r="D78" t="s">
        <v>1</v>
      </c>
      <c r="E78" t="s">
        <v>74</v>
      </c>
      <c r="F78" t="s" s="1">
        <f>HYPERLINK("http://141.218.60.56/~jnz1568/discussion.php?&amp;Z=8&amp;N=6&amp;Sheet=2&amp;Row=77&amp;Col=5","5")</f>
      </c>
      <c r="G78" t="s" s="1">
        <f>HYPERLINK("http://141.218.60.56/~jnz1568/discussion.php?&amp;Z=8&amp;N=6&amp;Sheet=2&amp;Row=77&amp;Col=6","0.286")</f>
      </c>
      <c r="H78" t="s" s="1">
        <f>HYPERLINK("http://141.218.60.56/~jnz1568/discussion.php?&amp;Z=8&amp;N=6&amp;Sheet=2&amp;Row=77&amp;Col=7","")</f>
      </c>
      <c r="I78" t="s" s="1">
        <f>HYPERLINK("http://141.218.60.56/~jnz1568/discussion.php?&amp;Z=8&amp;N=6&amp;Sheet=2&amp;Row=77&amp;Col=8","")</f>
      </c>
      <c r="J78" t="s" s="1">
        <f>HYPERLINK("http://141.218.60.56/~jnz1568/discussion.php?&amp;Z=8&amp;N=6&amp;Sheet=2&amp;Row=77&amp;Col=9","")</f>
      </c>
      <c r="K78" t="s" s="1">
        <f>HYPERLINK("http://141.218.60.56/~jnz1568/discussion.php?&amp;Z=8&amp;N=6&amp;Sheet=2&amp;Row=77&amp;Col=10","")</f>
      </c>
      <c r="L78" t="s" s="1">
        <f>HYPERLINK("http://141.218.60.56/~jnz1568/discussion.php?&amp;Z=8&amp;N=6&amp;Sheet=2&amp;Row=77&amp;Col=11","4.27875360095")</f>
      </c>
      <c r="M78" t="s" s="1">
        <f>HYPERLINK("http://141.218.60.56/~jnz1568/discussion.php?&amp;Z=8&amp;N=6&amp;Sheet=2&amp;Row=77&amp;Col=12","0.254870767418")</f>
      </c>
    </row>
    <row r="79">
      <c r="A79" t="s">
        <v>1</v>
      </c>
      <c r="B79" t="s">
        <v>1</v>
      </c>
      <c r="C79" t="s">
        <v>1</v>
      </c>
      <c r="D79" t="s">
        <v>1</v>
      </c>
      <c r="E79" t="s">
        <v>79</v>
      </c>
      <c r="F79" t="s" s="1">
        <f>HYPERLINK("http://141.218.60.56/~jnz1568/discussion.php?&amp;Z=8&amp;N=6&amp;Sheet=2&amp;Row=78&amp;Col=5","5.08")</f>
      </c>
      <c r="G79" t="s" s="1">
        <f>HYPERLINK("http://141.218.60.56/~jnz1568/discussion.php?&amp;Z=8&amp;N=6&amp;Sheet=2&amp;Row=78&amp;Col=6","0.282")</f>
      </c>
      <c r="H79" t="s" s="1">
        <f>HYPERLINK("http://141.218.60.56/~jnz1568/discussion.php?&amp;Z=8&amp;N=6&amp;Sheet=2&amp;Row=78&amp;Col=7","")</f>
      </c>
      <c r="I79" t="s" s="1">
        <f>HYPERLINK("http://141.218.60.56/~jnz1568/discussion.php?&amp;Z=8&amp;N=6&amp;Sheet=2&amp;Row=78&amp;Col=8","")</f>
      </c>
      <c r="J79" t="s" s="1">
        <f>HYPERLINK("http://141.218.60.56/~jnz1568/discussion.php?&amp;Z=8&amp;N=6&amp;Sheet=2&amp;Row=78&amp;Col=9","")</f>
      </c>
      <c r="K79" t="s" s="1">
        <f>HYPERLINK("http://141.218.60.56/~jnz1568/discussion.php?&amp;Z=8&amp;N=6&amp;Sheet=2&amp;Row=78&amp;Col=10","")</f>
      </c>
      <c r="L79" t="s" s="1">
        <f>HYPERLINK("http://141.218.60.56/~jnz1568/discussion.php?&amp;Z=8&amp;N=6&amp;Sheet=2&amp;Row=78&amp;Col=11","4.30102999566")</f>
      </c>
      <c r="M79" t="s" s="1">
        <f>HYPERLINK("http://141.218.60.56/~jnz1568/discussion.php?&amp;Z=8&amp;N=6&amp;Sheet=2&amp;Row=78&amp;Col=12","0.257241807832")</f>
      </c>
    </row>
    <row r="80">
      <c r="A80" t="s">
        <v>1</v>
      </c>
      <c r="B80" t="s">
        <v>1</v>
      </c>
      <c r="C80" t="s">
        <v>1</v>
      </c>
      <c r="D80" t="s">
        <v>1</v>
      </c>
      <c r="E80" t="s">
        <v>84</v>
      </c>
      <c r="F80" t="s" s="1">
        <f>HYPERLINK("http://141.218.60.56/~jnz1568/discussion.php?&amp;Z=8&amp;N=6&amp;Sheet=2&amp;Row=79&amp;Col=5","5.15")</f>
      </c>
      <c r="G80" t="s" s="1">
        <f>HYPERLINK("http://141.218.60.56/~jnz1568/discussion.php?&amp;Z=8&amp;N=6&amp;Sheet=2&amp;Row=79&amp;Col=6","0.278")</f>
      </c>
      <c r="H80" t="s" s="1">
        <f>HYPERLINK("http://141.218.60.56/~jnz1568/discussion.php?&amp;Z=8&amp;N=6&amp;Sheet=2&amp;Row=79&amp;Col=7","")</f>
      </c>
      <c r="I80" t="s" s="1">
        <f>HYPERLINK("http://141.218.60.56/~jnz1568/discussion.php?&amp;Z=8&amp;N=6&amp;Sheet=2&amp;Row=79&amp;Col=8","")</f>
      </c>
      <c r="J80" t="s" s="1">
        <f>HYPERLINK("http://141.218.60.56/~jnz1568/discussion.php?&amp;Z=8&amp;N=6&amp;Sheet=2&amp;Row=79&amp;Col=9","")</f>
      </c>
      <c r="K80" t="s" s="1">
        <f>HYPERLINK("http://141.218.60.56/~jnz1568/discussion.php?&amp;Z=8&amp;N=6&amp;Sheet=2&amp;Row=79&amp;Col=10","")</f>
      </c>
      <c r="L80" t="s" s="1">
        <f>HYPERLINK("http://141.218.60.56/~jnz1568/discussion.php?&amp;Z=8&amp;N=6&amp;Sheet=2&amp;Row=79&amp;Col=11","")</f>
      </c>
      <c r="M80" t="s" s="1">
        <f>HYPERLINK("http://141.218.60.56/~jnz1568/discussion.php?&amp;Z=8&amp;N=6&amp;Sheet=2&amp;Row=79&amp;Col=12","")</f>
      </c>
    </row>
    <row r="81">
      <c r="A81" t="s">
        <v>1</v>
      </c>
      <c r="B81" t="s">
        <v>1</v>
      </c>
      <c r="C81" t="s">
        <v>1</v>
      </c>
      <c r="D81" t="s">
        <v>1</v>
      </c>
      <c r="E81" t="s">
        <v>87</v>
      </c>
      <c r="F81" t="s" s="1">
        <f>HYPERLINK("http://141.218.60.56/~jnz1568/discussion.php?&amp;Z=8&amp;N=6&amp;Sheet=2&amp;Row=80&amp;Col=5","5.2")</f>
      </c>
      <c r="G81" t="s" s="1">
        <f>HYPERLINK("http://141.218.60.56/~jnz1568/discussion.php?&amp;Z=8&amp;N=6&amp;Sheet=2&amp;Row=80&amp;Col=6","0.273")</f>
      </c>
      <c r="H81" t="s" s="1">
        <f>HYPERLINK("http://141.218.60.56/~jnz1568/discussion.php?&amp;Z=8&amp;N=6&amp;Sheet=2&amp;Row=80&amp;Col=7","")</f>
      </c>
      <c r="I81" t="s" s="1">
        <f>HYPERLINK("http://141.218.60.56/~jnz1568/discussion.php?&amp;Z=8&amp;N=6&amp;Sheet=2&amp;Row=80&amp;Col=8","")</f>
      </c>
      <c r="J81" t="s" s="1">
        <f>HYPERLINK("http://141.218.60.56/~jnz1568/discussion.php?&amp;Z=8&amp;N=6&amp;Sheet=2&amp;Row=80&amp;Col=9","")</f>
      </c>
      <c r="K81" t="s" s="1">
        <f>HYPERLINK("http://141.218.60.56/~jnz1568/discussion.php?&amp;Z=8&amp;N=6&amp;Sheet=2&amp;Row=80&amp;Col=10","")</f>
      </c>
      <c r="L81" t="s" s="1">
        <f>HYPERLINK("http://141.218.60.56/~jnz1568/discussion.php?&amp;Z=8&amp;N=6&amp;Sheet=2&amp;Row=80&amp;Col=11","")</f>
      </c>
      <c r="M81" t="s" s="1">
        <f>HYPERLINK("http://141.218.60.56/~jnz1568/discussion.php?&amp;Z=8&amp;N=6&amp;Sheet=2&amp;Row=80&amp;Col=12","")</f>
      </c>
    </row>
    <row r="82">
      <c r="A82" t="s">
        <v>1</v>
      </c>
      <c r="B82" t="s">
        <v>1</v>
      </c>
      <c r="C82" t="s">
        <v>1</v>
      </c>
      <c r="D82" t="s">
        <v>1</v>
      </c>
      <c r="E82" t="s">
        <v>90</v>
      </c>
      <c r="F82" t="s" s="1">
        <f>HYPERLINK("http://141.218.60.56/~jnz1568/discussion.php?&amp;Z=8&amp;N=6&amp;Sheet=2&amp;Row=81&amp;Col=5","5.26")</f>
      </c>
      <c r="G82" t="s" s="1">
        <f>HYPERLINK("http://141.218.60.56/~jnz1568/discussion.php?&amp;Z=8&amp;N=6&amp;Sheet=2&amp;Row=81&amp;Col=6","0.268")</f>
      </c>
      <c r="H82" t="s" s="1">
        <f>HYPERLINK("http://141.218.60.56/~jnz1568/discussion.php?&amp;Z=8&amp;N=6&amp;Sheet=2&amp;Row=81&amp;Col=7","")</f>
      </c>
      <c r="I82" t="s" s="1">
        <f>HYPERLINK("http://141.218.60.56/~jnz1568/discussion.php?&amp;Z=8&amp;N=6&amp;Sheet=2&amp;Row=81&amp;Col=8","")</f>
      </c>
      <c r="J82" t="s" s="1">
        <f>HYPERLINK("http://141.218.60.56/~jnz1568/discussion.php?&amp;Z=8&amp;N=6&amp;Sheet=2&amp;Row=81&amp;Col=9","")</f>
      </c>
      <c r="K82" t="s" s="1">
        <f>HYPERLINK("http://141.218.60.56/~jnz1568/discussion.php?&amp;Z=8&amp;N=6&amp;Sheet=2&amp;Row=81&amp;Col=10","")</f>
      </c>
      <c r="L82" t="s" s="1">
        <f>HYPERLINK("http://141.218.60.56/~jnz1568/discussion.php?&amp;Z=8&amp;N=6&amp;Sheet=2&amp;Row=81&amp;Col=11","")</f>
      </c>
      <c r="M82" t="s" s="1">
        <f>HYPERLINK("http://141.218.60.56/~jnz1568/discussion.php?&amp;Z=8&amp;N=6&amp;Sheet=2&amp;Row=81&amp;Col=12","")</f>
      </c>
    </row>
    <row r="83">
      <c r="A83" t="s">
        <v>1</v>
      </c>
      <c r="B83" t="s">
        <v>1</v>
      </c>
      <c r="C83" t="s">
        <v>1</v>
      </c>
      <c r="D83" t="s">
        <v>1</v>
      </c>
      <c r="E83" t="s">
        <v>94</v>
      </c>
      <c r="F83" t="s" s="1">
        <f>HYPERLINK("http://141.218.60.56/~jnz1568/discussion.php?&amp;Z=8&amp;N=6&amp;Sheet=2&amp;Row=82&amp;Col=5","5.3")</f>
      </c>
      <c r="G83" t="s" s="1">
        <f>HYPERLINK("http://141.218.60.56/~jnz1568/discussion.php?&amp;Z=8&amp;N=6&amp;Sheet=2&amp;Row=82&amp;Col=6","0.262")</f>
      </c>
      <c r="H83" t="s" s="1">
        <f>HYPERLINK("http://141.218.60.56/~jnz1568/discussion.php?&amp;Z=8&amp;N=6&amp;Sheet=2&amp;Row=82&amp;Col=7","")</f>
      </c>
      <c r="I83" t="s" s="1">
        <f>HYPERLINK("http://141.218.60.56/~jnz1568/discussion.php?&amp;Z=8&amp;N=6&amp;Sheet=2&amp;Row=82&amp;Col=8","")</f>
      </c>
      <c r="J83" t="s" s="1">
        <f>HYPERLINK("http://141.218.60.56/~jnz1568/discussion.php?&amp;Z=8&amp;N=6&amp;Sheet=2&amp;Row=82&amp;Col=9","")</f>
      </c>
      <c r="K83" t="s" s="1">
        <f>HYPERLINK("http://141.218.60.56/~jnz1568/discussion.php?&amp;Z=8&amp;N=6&amp;Sheet=2&amp;Row=82&amp;Col=10","")</f>
      </c>
      <c r="L83" t="s" s="1">
        <f>HYPERLINK("http://141.218.60.56/~jnz1568/discussion.php?&amp;Z=8&amp;N=6&amp;Sheet=2&amp;Row=82&amp;Col=11","")</f>
      </c>
      <c r="M83" t="s" s="1">
        <f>HYPERLINK("http://141.218.60.56/~jnz1568/discussion.php?&amp;Z=8&amp;N=6&amp;Sheet=2&amp;Row=82&amp;Col=12","")</f>
      </c>
    </row>
    <row r="84">
      <c r="A84" t="s">
        <v>15</v>
      </c>
      <c r="B84" t="s">
        <v>16</v>
      </c>
      <c r="C84" t="s">
        <v>28</v>
      </c>
      <c r="D84" t="s">
        <v>23</v>
      </c>
      <c r="E84" t="s">
        <v>17</v>
      </c>
      <c r="F84" t="s" s="1">
        <f>HYPERLINK("http://141.218.60.56/~jnz1568/discussion.php?&amp;Z=8&amp;N=6&amp;Sheet=2&amp;Row=83&amp;Col=5","3.4")</f>
      </c>
      <c r="G84" t="s" s="1">
        <f>HYPERLINK("http://141.218.60.56/~jnz1568/discussion.php?&amp;Z=8&amp;N=6&amp;Sheet=2&amp;Row=83&amp;Col=6","=G64*3")</f>
      </c>
      <c r="H84" t="s" s="1">
        <f>HYPERLINK("http://141.218.60.56/~jnz1568/discussion.php?&amp;Z=8&amp;N=6&amp;Sheet=2&amp;Row=83&amp;Col=7","2")</f>
      </c>
      <c r="I84" t="s" s="1">
        <f>HYPERLINK("http://141.218.60.56/~jnz1568/discussion.php?&amp;Z=8&amp;N=6&amp;Sheet=2&amp;Row=83&amp;Col=8","0.5903")</f>
      </c>
      <c r="J84" t="s" s="1">
        <f>HYPERLINK("http://141.218.60.56/~jnz1568/discussion.php?&amp;Z=8&amp;N=6&amp;Sheet=2&amp;Row=83&amp;Col=9","3")</f>
      </c>
      <c r="K84" t="s" s="1">
        <f>HYPERLINK("http://141.218.60.56/~jnz1568/discussion.php?&amp;Z=8&amp;N=6&amp;Sheet=2&amp;Row=83&amp;Col=10","0.7411")</f>
      </c>
      <c r="L84" t="s" s="1">
        <f>HYPERLINK("http://141.218.60.56/~jnz1568/discussion.php?&amp;Z=8&amp;N=6&amp;Sheet=2&amp;Row=83&amp;Col=11","3.69897000434")</f>
      </c>
      <c r="M84" t="s" s="1">
        <f>HYPERLINK("http://141.218.60.56/~jnz1568/discussion.php?&amp;Z=8&amp;N=6&amp;Sheet=2&amp;Row=83&amp;Col=12","0.55637415847")</f>
      </c>
    </row>
    <row r="85">
      <c r="A85" t="s">
        <v>1</v>
      </c>
      <c r="B85" t="s">
        <v>1</v>
      </c>
      <c r="C85" t="s">
        <v>1</v>
      </c>
      <c r="D85" t="s">
        <v>1</v>
      </c>
      <c r="E85" t="s">
        <v>23</v>
      </c>
      <c r="F85" t="s" s="1">
        <f>HYPERLINK("http://141.218.60.56/~jnz1568/discussion.php?&amp;Z=8&amp;N=6&amp;Sheet=2&amp;Row=84&amp;Col=5","3.7")</f>
      </c>
      <c r="G85" t="s" s="1">
        <f>HYPERLINK("http://141.218.60.56/~jnz1568/discussion.php?&amp;Z=8&amp;N=6&amp;Sheet=2&amp;Row=84&amp;Col=6","=")</f>
      </c>
      <c r="H85" t="s" s="1">
        <f>HYPERLINK("http://141.218.60.56/~jnz1568/discussion.php?&amp;Z=8&amp;N=6&amp;Sheet=2&amp;Row=84&amp;Col=7","2.69897000434")</f>
      </c>
      <c r="I85" t="s" s="1">
        <f>HYPERLINK("http://141.218.60.56/~jnz1568/discussion.php?&amp;Z=8&amp;N=6&amp;Sheet=2&amp;Row=84&amp;Col=8","0.6285")</f>
      </c>
      <c r="J85" t="s" s="1">
        <f>HYPERLINK("http://141.218.60.56/~jnz1568/discussion.php?&amp;Z=8&amp;N=6&amp;Sheet=2&amp;Row=84&amp;Col=9","3.2")</f>
      </c>
      <c r="K85" t="s" s="1">
        <f>HYPERLINK("http://141.218.60.56/~jnz1568/discussion.php?&amp;Z=8&amp;N=6&amp;Sheet=2&amp;Row=84&amp;Col=10","0.7296")</f>
      </c>
      <c r="L85" t="s" s="1">
        <f>HYPERLINK("http://141.218.60.56/~jnz1568/discussion.php?&amp;Z=8&amp;N=6&amp;Sheet=2&amp;Row=84&amp;Col=11","3.77815125038")</f>
      </c>
      <c r="M85" t="s" s="1">
        <f>HYPERLINK("http://141.218.60.56/~jnz1568/discussion.php?&amp;Z=8&amp;N=6&amp;Sheet=2&amp;Row=84&amp;Col=12","0.57667444351")</f>
      </c>
    </row>
    <row r="86">
      <c r="A86" t="s">
        <v>1</v>
      </c>
      <c r="B86" t="s">
        <v>1</v>
      </c>
      <c r="C86" t="s">
        <v>1</v>
      </c>
      <c r="D86" t="s">
        <v>1</v>
      </c>
      <c r="E86" t="s">
        <v>20</v>
      </c>
      <c r="F86" t="s" s="1">
        <f>HYPERLINK("http://141.218.60.56/~jnz1568/discussion.php?&amp;Z=8&amp;N=6&amp;Sheet=2&amp;Row=85&amp;Col=5","3.88")</f>
      </c>
      <c r="G86" t="s" s="1">
        <f>HYPERLINK("http://141.218.60.56/~jnz1568/discussion.php?&amp;Z=8&amp;N=6&amp;Sheet=2&amp;Row=85&amp;Col=6","=")</f>
      </c>
      <c r="H86" t="s" s="1">
        <f>HYPERLINK("http://141.218.60.56/~jnz1568/discussion.php?&amp;Z=8&amp;N=6&amp;Sheet=2&amp;Row=85&amp;Col=7","3")</f>
      </c>
      <c r="I86" t="s" s="1">
        <f>HYPERLINK("http://141.218.60.56/~jnz1568/discussion.php?&amp;Z=8&amp;N=6&amp;Sheet=2&amp;Row=85&amp;Col=8","0.6483")</f>
      </c>
      <c r="J86" t="s" s="1">
        <f>HYPERLINK("http://141.218.60.56/~jnz1568/discussion.php?&amp;Z=8&amp;N=6&amp;Sheet=2&amp;Row=85&amp;Col=9","3.4")</f>
      </c>
      <c r="K86" t="s" s="1">
        <f>HYPERLINK("http://141.218.60.56/~jnz1568/discussion.php?&amp;Z=8&amp;N=6&amp;Sheet=2&amp;Row=85&amp;Col=10","0.713866666667")</f>
      </c>
      <c r="L86" t="s" s="1">
        <f>HYPERLINK("http://141.218.60.56/~jnz1568/discussion.php?&amp;Z=8&amp;N=6&amp;Sheet=2&amp;Row=85&amp;Col=11","3.84509804001")</f>
      </c>
      <c r="M86" t="s" s="1">
        <f>HYPERLINK("http://141.218.60.56/~jnz1568/discussion.php?&amp;Z=8&amp;N=6&amp;Sheet=2&amp;Row=85&amp;Col=12","0.598651090701")</f>
      </c>
    </row>
    <row r="87">
      <c r="A87" t="s">
        <v>1</v>
      </c>
      <c r="B87" t="s">
        <v>1</v>
      </c>
      <c r="C87" t="s">
        <v>1</v>
      </c>
      <c r="D87" t="s">
        <v>1</v>
      </c>
      <c r="E87" t="s">
        <v>28</v>
      </c>
      <c r="F87" t="s" s="1">
        <f>HYPERLINK("http://141.218.60.56/~jnz1568/discussion.php?&amp;Z=8&amp;N=6&amp;Sheet=2&amp;Row=86&amp;Col=5","4")</f>
      </c>
      <c r="G87" t="s" s="1">
        <f>HYPERLINK("http://141.218.60.56/~jnz1568/discussion.php?&amp;Z=8&amp;N=6&amp;Sheet=2&amp;Row=86&amp;Col=6","=")</f>
      </c>
      <c r="H87" t="s" s="1">
        <f>HYPERLINK("http://141.218.60.56/~jnz1568/discussion.php?&amp;Z=8&amp;N=6&amp;Sheet=2&amp;Row=86&amp;Col=7","3.69897000434")</f>
      </c>
      <c r="I87" t="s" s="1">
        <f>HYPERLINK("http://141.218.60.56/~jnz1568/discussion.php?&amp;Z=8&amp;N=6&amp;Sheet=2&amp;Row=86&amp;Col=8","0.7067")</f>
      </c>
      <c r="J87" t="s" s="1">
        <f>HYPERLINK("http://141.218.60.56/~jnz1568/discussion.php?&amp;Z=8&amp;N=6&amp;Sheet=2&amp;Row=86&amp;Col=9","3.6")</f>
      </c>
      <c r="K87" t="s" s="1">
        <f>HYPERLINK("http://141.218.60.56/~jnz1568/discussion.php?&amp;Z=8&amp;N=6&amp;Sheet=2&amp;Row=86&amp;Col=10","0.7039")</f>
      </c>
      <c r="L87" t="s" s="1">
        <f>HYPERLINK("http://141.218.60.56/~jnz1568/discussion.php?&amp;Z=8&amp;N=6&amp;Sheet=2&amp;Row=86&amp;Col=11","3.90308998699")</f>
      </c>
      <c r="M87" t="s" s="1">
        <f>HYPERLINK("http://141.218.60.56/~jnz1568/discussion.php?&amp;Z=8&amp;N=6&amp;Sheet=2&amp;Row=86&amp;Col=12","0.620291168795")</f>
      </c>
    </row>
    <row r="88">
      <c r="A88" t="s">
        <v>1</v>
      </c>
      <c r="B88" t="s">
        <v>1</v>
      </c>
      <c r="C88" t="s">
        <v>1</v>
      </c>
      <c r="D88" t="s">
        <v>1</v>
      </c>
      <c r="E88" t="s">
        <v>33</v>
      </c>
      <c r="F88" t="s" s="1">
        <f>HYPERLINK("http://141.218.60.56/~jnz1568/discussion.php?&amp;Z=8&amp;N=6&amp;Sheet=2&amp;Row=87&amp;Col=5","4.1")</f>
      </c>
      <c r="G88" t="s" s="1">
        <f>HYPERLINK("http://141.218.60.56/~jnz1568/discussion.php?&amp;Z=8&amp;N=6&amp;Sheet=2&amp;Row=87&amp;Col=6","=")</f>
      </c>
      <c r="H88" t="s" s="1">
        <f>HYPERLINK("http://141.218.60.56/~jnz1568/discussion.php?&amp;Z=8&amp;N=6&amp;Sheet=2&amp;Row=87&amp;Col=7","4")</f>
      </c>
      <c r="I88" t="s" s="1">
        <f>HYPERLINK("http://141.218.60.56/~jnz1568/discussion.php?&amp;Z=8&amp;N=6&amp;Sheet=2&amp;Row=87&amp;Col=8","0.8108")</f>
      </c>
      <c r="J88" t="s" s="1">
        <f>HYPERLINK("http://141.218.60.56/~jnz1568/discussion.php?&amp;Z=8&amp;N=6&amp;Sheet=2&amp;Row=87&amp;Col=9","3.8")</f>
      </c>
      <c r="K88" t="s" s="1">
        <f>HYPERLINK("http://141.218.60.56/~jnz1568/discussion.php?&amp;Z=8&amp;N=6&amp;Sheet=2&amp;Row=87&amp;Col=10","0.719266666667")</f>
      </c>
      <c r="L88" t="s" s="1">
        <f>HYPERLINK("http://141.218.60.56/~jnz1568/discussion.php?&amp;Z=8&amp;N=6&amp;Sheet=2&amp;Row=87&amp;Col=11","3.95424250944")</f>
      </c>
      <c r="M88" t="s" s="1">
        <f>HYPERLINK("http://141.218.60.56/~jnz1568/discussion.php?&amp;Z=8&amp;N=6&amp;Sheet=2&amp;Row=87&amp;Col=12","0.640641205811")</f>
      </c>
    </row>
    <row r="89">
      <c r="A89" t="s">
        <v>1</v>
      </c>
      <c r="B89" t="s">
        <v>1</v>
      </c>
      <c r="C89" t="s">
        <v>1</v>
      </c>
      <c r="D89" t="s">
        <v>1</v>
      </c>
      <c r="E89" t="s">
        <v>16</v>
      </c>
      <c r="F89" t="s" s="1">
        <f>HYPERLINK("http://141.218.60.56/~jnz1568/discussion.php?&amp;Z=8&amp;N=6&amp;Sheet=2&amp;Row=88&amp;Col=5","4.18")</f>
      </c>
      <c r="G89" t="s" s="1">
        <f>HYPERLINK("http://141.218.60.56/~jnz1568/discussion.php?&amp;Z=8&amp;N=6&amp;Sheet=2&amp;Row=88&amp;Col=6","=")</f>
      </c>
      <c r="H89" t="s" s="1">
        <f>HYPERLINK("http://141.218.60.56/~jnz1568/discussion.php?&amp;Z=8&amp;N=6&amp;Sheet=2&amp;Row=88&amp;Col=7","4.30102999566")</f>
      </c>
      <c r="I89" t="s" s="1">
        <f>HYPERLINK("http://141.218.60.56/~jnz1568/discussion.php?&amp;Z=8&amp;N=6&amp;Sheet=2&amp;Row=88&amp;Col=8","0.9313")</f>
      </c>
      <c r="J89" t="s" s="1">
        <f>HYPERLINK("http://141.218.60.56/~jnz1568/discussion.php?&amp;Z=8&amp;N=6&amp;Sheet=2&amp;Row=88&amp;Col=9","4")</f>
      </c>
      <c r="K89" t="s" s="1">
        <f>HYPERLINK("http://141.218.60.56/~jnz1568/discussion.php?&amp;Z=8&amp;N=6&amp;Sheet=2&amp;Row=88&amp;Col=10","0.763066666667")</f>
      </c>
      <c r="L89" t="s" s="1">
        <f>HYPERLINK("http://141.218.60.56/~jnz1568/discussion.php?&amp;Z=8&amp;N=6&amp;Sheet=2&amp;Row=88&amp;Col=11","4")</f>
      </c>
      <c r="M89" t="s" s="1">
        <f>HYPERLINK("http://141.218.60.56/~jnz1568/discussion.php?&amp;Z=8&amp;N=6&amp;Sheet=2&amp;Row=88&amp;Col=12","0.65932968167")</f>
      </c>
    </row>
    <row r="90">
      <c r="A90" t="s">
        <v>1</v>
      </c>
      <c r="B90" t="s">
        <v>1</v>
      </c>
      <c r="C90" t="s">
        <v>1</v>
      </c>
      <c r="D90" t="s">
        <v>1</v>
      </c>
      <c r="E90" t="s">
        <v>43</v>
      </c>
      <c r="F90" t="s" s="1">
        <f>HYPERLINK("http://141.218.60.56/~jnz1568/discussion.php?&amp;Z=8&amp;N=6&amp;Sheet=2&amp;Row=89&amp;Col=5","4.24")</f>
      </c>
      <c r="G90" t="s" s="1">
        <f>HYPERLINK("http://141.218.60.56/~jnz1568/discussion.php?&amp;Z=8&amp;N=6&amp;Sheet=2&amp;Row=89&amp;Col=6","=")</f>
      </c>
      <c r="H90" t="s" s="1">
        <f>HYPERLINK("http://141.218.60.56/~jnz1568/discussion.php?&amp;Z=8&amp;N=6&amp;Sheet=2&amp;Row=89&amp;Col=7","4.47712125472")</f>
      </c>
      <c r="I90" t="s" s="1">
        <f>HYPERLINK("http://141.218.60.56/~jnz1568/discussion.php?&amp;Z=8&amp;N=6&amp;Sheet=2&amp;Row=89&amp;Col=8","0.9802")</f>
      </c>
      <c r="J90" t="s" s="1">
        <f>HYPERLINK("http://141.218.60.56/~jnz1568/discussion.php?&amp;Z=8&amp;N=6&amp;Sheet=2&amp;Row=89&amp;Col=9","4.2")</f>
      </c>
      <c r="K90" t="s" s="1">
        <f>HYPERLINK("http://141.218.60.56/~jnz1568/discussion.php?&amp;Z=8&amp;N=6&amp;Sheet=2&amp;Row=89&amp;Col=10","0.816566666667")</f>
      </c>
      <c r="L90" t="s" s="1">
        <f>HYPERLINK("http://141.218.60.56/~jnz1568/discussion.php?&amp;Z=8&amp;N=6&amp;Sheet=2&amp;Row=89&amp;Col=11","4.04139268516")</f>
      </c>
      <c r="M90" t="s" s="1">
        <f>HYPERLINK("http://141.218.60.56/~jnz1568/discussion.php?&amp;Z=8&amp;N=6&amp;Sheet=2&amp;Row=89&amp;Col=12","0.67628619734")</f>
      </c>
    </row>
    <row r="91">
      <c r="A91" t="s">
        <v>1</v>
      </c>
      <c r="B91" t="s">
        <v>1</v>
      </c>
      <c r="C91" t="s">
        <v>1</v>
      </c>
      <c r="D91" t="s">
        <v>1</v>
      </c>
      <c r="E91" t="s">
        <v>15</v>
      </c>
      <c r="F91" t="s" s="1">
        <f>HYPERLINK("http://141.218.60.56/~jnz1568/discussion.php?&amp;Z=8&amp;N=6&amp;Sheet=2&amp;Row=90&amp;Col=5","4.3")</f>
      </c>
      <c r="G91" t="s" s="1">
        <f>HYPERLINK("http://141.218.60.56/~jnz1568/discussion.php?&amp;Z=8&amp;N=6&amp;Sheet=2&amp;Row=90&amp;Col=6","=")</f>
      </c>
      <c r="H91" t="s" s="1">
        <f>HYPERLINK("http://141.218.60.56/~jnz1568/discussion.php?&amp;Z=8&amp;N=6&amp;Sheet=2&amp;Row=90&amp;Col=7","")</f>
      </c>
      <c r="I91" t="s" s="1">
        <f>HYPERLINK("http://141.218.60.56/~jnz1568/discussion.php?&amp;Z=8&amp;N=6&amp;Sheet=2&amp;Row=90&amp;Col=8","")</f>
      </c>
      <c r="J91" t="s" s="1">
        <f>HYPERLINK("http://141.218.60.56/~jnz1568/discussion.php?&amp;Z=8&amp;N=6&amp;Sheet=2&amp;Row=90&amp;Col=9","4.4")</f>
      </c>
      <c r="K91" t="s" s="1">
        <f>HYPERLINK("http://141.218.60.56/~jnz1568/discussion.php?&amp;Z=8&amp;N=6&amp;Sheet=2&amp;Row=90&amp;Col=10","0.8617")</f>
      </c>
      <c r="L91" t="s" s="1">
        <f>HYPERLINK("http://141.218.60.56/~jnz1568/discussion.php?&amp;Z=8&amp;N=6&amp;Sheet=2&amp;Row=90&amp;Col=11","4.07918124605")</f>
      </c>
      <c r="M91" t="s" s="1">
        <f>HYPERLINK("http://141.218.60.56/~jnz1568/discussion.php?&amp;Z=8&amp;N=6&amp;Sheet=2&amp;Row=90&amp;Col=12","0.69158650779")</f>
      </c>
    </row>
    <row r="92">
      <c r="A92" t="s">
        <v>1</v>
      </c>
      <c r="B92" t="s">
        <v>1</v>
      </c>
      <c r="C92" t="s">
        <v>1</v>
      </c>
      <c r="D92" t="s">
        <v>1</v>
      </c>
      <c r="E92" t="s">
        <v>50</v>
      </c>
      <c r="F92" t="s" s="1">
        <f>HYPERLINK("http://141.218.60.56/~jnz1568/discussion.php?&amp;Z=8&amp;N=6&amp;Sheet=2&amp;Row=91&amp;Col=5","4.4")</f>
      </c>
      <c r="G92" t="s" s="1">
        <f>HYPERLINK("http://141.218.60.56/~jnz1568/discussion.php?&amp;Z=8&amp;N=6&amp;Sheet=2&amp;Row=91&amp;Col=6","=")</f>
      </c>
      <c r="H92" t="s" s="1">
        <f>HYPERLINK("http://141.218.60.56/~jnz1568/discussion.php?&amp;Z=8&amp;N=6&amp;Sheet=2&amp;Row=91&amp;Col=7","")</f>
      </c>
      <c r="I92" t="s" s="1">
        <f>HYPERLINK("http://141.218.60.56/~jnz1568/discussion.php?&amp;Z=8&amp;N=6&amp;Sheet=2&amp;Row=91&amp;Col=8","")</f>
      </c>
      <c r="J92" t="s" s="1">
        <f>HYPERLINK("http://141.218.60.56/~jnz1568/discussion.php?&amp;Z=8&amp;N=6&amp;Sheet=2&amp;Row=91&amp;Col=9","4.6")</f>
      </c>
      <c r="K92" t="s" s="1">
        <f>HYPERLINK("http://141.218.60.56/~jnz1568/discussion.php?&amp;Z=8&amp;N=6&amp;Sheet=2&amp;Row=91&amp;Col=10","0.891")</f>
      </c>
      <c r="L92" t="s" s="1">
        <f>HYPERLINK("http://141.218.60.56/~jnz1568/discussion.php?&amp;Z=8&amp;N=6&amp;Sheet=2&amp;Row=91&amp;Col=11","4.11394335231")</f>
      </c>
      <c r="M92" t="s" s="1">
        <f>HYPERLINK("http://141.218.60.56/~jnz1568/discussion.php?&amp;Z=8&amp;N=6&amp;Sheet=2&amp;Row=91&amp;Col=12","0.70536966134")</f>
      </c>
    </row>
    <row r="93">
      <c r="A93" t="s">
        <v>1</v>
      </c>
      <c r="B93" t="s">
        <v>1</v>
      </c>
      <c r="C93" t="s">
        <v>1</v>
      </c>
      <c r="D93" t="s">
        <v>1</v>
      </c>
      <c r="E93" t="s">
        <v>53</v>
      </c>
      <c r="F93" t="s" s="1">
        <f>HYPERLINK("http://141.218.60.56/~jnz1568/discussion.php?&amp;Z=8&amp;N=6&amp;Sheet=2&amp;Row=92&amp;Col=5","4.48")</f>
      </c>
      <c r="G93" t="s" s="1">
        <f>HYPERLINK("http://141.218.60.56/~jnz1568/discussion.php?&amp;Z=8&amp;N=6&amp;Sheet=2&amp;Row=92&amp;Col=6","=")</f>
      </c>
      <c r="H93" t="s" s="1">
        <f>HYPERLINK("http://141.218.60.56/~jnz1568/discussion.php?&amp;Z=8&amp;N=6&amp;Sheet=2&amp;Row=92&amp;Col=7","")</f>
      </c>
      <c r="I93" t="s" s="1">
        <f>HYPERLINK("http://141.218.60.56/~jnz1568/discussion.php?&amp;Z=8&amp;N=6&amp;Sheet=2&amp;Row=92&amp;Col=8","")</f>
      </c>
      <c r="J93" t="s" s="1">
        <f>HYPERLINK("http://141.218.60.56/~jnz1568/discussion.php?&amp;Z=8&amp;N=6&amp;Sheet=2&amp;Row=92&amp;Col=9","4.8")</f>
      </c>
      <c r="K93" t="s" s="1">
        <f>HYPERLINK("http://141.218.60.56/~jnz1568/discussion.php?&amp;Z=8&amp;N=6&amp;Sheet=2&amp;Row=92&amp;Col=10","0.900633333333")</f>
      </c>
      <c r="L93" t="s" s="1">
        <f>HYPERLINK("http://141.218.60.56/~jnz1568/discussion.php?&amp;Z=8&amp;N=6&amp;Sheet=2&amp;Row=92&amp;Col=11","4.14612803568")</f>
      </c>
      <c r="M93" t="s" s="1">
        <f>HYPERLINK("http://141.218.60.56/~jnz1568/discussion.php?&amp;Z=8&amp;N=6&amp;Sheet=2&amp;Row=92&amp;Col=12","0.71779487801")</f>
      </c>
    </row>
    <row r="94">
      <c r="A94" t="s">
        <v>1</v>
      </c>
      <c r="B94" t="s">
        <v>1</v>
      </c>
      <c r="C94" t="s">
        <v>1</v>
      </c>
      <c r="D94" t="s">
        <v>1</v>
      </c>
      <c r="E94" t="s">
        <v>58</v>
      </c>
      <c r="F94" t="s" s="1">
        <f>HYPERLINK("http://141.218.60.56/~jnz1568/discussion.php?&amp;Z=8&amp;N=6&amp;Sheet=2&amp;Row=93&amp;Col=5","4.6")</f>
      </c>
      <c r="G94" t="s" s="1">
        <f>HYPERLINK("http://141.218.60.56/~jnz1568/discussion.php?&amp;Z=8&amp;N=6&amp;Sheet=2&amp;Row=93&amp;Col=6","=")</f>
      </c>
      <c r="H94" t="s" s="1">
        <f>HYPERLINK("http://141.218.60.56/~jnz1568/discussion.php?&amp;Z=8&amp;N=6&amp;Sheet=2&amp;Row=93&amp;Col=7","")</f>
      </c>
      <c r="I94" t="s" s="1">
        <f>HYPERLINK("http://141.218.60.56/~jnz1568/discussion.php?&amp;Z=8&amp;N=6&amp;Sheet=2&amp;Row=93&amp;Col=8","")</f>
      </c>
      <c r="J94" t="s" s="1">
        <f>HYPERLINK("http://141.218.60.56/~jnz1568/discussion.php?&amp;Z=8&amp;N=6&amp;Sheet=2&amp;Row=93&amp;Col=9","5")</f>
      </c>
      <c r="K94" t="s" s="1">
        <f>HYPERLINK("http://141.218.60.56/~jnz1568/discussion.php?&amp;Z=8&amp;N=6&amp;Sheet=2&amp;Row=93&amp;Col=10","0.886466666667")</f>
      </c>
      <c r="L94" t="s" s="1">
        <f>HYPERLINK("http://141.218.60.56/~jnz1568/discussion.php?&amp;Z=8&amp;N=6&amp;Sheet=2&amp;Row=93&amp;Col=11","4.17609125906")</f>
      </c>
      <c r="M94" t="s" s="1">
        <f>HYPERLINK("http://141.218.60.56/~jnz1568/discussion.php?&amp;Z=8&amp;N=6&amp;Sheet=2&amp;Row=93&amp;Col=12","0.72901998495")</f>
      </c>
    </row>
    <row r="95">
      <c r="A95" t="s">
        <v>1</v>
      </c>
      <c r="B95" t="s">
        <v>1</v>
      </c>
      <c r="C95" t="s">
        <v>1</v>
      </c>
      <c r="D95" t="s">
        <v>1</v>
      </c>
      <c r="E95" t="s">
        <v>61</v>
      </c>
      <c r="F95" t="s" s="1">
        <f>HYPERLINK("http://141.218.60.56/~jnz1568/discussion.php?&amp;Z=8&amp;N=6&amp;Sheet=2&amp;Row=94&amp;Col=5","4.7")</f>
      </c>
      <c r="G95" t="s" s="1">
        <f>HYPERLINK("http://141.218.60.56/~jnz1568/discussion.php?&amp;Z=8&amp;N=6&amp;Sheet=2&amp;Row=94&amp;Col=6","=")</f>
      </c>
      <c r="H95" t="s" s="1">
        <f>HYPERLINK("http://141.218.60.56/~jnz1568/discussion.php?&amp;Z=8&amp;N=6&amp;Sheet=2&amp;Row=94&amp;Col=7","")</f>
      </c>
      <c r="I95" t="s" s="1">
        <f>HYPERLINK("http://141.218.60.56/~jnz1568/discussion.php?&amp;Z=8&amp;N=6&amp;Sheet=2&amp;Row=94&amp;Col=8","")</f>
      </c>
      <c r="J95" t="s" s="1">
        <f>HYPERLINK("http://141.218.60.56/~jnz1568/discussion.php?&amp;Z=8&amp;N=6&amp;Sheet=2&amp;Row=94&amp;Col=9","")</f>
      </c>
      <c r="K95" t="s" s="1">
        <f>HYPERLINK("http://141.218.60.56/~jnz1568/discussion.php?&amp;Z=8&amp;N=6&amp;Sheet=2&amp;Row=94&amp;Col=10","")</f>
      </c>
      <c r="L95" t="s" s="1">
        <f>HYPERLINK("http://141.218.60.56/~jnz1568/discussion.php?&amp;Z=8&amp;N=6&amp;Sheet=2&amp;Row=94&amp;Col=11","4.20411998266")</f>
      </c>
      <c r="M95" t="s" s="1">
        <f>HYPERLINK("http://141.218.60.56/~jnz1568/discussion.php?&amp;Z=8&amp;N=6&amp;Sheet=2&amp;Row=94&amp;Col=12","0.73919142176")</f>
      </c>
    </row>
    <row r="96">
      <c r="A96" t="s">
        <v>1</v>
      </c>
      <c r="B96" t="s">
        <v>1</v>
      </c>
      <c r="C96" t="s">
        <v>1</v>
      </c>
      <c r="D96" t="s">
        <v>1</v>
      </c>
      <c r="E96" t="s">
        <v>64</v>
      </c>
      <c r="F96" t="s" s="1">
        <f>HYPERLINK("http://141.218.60.56/~jnz1568/discussion.php?&amp;Z=8&amp;N=6&amp;Sheet=2&amp;Row=95&amp;Col=5","4.78")</f>
      </c>
      <c r="G96" t="s" s="1">
        <f>HYPERLINK("http://141.218.60.56/~jnz1568/discussion.php?&amp;Z=8&amp;N=6&amp;Sheet=2&amp;Row=95&amp;Col=6","=")</f>
      </c>
      <c r="H96" t="s" s="1">
        <f>HYPERLINK("http://141.218.60.56/~jnz1568/discussion.php?&amp;Z=8&amp;N=6&amp;Sheet=2&amp;Row=95&amp;Col=7","")</f>
      </c>
      <c r="I96" t="s" s="1">
        <f>HYPERLINK("http://141.218.60.56/~jnz1568/discussion.php?&amp;Z=8&amp;N=6&amp;Sheet=2&amp;Row=95&amp;Col=8","")</f>
      </c>
      <c r="J96" t="s" s="1">
        <f>HYPERLINK("http://141.218.60.56/~jnz1568/discussion.php?&amp;Z=8&amp;N=6&amp;Sheet=2&amp;Row=95&amp;Col=9","")</f>
      </c>
      <c r="K96" t="s" s="1">
        <f>HYPERLINK("http://141.218.60.56/~jnz1568/discussion.php?&amp;Z=8&amp;N=6&amp;Sheet=2&amp;Row=95&amp;Col=10","")</f>
      </c>
      <c r="L96" t="s" s="1">
        <f>HYPERLINK("http://141.218.60.56/~jnz1568/discussion.php?&amp;Z=8&amp;N=6&amp;Sheet=2&amp;Row=95&amp;Col=11","4.23044892138")</f>
      </c>
      <c r="M96" t="s" s="1">
        <f>HYPERLINK("http://141.218.60.56/~jnz1568/discussion.php?&amp;Z=8&amp;N=6&amp;Sheet=2&amp;Row=95&amp;Col=12","0.748440363621")</f>
      </c>
    </row>
    <row r="97">
      <c r="A97" t="s">
        <v>1</v>
      </c>
      <c r="B97" t="s">
        <v>1</v>
      </c>
      <c r="C97" t="s">
        <v>1</v>
      </c>
      <c r="D97" t="s">
        <v>1</v>
      </c>
      <c r="E97" t="s">
        <v>69</v>
      </c>
      <c r="F97" t="s" s="1">
        <f>HYPERLINK("http://141.218.60.56/~jnz1568/discussion.php?&amp;Z=8&amp;N=6&amp;Sheet=2&amp;Row=96&amp;Col=5","4.9")</f>
      </c>
      <c r="G97" t="s" s="1">
        <f>HYPERLINK("http://141.218.60.56/~jnz1568/discussion.php?&amp;Z=8&amp;N=6&amp;Sheet=2&amp;Row=96&amp;Col=6","=")</f>
      </c>
      <c r="H97" t="s" s="1">
        <f>HYPERLINK("http://141.218.60.56/~jnz1568/discussion.php?&amp;Z=8&amp;N=6&amp;Sheet=2&amp;Row=96&amp;Col=7","")</f>
      </c>
      <c r="I97" t="s" s="1">
        <f>HYPERLINK("http://141.218.60.56/~jnz1568/discussion.php?&amp;Z=8&amp;N=6&amp;Sheet=2&amp;Row=96&amp;Col=8","")</f>
      </c>
      <c r="J97" t="s" s="1">
        <f>HYPERLINK("http://141.218.60.56/~jnz1568/discussion.php?&amp;Z=8&amp;N=6&amp;Sheet=2&amp;Row=96&amp;Col=9","")</f>
      </c>
      <c r="K97" t="s" s="1">
        <f>HYPERLINK("http://141.218.60.56/~jnz1568/discussion.php?&amp;Z=8&amp;N=6&amp;Sheet=2&amp;Row=96&amp;Col=10","")</f>
      </c>
      <c r="L97" t="s" s="1">
        <f>HYPERLINK("http://141.218.60.56/~jnz1568/discussion.php?&amp;Z=8&amp;N=6&amp;Sheet=2&amp;Row=96&amp;Col=11","4.2552725051")</f>
      </c>
      <c r="M97" t="s" s="1">
        <f>HYPERLINK("http://141.218.60.56/~jnz1568/discussion.php?&amp;Z=8&amp;N=6&amp;Sheet=2&amp;Row=96&amp;Col=12","0.756881990541")</f>
      </c>
    </row>
    <row r="98">
      <c r="A98" t="s">
        <v>1</v>
      </c>
      <c r="B98" t="s">
        <v>1</v>
      </c>
      <c r="C98" t="s">
        <v>1</v>
      </c>
      <c r="D98" t="s">
        <v>1</v>
      </c>
      <c r="E98" t="s">
        <v>74</v>
      </c>
      <c r="F98" t="s" s="1">
        <f>HYPERLINK("http://141.218.60.56/~jnz1568/discussion.php?&amp;Z=8&amp;N=6&amp;Sheet=2&amp;Row=97&amp;Col=5","5")</f>
      </c>
      <c r="G98" t="s" s="1">
        <f>HYPERLINK("http://141.218.60.56/~jnz1568/discussion.php?&amp;Z=8&amp;N=6&amp;Sheet=2&amp;Row=97&amp;Col=6","=")</f>
      </c>
      <c r="H98" t="s" s="1">
        <f>HYPERLINK("http://141.218.60.56/~jnz1568/discussion.php?&amp;Z=8&amp;N=6&amp;Sheet=2&amp;Row=97&amp;Col=7","")</f>
      </c>
      <c r="I98" t="s" s="1">
        <f>HYPERLINK("http://141.218.60.56/~jnz1568/discussion.php?&amp;Z=8&amp;N=6&amp;Sheet=2&amp;Row=97&amp;Col=8","")</f>
      </c>
      <c r="J98" t="s" s="1">
        <f>HYPERLINK("http://141.218.60.56/~jnz1568/discussion.php?&amp;Z=8&amp;N=6&amp;Sheet=2&amp;Row=97&amp;Col=9","")</f>
      </c>
      <c r="K98" t="s" s="1">
        <f>HYPERLINK("http://141.218.60.56/~jnz1568/discussion.php?&amp;Z=8&amp;N=6&amp;Sheet=2&amp;Row=97&amp;Col=10","")</f>
      </c>
      <c r="L98" t="s" s="1">
        <f>HYPERLINK("http://141.218.60.56/~jnz1568/discussion.php?&amp;Z=8&amp;N=6&amp;Sheet=2&amp;Row=97&amp;Col=11","4.27875360095")</f>
      </c>
      <c r="M98" t="s" s="1">
        <f>HYPERLINK("http://141.218.60.56/~jnz1568/discussion.php?&amp;Z=8&amp;N=6&amp;Sheet=2&amp;Row=97&amp;Col=12","0.764616289232")</f>
      </c>
    </row>
    <row r="99">
      <c r="A99" t="s">
        <v>1</v>
      </c>
      <c r="B99" t="s">
        <v>1</v>
      </c>
      <c r="C99" t="s">
        <v>1</v>
      </c>
      <c r="D99" t="s">
        <v>1</v>
      </c>
      <c r="E99" t="s">
        <v>79</v>
      </c>
      <c r="F99" t="s" s="1">
        <f>HYPERLINK("http://141.218.60.56/~jnz1568/discussion.php?&amp;Z=8&amp;N=6&amp;Sheet=2&amp;Row=98&amp;Col=5","5.08")</f>
      </c>
      <c r="G99" t="s" s="1">
        <f>HYPERLINK("http://141.218.60.56/~jnz1568/discussion.php?&amp;Z=8&amp;N=6&amp;Sheet=2&amp;Row=98&amp;Col=6","=")</f>
      </c>
      <c r="H99" t="s" s="1">
        <f>HYPERLINK("http://141.218.60.56/~jnz1568/discussion.php?&amp;Z=8&amp;N=6&amp;Sheet=2&amp;Row=98&amp;Col=7","")</f>
      </c>
      <c r="I99" t="s" s="1">
        <f>HYPERLINK("http://141.218.60.56/~jnz1568/discussion.php?&amp;Z=8&amp;N=6&amp;Sheet=2&amp;Row=98&amp;Col=8","")</f>
      </c>
      <c r="J99" t="s" s="1">
        <f>HYPERLINK("http://141.218.60.56/~jnz1568/discussion.php?&amp;Z=8&amp;N=6&amp;Sheet=2&amp;Row=98&amp;Col=9","")</f>
      </c>
      <c r="K99" t="s" s="1">
        <f>HYPERLINK("http://141.218.60.56/~jnz1568/discussion.php?&amp;Z=8&amp;N=6&amp;Sheet=2&amp;Row=98&amp;Col=10","")</f>
      </c>
      <c r="L99" t="s" s="1">
        <f>HYPERLINK("http://141.218.60.56/~jnz1568/discussion.php?&amp;Z=8&amp;N=6&amp;Sheet=2&amp;Row=98&amp;Col=11","4.30102999566")</f>
      </c>
      <c r="M99" t="s" s="1">
        <f>HYPERLINK("http://141.218.60.56/~jnz1568/discussion.php?&amp;Z=8&amp;N=6&amp;Sheet=2&amp;Row=98&amp;Col=12","0.771729519146")</f>
      </c>
    </row>
    <row r="100">
      <c r="A100" t="s">
        <v>1</v>
      </c>
      <c r="B100" t="s">
        <v>1</v>
      </c>
      <c r="C100" t="s">
        <v>1</v>
      </c>
      <c r="D100" t="s">
        <v>1</v>
      </c>
      <c r="E100" t="s">
        <v>84</v>
      </c>
      <c r="F100" t="s" s="1">
        <f>HYPERLINK("http://141.218.60.56/~jnz1568/discussion.php?&amp;Z=8&amp;N=6&amp;Sheet=2&amp;Row=99&amp;Col=5","5.15")</f>
      </c>
      <c r="G100" t="s" s="1">
        <f>HYPERLINK("http://141.218.60.56/~jnz1568/discussion.php?&amp;Z=8&amp;N=6&amp;Sheet=2&amp;Row=99&amp;Col=6","=")</f>
      </c>
      <c r="H100" t="s" s="1">
        <f>HYPERLINK("http://141.218.60.56/~jnz1568/discussion.php?&amp;Z=8&amp;N=6&amp;Sheet=2&amp;Row=99&amp;Col=7","")</f>
      </c>
      <c r="I100" t="s" s="1">
        <f>HYPERLINK("http://141.218.60.56/~jnz1568/discussion.php?&amp;Z=8&amp;N=6&amp;Sheet=2&amp;Row=99&amp;Col=8","")</f>
      </c>
      <c r="J100" t="s" s="1">
        <f>HYPERLINK("http://141.218.60.56/~jnz1568/discussion.php?&amp;Z=8&amp;N=6&amp;Sheet=2&amp;Row=99&amp;Col=9","")</f>
      </c>
      <c r="K100" t="s" s="1">
        <f>HYPERLINK("http://141.218.60.56/~jnz1568/discussion.php?&amp;Z=8&amp;N=6&amp;Sheet=2&amp;Row=99&amp;Col=10","")</f>
      </c>
      <c r="L100" t="s" s="1">
        <f>HYPERLINK("http://141.218.60.56/~jnz1568/discussion.php?&amp;Z=8&amp;N=6&amp;Sheet=2&amp;Row=99&amp;Col=11","")</f>
      </c>
      <c r="M100" t="s" s="1">
        <f>HYPERLINK("http://141.218.60.56/~jnz1568/discussion.php?&amp;Z=8&amp;N=6&amp;Sheet=2&amp;Row=99&amp;Col=12","")</f>
      </c>
    </row>
    <row r="101">
      <c r="A101" t="s">
        <v>1</v>
      </c>
      <c r="B101" t="s">
        <v>1</v>
      </c>
      <c r="C101" t="s">
        <v>1</v>
      </c>
      <c r="D101" t="s">
        <v>1</v>
      </c>
      <c r="E101" t="s">
        <v>87</v>
      </c>
      <c r="F101" t="s" s="1">
        <f>HYPERLINK("http://141.218.60.56/~jnz1568/discussion.php?&amp;Z=8&amp;N=6&amp;Sheet=2&amp;Row=100&amp;Col=5","5.2")</f>
      </c>
      <c r="G101" t="s" s="1">
        <f>HYPERLINK("http://141.218.60.56/~jnz1568/discussion.php?&amp;Z=8&amp;N=6&amp;Sheet=2&amp;Row=100&amp;Col=6","=")</f>
      </c>
      <c r="H101" t="s" s="1">
        <f>HYPERLINK("http://141.218.60.56/~jnz1568/discussion.php?&amp;Z=8&amp;N=6&amp;Sheet=2&amp;Row=100&amp;Col=7","")</f>
      </c>
      <c r="I101" t="s" s="1">
        <f>HYPERLINK("http://141.218.60.56/~jnz1568/discussion.php?&amp;Z=8&amp;N=6&amp;Sheet=2&amp;Row=100&amp;Col=8","")</f>
      </c>
      <c r="J101" t="s" s="1">
        <f>HYPERLINK("http://141.218.60.56/~jnz1568/discussion.php?&amp;Z=8&amp;N=6&amp;Sheet=2&amp;Row=100&amp;Col=9","")</f>
      </c>
      <c r="K101" t="s" s="1">
        <f>HYPERLINK("http://141.218.60.56/~jnz1568/discussion.php?&amp;Z=8&amp;N=6&amp;Sheet=2&amp;Row=100&amp;Col=10","")</f>
      </c>
      <c r="L101" t="s" s="1">
        <f>HYPERLINK("http://141.218.60.56/~jnz1568/discussion.php?&amp;Z=8&amp;N=6&amp;Sheet=2&amp;Row=100&amp;Col=11","")</f>
      </c>
      <c r="M101" t="s" s="1">
        <f>HYPERLINK("http://141.218.60.56/~jnz1568/discussion.php?&amp;Z=8&amp;N=6&amp;Sheet=2&amp;Row=100&amp;Col=12","")</f>
      </c>
    </row>
    <row r="102">
      <c r="A102" t="s">
        <v>1</v>
      </c>
      <c r="B102" t="s">
        <v>1</v>
      </c>
      <c r="C102" t="s">
        <v>1</v>
      </c>
      <c r="D102" t="s">
        <v>1</v>
      </c>
      <c r="E102" t="s">
        <v>90</v>
      </c>
      <c r="F102" t="s" s="1">
        <f>HYPERLINK("http://141.218.60.56/~jnz1568/discussion.php?&amp;Z=8&amp;N=6&amp;Sheet=2&amp;Row=101&amp;Col=5","5.26")</f>
      </c>
      <c r="G102" t="s" s="1">
        <f>HYPERLINK("http://141.218.60.56/~jnz1568/discussion.php?&amp;Z=8&amp;N=6&amp;Sheet=2&amp;Row=101&amp;Col=6","=")</f>
      </c>
      <c r="H102" t="s" s="1">
        <f>HYPERLINK("http://141.218.60.56/~jnz1568/discussion.php?&amp;Z=8&amp;N=6&amp;Sheet=2&amp;Row=101&amp;Col=7","")</f>
      </c>
      <c r="I102" t="s" s="1">
        <f>HYPERLINK("http://141.218.60.56/~jnz1568/discussion.php?&amp;Z=8&amp;N=6&amp;Sheet=2&amp;Row=101&amp;Col=8","")</f>
      </c>
      <c r="J102" t="s" s="1">
        <f>HYPERLINK("http://141.218.60.56/~jnz1568/discussion.php?&amp;Z=8&amp;N=6&amp;Sheet=2&amp;Row=101&amp;Col=9","")</f>
      </c>
      <c r="K102" t="s" s="1">
        <f>HYPERLINK("http://141.218.60.56/~jnz1568/discussion.php?&amp;Z=8&amp;N=6&amp;Sheet=2&amp;Row=101&amp;Col=10","")</f>
      </c>
      <c r="L102" t="s" s="1">
        <f>HYPERLINK("http://141.218.60.56/~jnz1568/discussion.php?&amp;Z=8&amp;N=6&amp;Sheet=2&amp;Row=101&amp;Col=11","")</f>
      </c>
      <c r="M102" t="s" s="1">
        <f>HYPERLINK("http://141.218.60.56/~jnz1568/discussion.php?&amp;Z=8&amp;N=6&amp;Sheet=2&amp;Row=101&amp;Col=12","")</f>
      </c>
    </row>
    <row r="103">
      <c r="A103" t="s">
        <v>1</v>
      </c>
      <c r="B103" t="s">
        <v>1</v>
      </c>
      <c r="C103" t="s">
        <v>1</v>
      </c>
      <c r="D103" t="s">
        <v>1</v>
      </c>
      <c r="E103" t="s">
        <v>94</v>
      </c>
      <c r="F103" t="s" s="1">
        <f>HYPERLINK("http://141.218.60.56/~jnz1568/discussion.php?&amp;Z=8&amp;N=6&amp;Sheet=2&amp;Row=102&amp;Col=5","5.3")</f>
      </c>
      <c r="G103" t="s" s="1">
        <f>HYPERLINK("http://141.218.60.56/~jnz1568/discussion.php?&amp;Z=8&amp;N=6&amp;Sheet=2&amp;Row=102&amp;Col=6","=")</f>
      </c>
      <c r="H103" t="s" s="1">
        <f>HYPERLINK("http://141.218.60.56/~jnz1568/discussion.php?&amp;Z=8&amp;N=6&amp;Sheet=2&amp;Row=102&amp;Col=7","")</f>
      </c>
      <c r="I103" t="s" s="1">
        <f>HYPERLINK("http://141.218.60.56/~jnz1568/discussion.php?&amp;Z=8&amp;N=6&amp;Sheet=2&amp;Row=102&amp;Col=8","")</f>
      </c>
      <c r="J103" t="s" s="1">
        <f>HYPERLINK("http://141.218.60.56/~jnz1568/discussion.php?&amp;Z=8&amp;N=6&amp;Sheet=2&amp;Row=102&amp;Col=9","")</f>
      </c>
      <c r="K103" t="s" s="1">
        <f>HYPERLINK("http://141.218.60.56/~jnz1568/discussion.php?&amp;Z=8&amp;N=6&amp;Sheet=2&amp;Row=102&amp;Col=10","")</f>
      </c>
      <c r="L103" t="s" s="1">
        <f>HYPERLINK("http://141.218.60.56/~jnz1568/discussion.php?&amp;Z=8&amp;N=6&amp;Sheet=2&amp;Row=102&amp;Col=11","")</f>
      </c>
      <c r="M103" t="s" s="1">
        <f>HYPERLINK("http://141.218.60.56/~jnz1568/discussion.php?&amp;Z=8&amp;N=6&amp;Sheet=2&amp;Row=102&amp;Col=12","")</f>
      </c>
    </row>
    <row r="104">
      <c r="A104" t="s">
        <v>15</v>
      </c>
      <c r="B104" t="s">
        <v>16</v>
      </c>
      <c r="C104" t="s">
        <v>28</v>
      </c>
      <c r="D104" t="s">
        <v>20</v>
      </c>
      <c r="E104" t="s">
        <v>17</v>
      </c>
      <c r="F104" t="s" s="1">
        <f>HYPERLINK("http://141.218.60.56/~jnz1568/discussion.php?&amp;Z=8&amp;N=6&amp;Sheet=2&amp;Row=103&amp;Col=5","3.4")</f>
      </c>
      <c r="G104" t="s" s="1">
        <f>HYPERLINK("http://141.218.60.56/~jnz1568/discussion.php?&amp;Z=8&amp;N=6&amp;Sheet=2&amp;Row=103&amp;Col=6","=G64*5")</f>
      </c>
      <c r="H104" t="s" s="1">
        <f>HYPERLINK("http://141.218.60.56/~jnz1568/discussion.php?&amp;Z=8&amp;N=6&amp;Sheet=2&amp;Row=103&amp;Col=7","2")</f>
      </c>
      <c r="I104" t="s" s="1">
        <f>HYPERLINK("http://141.218.60.56/~jnz1568/discussion.php?&amp;Z=8&amp;N=6&amp;Sheet=2&amp;Row=103&amp;Col=8","0.9934")</f>
      </c>
      <c r="J104" t="s" s="1">
        <f>HYPERLINK("http://141.218.60.56/~jnz1568/discussion.php?&amp;Z=8&amp;N=6&amp;Sheet=2&amp;Row=103&amp;Col=9","3")</f>
      </c>
      <c r="K104" t="s" s="1">
        <f>HYPERLINK("http://141.218.60.56/~jnz1568/discussion.php?&amp;Z=8&amp;N=6&amp;Sheet=2&amp;Row=103&amp;Col=10","1.23516666667")</f>
      </c>
      <c r="L104" t="s" s="1">
        <f>HYPERLINK("http://141.218.60.56/~jnz1568/discussion.php?&amp;Z=8&amp;N=6&amp;Sheet=2&amp;Row=103&amp;Col=11","3.69897000434")</f>
      </c>
      <c r="M104" t="s" s="1">
        <f>HYPERLINK("http://141.218.60.56/~jnz1568/discussion.php?&amp;Z=8&amp;N=6&amp;Sheet=2&amp;Row=103&amp;Col=12","0.92728078468")</f>
      </c>
    </row>
    <row r="105">
      <c r="A105" t="s">
        <v>1</v>
      </c>
      <c r="B105" t="s">
        <v>1</v>
      </c>
      <c r="C105" t="s">
        <v>1</v>
      </c>
      <c r="D105" t="s">
        <v>1</v>
      </c>
      <c r="E105" t="s">
        <v>23</v>
      </c>
      <c r="F105" t="s" s="1">
        <f>HYPERLINK("http://141.218.60.56/~jnz1568/discussion.php?&amp;Z=8&amp;N=6&amp;Sheet=2&amp;Row=104&amp;Col=5","3.7")</f>
      </c>
      <c r="G105" t="s" s="1">
        <f>HYPERLINK("http://141.218.60.56/~jnz1568/discussion.php?&amp;Z=8&amp;N=6&amp;Sheet=2&amp;Row=104&amp;Col=6","=")</f>
      </c>
      <c r="H105" t="s" s="1">
        <f>HYPERLINK("http://141.218.60.56/~jnz1568/discussion.php?&amp;Z=8&amp;N=6&amp;Sheet=2&amp;Row=104&amp;Col=7","2.69897000434")</f>
      </c>
      <c r="I105" t="s" s="1">
        <f>HYPERLINK("http://141.218.60.56/~jnz1568/discussion.php?&amp;Z=8&amp;N=6&amp;Sheet=2&amp;Row=104&amp;Col=8","1.056")</f>
      </c>
      <c r="J105" t="s" s="1">
        <f>HYPERLINK("http://141.218.60.56/~jnz1568/discussion.php?&amp;Z=8&amp;N=6&amp;Sheet=2&amp;Row=104&amp;Col=9","3.2")</f>
      </c>
      <c r="K105" t="s" s="1">
        <f>HYPERLINK("http://141.218.60.56/~jnz1568/discussion.php?&amp;Z=8&amp;N=6&amp;Sheet=2&amp;Row=104&amp;Col=10","1.216")</f>
      </c>
      <c r="L105" t="s" s="1">
        <f>HYPERLINK("http://141.218.60.56/~jnz1568/discussion.php?&amp;Z=8&amp;N=6&amp;Sheet=2&amp;Row=104&amp;Col=11","3.77815125038")</f>
      </c>
      <c r="M105" t="s" s="1">
        <f>HYPERLINK("http://141.218.60.56/~jnz1568/discussion.php?&amp;Z=8&amp;N=6&amp;Sheet=2&amp;Row=104&amp;Col=12","0.96111393806")</f>
      </c>
    </row>
    <row r="106">
      <c r="A106" t="s">
        <v>1</v>
      </c>
      <c r="B106" t="s">
        <v>1</v>
      </c>
      <c r="C106" t="s">
        <v>1</v>
      </c>
      <c r="D106" t="s">
        <v>1</v>
      </c>
      <c r="E106" t="s">
        <v>20</v>
      </c>
      <c r="F106" t="s" s="1">
        <f>HYPERLINK("http://141.218.60.56/~jnz1568/discussion.php?&amp;Z=8&amp;N=6&amp;Sheet=2&amp;Row=105&amp;Col=5","3.88")</f>
      </c>
      <c r="G106" t="s" s="1">
        <f>HYPERLINK("http://141.218.60.56/~jnz1568/discussion.php?&amp;Z=8&amp;N=6&amp;Sheet=2&amp;Row=105&amp;Col=6","=")</f>
      </c>
      <c r="H106" t="s" s="1">
        <f>HYPERLINK("http://141.218.60.56/~jnz1568/discussion.php?&amp;Z=8&amp;N=6&amp;Sheet=2&amp;Row=105&amp;Col=7","3")</f>
      </c>
      <c r="I106" t="s" s="1">
        <f>HYPERLINK("http://141.218.60.56/~jnz1568/discussion.php?&amp;Z=8&amp;N=6&amp;Sheet=2&amp;Row=105&amp;Col=8","1.089")</f>
      </c>
      <c r="J106" t="s" s="1">
        <f>HYPERLINK("http://141.218.60.56/~jnz1568/discussion.php?&amp;Z=8&amp;N=6&amp;Sheet=2&amp;Row=105&amp;Col=9","3.4")</f>
      </c>
      <c r="K106" t="s" s="1">
        <f>HYPERLINK("http://141.218.60.56/~jnz1568/discussion.php?&amp;Z=8&amp;N=6&amp;Sheet=2&amp;Row=105&amp;Col=10","1.18977777778")</f>
      </c>
      <c r="L106" t="s" s="1">
        <f>HYPERLINK("http://141.218.60.56/~jnz1568/discussion.php?&amp;Z=8&amp;N=6&amp;Sheet=2&amp;Row=105&amp;Col=11","3.84509804001")</f>
      </c>
      <c r="M106" t="s" s="1">
        <f>HYPERLINK("http://141.218.60.56/~jnz1568/discussion.php?&amp;Z=8&amp;N=6&amp;Sheet=2&amp;Row=105&amp;Col=12","0.997740928066")</f>
      </c>
    </row>
    <row r="107">
      <c r="A107" t="s">
        <v>1</v>
      </c>
      <c r="B107" t="s">
        <v>1</v>
      </c>
      <c r="C107" t="s">
        <v>1</v>
      </c>
      <c r="D107" t="s">
        <v>1</v>
      </c>
      <c r="E107" t="s">
        <v>28</v>
      </c>
      <c r="F107" t="s" s="1">
        <f>HYPERLINK("http://141.218.60.56/~jnz1568/discussion.php?&amp;Z=8&amp;N=6&amp;Sheet=2&amp;Row=106&amp;Col=5","4")</f>
      </c>
      <c r="G107" t="s" s="1">
        <f>HYPERLINK("http://141.218.60.56/~jnz1568/discussion.php?&amp;Z=8&amp;N=6&amp;Sheet=2&amp;Row=106&amp;Col=6","=")</f>
      </c>
      <c r="H107" t="s" s="1">
        <f>HYPERLINK("http://141.218.60.56/~jnz1568/discussion.php?&amp;Z=8&amp;N=6&amp;Sheet=2&amp;Row=106&amp;Col=7","3.69897000434")</f>
      </c>
      <c r="I107" t="s" s="1">
        <f>HYPERLINK("http://141.218.60.56/~jnz1568/discussion.php?&amp;Z=8&amp;N=6&amp;Sheet=2&amp;Row=106&amp;Col=8","1.188")</f>
      </c>
      <c r="J107" t="s" s="1">
        <f>HYPERLINK("http://141.218.60.56/~jnz1568/discussion.php?&amp;Z=8&amp;N=6&amp;Sheet=2&amp;Row=106&amp;Col=9","3.6")</f>
      </c>
      <c r="K107" t="s" s="1">
        <f>HYPERLINK("http://141.218.60.56/~jnz1568/discussion.php?&amp;Z=8&amp;N=6&amp;Sheet=2&amp;Row=106&amp;Col=10","1.17316666667")</f>
      </c>
      <c r="L107" t="s" s="1">
        <f>HYPERLINK("http://141.218.60.56/~jnz1568/discussion.php?&amp;Z=8&amp;N=6&amp;Sheet=2&amp;Row=106&amp;Col=11","3.90308998699")</f>
      </c>
      <c r="M107" t="s" s="1">
        <f>HYPERLINK("http://141.218.60.56/~jnz1568/discussion.php?&amp;Z=8&amp;N=6&amp;Sheet=2&amp;Row=106&amp;Col=12","1.03380701973")</f>
      </c>
    </row>
    <row r="108">
      <c r="A108" t="s">
        <v>1</v>
      </c>
      <c r="B108" t="s">
        <v>1</v>
      </c>
      <c r="C108" t="s">
        <v>1</v>
      </c>
      <c r="D108" t="s">
        <v>1</v>
      </c>
      <c r="E108" t="s">
        <v>33</v>
      </c>
      <c r="F108" t="s" s="1">
        <f>HYPERLINK("http://141.218.60.56/~jnz1568/discussion.php?&amp;Z=8&amp;N=6&amp;Sheet=2&amp;Row=107&amp;Col=5","4.1")</f>
      </c>
      <c r="G108" t="s" s="1">
        <f>HYPERLINK("http://141.218.60.56/~jnz1568/discussion.php?&amp;Z=8&amp;N=6&amp;Sheet=2&amp;Row=107&amp;Col=6","=")</f>
      </c>
      <c r="H108" t="s" s="1">
        <f>HYPERLINK("http://141.218.60.56/~jnz1568/discussion.php?&amp;Z=8&amp;N=6&amp;Sheet=2&amp;Row=107&amp;Col=7","4")</f>
      </c>
      <c r="I108" t="s" s="1">
        <f>HYPERLINK("http://141.218.60.56/~jnz1568/discussion.php?&amp;Z=8&amp;N=6&amp;Sheet=2&amp;Row=107&amp;Col=8","1.363")</f>
      </c>
      <c r="J108" t="s" s="1">
        <f>HYPERLINK("http://141.218.60.56/~jnz1568/discussion.php?&amp;Z=8&amp;N=6&amp;Sheet=2&amp;Row=107&amp;Col=9","3.8")</f>
      </c>
      <c r="K108" t="s" s="1">
        <f>HYPERLINK("http://141.218.60.56/~jnz1568/discussion.php?&amp;Z=8&amp;N=6&amp;Sheet=2&amp;Row=107&amp;Col=10","1.19877777778")</f>
      </c>
      <c r="L108" t="s" s="1">
        <f>HYPERLINK("http://141.218.60.56/~jnz1568/discussion.php?&amp;Z=8&amp;N=6&amp;Sheet=2&amp;Row=107&amp;Col=11","3.95424250944")</f>
      </c>
      <c r="M108" t="s" s="1">
        <f>HYPERLINK("http://141.218.60.56/~jnz1568/discussion.php?&amp;Z=8&amp;N=6&amp;Sheet=2&amp;Row=107&amp;Col=12","1.06772316689")</f>
      </c>
    </row>
    <row r="109">
      <c r="A109" t="s">
        <v>1</v>
      </c>
      <c r="B109" t="s">
        <v>1</v>
      </c>
      <c r="C109" t="s">
        <v>1</v>
      </c>
      <c r="D109" t="s">
        <v>1</v>
      </c>
      <c r="E109" t="s">
        <v>16</v>
      </c>
      <c r="F109" t="s" s="1">
        <f>HYPERLINK("http://141.218.60.56/~jnz1568/discussion.php?&amp;Z=8&amp;N=6&amp;Sheet=2&amp;Row=108&amp;Col=5","4.18")</f>
      </c>
      <c r="G109" t="s" s="1">
        <f>HYPERLINK("http://141.218.60.56/~jnz1568/discussion.php?&amp;Z=8&amp;N=6&amp;Sheet=2&amp;Row=108&amp;Col=6","=")</f>
      </c>
      <c r="H109" t="s" s="1">
        <f>HYPERLINK("http://141.218.60.56/~jnz1568/discussion.php?&amp;Z=8&amp;N=6&amp;Sheet=2&amp;Row=108&amp;Col=7","4.30102999566")</f>
      </c>
      <c r="I109" t="s" s="1">
        <f>HYPERLINK("http://141.218.60.56/~jnz1568/discussion.php?&amp;Z=8&amp;N=6&amp;Sheet=2&amp;Row=108&amp;Col=8","1.564")</f>
      </c>
      <c r="J109" t="s" s="1">
        <f>HYPERLINK("http://141.218.60.56/~jnz1568/discussion.php?&amp;Z=8&amp;N=6&amp;Sheet=2&amp;Row=108&amp;Col=9","4")</f>
      </c>
      <c r="K109" t="s" s="1">
        <f>HYPERLINK("http://141.218.60.56/~jnz1568/discussion.php?&amp;Z=8&amp;N=6&amp;Sheet=2&amp;Row=108&amp;Col=10","1.27177777778")</f>
      </c>
      <c r="L109" t="s" s="1">
        <f>HYPERLINK("http://141.218.60.56/~jnz1568/discussion.php?&amp;Z=8&amp;N=6&amp;Sheet=2&amp;Row=108&amp;Col=11","4")</f>
      </c>
      <c r="M109" t="s" s="1">
        <f>HYPERLINK("http://141.218.60.56/~jnz1568/discussion.php?&amp;Z=8&amp;N=6&amp;Sheet=2&amp;Row=108&amp;Col=12","1.09887019628")</f>
      </c>
    </row>
    <row r="110">
      <c r="A110" t="s">
        <v>1</v>
      </c>
      <c r="B110" t="s">
        <v>1</v>
      </c>
      <c r="C110" t="s">
        <v>1</v>
      </c>
      <c r="D110" t="s">
        <v>1</v>
      </c>
      <c r="E110" t="s">
        <v>43</v>
      </c>
      <c r="F110" t="s" s="1">
        <f>HYPERLINK("http://141.218.60.56/~jnz1568/discussion.php?&amp;Z=8&amp;N=6&amp;Sheet=2&amp;Row=109&amp;Col=5","4.24")</f>
      </c>
      <c r="G110" t="s" s="1">
        <f>HYPERLINK("http://141.218.60.56/~jnz1568/discussion.php?&amp;Z=8&amp;N=6&amp;Sheet=2&amp;Row=109&amp;Col=6","=")</f>
      </c>
      <c r="H110" t="s" s="1">
        <f>HYPERLINK("http://141.218.60.56/~jnz1568/discussion.php?&amp;Z=8&amp;N=6&amp;Sheet=2&amp;Row=109&amp;Col=7","4.47712125472")</f>
      </c>
      <c r="I110" t="s" s="1">
        <f>HYPERLINK("http://141.218.60.56/~jnz1568/discussion.php?&amp;Z=8&amp;N=6&amp;Sheet=2&amp;Row=109&amp;Col=8","1.645")</f>
      </c>
      <c r="J110" t="s" s="1">
        <f>HYPERLINK("http://141.218.60.56/~jnz1568/discussion.php?&amp;Z=8&amp;N=6&amp;Sheet=2&amp;Row=109&amp;Col=9","4.2")</f>
      </c>
      <c r="K110" t="s" s="1">
        <f>HYPERLINK("http://141.218.60.56/~jnz1568/discussion.php?&amp;Z=8&amp;N=6&amp;Sheet=2&amp;Row=109&amp;Col=10","1.36094444444")</f>
      </c>
      <c r="L110" t="s" s="1">
        <f>HYPERLINK("http://141.218.60.56/~jnz1568/discussion.php?&amp;Z=8&amp;N=6&amp;Sheet=2&amp;Row=109&amp;Col=11","4.04139268516")</f>
      </c>
      <c r="M110" t="s" s="1">
        <f>HYPERLINK("http://141.218.60.56/~jnz1568/discussion.php?&amp;Z=8&amp;N=6&amp;Sheet=2&amp;Row=109&amp;Col=12","1.12713077641")</f>
      </c>
    </row>
    <row r="111">
      <c r="A111" t="s">
        <v>1</v>
      </c>
      <c r="B111" t="s">
        <v>1</v>
      </c>
      <c r="C111" t="s">
        <v>1</v>
      </c>
      <c r="D111" t="s">
        <v>1</v>
      </c>
      <c r="E111" t="s">
        <v>15</v>
      </c>
      <c r="F111" t="s" s="1">
        <f>HYPERLINK("http://141.218.60.56/~jnz1568/discussion.php?&amp;Z=8&amp;N=6&amp;Sheet=2&amp;Row=110&amp;Col=5","4.3")</f>
      </c>
      <c r="G111" t="s" s="1">
        <f>HYPERLINK("http://141.218.60.56/~jnz1568/discussion.php?&amp;Z=8&amp;N=6&amp;Sheet=2&amp;Row=110&amp;Col=6","=")</f>
      </c>
      <c r="H111" t="s" s="1">
        <f>HYPERLINK("http://141.218.60.56/~jnz1568/discussion.php?&amp;Z=8&amp;N=6&amp;Sheet=2&amp;Row=110&amp;Col=7","")</f>
      </c>
      <c r="I111" t="s" s="1">
        <f>HYPERLINK("http://141.218.60.56/~jnz1568/discussion.php?&amp;Z=8&amp;N=6&amp;Sheet=2&amp;Row=110&amp;Col=8","")</f>
      </c>
      <c r="J111" t="s" s="1">
        <f>HYPERLINK("http://141.218.60.56/~jnz1568/discussion.php?&amp;Z=8&amp;N=6&amp;Sheet=2&amp;Row=110&amp;Col=9","4.4")</f>
      </c>
      <c r="K111" t="s" s="1">
        <f>HYPERLINK("http://141.218.60.56/~jnz1568/discussion.php?&amp;Z=8&amp;N=6&amp;Sheet=2&amp;Row=110&amp;Col=10","1.43616666667")</f>
      </c>
      <c r="L111" t="s" s="1">
        <f>HYPERLINK("http://141.218.60.56/~jnz1568/discussion.php?&amp;Z=8&amp;N=6&amp;Sheet=2&amp;Row=110&amp;Col=11","4.07918124605")</f>
      </c>
      <c r="M111" t="s" s="1">
        <f>HYPERLINK("http://141.218.60.56/~jnz1568/discussion.php?&amp;Z=8&amp;N=6&amp;Sheet=2&amp;Row=110&amp;Col=12","1.15263115211")</f>
      </c>
    </row>
    <row r="112">
      <c r="A112" t="s">
        <v>1</v>
      </c>
      <c r="B112" t="s">
        <v>1</v>
      </c>
      <c r="C112" t="s">
        <v>1</v>
      </c>
      <c r="D112" t="s">
        <v>1</v>
      </c>
      <c r="E112" t="s">
        <v>50</v>
      </c>
      <c r="F112" t="s" s="1">
        <f>HYPERLINK("http://141.218.60.56/~jnz1568/discussion.php?&amp;Z=8&amp;N=6&amp;Sheet=2&amp;Row=111&amp;Col=5","4.4")</f>
      </c>
      <c r="G112" t="s" s="1">
        <f>HYPERLINK("http://141.218.60.56/~jnz1568/discussion.php?&amp;Z=8&amp;N=6&amp;Sheet=2&amp;Row=111&amp;Col=6","=")</f>
      </c>
      <c r="H112" t="s" s="1">
        <f>HYPERLINK("http://141.218.60.56/~jnz1568/discussion.php?&amp;Z=8&amp;N=6&amp;Sheet=2&amp;Row=111&amp;Col=7","")</f>
      </c>
      <c r="I112" t="s" s="1">
        <f>HYPERLINK("http://141.218.60.56/~jnz1568/discussion.php?&amp;Z=8&amp;N=6&amp;Sheet=2&amp;Row=111&amp;Col=8","")</f>
      </c>
      <c r="J112" t="s" s="1">
        <f>HYPERLINK("http://141.218.60.56/~jnz1568/discussion.php?&amp;Z=8&amp;N=6&amp;Sheet=2&amp;Row=111&amp;Col=9","4.6")</f>
      </c>
      <c r="K112" t="s" s="1">
        <f>HYPERLINK("http://141.218.60.56/~jnz1568/discussion.php?&amp;Z=8&amp;N=6&amp;Sheet=2&amp;Row=111&amp;Col=10","1.485")</f>
      </c>
      <c r="L112" t="s" s="1">
        <f>HYPERLINK("http://141.218.60.56/~jnz1568/discussion.php?&amp;Z=8&amp;N=6&amp;Sheet=2&amp;Row=111&amp;Col=11","4.11394335231")</f>
      </c>
      <c r="M112" t="s" s="1">
        <f>HYPERLINK("http://141.218.60.56/~jnz1568/discussion.php?&amp;Z=8&amp;N=6&amp;Sheet=2&amp;Row=111&amp;Col=12","1.17560305116")</f>
      </c>
    </row>
    <row r="113">
      <c r="A113" t="s">
        <v>1</v>
      </c>
      <c r="B113" t="s">
        <v>1</v>
      </c>
      <c r="C113" t="s">
        <v>1</v>
      </c>
      <c r="D113" t="s">
        <v>1</v>
      </c>
      <c r="E113" t="s">
        <v>53</v>
      </c>
      <c r="F113" t="s" s="1">
        <f>HYPERLINK("http://141.218.60.56/~jnz1568/discussion.php?&amp;Z=8&amp;N=6&amp;Sheet=2&amp;Row=112&amp;Col=5","4.48")</f>
      </c>
      <c r="G113" t="s" s="1">
        <f>HYPERLINK("http://141.218.60.56/~jnz1568/discussion.php?&amp;Z=8&amp;N=6&amp;Sheet=2&amp;Row=112&amp;Col=6","=")</f>
      </c>
      <c r="H113" t="s" s="1">
        <f>HYPERLINK("http://141.218.60.56/~jnz1568/discussion.php?&amp;Z=8&amp;N=6&amp;Sheet=2&amp;Row=112&amp;Col=7","")</f>
      </c>
      <c r="I113" t="s" s="1">
        <f>HYPERLINK("http://141.218.60.56/~jnz1568/discussion.php?&amp;Z=8&amp;N=6&amp;Sheet=2&amp;Row=112&amp;Col=8","")</f>
      </c>
      <c r="J113" t="s" s="1">
        <f>HYPERLINK("http://141.218.60.56/~jnz1568/discussion.php?&amp;Z=8&amp;N=6&amp;Sheet=2&amp;Row=112&amp;Col=9","4.8")</f>
      </c>
      <c r="K113" t="s" s="1">
        <f>HYPERLINK("http://141.218.60.56/~jnz1568/discussion.php?&amp;Z=8&amp;N=6&amp;Sheet=2&amp;Row=112&amp;Col=10","1.50105555556")</f>
      </c>
      <c r="L113" t="s" s="1">
        <f>HYPERLINK("http://141.218.60.56/~jnz1568/discussion.php?&amp;Z=8&amp;N=6&amp;Sheet=2&amp;Row=112&amp;Col=11","4.14612803568")</f>
      </c>
      <c r="M113" t="s" s="1">
        <f>HYPERLINK("http://141.218.60.56/~jnz1568/discussion.php?&amp;Z=8&amp;N=6&amp;Sheet=2&amp;Row=112&amp;Col=12","1.19631181931")</f>
      </c>
    </row>
    <row r="114">
      <c r="A114" t="s">
        <v>1</v>
      </c>
      <c r="B114" t="s">
        <v>1</v>
      </c>
      <c r="C114" t="s">
        <v>1</v>
      </c>
      <c r="D114" t="s">
        <v>1</v>
      </c>
      <c r="E114" t="s">
        <v>58</v>
      </c>
      <c r="F114" t="s" s="1">
        <f>HYPERLINK("http://141.218.60.56/~jnz1568/discussion.php?&amp;Z=8&amp;N=6&amp;Sheet=2&amp;Row=113&amp;Col=5","4.6")</f>
      </c>
      <c r="G114" t="s" s="1">
        <f>HYPERLINK("http://141.218.60.56/~jnz1568/discussion.php?&amp;Z=8&amp;N=6&amp;Sheet=2&amp;Row=113&amp;Col=6","=")</f>
      </c>
      <c r="H114" t="s" s="1">
        <f>HYPERLINK("http://141.218.60.56/~jnz1568/discussion.php?&amp;Z=8&amp;N=6&amp;Sheet=2&amp;Row=113&amp;Col=7","")</f>
      </c>
      <c r="I114" t="s" s="1">
        <f>HYPERLINK("http://141.218.60.56/~jnz1568/discussion.php?&amp;Z=8&amp;N=6&amp;Sheet=2&amp;Row=113&amp;Col=8","")</f>
      </c>
      <c r="J114" t="s" s="1">
        <f>HYPERLINK("http://141.218.60.56/~jnz1568/discussion.php?&amp;Z=8&amp;N=6&amp;Sheet=2&amp;Row=113&amp;Col=9","5")</f>
      </c>
      <c r="K114" t="s" s="1">
        <f>HYPERLINK("http://141.218.60.56/~jnz1568/discussion.php?&amp;Z=8&amp;N=6&amp;Sheet=2&amp;Row=113&amp;Col=10","1.47744444444")</f>
      </c>
      <c r="L114" t="s" s="1">
        <f>HYPERLINK("http://141.218.60.56/~jnz1568/discussion.php?&amp;Z=8&amp;N=6&amp;Sheet=2&amp;Row=113&amp;Col=11","4.17609125906")</f>
      </c>
      <c r="M114" t="s" s="1">
        <f>HYPERLINK("http://141.218.60.56/~jnz1568/discussion.php?&amp;Z=8&amp;N=6&amp;Sheet=2&amp;Row=113&amp;Col=12","1.21502048165")</f>
      </c>
    </row>
    <row r="115">
      <c r="A115" t="s">
        <v>1</v>
      </c>
      <c r="B115" t="s">
        <v>1</v>
      </c>
      <c r="C115" t="s">
        <v>1</v>
      </c>
      <c r="D115" t="s">
        <v>1</v>
      </c>
      <c r="E115" t="s">
        <v>61</v>
      </c>
      <c r="F115" t="s" s="1">
        <f>HYPERLINK("http://141.218.60.56/~jnz1568/discussion.php?&amp;Z=8&amp;N=6&amp;Sheet=2&amp;Row=114&amp;Col=5","4.7")</f>
      </c>
      <c r="G115" t="s" s="1">
        <f>HYPERLINK("http://141.218.60.56/~jnz1568/discussion.php?&amp;Z=8&amp;N=6&amp;Sheet=2&amp;Row=114&amp;Col=6","=")</f>
      </c>
      <c r="H115" t="s" s="1">
        <f>HYPERLINK("http://141.218.60.56/~jnz1568/discussion.php?&amp;Z=8&amp;N=6&amp;Sheet=2&amp;Row=114&amp;Col=7","")</f>
      </c>
      <c r="I115" t="s" s="1">
        <f>HYPERLINK("http://141.218.60.56/~jnz1568/discussion.php?&amp;Z=8&amp;N=6&amp;Sheet=2&amp;Row=114&amp;Col=8","")</f>
      </c>
      <c r="J115" t="s" s="1">
        <f>HYPERLINK("http://141.218.60.56/~jnz1568/discussion.php?&amp;Z=8&amp;N=6&amp;Sheet=2&amp;Row=114&amp;Col=9","")</f>
      </c>
      <c r="K115" t="s" s="1">
        <f>HYPERLINK("http://141.218.60.56/~jnz1568/discussion.php?&amp;Z=8&amp;N=6&amp;Sheet=2&amp;Row=114&amp;Col=10","")</f>
      </c>
      <c r="L115" t="s" s="1">
        <f>HYPERLINK("http://141.218.60.56/~jnz1568/discussion.php?&amp;Z=8&amp;N=6&amp;Sheet=2&amp;Row=114&amp;Col=11","4.20411998266")</f>
      </c>
      <c r="M115" t="s" s="1">
        <f>HYPERLINK("http://141.218.60.56/~jnz1568/discussion.php?&amp;Z=8&amp;N=6&amp;Sheet=2&amp;Row=114&amp;Col=12","1.23197308612")</f>
      </c>
    </row>
    <row r="116">
      <c r="A116" t="s">
        <v>1</v>
      </c>
      <c r="B116" t="s">
        <v>1</v>
      </c>
      <c r="C116" t="s">
        <v>1</v>
      </c>
      <c r="D116" t="s">
        <v>1</v>
      </c>
      <c r="E116" t="s">
        <v>64</v>
      </c>
      <c r="F116" t="s" s="1">
        <f>HYPERLINK("http://141.218.60.56/~jnz1568/discussion.php?&amp;Z=8&amp;N=6&amp;Sheet=2&amp;Row=115&amp;Col=5","4.78")</f>
      </c>
      <c r="G116" t="s" s="1">
        <f>HYPERLINK("http://141.218.60.56/~jnz1568/discussion.php?&amp;Z=8&amp;N=6&amp;Sheet=2&amp;Row=115&amp;Col=6","=")</f>
      </c>
      <c r="H116" t="s" s="1">
        <f>HYPERLINK("http://141.218.60.56/~jnz1568/discussion.php?&amp;Z=8&amp;N=6&amp;Sheet=2&amp;Row=115&amp;Col=7","")</f>
      </c>
      <c r="I116" t="s" s="1">
        <f>HYPERLINK("http://141.218.60.56/~jnz1568/discussion.php?&amp;Z=8&amp;N=6&amp;Sheet=2&amp;Row=115&amp;Col=8","")</f>
      </c>
      <c r="J116" t="s" s="1">
        <f>HYPERLINK("http://141.218.60.56/~jnz1568/discussion.php?&amp;Z=8&amp;N=6&amp;Sheet=2&amp;Row=115&amp;Col=9","")</f>
      </c>
      <c r="K116" t="s" s="1">
        <f>HYPERLINK("http://141.218.60.56/~jnz1568/discussion.php?&amp;Z=8&amp;N=6&amp;Sheet=2&amp;Row=115&amp;Col=10","")</f>
      </c>
      <c r="L116" t="s" s="1">
        <f>HYPERLINK("http://141.218.60.56/~jnz1568/discussion.php?&amp;Z=8&amp;N=6&amp;Sheet=2&amp;Row=115&amp;Col=11","4.23044892138")</f>
      </c>
      <c r="M116" t="s" s="1">
        <f>HYPERLINK("http://141.218.60.56/~jnz1568/discussion.php?&amp;Z=8&amp;N=6&amp;Sheet=2&amp;Row=115&amp;Col=12","1.24738824234")</f>
      </c>
    </row>
    <row r="117">
      <c r="A117" t="s">
        <v>1</v>
      </c>
      <c r="B117" t="s">
        <v>1</v>
      </c>
      <c r="C117" t="s">
        <v>1</v>
      </c>
      <c r="D117" t="s">
        <v>1</v>
      </c>
      <c r="E117" t="s">
        <v>69</v>
      </c>
      <c r="F117" t="s" s="1">
        <f>HYPERLINK("http://141.218.60.56/~jnz1568/discussion.php?&amp;Z=8&amp;N=6&amp;Sheet=2&amp;Row=116&amp;Col=5","4.9")</f>
      </c>
      <c r="G117" t="s" s="1">
        <f>HYPERLINK("http://141.218.60.56/~jnz1568/discussion.php?&amp;Z=8&amp;N=6&amp;Sheet=2&amp;Row=116&amp;Col=6","=")</f>
      </c>
      <c r="H117" t="s" s="1">
        <f>HYPERLINK("http://141.218.60.56/~jnz1568/discussion.php?&amp;Z=8&amp;N=6&amp;Sheet=2&amp;Row=116&amp;Col=7","")</f>
      </c>
      <c r="I117" t="s" s="1">
        <f>HYPERLINK("http://141.218.60.56/~jnz1568/discussion.php?&amp;Z=8&amp;N=6&amp;Sheet=2&amp;Row=116&amp;Col=8","")</f>
      </c>
      <c r="J117" t="s" s="1">
        <f>HYPERLINK("http://141.218.60.56/~jnz1568/discussion.php?&amp;Z=8&amp;N=6&amp;Sheet=2&amp;Row=116&amp;Col=9","")</f>
      </c>
      <c r="K117" t="s" s="1">
        <f>HYPERLINK("http://141.218.60.56/~jnz1568/discussion.php?&amp;Z=8&amp;N=6&amp;Sheet=2&amp;Row=116&amp;Col=10","")</f>
      </c>
      <c r="L117" t="s" s="1">
        <f>HYPERLINK("http://141.218.60.56/~jnz1568/discussion.php?&amp;Z=8&amp;N=6&amp;Sheet=2&amp;Row=116&amp;Col=11","4.2552725051")</f>
      </c>
      <c r="M117" t="s" s="1">
        <f>HYPERLINK("http://141.218.60.56/~jnz1568/discussion.php?&amp;Z=8&amp;N=6&amp;Sheet=2&amp;Row=116&amp;Col=12","1.26145790389")</f>
      </c>
    </row>
    <row r="118">
      <c r="A118" t="s">
        <v>1</v>
      </c>
      <c r="B118" t="s">
        <v>1</v>
      </c>
      <c r="C118" t="s">
        <v>1</v>
      </c>
      <c r="D118" t="s">
        <v>1</v>
      </c>
      <c r="E118" t="s">
        <v>74</v>
      </c>
      <c r="F118" t="s" s="1">
        <f>HYPERLINK("http://141.218.60.56/~jnz1568/discussion.php?&amp;Z=8&amp;N=6&amp;Sheet=2&amp;Row=117&amp;Col=5","5")</f>
      </c>
      <c r="G118" t="s" s="1">
        <f>HYPERLINK("http://141.218.60.56/~jnz1568/discussion.php?&amp;Z=8&amp;N=6&amp;Sheet=2&amp;Row=117&amp;Col=6","=")</f>
      </c>
      <c r="H118" t="s" s="1">
        <f>HYPERLINK("http://141.218.60.56/~jnz1568/discussion.php?&amp;Z=8&amp;N=6&amp;Sheet=2&amp;Row=117&amp;Col=7","")</f>
      </c>
      <c r="I118" t="s" s="1">
        <f>HYPERLINK("http://141.218.60.56/~jnz1568/discussion.php?&amp;Z=8&amp;N=6&amp;Sheet=2&amp;Row=117&amp;Col=8","")</f>
      </c>
      <c r="J118" t="s" s="1">
        <f>HYPERLINK("http://141.218.60.56/~jnz1568/discussion.php?&amp;Z=8&amp;N=6&amp;Sheet=2&amp;Row=117&amp;Col=9","")</f>
      </c>
      <c r="K118" t="s" s="1">
        <f>HYPERLINK("http://141.218.60.56/~jnz1568/discussion.php?&amp;Z=8&amp;N=6&amp;Sheet=2&amp;Row=117&amp;Col=10","")</f>
      </c>
      <c r="L118" t="s" s="1">
        <f>HYPERLINK("http://141.218.60.56/~jnz1568/discussion.php?&amp;Z=8&amp;N=6&amp;Sheet=2&amp;Row=117&amp;Col=11","4.27875360095")</f>
      </c>
      <c r="M118" t="s" s="1">
        <f>HYPERLINK("http://141.218.60.56/~jnz1568/discussion.php?&amp;Z=8&amp;N=6&amp;Sheet=2&amp;Row=117&amp;Col=12","1.27434870449")</f>
      </c>
    </row>
    <row r="119">
      <c r="A119" t="s">
        <v>1</v>
      </c>
      <c r="B119" t="s">
        <v>1</v>
      </c>
      <c r="C119" t="s">
        <v>1</v>
      </c>
      <c r="D119" t="s">
        <v>1</v>
      </c>
      <c r="E119" t="s">
        <v>79</v>
      </c>
      <c r="F119" t="s" s="1">
        <f>HYPERLINK("http://141.218.60.56/~jnz1568/discussion.php?&amp;Z=8&amp;N=6&amp;Sheet=2&amp;Row=118&amp;Col=5","5.08")</f>
      </c>
      <c r="G119" t="s" s="1">
        <f>HYPERLINK("http://141.218.60.56/~jnz1568/discussion.php?&amp;Z=8&amp;N=6&amp;Sheet=2&amp;Row=118&amp;Col=6","=")</f>
      </c>
      <c r="H119" t="s" s="1">
        <f>HYPERLINK("http://141.218.60.56/~jnz1568/discussion.php?&amp;Z=8&amp;N=6&amp;Sheet=2&amp;Row=118&amp;Col=7","")</f>
      </c>
      <c r="I119" t="s" s="1">
        <f>HYPERLINK("http://141.218.60.56/~jnz1568/discussion.php?&amp;Z=8&amp;N=6&amp;Sheet=2&amp;Row=118&amp;Col=8","")</f>
      </c>
      <c r="J119" t="s" s="1">
        <f>HYPERLINK("http://141.218.60.56/~jnz1568/discussion.php?&amp;Z=8&amp;N=6&amp;Sheet=2&amp;Row=118&amp;Col=9","")</f>
      </c>
      <c r="K119" t="s" s="1">
        <f>HYPERLINK("http://141.218.60.56/~jnz1568/discussion.php?&amp;Z=8&amp;N=6&amp;Sheet=2&amp;Row=118&amp;Col=10","")</f>
      </c>
      <c r="L119" t="s" s="1">
        <f>HYPERLINK("http://141.218.60.56/~jnz1568/discussion.php?&amp;Z=8&amp;N=6&amp;Sheet=2&amp;Row=118&amp;Col=11","4.30102999566")</f>
      </c>
      <c r="M119" t="s" s="1">
        <f>HYPERLINK("http://141.218.60.56/~jnz1568/discussion.php?&amp;Z=8&amp;N=6&amp;Sheet=2&amp;Row=118&amp;Col=12","1.28620440119")</f>
      </c>
    </row>
    <row r="120">
      <c r="A120" t="s">
        <v>1</v>
      </c>
      <c r="B120" t="s">
        <v>1</v>
      </c>
      <c r="C120" t="s">
        <v>1</v>
      </c>
      <c r="D120" t="s">
        <v>1</v>
      </c>
      <c r="E120" t="s">
        <v>84</v>
      </c>
      <c r="F120" t="s" s="1">
        <f>HYPERLINK("http://141.218.60.56/~jnz1568/discussion.php?&amp;Z=8&amp;N=6&amp;Sheet=2&amp;Row=119&amp;Col=5","5.15")</f>
      </c>
      <c r="G120" t="s" s="1">
        <f>HYPERLINK("http://141.218.60.56/~jnz1568/discussion.php?&amp;Z=8&amp;N=6&amp;Sheet=2&amp;Row=119&amp;Col=6","=")</f>
      </c>
      <c r="H120" t="s" s="1">
        <f>HYPERLINK("http://141.218.60.56/~jnz1568/discussion.php?&amp;Z=8&amp;N=6&amp;Sheet=2&amp;Row=119&amp;Col=7","")</f>
      </c>
      <c r="I120" t="s" s="1">
        <f>HYPERLINK("http://141.218.60.56/~jnz1568/discussion.php?&amp;Z=8&amp;N=6&amp;Sheet=2&amp;Row=119&amp;Col=8","")</f>
      </c>
      <c r="J120" t="s" s="1">
        <f>HYPERLINK("http://141.218.60.56/~jnz1568/discussion.php?&amp;Z=8&amp;N=6&amp;Sheet=2&amp;Row=119&amp;Col=9","")</f>
      </c>
      <c r="K120" t="s" s="1">
        <f>HYPERLINK("http://141.218.60.56/~jnz1568/discussion.php?&amp;Z=8&amp;N=6&amp;Sheet=2&amp;Row=119&amp;Col=10","")</f>
      </c>
      <c r="L120" t="s" s="1">
        <f>HYPERLINK("http://141.218.60.56/~jnz1568/discussion.php?&amp;Z=8&amp;N=6&amp;Sheet=2&amp;Row=119&amp;Col=11","")</f>
      </c>
      <c r="M120" t="s" s="1">
        <f>HYPERLINK("http://141.218.60.56/~jnz1568/discussion.php?&amp;Z=8&amp;N=6&amp;Sheet=2&amp;Row=119&amp;Col=12","")</f>
      </c>
    </row>
    <row r="121">
      <c r="A121" t="s">
        <v>1</v>
      </c>
      <c r="B121" t="s">
        <v>1</v>
      </c>
      <c r="C121" t="s">
        <v>1</v>
      </c>
      <c r="D121" t="s">
        <v>1</v>
      </c>
      <c r="E121" t="s">
        <v>87</v>
      </c>
      <c r="F121" t="s" s="1">
        <f>HYPERLINK("http://141.218.60.56/~jnz1568/discussion.php?&amp;Z=8&amp;N=6&amp;Sheet=2&amp;Row=120&amp;Col=5","5.2")</f>
      </c>
      <c r="G121" t="s" s="1">
        <f>HYPERLINK("http://141.218.60.56/~jnz1568/discussion.php?&amp;Z=8&amp;N=6&amp;Sheet=2&amp;Row=120&amp;Col=6","=")</f>
      </c>
      <c r="H121" t="s" s="1">
        <f>HYPERLINK("http://141.218.60.56/~jnz1568/discussion.php?&amp;Z=8&amp;N=6&amp;Sheet=2&amp;Row=120&amp;Col=7","")</f>
      </c>
      <c r="I121" t="s" s="1">
        <f>HYPERLINK("http://141.218.60.56/~jnz1568/discussion.php?&amp;Z=8&amp;N=6&amp;Sheet=2&amp;Row=120&amp;Col=8","")</f>
      </c>
      <c r="J121" t="s" s="1">
        <f>HYPERLINK("http://141.218.60.56/~jnz1568/discussion.php?&amp;Z=8&amp;N=6&amp;Sheet=2&amp;Row=120&amp;Col=9","")</f>
      </c>
      <c r="K121" t="s" s="1">
        <f>HYPERLINK("http://141.218.60.56/~jnz1568/discussion.php?&amp;Z=8&amp;N=6&amp;Sheet=2&amp;Row=120&amp;Col=10","")</f>
      </c>
      <c r="L121" t="s" s="1">
        <f>HYPERLINK("http://141.218.60.56/~jnz1568/discussion.php?&amp;Z=8&amp;N=6&amp;Sheet=2&amp;Row=120&amp;Col=11","")</f>
      </c>
      <c r="M121" t="s" s="1">
        <f>HYPERLINK("http://141.218.60.56/~jnz1568/discussion.php?&amp;Z=8&amp;N=6&amp;Sheet=2&amp;Row=120&amp;Col=12","")</f>
      </c>
    </row>
    <row r="122">
      <c r="A122" t="s">
        <v>1</v>
      </c>
      <c r="B122" t="s">
        <v>1</v>
      </c>
      <c r="C122" t="s">
        <v>1</v>
      </c>
      <c r="D122" t="s">
        <v>1</v>
      </c>
      <c r="E122" t="s">
        <v>90</v>
      </c>
      <c r="F122" t="s" s="1">
        <f>HYPERLINK("http://141.218.60.56/~jnz1568/discussion.php?&amp;Z=8&amp;N=6&amp;Sheet=2&amp;Row=121&amp;Col=5","5.26")</f>
      </c>
      <c r="G122" t="s" s="1">
        <f>HYPERLINK("http://141.218.60.56/~jnz1568/discussion.php?&amp;Z=8&amp;N=6&amp;Sheet=2&amp;Row=121&amp;Col=6","=")</f>
      </c>
      <c r="H122" t="s" s="1">
        <f>HYPERLINK("http://141.218.60.56/~jnz1568/discussion.php?&amp;Z=8&amp;N=6&amp;Sheet=2&amp;Row=121&amp;Col=7","")</f>
      </c>
      <c r="I122" t="s" s="1">
        <f>HYPERLINK("http://141.218.60.56/~jnz1568/discussion.php?&amp;Z=8&amp;N=6&amp;Sheet=2&amp;Row=121&amp;Col=8","")</f>
      </c>
      <c r="J122" t="s" s="1">
        <f>HYPERLINK("http://141.218.60.56/~jnz1568/discussion.php?&amp;Z=8&amp;N=6&amp;Sheet=2&amp;Row=121&amp;Col=9","")</f>
      </c>
      <c r="K122" t="s" s="1">
        <f>HYPERLINK("http://141.218.60.56/~jnz1568/discussion.php?&amp;Z=8&amp;N=6&amp;Sheet=2&amp;Row=121&amp;Col=10","")</f>
      </c>
      <c r="L122" t="s" s="1">
        <f>HYPERLINK("http://141.218.60.56/~jnz1568/discussion.php?&amp;Z=8&amp;N=6&amp;Sheet=2&amp;Row=121&amp;Col=11","")</f>
      </c>
      <c r="M122" t="s" s="1">
        <f>HYPERLINK("http://141.218.60.56/~jnz1568/discussion.php?&amp;Z=8&amp;N=6&amp;Sheet=2&amp;Row=121&amp;Col=12","")</f>
      </c>
    </row>
    <row r="123">
      <c r="A123" t="s">
        <v>1</v>
      </c>
      <c r="B123" t="s">
        <v>1</v>
      </c>
      <c r="C123" t="s">
        <v>1</v>
      </c>
      <c r="D123" t="s">
        <v>1</v>
      </c>
      <c r="E123" t="s">
        <v>94</v>
      </c>
      <c r="F123" t="s" s="1">
        <f>HYPERLINK("http://141.218.60.56/~jnz1568/discussion.php?&amp;Z=8&amp;N=6&amp;Sheet=2&amp;Row=122&amp;Col=5","5.3")</f>
      </c>
      <c r="G123" t="s" s="1">
        <f>HYPERLINK("http://141.218.60.56/~jnz1568/discussion.php?&amp;Z=8&amp;N=6&amp;Sheet=2&amp;Row=122&amp;Col=6","=")</f>
      </c>
      <c r="H123" t="s" s="1">
        <f>HYPERLINK("http://141.218.60.56/~jnz1568/discussion.php?&amp;Z=8&amp;N=6&amp;Sheet=2&amp;Row=122&amp;Col=7","")</f>
      </c>
      <c r="I123" t="s" s="1">
        <f>HYPERLINK("http://141.218.60.56/~jnz1568/discussion.php?&amp;Z=8&amp;N=6&amp;Sheet=2&amp;Row=122&amp;Col=8","")</f>
      </c>
      <c r="J123" t="s" s="1">
        <f>HYPERLINK("http://141.218.60.56/~jnz1568/discussion.php?&amp;Z=8&amp;N=6&amp;Sheet=2&amp;Row=122&amp;Col=9","")</f>
      </c>
      <c r="K123" t="s" s="1">
        <f>HYPERLINK("http://141.218.60.56/~jnz1568/discussion.php?&amp;Z=8&amp;N=6&amp;Sheet=2&amp;Row=122&amp;Col=10","")</f>
      </c>
      <c r="L123" t="s" s="1">
        <f>HYPERLINK("http://141.218.60.56/~jnz1568/discussion.php?&amp;Z=8&amp;N=6&amp;Sheet=2&amp;Row=122&amp;Col=11","")</f>
      </c>
      <c r="M123" t="s" s="1">
        <f>HYPERLINK("http://141.218.60.56/~jnz1568/discussion.php?&amp;Z=8&amp;N=6&amp;Sheet=2&amp;Row=122&amp;Col=12","")</f>
      </c>
    </row>
    <row r="124">
      <c r="A124" t="s">
        <v>15</v>
      </c>
      <c r="B124" t="s">
        <v>16</v>
      </c>
      <c r="C124" t="s">
        <v>33</v>
      </c>
      <c r="D124" t="s">
        <v>17</v>
      </c>
      <c r="E124" t="s">
        <v>17</v>
      </c>
      <c r="F124" t="s" s="1">
        <f>HYPERLINK("http://141.218.60.56/~jnz1568/discussion.php?&amp;Z=8&amp;N=6&amp;Sheet=2&amp;Row=123&amp;Col=5","3.4")</f>
      </c>
      <c r="G124" t="s" s="1">
        <f>HYPERLINK("http://141.218.60.56/~jnz1568/discussion.php?&amp;Z=8&amp;N=6&amp;Sheet=2&amp;Row=123&amp;Col=6","0.0307")</f>
      </c>
      <c r="H124" t="s" s="1">
        <f>HYPERLINK("http://141.218.60.56/~jnz1568/discussion.php?&amp;Z=8&amp;N=6&amp;Sheet=2&amp;Row=123&amp;Col=7","2")</f>
      </c>
      <c r="I124" t="s" s="1">
        <f>HYPERLINK("http://141.218.60.56/~jnz1568/discussion.php?&amp;Z=8&amp;N=6&amp;Sheet=2&amp;Row=123&amp;Col=8","0.05965")</f>
      </c>
      <c r="J124" t="s" s="1">
        <f>HYPERLINK("http://141.218.60.56/~jnz1568/discussion.php?&amp;Z=8&amp;N=6&amp;Sheet=2&amp;Row=123&amp;Col=9","3")</f>
      </c>
      <c r="K124" t="s" s="1">
        <f>HYPERLINK("http://141.218.60.56/~jnz1568/discussion.php?&amp;Z=8&amp;N=6&amp;Sheet=2&amp;Row=123&amp;Col=10","0.0306")</f>
      </c>
      <c r="L124" t="s" s="1">
        <f>HYPERLINK("http://141.218.60.56/~jnz1568/discussion.php?&amp;Z=8&amp;N=6&amp;Sheet=2&amp;Row=123&amp;Col=11","3.69897000434")</f>
      </c>
      <c r="M124" t="s" s="1">
        <f>HYPERLINK("http://141.218.60.56/~jnz1568/discussion.php?&amp;Z=8&amp;N=6&amp;Sheet=2&amp;Row=123&amp;Col=12","0.02233114589")</f>
      </c>
    </row>
    <row r="125">
      <c r="A125" t="s">
        <v>1</v>
      </c>
      <c r="B125" t="s">
        <v>1</v>
      </c>
      <c r="C125" t="s">
        <v>1</v>
      </c>
      <c r="D125" t="s">
        <v>1</v>
      </c>
      <c r="E125" t="s">
        <v>23</v>
      </c>
      <c r="F125" t="s" s="1">
        <f>HYPERLINK("http://141.218.60.56/~jnz1568/discussion.php?&amp;Z=8&amp;N=6&amp;Sheet=2&amp;Row=124&amp;Col=5","3.7")</f>
      </c>
      <c r="G125" t="s" s="1">
        <f>HYPERLINK("http://141.218.60.56/~jnz1568/discussion.php?&amp;Z=8&amp;N=6&amp;Sheet=2&amp;Row=124&amp;Col=6","0.0304")</f>
      </c>
      <c r="H125" t="s" s="1">
        <f>HYPERLINK("http://141.218.60.56/~jnz1568/discussion.php?&amp;Z=8&amp;N=6&amp;Sheet=2&amp;Row=124&amp;Col=7","2.69897000434")</f>
      </c>
      <c r="I125" t="s" s="1">
        <f>HYPERLINK("http://141.218.60.56/~jnz1568/discussion.php?&amp;Z=8&amp;N=6&amp;Sheet=2&amp;Row=124&amp;Col=8","0.05354")</f>
      </c>
      <c r="J125" t="s" s="1">
        <f>HYPERLINK("http://141.218.60.56/~jnz1568/discussion.php?&amp;Z=8&amp;N=6&amp;Sheet=2&amp;Row=124&amp;Col=9","3.2")</f>
      </c>
      <c r="K125" t="s" s="1">
        <f>HYPERLINK("http://141.218.60.56/~jnz1568/discussion.php?&amp;Z=8&amp;N=6&amp;Sheet=2&amp;Row=124&amp;Col=10","0.0304222222222")</f>
      </c>
      <c r="L125" t="s" s="1">
        <f>HYPERLINK("http://141.218.60.56/~jnz1568/discussion.php?&amp;Z=8&amp;N=6&amp;Sheet=2&amp;Row=124&amp;Col=11","3.77815125038")</f>
      </c>
      <c r="M125" t="s" s="1">
        <f>HYPERLINK("http://141.218.60.56/~jnz1568/discussion.php?&amp;Z=8&amp;N=6&amp;Sheet=2&amp;Row=124&amp;Col=12","0.02356946836")</f>
      </c>
    </row>
    <row r="126">
      <c r="A126" t="s">
        <v>1</v>
      </c>
      <c r="B126" t="s">
        <v>1</v>
      </c>
      <c r="C126" t="s">
        <v>1</v>
      </c>
      <c r="D126" t="s">
        <v>1</v>
      </c>
      <c r="E126" t="s">
        <v>20</v>
      </c>
      <c r="F126" t="s" s="1">
        <f>HYPERLINK("http://141.218.60.56/~jnz1568/discussion.php?&amp;Z=8&amp;N=6&amp;Sheet=2&amp;Row=125&amp;Col=5","3.88")</f>
      </c>
      <c r="G126" t="s" s="1">
        <f>HYPERLINK("http://141.218.60.56/~jnz1568/discussion.php?&amp;Z=8&amp;N=6&amp;Sheet=2&amp;Row=125&amp;Col=6","0.031")</f>
      </c>
      <c r="H126" t="s" s="1">
        <f>HYPERLINK("http://141.218.60.56/~jnz1568/discussion.php?&amp;Z=8&amp;N=6&amp;Sheet=2&amp;Row=125&amp;Col=7","3")</f>
      </c>
      <c r="I126" t="s" s="1">
        <f>HYPERLINK("http://141.218.60.56/~jnz1568/discussion.php?&amp;Z=8&amp;N=6&amp;Sheet=2&amp;Row=125&amp;Col=8","0.04959")</f>
      </c>
      <c r="J126" t="s" s="1">
        <f>HYPERLINK("http://141.218.60.56/~jnz1568/discussion.php?&amp;Z=8&amp;N=6&amp;Sheet=2&amp;Row=125&amp;Col=9","3.4")</f>
      </c>
      <c r="K126" t="s" s="1">
        <f>HYPERLINK("http://141.218.60.56/~jnz1568/discussion.php?&amp;Z=8&amp;N=6&amp;Sheet=2&amp;Row=125&amp;Col=10","0.0301444444444")</f>
      </c>
      <c r="L126" t="s" s="1">
        <f>HYPERLINK("http://141.218.60.56/~jnz1568/discussion.php?&amp;Z=8&amp;N=6&amp;Sheet=2&amp;Row=125&amp;Col=11","3.84509804001")</f>
      </c>
      <c r="M126" t="s" s="1">
        <f>HYPERLINK("http://141.218.60.56/~jnz1568/discussion.php?&amp;Z=8&amp;N=6&amp;Sheet=2&amp;Row=125&amp;Col=12","0.024863860646")</f>
      </c>
    </row>
    <row r="127">
      <c r="A127" t="s">
        <v>1</v>
      </c>
      <c r="B127" t="s">
        <v>1</v>
      </c>
      <c r="C127" t="s">
        <v>1</v>
      </c>
      <c r="D127" t="s">
        <v>1</v>
      </c>
      <c r="E127" t="s">
        <v>28</v>
      </c>
      <c r="F127" t="s" s="1">
        <f>HYPERLINK("http://141.218.60.56/~jnz1568/discussion.php?&amp;Z=8&amp;N=6&amp;Sheet=2&amp;Row=126&amp;Col=5","4")</f>
      </c>
      <c r="G127" t="s" s="1">
        <f>HYPERLINK("http://141.218.60.56/~jnz1568/discussion.php?&amp;Z=8&amp;N=6&amp;Sheet=2&amp;Row=126&amp;Col=6","0.0321")</f>
      </c>
      <c r="H127" t="s" s="1">
        <f>HYPERLINK("http://141.218.60.56/~jnz1568/discussion.php?&amp;Z=8&amp;N=6&amp;Sheet=2&amp;Row=126&amp;Col=7","3.69897000434")</f>
      </c>
      <c r="I127" t="s" s="1">
        <f>HYPERLINK("http://141.218.60.56/~jnz1568/discussion.php?&amp;Z=8&amp;N=6&amp;Sheet=2&amp;Row=126&amp;Col=8","0.04094")</f>
      </c>
      <c r="J127" t="s" s="1">
        <f>HYPERLINK("http://141.218.60.56/~jnz1568/discussion.php?&amp;Z=8&amp;N=6&amp;Sheet=2&amp;Row=126&amp;Col=9","3.6")</f>
      </c>
      <c r="K127" t="s" s="1">
        <f>HYPERLINK("http://141.218.60.56/~jnz1568/discussion.php?&amp;Z=8&amp;N=6&amp;Sheet=2&amp;Row=126&amp;Col=10","0.0299222222222")</f>
      </c>
      <c r="L127" t="s" s="1">
        <f>HYPERLINK("http://141.218.60.56/~jnz1568/discussion.php?&amp;Z=8&amp;N=6&amp;Sheet=2&amp;Row=126&amp;Col=11","3.90308998699")</f>
      </c>
      <c r="M127" t="s" s="1">
        <f>HYPERLINK("http://141.218.60.56/~jnz1568/discussion.php?&amp;Z=8&amp;N=6&amp;Sheet=2&amp;Row=126&amp;Col=12","0.02611417062")</f>
      </c>
    </row>
    <row r="128">
      <c r="A128" t="s">
        <v>1</v>
      </c>
      <c r="B128" t="s">
        <v>1</v>
      </c>
      <c r="C128" t="s">
        <v>1</v>
      </c>
      <c r="D128" t="s">
        <v>1</v>
      </c>
      <c r="E128" t="s">
        <v>33</v>
      </c>
      <c r="F128" t="s" s="1">
        <f>HYPERLINK("http://141.218.60.56/~jnz1568/discussion.php?&amp;Z=8&amp;N=6&amp;Sheet=2&amp;Row=127&amp;Col=5","4.1")</f>
      </c>
      <c r="G128" t="s" s="1">
        <f>HYPERLINK("http://141.218.60.56/~jnz1568/discussion.php?&amp;Z=8&amp;N=6&amp;Sheet=2&amp;Row=127&amp;Col=6","0.0332")</f>
      </c>
      <c r="H128" t="s" s="1">
        <f>HYPERLINK("http://141.218.60.56/~jnz1568/discussion.php?&amp;Z=8&amp;N=6&amp;Sheet=2&amp;Row=127&amp;Col=7","4")</f>
      </c>
      <c r="I128" t="s" s="1">
        <f>HYPERLINK("http://141.218.60.56/~jnz1568/discussion.php?&amp;Z=8&amp;N=6&amp;Sheet=2&amp;Row=127&amp;Col=8","0.04069")</f>
      </c>
      <c r="J128" t="s" s="1">
        <f>HYPERLINK("http://141.218.60.56/~jnz1568/discussion.php?&amp;Z=8&amp;N=6&amp;Sheet=2&amp;Row=127&amp;Col=9","3.8")</f>
      </c>
      <c r="K128" t="s" s="1">
        <f>HYPERLINK("http://141.218.60.56/~jnz1568/discussion.php?&amp;Z=8&amp;N=6&amp;Sheet=2&amp;Row=127&amp;Col=10","0.0305222222222")</f>
      </c>
      <c r="L128" t="s" s="1">
        <f>HYPERLINK("http://141.218.60.56/~jnz1568/discussion.php?&amp;Z=8&amp;N=6&amp;Sheet=2&amp;Row=127&amp;Col=11","3.95424250944")</f>
      </c>
      <c r="M128" t="s" s="1">
        <f>HYPERLINK("http://141.218.60.56/~jnz1568/discussion.php?&amp;Z=8&amp;N=6&amp;Sheet=2&amp;Row=127&amp;Col=12","0.027275069916")</f>
      </c>
    </row>
    <row r="129">
      <c r="A129" t="s">
        <v>1</v>
      </c>
      <c r="B129" t="s">
        <v>1</v>
      </c>
      <c r="C129" t="s">
        <v>1</v>
      </c>
      <c r="D129" t="s">
        <v>1</v>
      </c>
      <c r="E129" t="s">
        <v>16</v>
      </c>
      <c r="F129" t="s" s="1">
        <f>HYPERLINK("http://141.218.60.56/~jnz1568/discussion.php?&amp;Z=8&amp;N=6&amp;Sheet=2&amp;Row=128&amp;Col=5","4.18")</f>
      </c>
      <c r="G129" t="s" s="1">
        <f>HYPERLINK("http://141.218.60.56/~jnz1568/discussion.php?&amp;Z=8&amp;N=6&amp;Sheet=2&amp;Row=128&amp;Col=6","0.0342")</f>
      </c>
      <c r="H129" t="s" s="1">
        <f>HYPERLINK("http://141.218.60.56/~jnz1568/discussion.php?&amp;Z=8&amp;N=6&amp;Sheet=2&amp;Row=128&amp;Col=7","4.30102999566")</f>
      </c>
      <c r="I129" t="s" s="1">
        <f>HYPERLINK("http://141.218.60.56/~jnz1568/discussion.php?&amp;Z=8&amp;N=6&amp;Sheet=2&amp;Row=128&amp;Col=8","0.04299")</f>
      </c>
      <c r="J129" t="s" s="1">
        <f>HYPERLINK("http://141.218.60.56/~jnz1568/discussion.php?&amp;Z=8&amp;N=6&amp;Sheet=2&amp;Row=128&amp;Col=9","4")</f>
      </c>
      <c r="K129" t="s" s="1">
        <f>HYPERLINK("http://141.218.60.56/~jnz1568/discussion.php?&amp;Z=8&amp;N=6&amp;Sheet=2&amp;Row=128&amp;Col=10","0.0325")</f>
      </c>
      <c r="L129" t="s" s="1">
        <f>HYPERLINK("http://141.218.60.56/~jnz1568/discussion.php?&amp;Z=8&amp;N=6&amp;Sheet=2&amp;Row=128&amp;Col=11","4")</f>
      </c>
      <c r="M129" t="s" s="1">
        <f>HYPERLINK("http://141.218.60.56/~jnz1568/discussion.php?&amp;Z=8&amp;N=6&amp;Sheet=2&amp;Row=128&amp;Col=12","0.02833093128")</f>
      </c>
    </row>
    <row r="130">
      <c r="A130" t="s">
        <v>1</v>
      </c>
      <c r="B130" t="s">
        <v>1</v>
      </c>
      <c r="C130" t="s">
        <v>1</v>
      </c>
      <c r="D130" t="s">
        <v>1</v>
      </c>
      <c r="E130" t="s">
        <v>43</v>
      </c>
      <c r="F130" t="s" s="1">
        <f>HYPERLINK("http://141.218.60.56/~jnz1568/discussion.php?&amp;Z=8&amp;N=6&amp;Sheet=2&amp;Row=129&amp;Col=5","4.24")</f>
      </c>
      <c r="G130" t="s" s="1">
        <f>HYPERLINK("http://141.218.60.56/~jnz1568/discussion.php?&amp;Z=8&amp;N=6&amp;Sheet=2&amp;Row=129&amp;Col=6","0.0351")</f>
      </c>
      <c r="H130" t="s" s="1">
        <f>HYPERLINK("http://141.218.60.56/~jnz1568/discussion.php?&amp;Z=8&amp;N=6&amp;Sheet=2&amp;Row=129&amp;Col=7","4.47712125472")</f>
      </c>
      <c r="I130" t="s" s="1">
        <f>HYPERLINK("http://141.218.60.56/~jnz1568/discussion.php?&amp;Z=8&amp;N=6&amp;Sheet=2&amp;Row=129&amp;Col=8","0.04424")</f>
      </c>
      <c r="J130" t="s" s="1">
        <f>HYPERLINK("http://141.218.60.56/~jnz1568/discussion.php?&amp;Z=8&amp;N=6&amp;Sheet=2&amp;Row=129&amp;Col=9","4.2")</f>
      </c>
      <c r="K130" t="s" s="1">
        <f>HYPERLINK("http://141.218.60.56/~jnz1568/discussion.php?&amp;Z=8&amp;N=6&amp;Sheet=2&amp;Row=129&amp;Col=10","0.0352666666667")</f>
      </c>
      <c r="L130" t="s" s="1">
        <f>HYPERLINK("http://141.218.60.56/~jnz1568/discussion.php?&amp;Z=8&amp;N=6&amp;Sheet=2&amp;Row=129&amp;Col=11","4.04139268516")</f>
      </c>
      <c r="M130" t="s" s="1">
        <f>HYPERLINK("http://141.218.60.56/~jnz1568/discussion.php?&amp;Z=8&amp;N=6&amp;Sheet=2&amp;Row=129&amp;Col=12","0.02928115089")</f>
      </c>
    </row>
    <row r="131">
      <c r="A131" t="s">
        <v>1</v>
      </c>
      <c r="B131" t="s">
        <v>1</v>
      </c>
      <c r="C131" t="s">
        <v>1</v>
      </c>
      <c r="D131" t="s">
        <v>1</v>
      </c>
      <c r="E131" t="s">
        <v>15</v>
      </c>
      <c r="F131" t="s" s="1">
        <f>HYPERLINK("http://141.218.60.56/~jnz1568/discussion.php?&amp;Z=8&amp;N=6&amp;Sheet=2&amp;Row=130&amp;Col=5","4.3")</f>
      </c>
      <c r="G131" t="s" s="1">
        <f>HYPERLINK("http://141.218.60.56/~jnz1568/discussion.php?&amp;Z=8&amp;N=6&amp;Sheet=2&amp;Row=130&amp;Col=6","0.0358")</f>
      </c>
      <c r="H131" t="s" s="1">
        <f>HYPERLINK("http://141.218.60.56/~jnz1568/discussion.php?&amp;Z=8&amp;N=6&amp;Sheet=2&amp;Row=130&amp;Col=7","")</f>
      </c>
      <c r="I131" t="s" s="1">
        <f>HYPERLINK("http://141.218.60.56/~jnz1568/discussion.php?&amp;Z=8&amp;N=6&amp;Sheet=2&amp;Row=130&amp;Col=8","")</f>
      </c>
      <c r="J131" t="s" s="1">
        <f>HYPERLINK("http://141.218.60.56/~jnz1568/discussion.php?&amp;Z=8&amp;N=6&amp;Sheet=2&amp;Row=130&amp;Col=9","4.4")</f>
      </c>
      <c r="K131" t="s" s="1">
        <f>HYPERLINK("http://141.218.60.56/~jnz1568/discussion.php?&amp;Z=8&amp;N=6&amp;Sheet=2&amp;Row=130&amp;Col=10","0.0378333333333")</f>
      </c>
      <c r="L131" t="s" s="1">
        <f>HYPERLINK("http://141.218.60.56/~jnz1568/discussion.php?&amp;Z=8&amp;N=6&amp;Sheet=2&amp;Row=130&amp;Col=11","4.07918124605")</f>
      </c>
      <c r="M131" t="s" s="1">
        <f>HYPERLINK("http://141.218.60.56/~jnz1568/discussion.php?&amp;Z=8&amp;N=6&amp;Sheet=2&amp;Row=130&amp;Col=12","0.03013216201")</f>
      </c>
    </row>
    <row r="132">
      <c r="A132" t="s">
        <v>1</v>
      </c>
      <c r="B132" t="s">
        <v>1</v>
      </c>
      <c r="C132" t="s">
        <v>1</v>
      </c>
      <c r="D132" t="s">
        <v>1</v>
      </c>
      <c r="E132" t="s">
        <v>50</v>
      </c>
      <c r="F132" t="s" s="1">
        <f>HYPERLINK("http://141.218.60.56/~jnz1568/discussion.php?&amp;Z=8&amp;N=6&amp;Sheet=2&amp;Row=131&amp;Col=5","4.4")</f>
      </c>
      <c r="G132" t="s" s="1">
        <f>HYPERLINK("http://141.218.60.56/~jnz1568/discussion.php?&amp;Z=8&amp;N=6&amp;Sheet=2&amp;Row=131&amp;Col=6","0.037")</f>
      </c>
      <c r="H132" t="s" s="1">
        <f>HYPERLINK("http://141.218.60.56/~jnz1568/discussion.php?&amp;Z=8&amp;N=6&amp;Sheet=2&amp;Row=131&amp;Col=7","")</f>
      </c>
      <c r="I132" t="s" s="1">
        <f>HYPERLINK("http://141.218.60.56/~jnz1568/discussion.php?&amp;Z=8&amp;N=6&amp;Sheet=2&amp;Row=131&amp;Col=8","")</f>
      </c>
      <c r="J132" t="s" s="1">
        <f>HYPERLINK("http://141.218.60.56/~jnz1568/discussion.php?&amp;Z=8&amp;N=6&amp;Sheet=2&amp;Row=131&amp;Col=9","4.6")</f>
      </c>
      <c r="K132" t="s" s="1">
        <f>HYPERLINK("http://141.218.60.56/~jnz1568/discussion.php?&amp;Z=8&amp;N=6&amp;Sheet=2&amp;Row=131&amp;Col=10","0.0395888888889")</f>
      </c>
      <c r="L132" t="s" s="1">
        <f>HYPERLINK("http://141.218.60.56/~jnz1568/discussion.php?&amp;Z=8&amp;N=6&amp;Sheet=2&amp;Row=131&amp;Col=11","4.11394335231")</f>
      </c>
      <c r="M132" t="s" s="1">
        <f>HYPERLINK("http://141.218.60.56/~jnz1568/discussion.php?&amp;Z=8&amp;N=6&amp;Sheet=2&amp;Row=131&amp;Col=12","0.03089323139")</f>
      </c>
    </row>
    <row r="133">
      <c r="A133" t="s">
        <v>1</v>
      </c>
      <c r="B133" t="s">
        <v>1</v>
      </c>
      <c r="C133" t="s">
        <v>1</v>
      </c>
      <c r="D133" t="s">
        <v>1</v>
      </c>
      <c r="E133" t="s">
        <v>53</v>
      </c>
      <c r="F133" t="s" s="1">
        <f>HYPERLINK("http://141.218.60.56/~jnz1568/discussion.php?&amp;Z=8&amp;N=6&amp;Sheet=2&amp;Row=132&amp;Col=5","4.48")</f>
      </c>
      <c r="G133" t="s" s="1">
        <f>HYPERLINK("http://141.218.60.56/~jnz1568/discussion.php?&amp;Z=8&amp;N=6&amp;Sheet=2&amp;Row=132&amp;Col=6","0.0378")</f>
      </c>
      <c r="H133" t="s" s="1">
        <f>HYPERLINK("http://141.218.60.56/~jnz1568/discussion.php?&amp;Z=8&amp;N=6&amp;Sheet=2&amp;Row=132&amp;Col=7","")</f>
      </c>
      <c r="I133" t="s" s="1">
        <f>HYPERLINK("http://141.218.60.56/~jnz1568/discussion.php?&amp;Z=8&amp;N=6&amp;Sheet=2&amp;Row=132&amp;Col=8","")</f>
      </c>
      <c r="J133" t="s" s="1">
        <f>HYPERLINK("http://141.218.60.56/~jnz1568/discussion.php?&amp;Z=8&amp;N=6&amp;Sheet=2&amp;Row=132&amp;Col=9","4.8")</f>
      </c>
      <c r="K133" t="s" s="1">
        <f>HYPERLINK("http://141.218.60.56/~jnz1568/discussion.php?&amp;Z=8&amp;N=6&amp;Sheet=2&amp;Row=132&amp;Col=10","0.0402333333333")</f>
      </c>
      <c r="L133" t="s" s="1">
        <f>HYPERLINK("http://141.218.60.56/~jnz1568/discussion.php?&amp;Z=8&amp;N=6&amp;Sheet=2&amp;Row=132&amp;Col=11","4.14612803568")</f>
      </c>
      <c r="M133" t="s" s="1">
        <f>HYPERLINK("http://141.218.60.56/~jnz1568/discussion.php?&amp;Z=8&amp;N=6&amp;Sheet=2&amp;Row=132&amp;Col=12","0.03157431088")</f>
      </c>
    </row>
    <row r="134">
      <c r="A134" t="s">
        <v>1</v>
      </c>
      <c r="B134" t="s">
        <v>1</v>
      </c>
      <c r="C134" t="s">
        <v>1</v>
      </c>
      <c r="D134" t="s">
        <v>1</v>
      </c>
      <c r="E134" t="s">
        <v>58</v>
      </c>
      <c r="F134" t="s" s="1">
        <f>HYPERLINK("http://141.218.60.56/~jnz1568/discussion.php?&amp;Z=8&amp;N=6&amp;Sheet=2&amp;Row=133&amp;Col=5","4.6")</f>
      </c>
      <c r="G134" t="s" s="1">
        <f>HYPERLINK("http://141.218.60.56/~jnz1568/discussion.php?&amp;Z=8&amp;N=6&amp;Sheet=2&amp;Row=133&amp;Col=6","0.0389")</f>
      </c>
      <c r="H134" t="s" s="1">
        <f>HYPERLINK("http://141.218.60.56/~jnz1568/discussion.php?&amp;Z=8&amp;N=6&amp;Sheet=2&amp;Row=133&amp;Col=7","")</f>
      </c>
      <c r="I134" t="s" s="1">
        <f>HYPERLINK("http://141.218.60.56/~jnz1568/discussion.php?&amp;Z=8&amp;N=6&amp;Sheet=2&amp;Row=133&amp;Col=8","")</f>
      </c>
      <c r="J134" t="s" s="1">
        <f>HYPERLINK("http://141.218.60.56/~jnz1568/discussion.php?&amp;Z=8&amp;N=6&amp;Sheet=2&amp;Row=133&amp;Col=9","5")</f>
      </c>
      <c r="K134" t="s" s="1">
        <f>HYPERLINK("http://141.218.60.56/~jnz1568/discussion.php?&amp;Z=8&amp;N=6&amp;Sheet=2&amp;Row=133&amp;Col=10","0.0396777777778")</f>
      </c>
      <c r="L134" t="s" s="1">
        <f>HYPERLINK("http://141.218.60.56/~jnz1568/discussion.php?&amp;Z=8&amp;N=6&amp;Sheet=2&amp;Row=133&amp;Col=11","4.17609125906")</f>
      </c>
      <c r="M134" t="s" s="1">
        <f>HYPERLINK("http://141.218.60.56/~jnz1568/discussion.php?&amp;Z=8&amp;N=6&amp;Sheet=2&amp;Row=133&amp;Col=12","0.03218499037")</f>
      </c>
    </row>
    <row r="135">
      <c r="A135" t="s">
        <v>1</v>
      </c>
      <c r="B135" t="s">
        <v>1</v>
      </c>
      <c r="C135" t="s">
        <v>1</v>
      </c>
      <c r="D135" t="s">
        <v>1</v>
      </c>
      <c r="E135" t="s">
        <v>61</v>
      </c>
      <c r="F135" t="s" s="1">
        <f>HYPERLINK("http://141.218.60.56/~jnz1568/discussion.php?&amp;Z=8&amp;N=6&amp;Sheet=2&amp;Row=134&amp;Col=5","4.7")</f>
      </c>
      <c r="G135" t="s" s="1">
        <f>HYPERLINK("http://141.218.60.56/~jnz1568/discussion.php?&amp;Z=8&amp;N=6&amp;Sheet=2&amp;Row=134&amp;Col=6","0.0394")</f>
      </c>
      <c r="H135" t="s" s="1">
        <f>HYPERLINK("http://141.218.60.56/~jnz1568/discussion.php?&amp;Z=8&amp;N=6&amp;Sheet=2&amp;Row=134&amp;Col=7","")</f>
      </c>
      <c r="I135" t="s" s="1">
        <f>HYPERLINK("http://141.218.60.56/~jnz1568/discussion.php?&amp;Z=8&amp;N=6&amp;Sheet=2&amp;Row=134&amp;Col=8","")</f>
      </c>
      <c r="J135" t="s" s="1">
        <f>HYPERLINK("http://141.218.60.56/~jnz1568/discussion.php?&amp;Z=8&amp;N=6&amp;Sheet=2&amp;Row=134&amp;Col=9","")</f>
      </c>
      <c r="K135" t="s" s="1">
        <f>HYPERLINK("http://141.218.60.56/~jnz1568/discussion.php?&amp;Z=8&amp;N=6&amp;Sheet=2&amp;Row=134&amp;Col=10","")</f>
      </c>
      <c r="L135" t="s" s="1">
        <f>HYPERLINK("http://141.218.60.56/~jnz1568/discussion.php?&amp;Z=8&amp;N=6&amp;Sheet=2&amp;Row=134&amp;Col=11","4.20411998266")</f>
      </c>
      <c r="M135" t="s" s="1">
        <f>HYPERLINK("http://141.218.60.56/~jnz1568/discussion.php?&amp;Z=8&amp;N=6&amp;Sheet=2&amp;Row=134&amp;Col=12","0.03273403544")</f>
      </c>
    </row>
    <row r="136">
      <c r="A136" t="s">
        <v>1</v>
      </c>
      <c r="B136" t="s">
        <v>1</v>
      </c>
      <c r="C136" t="s">
        <v>1</v>
      </c>
      <c r="D136" t="s">
        <v>1</v>
      </c>
      <c r="E136" t="s">
        <v>64</v>
      </c>
      <c r="F136" t="s" s="1">
        <f>HYPERLINK("http://141.218.60.56/~jnz1568/discussion.php?&amp;Z=8&amp;N=6&amp;Sheet=2&amp;Row=135&amp;Col=5","4.78")</f>
      </c>
      <c r="G136" t="s" s="1">
        <f>HYPERLINK("http://141.218.60.56/~jnz1568/discussion.php?&amp;Z=8&amp;N=6&amp;Sheet=2&amp;Row=135&amp;Col=6","0.0397")</f>
      </c>
      <c r="H136" t="s" s="1">
        <f>HYPERLINK("http://141.218.60.56/~jnz1568/discussion.php?&amp;Z=8&amp;N=6&amp;Sheet=2&amp;Row=135&amp;Col=7","")</f>
      </c>
      <c r="I136" t="s" s="1">
        <f>HYPERLINK("http://141.218.60.56/~jnz1568/discussion.php?&amp;Z=8&amp;N=6&amp;Sheet=2&amp;Row=135&amp;Col=8","")</f>
      </c>
      <c r="J136" t="s" s="1">
        <f>HYPERLINK("http://141.218.60.56/~jnz1568/discussion.php?&amp;Z=8&amp;N=6&amp;Sheet=2&amp;Row=135&amp;Col=9","")</f>
      </c>
      <c r="K136" t="s" s="1">
        <f>HYPERLINK("http://141.218.60.56/~jnz1568/discussion.php?&amp;Z=8&amp;N=6&amp;Sheet=2&amp;Row=135&amp;Col=10","")</f>
      </c>
      <c r="L136" t="s" s="1">
        <f>HYPERLINK("http://141.218.60.56/~jnz1568/discussion.php?&amp;Z=8&amp;N=6&amp;Sheet=2&amp;Row=135&amp;Col=11","4.23044892138")</f>
      </c>
      <c r="M136" t="s" s="1">
        <f>HYPERLINK("http://141.218.60.56/~jnz1568/discussion.php?&amp;Z=8&amp;N=6&amp;Sheet=2&amp;Row=135&amp;Col=12","0.033229230415")</f>
      </c>
    </row>
    <row r="137">
      <c r="A137" t="s">
        <v>1</v>
      </c>
      <c r="B137" t="s">
        <v>1</v>
      </c>
      <c r="C137" t="s">
        <v>1</v>
      </c>
      <c r="D137" t="s">
        <v>1</v>
      </c>
      <c r="E137" t="s">
        <v>69</v>
      </c>
      <c r="F137" t="s" s="1">
        <f>HYPERLINK("http://141.218.60.56/~jnz1568/discussion.php?&amp;Z=8&amp;N=6&amp;Sheet=2&amp;Row=136&amp;Col=5","4.9")</f>
      </c>
      <c r="G137" t="s" s="1">
        <f>HYPERLINK("http://141.218.60.56/~jnz1568/discussion.php?&amp;Z=8&amp;N=6&amp;Sheet=2&amp;Row=136&amp;Col=6","0.0397")</f>
      </c>
      <c r="H137" t="s" s="1">
        <f>HYPERLINK("http://141.218.60.56/~jnz1568/discussion.php?&amp;Z=8&amp;N=6&amp;Sheet=2&amp;Row=136&amp;Col=7","")</f>
      </c>
      <c r="I137" t="s" s="1">
        <f>HYPERLINK("http://141.218.60.56/~jnz1568/discussion.php?&amp;Z=8&amp;N=6&amp;Sheet=2&amp;Row=136&amp;Col=8","")</f>
      </c>
      <c r="J137" t="s" s="1">
        <f>HYPERLINK("http://141.218.60.56/~jnz1568/discussion.php?&amp;Z=8&amp;N=6&amp;Sheet=2&amp;Row=136&amp;Col=9","")</f>
      </c>
      <c r="K137" t="s" s="1">
        <f>HYPERLINK("http://141.218.60.56/~jnz1568/discussion.php?&amp;Z=8&amp;N=6&amp;Sheet=2&amp;Row=136&amp;Col=10","")</f>
      </c>
      <c r="L137" t="s" s="1">
        <f>HYPERLINK("http://141.218.60.56/~jnz1568/discussion.php?&amp;Z=8&amp;N=6&amp;Sheet=2&amp;Row=136&amp;Col=11","4.2552725051")</f>
      </c>
      <c r="M137" t="s" s="1">
        <f>HYPERLINK("http://141.218.60.56/~jnz1568/discussion.php?&amp;Z=8&amp;N=6&amp;Sheet=2&amp;Row=136&amp;Col=12","0.033677375574")</f>
      </c>
    </row>
    <row r="138">
      <c r="A138" t="s">
        <v>1</v>
      </c>
      <c r="B138" t="s">
        <v>1</v>
      </c>
      <c r="C138" t="s">
        <v>1</v>
      </c>
      <c r="D138" t="s">
        <v>1</v>
      </c>
      <c r="E138" t="s">
        <v>74</v>
      </c>
      <c r="F138" t="s" s="1">
        <f>HYPERLINK("http://141.218.60.56/~jnz1568/discussion.php?&amp;Z=8&amp;N=6&amp;Sheet=2&amp;Row=137&amp;Col=5","5")</f>
      </c>
      <c r="G138" t="s" s="1">
        <f>HYPERLINK("http://141.218.60.56/~jnz1568/discussion.php?&amp;Z=8&amp;N=6&amp;Sheet=2&amp;Row=137&amp;Col=6","0.0393")</f>
      </c>
      <c r="H138" t="s" s="1">
        <f>HYPERLINK("http://141.218.60.56/~jnz1568/discussion.php?&amp;Z=8&amp;N=6&amp;Sheet=2&amp;Row=137&amp;Col=7","")</f>
      </c>
      <c r="I138" t="s" s="1">
        <f>HYPERLINK("http://141.218.60.56/~jnz1568/discussion.php?&amp;Z=8&amp;N=6&amp;Sheet=2&amp;Row=137&amp;Col=8","")</f>
      </c>
      <c r="J138" t="s" s="1">
        <f>HYPERLINK("http://141.218.60.56/~jnz1568/discussion.php?&amp;Z=8&amp;N=6&amp;Sheet=2&amp;Row=137&amp;Col=9","")</f>
      </c>
      <c r="K138" t="s" s="1">
        <f>HYPERLINK("http://141.218.60.56/~jnz1568/discussion.php?&amp;Z=8&amp;N=6&amp;Sheet=2&amp;Row=137&amp;Col=10","")</f>
      </c>
      <c r="L138" t="s" s="1">
        <f>HYPERLINK("http://141.218.60.56/~jnz1568/discussion.php?&amp;Z=8&amp;N=6&amp;Sheet=2&amp;Row=137&amp;Col=11","4.27875360095")</f>
      </c>
      <c r="M138" t="s" s="1">
        <f>HYPERLINK("http://141.218.60.56/~jnz1568/discussion.php?&amp;Z=8&amp;N=6&amp;Sheet=2&amp;Row=137&amp;Col=12","0.034084357067")</f>
      </c>
    </row>
    <row r="139">
      <c r="A139" t="s">
        <v>1</v>
      </c>
      <c r="B139" t="s">
        <v>1</v>
      </c>
      <c r="C139" t="s">
        <v>1</v>
      </c>
      <c r="D139" t="s">
        <v>1</v>
      </c>
      <c r="E139" t="s">
        <v>79</v>
      </c>
      <c r="F139" t="s" s="1">
        <f>HYPERLINK("http://141.218.60.56/~jnz1568/discussion.php?&amp;Z=8&amp;N=6&amp;Sheet=2&amp;Row=138&amp;Col=5","5.08")</f>
      </c>
      <c r="G139" t="s" s="1">
        <f>HYPERLINK("http://141.218.60.56/~jnz1568/discussion.php?&amp;Z=8&amp;N=6&amp;Sheet=2&amp;Row=138&amp;Col=6","0.0388")</f>
      </c>
      <c r="H139" t="s" s="1">
        <f>HYPERLINK("http://141.218.60.56/~jnz1568/discussion.php?&amp;Z=8&amp;N=6&amp;Sheet=2&amp;Row=138&amp;Col=7","")</f>
      </c>
      <c r="I139" t="s" s="1">
        <f>HYPERLINK("http://141.218.60.56/~jnz1568/discussion.php?&amp;Z=8&amp;N=6&amp;Sheet=2&amp;Row=138&amp;Col=8","")</f>
      </c>
      <c r="J139" t="s" s="1">
        <f>HYPERLINK("http://141.218.60.56/~jnz1568/discussion.php?&amp;Z=8&amp;N=6&amp;Sheet=2&amp;Row=138&amp;Col=9","")</f>
      </c>
      <c r="K139" t="s" s="1">
        <f>HYPERLINK("http://141.218.60.56/~jnz1568/discussion.php?&amp;Z=8&amp;N=6&amp;Sheet=2&amp;Row=138&amp;Col=10","")</f>
      </c>
      <c r="L139" t="s" s="1">
        <f>HYPERLINK("http://141.218.60.56/~jnz1568/discussion.php?&amp;Z=8&amp;N=6&amp;Sheet=2&amp;Row=138&amp;Col=11","4.30102999566")</f>
      </c>
      <c r="M139" t="s" s="1">
        <f>HYPERLINK("http://141.218.60.56/~jnz1568/discussion.php?&amp;Z=8&amp;N=6&amp;Sheet=2&amp;Row=138&amp;Col=12","0.03445524583")</f>
      </c>
    </row>
    <row r="140">
      <c r="A140" t="s">
        <v>1</v>
      </c>
      <c r="B140" t="s">
        <v>1</v>
      </c>
      <c r="C140" t="s">
        <v>1</v>
      </c>
      <c r="D140" t="s">
        <v>1</v>
      </c>
      <c r="E140" t="s">
        <v>84</v>
      </c>
      <c r="F140" t="s" s="1">
        <f>HYPERLINK("http://141.218.60.56/~jnz1568/discussion.php?&amp;Z=8&amp;N=6&amp;Sheet=2&amp;Row=139&amp;Col=5","5.15")</f>
      </c>
      <c r="G140" t="s" s="1">
        <f>HYPERLINK("http://141.218.60.56/~jnz1568/discussion.php?&amp;Z=8&amp;N=6&amp;Sheet=2&amp;Row=139&amp;Col=6","0.0382")</f>
      </c>
      <c r="H140" t="s" s="1">
        <f>HYPERLINK("http://141.218.60.56/~jnz1568/discussion.php?&amp;Z=8&amp;N=6&amp;Sheet=2&amp;Row=139&amp;Col=7","")</f>
      </c>
      <c r="I140" t="s" s="1">
        <f>HYPERLINK("http://141.218.60.56/~jnz1568/discussion.php?&amp;Z=8&amp;N=6&amp;Sheet=2&amp;Row=139&amp;Col=8","")</f>
      </c>
      <c r="J140" t="s" s="1">
        <f>HYPERLINK("http://141.218.60.56/~jnz1568/discussion.php?&amp;Z=8&amp;N=6&amp;Sheet=2&amp;Row=139&amp;Col=9","")</f>
      </c>
      <c r="K140" t="s" s="1">
        <f>HYPERLINK("http://141.218.60.56/~jnz1568/discussion.php?&amp;Z=8&amp;N=6&amp;Sheet=2&amp;Row=139&amp;Col=10","")</f>
      </c>
      <c r="L140" t="s" s="1">
        <f>HYPERLINK("http://141.218.60.56/~jnz1568/discussion.php?&amp;Z=8&amp;N=6&amp;Sheet=2&amp;Row=139&amp;Col=11","")</f>
      </c>
      <c r="M140" t="s" s="1">
        <f>HYPERLINK("http://141.218.60.56/~jnz1568/discussion.php?&amp;Z=8&amp;N=6&amp;Sheet=2&amp;Row=139&amp;Col=12","")</f>
      </c>
    </row>
    <row r="141">
      <c r="A141" t="s">
        <v>1</v>
      </c>
      <c r="B141" t="s">
        <v>1</v>
      </c>
      <c r="C141" t="s">
        <v>1</v>
      </c>
      <c r="D141" t="s">
        <v>1</v>
      </c>
      <c r="E141" t="s">
        <v>87</v>
      </c>
      <c r="F141" t="s" s="1">
        <f>HYPERLINK("http://141.218.60.56/~jnz1568/discussion.php?&amp;Z=8&amp;N=6&amp;Sheet=2&amp;Row=140&amp;Col=5","5.2")</f>
      </c>
      <c r="G141" t="s" s="1">
        <f>HYPERLINK("http://141.218.60.56/~jnz1568/discussion.php?&amp;Z=8&amp;N=6&amp;Sheet=2&amp;Row=140&amp;Col=6","0.0375")</f>
      </c>
      <c r="H141" t="s" s="1">
        <f>HYPERLINK("http://141.218.60.56/~jnz1568/discussion.php?&amp;Z=8&amp;N=6&amp;Sheet=2&amp;Row=140&amp;Col=7","")</f>
      </c>
      <c r="I141" t="s" s="1">
        <f>HYPERLINK("http://141.218.60.56/~jnz1568/discussion.php?&amp;Z=8&amp;N=6&amp;Sheet=2&amp;Row=140&amp;Col=8","")</f>
      </c>
      <c r="J141" t="s" s="1">
        <f>HYPERLINK("http://141.218.60.56/~jnz1568/discussion.php?&amp;Z=8&amp;N=6&amp;Sheet=2&amp;Row=140&amp;Col=9","")</f>
      </c>
      <c r="K141" t="s" s="1">
        <f>HYPERLINK("http://141.218.60.56/~jnz1568/discussion.php?&amp;Z=8&amp;N=6&amp;Sheet=2&amp;Row=140&amp;Col=10","")</f>
      </c>
      <c r="L141" t="s" s="1">
        <f>HYPERLINK("http://141.218.60.56/~jnz1568/discussion.php?&amp;Z=8&amp;N=6&amp;Sheet=2&amp;Row=140&amp;Col=11","")</f>
      </c>
      <c r="M141" t="s" s="1">
        <f>HYPERLINK("http://141.218.60.56/~jnz1568/discussion.php?&amp;Z=8&amp;N=6&amp;Sheet=2&amp;Row=140&amp;Col=12","")</f>
      </c>
    </row>
    <row r="142">
      <c r="A142" t="s">
        <v>1</v>
      </c>
      <c r="B142" t="s">
        <v>1</v>
      </c>
      <c r="C142" t="s">
        <v>1</v>
      </c>
      <c r="D142" t="s">
        <v>1</v>
      </c>
      <c r="E142" t="s">
        <v>90</v>
      </c>
      <c r="F142" t="s" s="1">
        <f>HYPERLINK("http://141.218.60.56/~jnz1568/discussion.php?&amp;Z=8&amp;N=6&amp;Sheet=2&amp;Row=141&amp;Col=5","5.26")</f>
      </c>
      <c r="G142" t="s" s="1">
        <f>HYPERLINK("http://141.218.60.56/~jnz1568/discussion.php?&amp;Z=8&amp;N=6&amp;Sheet=2&amp;Row=141&amp;Col=6","0.0367")</f>
      </c>
      <c r="H142" t="s" s="1">
        <f>HYPERLINK("http://141.218.60.56/~jnz1568/discussion.php?&amp;Z=8&amp;N=6&amp;Sheet=2&amp;Row=141&amp;Col=7","")</f>
      </c>
      <c r="I142" t="s" s="1">
        <f>HYPERLINK("http://141.218.60.56/~jnz1568/discussion.php?&amp;Z=8&amp;N=6&amp;Sheet=2&amp;Row=141&amp;Col=8","")</f>
      </c>
      <c r="J142" t="s" s="1">
        <f>HYPERLINK("http://141.218.60.56/~jnz1568/discussion.php?&amp;Z=8&amp;N=6&amp;Sheet=2&amp;Row=141&amp;Col=9","")</f>
      </c>
      <c r="K142" t="s" s="1">
        <f>HYPERLINK("http://141.218.60.56/~jnz1568/discussion.php?&amp;Z=8&amp;N=6&amp;Sheet=2&amp;Row=141&amp;Col=10","")</f>
      </c>
      <c r="L142" t="s" s="1">
        <f>HYPERLINK("http://141.218.60.56/~jnz1568/discussion.php?&amp;Z=8&amp;N=6&amp;Sheet=2&amp;Row=141&amp;Col=11","")</f>
      </c>
      <c r="M142" t="s" s="1">
        <f>HYPERLINK("http://141.218.60.56/~jnz1568/discussion.php?&amp;Z=8&amp;N=6&amp;Sheet=2&amp;Row=141&amp;Col=12","")</f>
      </c>
    </row>
    <row r="143">
      <c r="A143" t="s">
        <v>1</v>
      </c>
      <c r="B143" t="s">
        <v>1</v>
      </c>
      <c r="C143" t="s">
        <v>1</v>
      </c>
      <c r="D143" t="s">
        <v>1</v>
      </c>
      <c r="E143" t="s">
        <v>94</v>
      </c>
      <c r="F143" t="s" s="1">
        <f>HYPERLINK("http://141.218.60.56/~jnz1568/discussion.php?&amp;Z=8&amp;N=6&amp;Sheet=2&amp;Row=142&amp;Col=5","5.3")</f>
      </c>
      <c r="G143" t="s" s="1">
        <f>HYPERLINK("http://141.218.60.56/~jnz1568/discussion.php?&amp;Z=8&amp;N=6&amp;Sheet=2&amp;Row=142&amp;Col=6","0.036")</f>
      </c>
      <c r="H143" t="s" s="1">
        <f>HYPERLINK("http://141.218.60.56/~jnz1568/discussion.php?&amp;Z=8&amp;N=6&amp;Sheet=2&amp;Row=142&amp;Col=7","")</f>
      </c>
      <c r="I143" t="s" s="1">
        <f>HYPERLINK("http://141.218.60.56/~jnz1568/discussion.php?&amp;Z=8&amp;N=6&amp;Sheet=2&amp;Row=142&amp;Col=8","")</f>
      </c>
      <c r="J143" t="s" s="1">
        <f>HYPERLINK("http://141.218.60.56/~jnz1568/discussion.php?&amp;Z=8&amp;N=6&amp;Sheet=2&amp;Row=142&amp;Col=9","")</f>
      </c>
      <c r="K143" t="s" s="1">
        <f>HYPERLINK("http://141.218.60.56/~jnz1568/discussion.php?&amp;Z=8&amp;N=6&amp;Sheet=2&amp;Row=142&amp;Col=10","")</f>
      </c>
      <c r="L143" t="s" s="1">
        <f>HYPERLINK("http://141.218.60.56/~jnz1568/discussion.php?&amp;Z=8&amp;N=6&amp;Sheet=2&amp;Row=142&amp;Col=11","")</f>
      </c>
      <c r="M143" t="s" s="1">
        <f>HYPERLINK("http://141.218.60.56/~jnz1568/discussion.php?&amp;Z=8&amp;N=6&amp;Sheet=2&amp;Row=142&amp;Col=12","")</f>
      </c>
    </row>
    <row r="144">
      <c r="A144" t="s">
        <v>15</v>
      </c>
      <c r="B144" t="s">
        <v>16</v>
      </c>
      <c r="C144" t="s">
        <v>33</v>
      </c>
      <c r="D144" t="s">
        <v>23</v>
      </c>
      <c r="E144" t="s">
        <v>17</v>
      </c>
      <c r="F144" t="s" s="1">
        <f>HYPERLINK("http://141.218.60.56/~jnz1568/discussion.php?&amp;Z=8&amp;N=6&amp;Sheet=2&amp;Row=143&amp;Col=5","3.4")</f>
      </c>
      <c r="G144" t="s" s="1">
        <f>HYPERLINK("http://141.218.60.56/~jnz1568/discussion.php?&amp;Z=8&amp;N=6&amp;Sheet=2&amp;Row=143&amp;Col=6","=G124*3")</f>
      </c>
      <c r="H144" t="s" s="1">
        <f>HYPERLINK("http://141.218.60.56/~jnz1568/discussion.php?&amp;Z=8&amp;N=6&amp;Sheet=2&amp;Row=143&amp;Col=7","2")</f>
      </c>
      <c r="I144" t="s" s="1">
        <f>HYPERLINK("http://141.218.60.56/~jnz1568/discussion.php?&amp;Z=8&amp;N=6&amp;Sheet=2&amp;Row=143&amp;Col=8","0.1765")</f>
      </c>
      <c r="J144" t="s" s="1">
        <f>HYPERLINK("http://141.218.60.56/~jnz1568/discussion.php?&amp;Z=8&amp;N=6&amp;Sheet=2&amp;Row=143&amp;Col=9","3")</f>
      </c>
      <c r="K144" t="s" s="1">
        <f>HYPERLINK("http://141.218.60.56/~jnz1568/discussion.php?&amp;Z=8&amp;N=6&amp;Sheet=2&amp;Row=143&amp;Col=10","0.0918")</f>
      </c>
      <c r="L144" t="s" s="1">
        <f>HYPERLINK("http://141.218.60.56/~jnz1568/discussion.php?&amp;Z=8&amp;N=6&amp;Sheet=2&amp;Row=143&amp;Col=11","3.69897000434")</f>
      </c>
      <c r="M144" t="s" s="1">
        <f>HYPERLINK("http://141.218.60.56/~jnz1568/discussion.php?&amp;Z=8&amp;N=6&amp;Sheet=2&amp;Row=143&amp;Col=12","0.06699284875")</f>
      </c>
    </row>
    <row r="145">
      <c r="A145" t="s">
        <v>1</v>
      </c>
      <c r="B145" t="s">
        <v>1</v>
      </c>
      <c r="C145" t="s">
        <v>1</v>
      </c>
      <c r="D145" t="s">
        <v>1</v>
      </c>
      <c r="E145" t="s">
        <v>23</v>
      </c>
      <c r="F145" t="s" s="1">
        <f>HYPERLINK("http://141.218.60.56/~jnz1568/discussion.php?&amp;Z=8&amp;N=6&amp;Sheet=2&amp;Row=144&amp;Col=5","3.7")</f>
      </c>
      <c r="G145" t="s" s="1">
        <f>HYPERLINK("http://141.218.60.56/~jnz1568/discussion.php?&amp;Z=8&amp;N=6&amp;Sheet=2&amp;Row=144&amp;Col=6","=")</f>
      </c>
      <c r="H145" t="s" s="1">
        <f>HYPERLINK("http://141.218.60.56/~jnz1568/discussion.php?&amp;Z=8&amp;N=6&amp;Sheet=2&amp;Row=144&amp;Col=7","2.69897000434")</f>
      </c>
      <c r="I145" t="s" s="1">
        <f>HYPERLINK("http://141.218.60.56/~jnz1568/discussion.php?&amp;Z=8&amp;N=6&amp;Sheet=2&amp;Row=144&amp;Col=8","0.159")</f>
      </c>
      <c r="J145" t="s" s="1">
        <f>HYPERLINK("http://141.218.60.56/~jnz1568/discussion.php?&amp;Z=8&amp;N=6&amp;Sheet=2&amp;Row=144&amp;Col=9","3.2")</f>
      </c>
      <c r="K145" t="s" s="1">
        <f>HYPERLINK("http://141.218.60.56/~jnz1568/discussion.php?&amp;Z=8&amp;N=6&amp;Sheet=2&amp;Row=144&amp;Col=10","0.0912666666667")</f>
      </c>
      <c r="L145" t="s" s="1">
        <f>HYPERLINK("http://141.218.60.56/~jnz1568/discussion.php?&amp;Z=8&amp;N=6&amp;Sheet=2&amp;Row=144&amp;Col=11","3.77815125038")</f>
      </c>
      <c r="M145" t="s" s="1">
        <f>HYPERLINK("http://141.218.60.56/~jnz1568/discussion.php?&amp;Z=8&amp;N=6&amp;Sheet=2&amp;Row=144&amp;Col=12","0.0707079728")</f>
      </c>
    </row>
    <row r="146">
      <c r="A146" t="s">
        <v>1</v>
      </c>
      <c r="B146" t="s">
        <v>1</v>
      </c>
      <c r="C146" t="s">
        <v>1</v>
      </c>
      <c r="D146" t="s">
        <v>1</v>
      </c>
      <c r="E146" t="s">
        <v>20</v>
      </c>
      <c r="F146" t="s" s="1">
        <f>HYPERLINK("http://141.218.60.56/~jnz1568/discussion.php?&amp;Z=8&amp;N=6&amp;Sheet=2&amp;Row=145&amp;Col=5","3.88")</f>
      </c>
      <c r="G146" t="s" s="1">
        <f>HYPERLINK("http://141.218.60.56/~jnz1568/discussion.php?&amp;Z=8&amp;N=6&amp;Sheet=2&amp;Row=145&amp;Col=6","=")</f>
      </c>
      <c r="H146" t="s" s="1">
        <f>HYPERLINK("http://141.218.60.56/~jnz1568/discussion.php?&amp;Z=8&amp;N=6&amp;Sheet=2&amp;Row=145&amp;Col=7","3")</f>
      </c>
      <c r="I146" t="s" s="1">
        <f>HYPERLINK("http://141.218.60.56/~jnz1568/discussion.php?&amp;Z=8&amp;N=6&amp;Sheet=2&amp;Row=145&amp;Col=8","0.1477")</f>
      </c>
      <c r="J146" t="s" s="1">
        <f>HYPERLINK("http://141.218.60.56/~jnz1568/discussion.php?&amp;Z=8&amp;N=6&amp;Sheet=2&amp;Row=145&amp;Col=9","3.4")</f>
      </c>
      <c r="K146" t="s" s="1">
        <f>HYPERLINK("http://141.218.60.56/~jnz1568/discussion.php?&amp;Z=8&amp;N=6&amp;Sheet=2&amp;Row=145&amp;Col=10","0.0904333333333")</f>
      </c>
      <c r="L146" t="s" s="1">
        <f>HYPERLINK("http://141.218.60.56/~jnz1568/discussion.php?&amp;Z=8&amp;N=6&amp;Sheet=2&amp;Row=145&amp;Col=11","3.84509804001")</f>
      </c>
      <c r="M146" t="s" s="1">
        <f>HYPERLINK("http://141.218.60.56/~jnz1568/discussion.php?&amp;Z=8&amp;N=6&amp;Sheet=2&amp;Row=145&amp;Col=12","0.074591290377")</f>
      </c>
    </row>
    <row r="147">
      <c r="A147" t="s">
        <v>1</v>
      </c>
      <c r="B147" t="s">
        <v>1</v>
      </c>
      <c r="C147" t="s">
        <v>1</v>
      </c>
      <c r="D147" t="s">
        <v>1</v>
      </c>
      <c r="E147" t="s">
        <v>28</v>
      </c>
      <c r="F147" t="s" s="1">
        <f>HYPERLINK("http://141.218.60.56/~jnz1568/discussion.php?&amp;Z=8&amp;N=6&amp;Sheet=2&amp;Row=146&amp;Col=5","4")</f>
      </c>
      <c r="G147" t="s" s="1">
        <f>HYPERLINK("http://141.218.60.56/~jnz1568/discussion.php?&amp;Z=8&amp;N=6&amp;Sheet=2&amp;Row=146&amp;Col=6","=")</f>
      </c>
      <c r="H147" t="s" s="1">
        <f>HYPERLINK("http://141.218.60.56/~jnz1568/discussion.php?&amp;Z=8&amp;N=6&amp;Sheet=2&amp;Row=146&amp;Col=7","3.69897000434")</f>
      </c>
      <c r="I147" t="s" s="1">
        <f>HYPERLINK("http://141.218.60.56/~jnz1568/discussion.php?&amp;Z=8&amp;N=6&amp;Sheet=2&amp;Row=146&amp;Col=8","0.1228")</f>
      </c>
      <c r="J147" t="s" s="1">
        <f>HYPERLINK("http://141.218.60.56/~jnz1568/discussion.php?&amp;Z=8&amp;N=6&amp;Sheet=2&amp;Row=146&amp;Col=9","3.6")</f>
      </c>
      <c r="K147" t="s" s="1">
        <f>HYPERLINK("http://141.218.60.56/~jnz1568/discussion.php?&amp;Z=8&amp;N=6&amp;Sheet=2&amp;Row=146&amp;Col=10","0.0897666666667")</f>
      </c>
      <c r="L147" t="s" s="1">
        <f>HYPERLINK("http://141.218.60.56/~jnz1568/discussion.php?&amp;Z=8&amp;N=6&amp;Sheet=2&amp;Row=146&amp;Col=11","3.90308998699")</f>
      </c>
      <c r="M147" t="s" s="1">
        <f>HYPERLINK("http://141.218.60.56/~jnz1568/discussion.php?&amp;Z=8&amp;N=6&amp;Sheet=2&amp;Row=146&amp;Col=12","0.078342349117")</f>
      </c>
    </row>
    <row r="148">
      <c r="A148" t="s">
        <v>1</v>
      </c>
      <c r="B148" t="s">
        <v>1</v>
      </c>
      <c r="C148" t="s">
        <v>1</v>
      </c>
      <c r="D148" t="s">
        <v>1</v>
      </c>
      <c r="E148" t="s">
        <v>33</v>
      </c>
      <c r="F148" t="s" s="1">
        <f>HYPERLINK("http://141.218.60.56/~jnz1568/discussion.php?&amp;Z=8&amp;N=6&amp;Sheet=2&amp;Row=147&amp;Col=5","4.1")</f>
      </c>
      <c r="G148" t="s" s="1">
        <f>HYPERLINK("http://141.218.60.56/~jnz1568/discussion.php?&amp;Z=8&amp;N=6&amp;Sheet=2&amp;Row=147&amp;Col=6","=")</f>
      </c>
      <c r="H148" t="s" s="1">
        <f>HYPERLINK("http://141.218.60.56/~jnz1568/discussion.php?&amp;Z=8&amp;N=6&amp;Sheet=2&amp;Row=147&amp;Col=7","4")</f>
      </c>
      <c r="I148" t="s" s="1">
        <f>HYPERLINK("http://141.218.60.56/~jnz1568/discussion.php?&amp;Z=8&amp;N=6&amp;Sheet=2&amp;Row=147&amp;Col=8","0.1223")</f>
      </c>
      <c r="J148" t="s" s="1">
        <f>HYPERLINK("http://141.218.60.56/~jnz1568/discussion.php?&amp;Z=8&amp;N=6&amp;Sheet=2&amp;Row=147&amp;Col=9","3.8")</f>
      </c>
      <c r="K148" t="s" s="1">
        <f>HYPERLINK("http://141.218.60.56/~jnz1568/discussion.php?&amp;Z=8&amp;N=6&amp;Sheet=2&amp;Row=147&amp;Col=10","0.0915666666667")</f>
      </c>
      <c r="L148" t="s" s="1">
        <f>HYPERLINK("http://141.218.60.56/~jnz1568/discussion.php?&amp;Z=8&amp;N=6&amp;Sheet=2&amp;Row=147&amp;Col=11","3.95424250944")</f>
      </c>
      <c r="M148" t="s" s="1">
        <f>HYPERLINK("http://141.218.60.56/~jnz1568/discussion.php?&amp;Z=8&amp;N=6&amp;Sheet=2&amp;Row=147&amp;Col=12","0.081825165728")</f>
      </c>
    </row>
    <row r="149">
      <c r="A149" t="s">
        <v>1</v>
      </c>
      <c r="B149" t="s">
        <v>1</v>
      </c>
      <c r="C149" t="s">
        <v>1</v>
      </c>
      <c r="D149" t="s">
        <v>1</v>
      </c>
      <c r="E149" t="s">
        <v>16</v>
      </c>
      <c r="F149" t="s" s="1">
        <f>HYPERLINK("http://141.218.60.56/~jnz1568/discussion.php?&amp;Z=8&amp;N=6&amp;Sheet=2&amp;Row=148&amp;Col=5","4.18")</f>
      </c>
      <c r="G149" t="s" s="1">
        <f>HYPERLINK("http://141.218.60.56/~jnz1568/discussion.php?&amp;Z=8&amp;N=6&amp;Sheet=2&amp;Row=148&amp;Col=6","=")</f>
      </c>
      <c r="H149" t="s" s="1">
        <f>HYPERLINK("http://141.218.60.56/~jnz1568/discussion.php?&amp;Z=8&amp;N=6&amp;Sheet=2&amp;Row=148&amp;Col=7","4.30102999566")</f>
      </c>
      <c r="I149" t="s" s="1">
        <f>HYPERLINK("http://141.218.60.56/~jnz1568/discussion.php?&amp;Z=8&amp;N=6&amp;Sheet=2&amp;Row=148&amp;Col=8","0.1294")</f>
      </c>
      <c r="J149" t="s" s="1">
        <f>HYPERLINK("http://141.218.60.56/~jnz1568/discussion.php?&amp;Z=8&amp;N=6&amp;Sheet=2&amp;Row=148&amp;Col=9","4")</f>
      </c>
      <c r="K149" t="s" s="1">
        <f>HYPERLINK("http://141.218.60.56/~jnz1568/discussion.php?&amp;Z=8&amp;N=6&amp;Sheet=2&amp;Row=148&amp;Col=10","0.0975")</f>
      </c>
      <c r="L149" t="s" s="1">
        <f>HYPERLINK("http://141.218.60.56/~jnz1568/discussion.php?&amp;Z=8&amp;N=6&amp;Sheet=2&amp;Row=148&amp;Col=11","4")</f>
      </c>
      <c r="M149" t="s" s="1">
        <f>HYPERLINK("http://141.218.60.56/~jnz1568/discussion.php?&amp;Z=8&amp;N=6&amp;Sheet=2&amp;Row=148&amp;Col=12","0.08499285933")</f>
      </c>
    </row>
    <row r="150">
      <c r="A150" t="s">
        <v>1</v>
      </c>
      <c r="B150" t="s">
        <v>1</v>
      </c>
      <c r="C150" t="s">
        <v>1</v>
      </c>
      <c r="D150" t="s">
        <v>1</v>
      </c>
      <c r="E150" t="s">
        <v>43</v>
      </c>
      <c r="F150" t="s" s="1">
        <f>HYPERLINK("http://141.218.60.56/~jnz1568/discussion.php?&amp;Z=8&amp;N=6&amp;Sheet=2&amp;Row=149&amp;Col=5","4.24")</f>
      </c>
      <c r="G150" t="s" s="1">
        <f>HYPERLINK("http://141.218.60.56/~jnz1568/discussion.php?&amp;Z=8&amp;N=6&amp;Sheet=2&amp;Row=149&amp;Col=6","=")</f>
      </c>
      <c r="H150" t="s" s="1">
        <f>HYPERLINK("http://141.218.60.56/~jnz1568/discussion.php?&amp;Z=8&amp;N=6&amp;Sheet=2&amp;Row=149&amp;Col=7","4.47712125472")</f>
      </c>
      <c r="I150" t="s" s="1">
        <f>HYPERLINK("http://141.218.60.56/~jnz1568/discussion.php?&amp;Z=8&amp;N=6&amp;Sheet=2&amp;Row=149&amp;Col=8","0.1332")</f>
      </c>
      <c r="J150" t="s" s="1">
        <f>HYPERLINK("http://141.218.60.56/~jnz1568/discussion.php?&amp;Z=8&amp;N=6&amp;Sheet=2&amp;Row=149&amp;Col=9","4.2")</f>
      </c>
      <c r="K150" t="s" s="1">
        <f>HYPERLINK("http://141.218.60.56/~jnz1568/discussion.php?&amp;Z=8&amp;N=6&amp;Sheet=2&amp;Row=149&amp;Col=10","0.1058")</f>
      </c>
      <c r="L150" t="s" s="1">
        <f>HYPERLINK("http://141.218.60.56/~jnz1568/discussion.php?&amp;Z=8&amp;N=6&amp;Sheet=2&amp;Row=149&amp;Col=11","4.04139268516")</f>
      </c>
      <c r="M150" t="s" s="1">
        <f>HYPERLINK("http://141.218.60.56/~jnz1568/discussion.php?&amp;Z=8&amp;N=6&amp;Sheet=2&amp;Row=149&amp;Col=12","0.08784361889")</f>
      </c>
    </row>
    <row r="151">
      <c r="A151" t="s">
        <v>1</v>
      </c>
      <c r="B151" t="s">
        <v>1</v>
      </c>
      <c r="C151" t="s">
        <v>1</v>
      </c>
      <c r="D151" t="s">
        <v>1</v>
      </c>
      <c r="E151" t="s">
        <v>15</v>
      </c>
      <c r="F151" t="s" s="1">
        <f>HYPERLINK("http://141.218.60.56/~jnz1568/discussion.php?&amp;Z=8&amp;N=6&amp;Sheet=2&amp;Row=150&amp;Col=5","4.3")</f>
      </c>
      <c r="G151" t="s" s="1">
        <f>HYPERLINK("http://141.218.60.56/~jnz1568/discussion.php?&amp;Z=8&amp;N=6&amp;Sheet=2&amp;Row=150&amp;Col=6","=")</f>
      </c>
      <c r="H151" t="s" s="1">
        <f>HYPERLINK("http://141.218.60.56/~jnz1568/discussion.php?&amp;Z=8&amp;N=6&amp;Sheet=2&amp;Row=150&amp;Col=7","")</f>
      </c>
      <c r="I151" t="s" s="1">
        <f>HYPERLINK("http://141.218.60.56/~jnz1568/discussion.php?&amp;Z=8&amp;N=6&amp;Sheet=2&amp;Row=150&amp;Col=8","")</f>
      </c>
      <c r="J151" t="s" s="1">
        <f>HYPERLINK("http://141.218.60.56/~jnz1568/discussion.php?&amp;Z=8&amp;N=6&amp;Sheet=2&amp;Row=150&amp;Col=9","4.4")</f>
      </c>
      <c r="K151" t="s" s="1">
        <f>HYPERLINK("http://141.218.60.56/~jnz1568/discussion.php?&amp;Z=8&amp;N=6&amp;Sheet=2&amp;Row=150&amp;Col=10","0.1135")</f>
      </c>
      <c r="L151" t="s" s="1">
        <f>HYPERLINK("http://141.218.60.56/~jnz1568/discussion.php?&amp;Z=8&amp;N=6&amp;Sheet=2&amp;Row=150&amp;Col=11","4.07918124605")</f>
      </c>
      <c r="M151" t="s" s="1">
        <f>HYPERLINK("http://141.218.60.56/~jnz1568/discussion.php?&amp;Z=8&amp;N=6&amp;Sheet=2&amp;Row=150&amp;Col=12","0.09039674466")</f>
      </c>
    </row>
    <row r="152">
      <c r="A152" t="s">
        <v>1</v>
      </c>
      <c r="B152" t="s">
        <v>1</v>
      </c>
      <c r="C152" t="s">
        <v>1</v>
      </c>
      <c r="D152" t="s">
        <v>1</v>
      </c>
      <c r="E152" t="s">
        <v>50</v>
      </c>
      <c r="F152" t="s" s="1">
        <f>HYPERLINK("http://141.218.60.56/~jnz1568/discussion.php?&amp;Z=8&amp;N=6&amp;Sheet=2&amp;Row=151&amp;Col=5","4.4")</f>
      </c>
      <c r="G152" t="s" s="1">
        <f>HYPERLINK("http://141.218.60.56/~jnz1568/discussion.php?&amp;Z=8&amp;N=6&amp;Sheet=2&amp;Row=151&amp;Col=6","=")</f>
      </c>
      <c r="H152" t="s" s="1">
        <f>HYPERLINK("http://141.218.60.56/~jnz1568/discussion.php?&amp;Z=8&amp;N=6&amp;Sheet=2&amp;Row=151&amp;Col=7","")</f>
      </c>
      <c r="I152" t="s" s="1">
        <f>HYPERLINK("http://141.218.60.56/~jnz1568/discussion.php?&amp;Z=8&amp;N=6&amp;Sheet=2&amp;Row=151&amp;Col=8","")</f>
      </c>
      <c r="J152" t="s" s="1">
        <f>HYPERLINK("http://141.218.60.56/~jnz1568/discussion.php?&amp;Z=8&amp;N=6&amp;Sheet=2&amp;Row=151&amp;Col=9","4.6")</f>
      </c>
      <c r="K152" t="s" s="1">
        <f>HYPERLINK("http://141.218.60.56/~jnz1568/discussion.php?&amp;Z=8&amp;N=6&amp;Sheet=2&amp;Row=151&amp;Col=10","0.118766666667")</f>
      </c>
      <c r="L152" t="s" s="1">
        <f>HYPERLINK("http://141.218.60.56/~jnz1568/discussion.php?&amp;Z=8&amp;N=6&amp;Sheet=2&amp;Row=151&amp;Col=11","4.11394335231")</f>
      </c>
      <c r="M152" t="s" s="1">
        <f>HYPERLINK("http://141.218.60.56/~jnz1568/discussion.php?&amp;Z=8&amp;N=6&amp;Sheet=2&amp;Row=151&amp;Col=12","0.09268003726")</f>
      </c>
    </row>
    <row r="153">
      <c r="A153" t="s">
        <v>1</v>
      </c>
      <c r="B153" t="s">
        <v>1</v>
      </c>
      <c r="C153" t="s">
        <v>1</v>
      </c>
      <c r="D153" t="s">
        <v>1</v>
      </c>
      <c r="E153" t="s">
        <v>53</v>
      </c>
      <c r="F153" t="s" s="1">
        <f>HYPERLINK("http://141.218.60.56/~jnz1568/discussion.php?&amp;Z=8&amp;N=6&amp;Sheet=2&amp;Row=152&amp;Col=5","4.48")</f>
      </c>
      <c r="G153" t="s" s="1">
        <f>HYPERLINK("http://141.218.60.56/~jnz1568/discussion.php?&amp;Z=8&amp;N=6&amp;Sheet=2&amp;Row=152&amp;Col=6","=")</f>
      </c>
      <c r="H153" t="s" s="1">
        <f>HYPERLINK("http://141.218.60.56/~jnz1568/discussion.php?&amp;Z=8&amp;N=6&amp;Sheet=2&amp;Row=152&amp;Col=7","")</f>
      </c>
      <c r="I153" t="s" s="1">
        <f>HYPERLINK("http://141.218.60.56/~jnz1568/discussion.php?&amp;Z=8&amp;N=6&amp;Sheet=2&amp;Row=152&amp;Col=8","")</f>
      </c>
      <c r="J153" t="s" s="1">
        <f>HYPERLINK("http://141.218.60.56/~jnz1568/discussion.php?&amp;Z=8&amp;N=6&amp;Sheet=2&amp;Row=152&amp;Col=9","4.8")</f>
      </c>
      <c r="K153" t="s" s="1">
        <f>HYPERLINK("http://141.218.60.56/~jnz1568/discussion.php?&amp;Z=8&amp;N=6&amp;Sheet=2&amp;Row=152&amp;Col=10","0.1207")</f>
      </c>
      <c r="L153" t="s" s="1">
        <f>HYPERLINK("http://141.218.60.56/~jnz1568/discussion.php?&amp;Z=8&amp;N=6&amp;Sheet=2&amp;Row=152&amp;Col=11","4.14612803568")</f>
      </c>
      <c r="M153" t="s" s="1">
        <f>HYPERLINK("http://141.218.60.56/~jnz1568/discussion.php?&amp;Z=8&amp;N=6&amp;Sheet=2&amp;Row=152&amp;Col=12","0.09472335263")</f>
      </c>
    </row>
    <row r="154">
      <c r="A154" t="s">
        <v>1</v>
      </c>
      <c r="B154" t="s">
        <v>1</v>
      </c>
      <c r="C154" t="s">
        <v>1</v>
      </c>
      <c r="D154" t="s">
        <v>1</v>
      </c>
      <c r="E154" t="s">
        <v>58</v>
      </c>
      <c r="F154" t="s" s="1">
        <f>HYPERLINK("http://141.218.60.56/~jnz1568/discussion.php?&amp;Z=8&amp;N=6&amp;Sheet=2&amp;Row=153&amp;Col=5","4.6")</f>
      </c>
      <c r="G154" t="s" s="1">
        <f>HYPERLINK("http://141.218.60.56/~jnz1568/discussion.php?&amp;Z=8&amp;N=6&amp;Sheet=2&amp;Row=153&amp;Col=6","=")</f>
      </c>
      <c r="H154" t="s" s="1">
        <f>HYPERLINK("http://141.218.60.56/~jnz1568/discussion.php?&amp;Z=8&amp;N=6&amp;Sheet=2&amp;Row=153&amp;Col=7","")</f>
      </c>
      <c r="I154" t="s" s="1">
        <f>HYPERLINK("http://141.218.60.56/~jnz1568/discussion.php?&amp;Z=8&amp;N=6&amp;Sheet=2&amp;Row=153&amp;Col=8","")</f>
      </c>
      <c r="J154" t="s" s="1">
        <f>HYPERLINK("http://141.218.60.56/~jnz1568/discussion.php?&amp;Z=8&amp;N=6&amp;Sheet=2&amp;Row=153&amp;Col=9","5")</f>
      </c>
      <c r="K154" t="s" s="1">
        <f>HYPERLINK("http://141.218.60.56/~jnz1568/discussion.php?&amp;Z=8&amp;N=6&amp;Sheet=2&amp;Row=153&amp;Col=10","0.119033333333")</f>
      </c>
      <c r="L154" t="s" s="1">
        <f>HYPERLINK("http://141.218.60.56/~jnz1568/discussion.php?&amp;Z=8&amp;N=6&amp;Sheet=2&amp;Row=153&amp;Col=11","4.17609125906")</f>
      </c>
      <c r="M154" t="s" s="1">
        <f>HYPERLINK("http://141.218.60.56/~jnz1568/discussion.php?&amp;Z=8&amp;N=6&amp;Sheet=2&amp;Row=153&amp;Col=12","0.0965554609")</f>
      </c>
    </row>
    <row r="155">
      <c r="A155" t="s">
        <v>1</v>
      </c>
      <c r="B155" t="s">
        <v>1</v>
      </c>
      <c r="C155" t="s">
        <v>1</v>
      </c>
      <c r="D155" t="s">
        <v>1</v>
      </c>
      <c r="E155" t="s">
        <v>61</v>
      </c>
      <c r="F155" t="s" s="1">
        <f>HYPERLINK("http://141.218.60.56/~jnz1568/discussion.php?&amp;Z=8&amp;N=6&amp;Sheet=2&amp;Row=154&amp;Col=5","4.7")</f>
      </c>
      <c r="G155" t="s" s="1">
        <f>HYPERLINK("http://141.218.60.56/~jnz1568/discussion.php?&amp;Z=8&amp;N=6&amp;Sheet=2&amp;Row=154&amp;Col=6","=")</f>
      </c>
      <c r="H155" t="s" s="1">
        <f>HYPERLINK("http://141.218.60.56/~jnz1568/discussion.php?&amp;Z=8&amp;N=6&amp;Sheet=2&amp;Row=154&amp;Col=7","")</f>
      </c>
      <c r="I155" t="s" s="1">
        <f>HYPERLINK("http://141.218.60.56/~jnz1568/discussion.php?&amp;Z=8&amp;N=6&amp;Sheet=2&amp;Row=154&amp;Col=8","")</f>
      </c>
      <c r="J155" t="s" s="1">
        <f>HYPERLINK("http://141.218.60.56/~jnz1568/discussion.php?&amp;Z=8&amp;N=6&amp;Sheet=2&amp;Row=154&amp;Col=9","")</f>
      </c>
      <c r="K155" t="s" s="1">
        <f>HYPERLINK("http://141.218.60.56/~jnz1568/discussion.php?&amp;Z=8&amp;N=6&amp;Sheet=2&amp;Row=154&amp;Col=10","")</f>
      </c>
      <c r="L155" t="s" s="1">
        <f>HYPERLINK("http://141.218.60.56/~jnz1568/discussion.php?&amp;Z=8&amp;N=6&amp;Sheet=2&amp;Row=154&amp;Col=11","4.20411998266")</f>
      </c>
      <c r="M155" t="s" s="1">
        <f>HYPERLINK("http://141.218.60.56/~jnz1568/discussion.php?&amp;Z=8&amp;N=6&amp;Sheet=2&amp;Row=154&amp;Col=12","0.09820265936")</f>
      </c>
    </row>
    <row r="156">
      <c r="A156" t="s">
        <v>1</v>
      </c>
      <c r="B156" t="s">
        <v>1</v>
      </c>
      <c r="C156" t="s">
        <v>1</v>
      </c>
      <c r="D156" t="s">
        <v>1</v>
      </c>
      <c r="E156" t="s">
        <v>64</v>
      </c>
      <c r="F156" t="s" s="1">
        <f>HYPERLINK("http://141.218.60.56/~jnz1568/discussion.php?&amp;Z=8&amp;N=6&amp;Sheet=2&amp;Row=155&amp;Col=5","4.78")</f>
      </c>
      <c r="G156" t="s" s="1">
        <f>HYPERLINK("http://141.218.60.56/~jnz1568/discussion.php?&amp;Z=8&amp;N=6&amp;Sheet=2&amp;Row=155&amp;Col=6","=")</f>
      </c>
      <c r="H156" t="s" s="1">
        <f>HYPERLINK("http://141.218.60.56/~jnz1568/discussion.php?&amp;Z=8&amp;N=6&amp;Sheet=2&amp;Row=155&amp;Col=7","")</f>
      </c>
      <c r="I156" t="s" s="1">
        <f>HYPERLINK("http://141.218.60.56/~jnz1568/discussion.php?&amp;Z=8&amp;N=6&amp;Sheet=2&amp;Row=155&amp;Col=8","")</f>
      </c>
      <c r="J156" t="s" s="1">
        <f>HYPERLINK("http://141.218.60.56/~jnz1568/discussion.php?&amp;Z=8&amp;N=6&amp;Sheet=2&amp;Row=155&amp;Col=9","")</f>
      </c>
      <c r="K156" t="s" s="1">
        <f>HYPERLINK("http://141.218.60.56/~jnz1568/discussion.php?&amp;Z=8&amp;N=6&amp;Sheet=2&amp;Row=155&amp;Col=10","")</f>
      </c>
      <c r="L156" t="s" s="1">
        <f>HYPERLINK("http://141.218.60.56/~jnz1568/discussion.php?&amp;Z=8&amp;N=6&amp;Sheet=2&amp;Row=155&amp;Col=11","4.23044892138")</f>
      </c>
      <c r="M156" t="s" s="1">
        <f>HYPERLINK("http://141.218.60.56/~jnz1568/discussion.php?&amp;Z=8&amp;N=6&amp;Sheet=2&amp;Row=155&amp;Col=12","0.099688301443")</f>
      </c>
    </row>
    <row r="157">
      <c r="A157" t="s">
        <v>1</v>
      </c>
      <c r="B157" t="s">
        <v>1</v>
      </c>
      <c r="C157" t="s">
        <v>1</v>
      </c>
      <c r="D157" t="s">
        <v>1</v>
      </c>
      <c r="E157" t="s">
        <v>69</v>
      </c>
      <c r="F157" t="s" s="1">
        <f>HYPERLINK("http://141.218.60.56/~jnz1568/discussion.php?&amp;Z=8&amp;N=6&amp;Sheet=2&amp;Row=156&amp;Col=5","4.9")</f>
      </c>
      <c r="G157" t="s" s="1">
        <f>HYPERLINK("http://141.218.60.56/~jnz1568/discussion.php?&amp;Z=8&amp;N=6&amp;Sheet=2&amp;Row=156&amp;Col=6","=")</f>
      </c>
      <c r="H157" t="s" s="1">
        <f>HYPERLINK("http://141.218.60.56/~jnz1568/discussion.php?&amp;Z=8&amp;N=6&amp;Sheet=2&amp;Row=156&amp;Col=7","")</f>
      </c>
      <c r="I157" t="s" s="1">
        <f>HYPERLINK("http://141.218.60.56/~jnz1568/discussion.php?&amp;Z=8&amp;N=6&amp;Sheet=2&amp;Row=156&amp;Col=8","")</f>
      </c>
      <c r="J157" t="s" s="1">
        <f>HYPERLINK("http://141.218.60.56/~jnz1568/discussion.php?&amp;Z=8&amp;N=6&amp;Sheet=2&amp;Row=156&amp;Col=9","")</f>
      </c>
      <c r="K157" t="s" s="1">
        <f>HYPERLINK("http://141.218.60.56/~jnz1568/discussion.php?&amp;Z=8&amp;N=6&amp;Sheet=2&amp;Row=156&amp;Col=10","")</f>
      </c>
      <c r="L157" t="s" s="1">
        <f>HYPERLINK("http://141.218.60.56/~jnz1568/discussion.php?&amp;Z=8&amp;N=6&amp;Sheet=2&amp;Row=156&amp;Col=11","4.2552725051")</f>
      </c>
      <c r="M157" t="s" s="1">
        <f>HYPERLINK("http://141.218.60.56/~jnz1568/discussion.php?&amp;Z=8&amp;N=6&amp;Sheet=2&amp;Row=156&amp;Col=12","0.101032788499")</f>
      </c>
    </row>
    <row r="158">
      <c r="A158" t="s">
        <v>1</v>
      </c>
      <c r="B158" t="s">
        <v>1</v>
      </c>
      <c r="C158" t="s">
        <v>1</v>
      </c>
      <c r="D158" t="s">
        <v>1</v>
      </c>
      <c r="E158" t="s">
        <v>74</v>
      </c>
      <c r="F158" t="s" s="1">
        <f>HYPERLINK("http://141.218.60.56/~jnz1568/discussion.php?&amp;Z=8&amp;N=6&amp;Sheet=2&amp;Row=157&amp;Col=5","5")</f>
      </c>
      <c r="G158" t="s" s="1">
        <f>HYPERLINK("http://141.218.60.56/~jnz1568/discussion.php?&amp;Z=8&amp;N=6&amp;Sheet=2&amp;Row=157&amp;Col=6","=")</f>
      </c>
      <c r="H158" t="s" s="1">
        <f>HYPERLINK("http://141.218.60.56/~jnz1568/discussion.php?&amp;Z=8&amp;N=6&amp;Sheet=2&amp;Row=157&amp;Col=7","")</f>
      </c>
      <c r="I158" t="s" s="1">
        <f>HYPERLINK("http://141.218.60.56/~jnz1568/discussion.php?&amp;Z=8&amp;N=6&amp;Sheet=2&amp;Row=157&amp;Col=8","")</f>
      </c>
      <c r="J158" t="s" s="1">
        <f>HYPERLINK("http://141.218.60.56/~jnz1568/discussion.php?&amp;Z=8&amp;N=6&amp;Sheet=2&amp;Row=157&amp;Col=9","")</f>
      </c>
      <c r="K158" t="s" s="1">
        <f>HYPERLINK("http://141.218.60.56/~jnz1568/discussion.php?&amp;Z=8&amp;N=6&amp;Sheet=2&amp;Row=157&amp;Col=10","")</f>
      </c>
      <c r="L158" t="s" s="1">
        <f>HYPERLINK("http://141.218.60.56/~jnz1568/discussion.php?&amp;Z=8&amp;N=6&amp;Sheet=2&amp;Row=157&amp;Col=11","4.27875360095")</f>
      </c>
      <c r="M158" t="s" s="1">
        <f>HYPERLINK("http://141.218.60.56/~jnz1568/discussion.php?&amp;Z=8&amp;N=6&amp;Sheet=2&amp;Row=157&amp;Col=12","0.102253779453")</f>
      </c>
    </row>
    <row r="159">
      <c r="A159" t="s">
        <v>1</v>
      </c>
      <c r="B159" t="s">
        <v>1</v>
      </c>
      <c r="C159" t="s">
        <v>1</v>
      </c>
      <c r="D159" t="s">
        <v>1</v>
      </c>
      <c r="E159" t="s">
        <v>79</v>
      </c>
      <c r="F159" t="s" s="1">
        <f>HYPERLINK("http://141.218.60.56/~jnz1568/discussion.php?&amp;Z=8&amp;N=6&amp;Sheet=2&amp;Row=158&amp;Col=5","5.08")</f>
      </c>
      <c r="G159" t="s" s="1">
        <f>HYPERLINK("http://141.218.60.56/~jnz1568/discussion.php?&amp;Z=8&amp;N=6&amp;Sheet=2&amp;Row=158&amp;Col=6","=")</f>
      </c>
      <c r="H159" t="s" s="1">
        <f>HYPERLINK("http://141.218.60.56/~jnz1568/discussion.php?&amp;Z=8&amp;N=6&amp;Sheet=2&amp;Row=158&amp;Col=7","")</f>
      </c>
      <c r="I159" t="s" s="1">
        <f>HYPERLINK("http://141.218.60.56/~jnz1568/discussion.php?&amp;Z=8&amp;N=6&amp;Sheet=2&amp;Row=158&amp;Col=8","")</f>
      </c>
      <c r="J159" t="s" s="1">
        <f>HYPERLINK("http://141.218.60.56/~jnz1568/discussion.php?&amp;Z=8&amp;N=6&amp;Sheet=2&amp;Row=158&amp;Col=9","")</f>
      </c>
      <c r="K159" t="s" s="1">
        <f>HYPERLINK("http://141.218.60.56/~jnz1568/discussion.php?&amp;Z=8&amp;N=6&amp;Sheet=2&amp;Row=158&amp;Col=10","")</f>
      </c>
      <c r="L159" t="s" s="1">
        <f>HYPERLINK("http://141.218.60.56/~jnz1568/discussion.php?&amp;Z=8&amp;N=6&amp;Sheet=2&amp;Row=158&amp;Col=11","4.30102999566")</f>
      </c>
      <c r="M159" t="s" s="1">
        <f>HYPERLINK("http://141.218.60.56/~jnz1568/discussion.php?&amp;Z=8&amp;N=6&amp;Sheet=2&amp;Row=158&amp;Col=12","0.103366487564")</f>
      </c>
    </row>
    <row r="160">
      <c r="A160" t="s">
        <v>1</v>
      </c>
      <c r="B160" t="s">
        <v>1</v>
      </c>
      <c r="C160" t="s">
        <v>1</v>
      </c>
      <c r="D160" t="s">
        <v>1</v>
      </c>
      <c r="E160" t="s">
        <v>84</v>
      </c>
      <c r="F160" t="s" s="1">
        <f>HYPERLINK("http://141.218.60.56/~jnz1568/discussion.php?&amp;Z=8&amp;N=6&amp;Sheet=2&amp;Row=159&amp;Col=5","5.15")</f>
      </c>
      <c r="G160" t="s" s="1">
        <f>HYPERLINK("http://141.218.60.56/~jnz1568/discussion.php?&amp;Z=8&amp;N=6&amp;Sheet=2&amp;Row=159&amp;Col=6","=")</f>
      </c>
      <c r="H160" t="s" s="1">
        <f>HYPERLINK("http://141.218.60.56/~jnz1568/discussion.php?&amp;Z=8&amp;N=6&amp;Sheet=2&amp;Row=159&amp;Col=7","")</f>
      </c>
      <c r="I160" t="s" s="1">
        <f>HYPERLINK("http://141.218.60.56/~jnz1568/discussion.php?&amp;Z=8&amp;N=6&amp;Sheet=2&amp;Row=159&amp;Col=8","")</f>
      </c>
      <c r="J160" t="s" s="1">
        <f>HYPERLINK("http://141.218.60.56/~jnz1568/discussion.php?&amp;Z=8&amp;N=6&amp;Sheet=2&amp;Row=159&amp;Col=9","")</f>
      </c>
      <c r="K160" t="s" s="1">
        <f>HYPERLINK("http://141.218.60.56/~jnz1568/discussion.php?&amp;Z=8&amp;N=6&amp;Sheet=2&amp;Row=159&amp;Col=10","")</f>
      </c>
      <c r="L160" t="s" s="1">
        <f>HYPERLINK("http://141.218.60.56/~jnz1568/discussion.php?&amp;Z=8&amp;N=6&amp;Sheet=2&amp;Row=159&amp;Col=11","")</f>
      </c>
      <c r="M160" t="s" s="1">
        <f>HYPERLINK("http://141.218.60.56/~jnz1568/discussion.php?&amp;Z=8&amp;N=6&amp;Sheet=2&amp;Row=159&amp;Col=12","")</f>
      </c>
    </row>
    <row r="161">
      <c r="A161" t="s">
        <v>1</v>
      </c>
      <c r="B161" t="s">
        <v>1</v>
      </c>
      <c r="C161" t="s">
        <v>1</v>
      </c>
      <c r="D161" t="s">
        <v>1</v>
      </c>
      <c r="E161" t="s">
        <v>87</v>
      </c>
      <c r="F161" t="s" s="1">
        <f>HYPERLINK("http://141.218.60.56/~jnz1568/discussion.php?&amp;Z=8&amp;N=6&amp;Sheet=2&amp;Row=160&amp;Col=5","5.2")</f>
      </c>
      <c r="G161" t="s" s="1">
        <f>HYPERLINK("http://141.218.60.56/~jnz1568/discussion.php?&amp;Z=8&amp;N=6&amp;Sheet=2&amp;Row=160&amp;Col=6","=")</f>
      </c>
      <c r="H161" t="s" s="1">
        <f>HYPERLINK("http://141.218.60.56/~jnz1568/discussion.php?&amp;Z=8&amp;N=6&amp;Sheet=2&amp;Row=160&amp;Col=7","")</f>
      </c>
      <c r="I161" t="s" s="1">
        <f>HYPERLINK("http://141.218.60.56/~jnz1568/discussion.php?&amp;Z=8&amp;N=6&amp;Sheet=2&amp;Row=160&amp;Col=8","")</f>
      </c>
      <c r="J161" t="s" s="1">
        <f>HYPERLINK("http://141.218.60.56/~jnz1568/discussion.php?&amp;Z=8&amp;N=6&amp;Sheet=2&amp;Row=160&amp;Col=9","")</f>
      </c>
      <c r="K161" t="s" s="1">
        <f>HYPERLINK("http://141.218.60.56/~jnz1568/discussion.php?&amp;Z=8&amp;N=6&amp;Sheet=2&amp;Row=160&amp;Col=10","")</f>
      </c>
      <c r="L161" t="s" s="1">
        <f>HYPERLINK("http://141.218.60.56/~jnz1568/discussion.php?&amp;Z=8&amp;N=6&amp;Sheet=2&amp;Row=160&amp;Col=11","")</f>
      </c>
      <c r="M161" t="s" s="1">
        <f>HYPERLINK("http://141.218.60.56/~jnz1568/discussion.php?&amp;Z=8&amp;N=6&amp;Sheet=2&amp;Row=160&amp;Col=12","")</f>
      </c>
    </row>
    <row r="162">
      <c r="A162" t="s">
        <v>1</v>
      </c>
      <c r="B162" t="s">
        <v>1</v>
      </c>
      <c r="C162" t="s">
        <v>1</v>
      </c>
      <c r="D162" t="s">
        <v>1</v>
      </c>
      <c r="E162" t="s">
        <v>90</v>
      </c>
      <c r="F162" t="s" s="1">
        <f>HYPERLINK("http://141.218.60.56/~jnz1568/discussion.php?&amp;Z=8&amp;N=6&amp;Sheet=2&amp;Row=161&amp;Col=5","5.26")</f>
      </c>
      <c r="G162" t="s" s="1">
        <f>HYPERLINK("http://141.218.60.56/~jnz1568/discussion.php?&amp;Z=8&amp;N=6&amp;Sheet=2&amp;Row=161&amp;Col=6","=")</f>
      </c>
      <c r="H162" t="s" s="1">
        <f>HYPERLINK("http://141.218.60.56/~jnz1568/discussion.php?&amp;Z=8&amp;N=6&amp;Sheet=2&amp;Row=161&amp;Col=7","")</f>
      </c>
      <c r="I162" t="s" s="1">
        <f>HYPERLINK("http://141.218.60.56/~jnz1568/discussion.php?&amp;Z=8&amp;N=6&amp;Sheet=2&amp;Row=161&amp;Col=8","")</f>
      </c>
      <c r="J162" t="s" s="1">
        <f>HYPERLINK("http://141.218.60.56/~jnz1568/discussion.php?&amp;Z=8&amp;N=6&amp;Sheet=2&amp;Row=161&amp;Col=9","")</f>
      </c>
      <c r="K162" t="s" s="1">
        <f>HYPERLINK("http://141.218.60.56/~jnz1568/discussion.php?&amp;Z=8&amp;N=6&amp;Sheet=2&amp;Row=161&amp;Col=10","")</f>
      </c>
      <c r="L162" t="s" s="1">
        <f>HYPERLINK("http://141.218.60.56/~jnz1568/discussion.php?&amp;Z=8&amp;N=6&amp;Sheet=2&amp;Row=161&amp;Col=11","")</f>
      </c>
      <c r="M162" t="s" s="1">
        <f>HYPERLINK("http://141.218.60.56/~jnz1568/discussion.php?&amp;Z=8&amp;N=6&amp;Sheet=2&amp;Row=161&amp;Col=12","")</f>
      </c>
    </row>
    <row r="163">
      <c r="A163" t="s">
        <v>1</v>
      </c>
      <c r="B163" t="s">
        <v>1</v>
      </c>
      <c r="C163" t="s">
        <v>1</v>
      </c>
      <c r="D163" t="s">
        <v>1</v>
      </c>
      <c r="E163" t="s">
        <v>94</v>
      </c>
      <c r="F163" t="s" s="1">
        <f>HYPERLINK("http://141.218.60.56/~jnz1568/discussion.php?&amp;Z=8&amp;N=6&amp;Sheet=2&amp;Row=162&amp;Col=5","5.3")</f>
      </c>
      <c r="G163" t="s" s="1">
        <f>HYPERLINK("http://141.218.60.56/~jnz1568/discussion.php?&amp;Z=8&amp;N=6&amp;Sheet=2&amp;Row=162&amp;Col=6","=")</f>
      </c>
      <c r="H163" t="s" s="1">
        <f>HYPERLINK("http://141.218.60.56/~jnz1568/discussion.php?&amp;Z=8&amp;N=6&amp;Sheet=2&amp;Row=162&amp;Col=7","")</f>
      </c>
      <c r="I163" t="s" s="1">
        <f>HYPERLINK("http://141.218.60.56/~jnz1568/discussion.php?&amp;Z=8&amp;N=6&amp;Sheet=2&amp;Row=162&amp;Col=8","")</f>
      </c>
      <c r="J163" t="s" s="1">
        <f>HYPERLINK("http://141.218.60.56/~jnz1568/discussion.php?&amp;Z=8&amp;N=6&amp;Sheet=2&amp;Row=162&amp;Col=9","")</f>
      </c>
      <c r="K163" t="s" s="1">
        <f>HYPERLINK("http://141.218.60.56/~jnz1568/discussion.php?&amp;Z=8&amp;N=6&amp;Sheet=2&amp;Row=162&amp;Col=10","")</f>
      </c>
      <c r="L163" t="s" s="1">
        <f>HYPERLINK("http://141.218.60.56/~jnz1568/discussion.php?&amp;Z=8&amp;N=6&amp;Sheet=2&amp;Row=162&amp;Col=11","")</f>
      </c>
      <c r="M163" t="s" s="1">
        <f>HYPERLINK("http://141.218.60.56/~jnz1568/discussion.php?&amp;Z=8&amp;N=6&amp;Sheet=2&amp;Row=162&amp;Col=12","")</f>
      </c>
    </row>
    <row r="164">
      <c r="A164" t="s">
        <v>15</v>
      </c>
      <c r="B164" t="s">
        <v>16</v>
      </c>
      <c r="C164" t="s">
        <v>33</v>
      </c>
      <c r="D164" t="s">
        <v>20</v>
      </c>
      <c r="E164" t="s">
        <v>17</v>
      </c>
      <c r="F164" t="s" s="1">
        <f>HYPERLINK("http://141.218.60.56/~jnz1568/discussion.php?&amp;Z=8&amp;N=6&amp;Sheet=2&amp;Row=163&amp;Col=5","3.4")</f>
      </c>
      <c r="G164" t="s" s="1">
        <f>HYPERLINK("http://141.218.60.56/~jnz1568/discussion.php?&amp;Z=8&amp;N=6&amp;Sheet=2&amp;Row=163&amp;Col=6","=G124*5")</f>
      </c>
      <c r="H164" t="s" s="1">
        <f>HYPERLINK("http://141.218.60.56/~jnz1568/discussion.php?&amp;Z=8&amp;N=6&amp;Sheet=2&amp;Row=163&amp;Col=7","2")</f>
      </c>
      <c r="I164" t="s" s="1">
        <f>HYPERLINK("http://141.218.60.56/~jnz1568/discussion.php?&amp;Z=8&amp;N=6&amp;Sheet=2&amp;Row=163&amp;Col=8","0.285")</f>
      </c>
      <c r="J164" t="s" s="1">
        <f>HYPERLINK("http://141.218.60.56/~jnz1568/discussion.php?&amp;Z=8&amp;N=6&amp;Sheet=2&amp;Row=163&amp;Col=9","3")</f>
      </c>
      <c r="K164" t="s" s="1">
        <f>HYPERLINK("http://141.218.60.56/~jnz1568/discussion.php?&amp;Z=8&amp;N=6&amp;Sheet=2&amp;Row=163&amp;Col=10","0.153")</f>
      </c>
      <c r="L164" t="s" s="1">
        <f>HYPERLINK("http://141.218.60.56/~jnz1568/discussion.php?&amp;Z=8&amp;N=6&amp;Sheet=2&amp;Row=163&amp;Col=11","3.69897000434")</f>
      </c>
      <c r="M164" t="s" s="1">
        <f>HYPERLINK("http://141.218.60.56/~jnz1568/discussion.php?&amp;Z=8&amp;N=6&amp;Sheet=2&amp;Row=163&amp;Col=12","0.11165177667")</f>
      </c>
    </row>
    <row r="165">
      <c r="A165" t="s">
        <v>1</v>
      </c>
      <c r="B165" t="s">
        <v>1</v>
      </c>
      <c r="C165" t="s">
        <v>1</v>
      </c>
      <c r="D165" t="s">
        <v>1</v>
      </c>
      <c r="E165" t="s">
        <v>23</v>
      </c>
      <c r="F165" t="s" s="1">
        <f>HYPERLINK("http://141.218.60.56/~jnz1568/discussion.php?&amp;Z=8&amp;N=6&amp;Sheet=2&amp;Row=164&amp;Col=5","3.7")</f>
      </c>
      <c r="G165" t="s" s="1">
        <f>HYPERLINK("http://141.218.60.56/~jnz1568/discussion.php?&amp;Z=8&amp;N=6&amp;Sheet=2&amp;Row=164&amp;Col=6","=")</f>
      </c>
      <c r="H165" t="s" s="1">
        <f>HYPERLINK("http://141.218.60.56/~jnz1568/discussion.php?&amp;Z=8&amp;N=6&amp;Sheet=2&amp;Row=164&amp;Col=7","2.69897000434")</f>
      </c>
      <c r="I165" t="s" s="1">
        <f>HYPERLINK("http://141.218.60.56/~jnz1568/discussion.php?&amp;Z=8&amp;N=6&amp;Sheet=2&amp;Row=164&amp;Col=8","0.2587")</f>
      </c>
      <c r="J165" t="s" s="1">
        <f>HYPERLINK("http://141.218.60.56/~jnz1568/discussion.php?&amp;Z=8&amp;N=6&amp;Sheet=2&amp;Row=164&amp;Col=9","3.2")</f>
      </c>
      <c r="K165" t="s" s="1">
        <f>HYPERLINK("http://141.218.60.56/~jnz1568/discussion.php?&amp;Z=8&amp;N=6&amp;Sheet=2&amp;Row=164&amp;Col=10","0.152111111111")</f>
      </c>
      <c r="L165" t="s" s="1">
        <f>HYPERLINK("http://141.218.60.56/~jnz1568/discussion.php?&amp;Z=8&amp;N=6&amp;Sheet=2&amp;Row=164&amp;Col=11","3.77815125038")</f>
      </c>
      <c r="M165" t="s" s="1">
        <f>HYPERLINK("http://141.218.60.56/~jnz1568/discussion.php?&amp;Z=8&amp;N=6&amp;Sheet=2&amp;Row=164&amp;Col=12","0.11784383018")</f>
      </c>
    </row>
    <row r="166">
      <c r="A166" t="s">
        <v>1</v>
      </c>
      <c r="B166" t="s">
        <v>1</v>
      </c>
      <c r="C166" t="s">
        <v>1</v>
      </c>
      <c r="D166" t="s">
        <v>1</v>
      </c>
      <c r="E166" t="s">
        <v>20</v>
      </c>
      <c r="F166" t="s" s="1">
        <f>HYPERLINK("http://141.218.60.56/~jnz1568/discussion.php?&amp;Z=8&amp;N=6&amp;Sheet=2&amp;Row=165&amp;Col=5","3.88")</f>
      </c>
      <c r="G166" t="s" s="1">
        <f>HYPERLINK("http://141.218.60.56/~jnz1568/discussion.php?&amp;Z=8&amp;N=6&amp;Sheet=2&amp;Row=165&amp;Col=6","=")</f>
      </c>
      <c r="H166" t="s" s="1">
        <f>HYPERLINK("http://141.218.60.56/~jnz1568/discussion.php?&amp;Z=8&amp;N=6&amp;Sheet=2&amp;Row=165&amp;Col=7","3")</f>
      </c>
      <c r="I166" t="s" s="1">
        <f>HYPERLINK("http://141.218.60.56/~jnz1568/discussion.php?&amp;Z=8&amp;N=6&amp;Sheet=2&amp;Row=165&amp;Col=8","0.2421")</f>
      </c>
      <c r="J166" t="s" s="1">
        <f>HYPERLINK("http://141.218.60.56/~jnz1568/discussion.php?&amp;Z=8&amp;N=6&amp;Sheet=2&amp;Row=165&amp;Col=9","3.4")</f>
      </c>
      <c r="K166" t="s" s="1">
        <f>HYPERLINK("http://141.218.60.56/~jnz1568/discussion.php?&amp;Z=8&amp;N=6&amp;Sheet=2&amp;Row=165&amp;Col=10","0.150722222222")</f>
      </c>
      <c r="L166" t="s" s="1">
        <f>HYPERLINK("http://141.218.60.56/~jnz1568/discussion.php?&amp;Z=8&amp;N=6&amp;Sheet=2&amp;Row=165&amp;Col=11","3.84509804001")</f>
      </c>
      <c r="M166" t="s" s="1">
        <f>HYPERLINK("http://141.218.60.56/~jnz1568/discussion.php?&amp;Z=8&amp;N=6&amp;Sheet=2&amp;Row=165&amp;Col=12","0.124316126029")</f>
      </c>
    </row>
    <row r="167">
      <c r="A167" t="s">
        <v>1</v>
      </c>
      <c r="B167" t="s">
        <v>1</v>
      </c>
      <c r="C167" t="s">
        <v>1</v>
      </c>
      <c r="D167" t="s">
        <v>1</v>
      </c>
      <c r="E167" t="s">
        <v>28</v>
      </c>
      <c r="F167" t="s" s="1">
        <f>HYPERLINK("http://141.218.60.56/~jnz1568/discussion.php?&amp;Z=8&amp;N=6&amp;Sheet=2&amp;Row=166&amp;Col=5","4")</f>
      </c>
      <c r="G167" t="s" s="1">
        <f>HYPERLINK("http://141.218.60.56/~jnz1568/discussion.php?&amp;Z=8&amp;N=6&amp;Sheet=2&amp;Row=166&amp;Col=6","=")</f>
      </c>
      <c r="H167" t="s" s="1">
        <f>HYPERLINK("http://141.218.60.56/~jnz1568/discussion.php?&amp;Z=8&amp;N=6&amp;Sheet=2&amp;Row=166&amp;Col=7","3.69897000434")</f>
      </c>
      <c r="I167" t="s" s="1">
        <f>HYPERLINK("http://141.218.60.56/~jnz1568/discussion.php?&amp;Z=8&amp;N=6&amp;Sheet=2&amp;Row=166&amp;Col=8","0.2045")</f>
      </c>
      <c r="J167" t="s" s="1">
        <f>HYPERLINK("http://141.218.60.56/~jnz1568/discussion.php?&amp;Z=8&amp;N=6&amp;Sheet=2&amp;Row=166&amp;Col=9","3.6")</f>
      </c>
      <c r="K167" t="s" s="1">
        <f>HYPERLINK("http://141.218.60.56/~jnz1568/discussion.php?&amp;Z=8&amp;N=6&amp;Sheet=2&amp;Row=166&amp;Col=10","0.149611111111")</f>
      </c>
      <c r="L167" t="s" s="1">
        <f>HYPERLINK("http://141.218.60.56/~jnz1568/discussion.php?&amp;Z=8&amp;N=6&amp;Sheet=2&amp;Row=166&amp;Col=11","3.90308998699")</f>
      </c>
      <c r="M167" t="s" s="1">
        <f>HYPERLINK("http://141.218.60.56/~jnz1568/discussion.php?&amp;Z=8&amp;N=6&amp;Sheet=2&amp;Row=166&amp;Col=12","0.130567936904")</f>
      </c>
    </row>
    <row r="168">
      <c r="A168" t="s">
        <v>1</v>
      </c>
      <c r="B168" t="s">
        <v>1</v>
      </c>
      <c r="C168" t="s">
        <v>1</v>
      </c>
      <c r="D168" t="s">
        <v>1</v>
      </c>
      <c r="E168" t="s">
        <v>33</v>
      </c>
      <c r="F168" t="s" s="1">
        <f>HYPERLINK("http://141.218.60.56/~jnz1568/discussion.php?&amp;Z=8&amp;N=6&amp;Sheet=2&amp;Row=167&amp;Col=5","4.1")</f>
      </c>
      <c r="G168" t="s" s="1">
        <f>HYPERLINK("http://141.218.60.56/~jnz1568/discussion.php?&amp;Z=8&amp;N=6&amp;Sheet=2&amp;Row=167&amp;Col=6","=")</f>
      </c>
      <c r="H168" t="s" s="1">
        <f>HYPERLINK("http://141.218.60.56/~jnz1568/discussion.php?&amp;Z=8&amp;N=6&amp;Sheet=2&amp;Row=167&amp;Col=7","4")</f>
      </c>
      <c r="I168" t="s" s="1">
        <f>HYPERLINK("http://141.218.60.56/~jnz1568/discussion.php?&amp;Z=8&amp;N=6&amp;Sheet=2&amp;Row=167&amp;Col=8","0.2046")</f>
      </c>
      <c r="J168" t="s" s="1">
        <f>HYPERLINK("http://141.218.60.56/~jnz1568/discussion.php?&amp;Z=8&amp;N=6&amp;Sheet=2&amp;Row=167&amp;Col=9","3.8")</f>
      </c>
      <c r="K168" t="s" s="1">
        <f>HYPERLINK("http://141.218.60.56/~jnz1568/discussion.php?&amp;Z=8&amp;N=6&amp;Sheet=2&amp;Row=167&amp;Col=10","0.152611111111")</f>
      </c>
      <c r="L168" t="s" s="1">
        <f>HYPERLINK("http://141.218.60.56/~jnz1568/discussion.php?&amp;Z=8&amp;N=6&amp;Sheet=2&amp;Row=167&amp;Col=11","3.95424250944")</f>
      </c>
      <c r="M168" t="s" s="1">
        <f>HYPERLINK("http://141.218.60.56/~jnz1568/discussion.php?&amp;Z=8&amp;N=6&amp;Sheet=2&amp;Row=167&amp;Col=12","0.136372642958")</f>
      </c>
    </row>
    <row r="169">
      <c r="A169" t="s">
        <v>1</v>
      </c>
      <c r="B169" t="s">
        <v>1</v>
      </c>
      <c r="C169" t="s">
        <v>1</v>
      </c>
      <c r="D169" t="s">
        <v>1</v>
      </c>
      <c r="E169" t="s">
        <v>16</v>
      </c>
      <c r="F169" t="s" s="1">
        <f>HYPERLINK("http://141.218.60.56/~jnz1568/discussion.php?&amp;Z=8&amp;N=6&amp;Sheet=2&amp;Row=168&amp;Col=5","4.18")</f>
      </c>
      <c r="G169" t="s" s="1">
        <f>HYPERLINK("http://141.218.60.56/~jnz1568/discussion.php?&amp;Z=8&amp;N=6&amp;Sheet=2&amp;Row=168&amp;Col=6","=")</f>
      </c>
      <c r="H169" t="s" s="1">
        <f>HYPERLINK("http://141.218.60.56/~jnz1568/discussion.php?&amp;Z=8&amp;N=6&amp;Sheet=2&amp;Row=168&amp;Col=7","4.30102999566")</f>
      </c>
      <c r="I169" t="s" s="1">
        <f>HYPERLINK("http://141.218.60.56/~jnz1568/discussion.php?&amp;Z=8&amp;N=6&amp;Sheet=2&amp;Row=168&amp;Col=8","0.217")</f>
      </c>
      <c r="J169" t="s" s="1">
        <f>HYPERLINK("http://141.218.60.56/~jnz1568/discussion.php?&amp;Z=8&amp;N=6&amp;Sheet=2&amp;Row=168&amp;Col=9","4")</f>
      </c>
      <c r="K169" t="s" s="1">
        <f>HYPERLINK("http://141.218.60.56/~jnz1568/discussion.php?&amp;Z=8&amp;N=6&amp;Sheet=2&amp;Row=168&amp;Col=10","0.1625")</f>
      </c>
      <c r="L169" t="s" s="1">
        <f>HYPERLINK("http://141.218.60.56/~jnz1568/discussion.php?&amp;Z=8&amp;N=6&amp;Sheet=2&amp;Row=168&amp;Col=11","4")</f>
      </c>
      <c r="M169" t="s" s="1">
        <f>HYPERLINK("http://141.218.60.56/~jnz1568/discussion.php?&amp;Z=8&amp;N=6&amp;Sheet=2&amp;Row=168&amp;Col=12","0.14165212264")</f>
      </c>
    </row>
    <row r="170">
      <c r="A170" t="s">
        <v>1</v>
      </c>
      <c r="B170" t="s">
        <v>1</v>
      </c>
      <c r="C170" t="s">
        <v>1</v>
      </c>
      <c r="D170" t="s">
        <v>1</v>
      </c>
      <c r="E170" t="s">
        <v>43</v>
      </c>
      <c r="F170" t="s" s="1">
        <f>HYPERLINK("http://141.218.60.56/~jnz1568/discussion.php?&amp;Z=8&amp;N=6&amp;Sheet=2&amp;Row=169&amp;Col=5","4.24")</f>
      </c>
      <c r="G170" t="s" s="1">
        <f>HYPERLINK("http://141.218.60.56/~jnz1568/discussion.php?&amp;Z=8&amp;N=6&amp;Sheet=2&amp;Row=169&amp;Col=6","=")</f>
      </c>
      <c r="H170" t="s" s="1">
        <f>HYPERLINK("http://141.218.60.56/~jnz1568/discussion.php?&amp;Z=8&amp;N=6&amp;Sheet=2&amp;Row=169&amp;Col=7","4.47712125472")</f>
      </c>
      <c r="I170" t="s" s="1">
        <f>HYPERLINK("http://141.218.60.56/~jnz1568/discussion.php?&amp;Z=8&amp;N=6&amp;Sheet=2&amp;Row=169&amp;Col=8","0.2235")</f>
      </c>
      <c r="J170" t="s" s="1">
        <f>HYPERLINK("http://141.218.60.56/~jnz1568/discussion.php?&amp;Z=8&amp;N=6&amp;Sheet=2&amp;Row=169&amp;Col=9","4.2")</f>
      </c>
      <c r="K170" t="s" s="1">
        <f>HYPERLINK("http://141.218.60.56/~jnz1568/discussion.php?&amp;Z=8&amp;N=6&amp;Sheet=2&amp;Row=169&amp;Col=10","0.176333333333")</f>
      </c>
      <c r="L170" t="s" s="1">
        <f>HYPERLINK("http://141.218.60.56/~jnz1568/discussion.php?&amp;Z=8&amp;N=6&amp;Sheet=2&amp;Row=169&amp;Col=11","4.04139268516")</f>
      </c>
      <c r="M170" t="s" s="1">
        <f>HYPERLINK("http://141.218.60.56/~jnz1568/discussion.php?&amp;Z=8&amp;N=6&amp;Sheet=2&amp;Row=169&amp;Col=12","0.14640336661")</f>
      </c>
    </row>
    <row r="171">
      <c r="A171" t="s">
        <v>1</v>
      </c>
      <c r="B171" t="s">
        <v>1</v>
      </c>
      <c r="C171" t="s">
        <v>1</v>
      </c>
      <c r="D171" t="s">
        <v>1</v>
      </c>
      <c r="E171" t="s">
        <v>15</v>
      </c>
      <c r="F171" t="s" s="1">
        <f>HYPERLINK("http://141.218.60.56/~jnz1568/discussion.php?&amp;Z=8&amp;N=6&amp;Sheet=2&amp;Row=170&amp;Col=5","4.3")</f>
      </c>
      <c r="G171" t="s" s="1">
        <f>HYPERLINK("http://141.218.60.56/~jnz1568/discussion.php?&amp;Z=8&amp;N=6&amp;Sheet=2&amp;Row=170&amp;Col=6","=")</f>
      </c>
      <c r="H171" t="s" s="1">
        <f>HYPERLINK("http://141.218.60.56/~jnz1568/discussion.php?&amp;Z=8&amp;N=6&amp;Sheet=2&amp;Row=170&amp;Col=7","")</f>
      </c>
      <c r="I171" t="s" s="1">
        <f>HYPERLINK("http://141.218.60.56/~jnz1568/discussion.php?&amp;Z=8&amp;N=6&amp;Sheet=2&amp;Row=170&amp;Col=8","")</f>
      </c>
      <c r="J171" t="s" s="1">
        <f>HYPERLINK("http://141.218.60.56/~jnz1568/discussion.php?&amp;Z=8&amp;N=6&amp;Sheet=2&amp;Row=170&amp;Col=9","4.4")</f>
      </c>
      <c r="K171" t="s" s="1">
        <f>HYPERLINK("http://141.218.60.56/~jnz1568/discussion.php?&amp;Z=8&amp;N=6&amp;Sheet=2&amp;Row=170&amp;Col=10","0.189166666667")</f>
      </c>
      <c r="L171" t="s" s="1">
        <f>HYPERLINK("http://141.218.60.56/~jnz1568/discussion.php?&amp;Z=8&amp;N=6&amp;Sheet=2&amp;Row=170&amp;Col=11","4.07918124605")</f>
      </c>
      <c r="M171" t="s" s="1">
        <f>HYPERLINK("http://141.218.60.56/~jnz1568/discussion.php?&amp;Z=8&amp;N=6&amp;Sheet=2&amp;Row=170&amp;Col=12","0.15065854803")</f>
      </c>
    </row>
    <row r="172">
      <c r="A172" t="s">
        <v>1</v>
      </c>
      <c r="B172" t="s">
        <v>1</v>
      </c>
      <c r="C172" t="s">
        <v>1</v>
      </c>
      <c r="D172" t="s">
        <v>1</v>
      </c>
      <c r="E172" t="s">
        <v>50</v>
      </c>
      <c r="F172" t="s" s="1">
        <f>HYPERLINK("http://141.218.60.56/~jnz1568/discussion.php?&amp;Z=8&amp;N=6&amp;Sheet=2&amp;Row=171&amp;Col=5","4.4")</f>
      </c>
      <c r="G172" t="s" s="1">
        <f>HYPERLINK("http://141.218.60.56/~jnz1568/discussion.php?&amp;Z=8&amp;N=6&amp;Sheet=2&amp;Row=171&amp;Col=6","=")</f>
      </c>
      <c r="H172" t="s" s="1">
        <f>HYPERLINK("http://141.218.60.56/~jnz1568/discussion.php?&amp;Z=8&amp;N=6&amp;Sheet=2&amp;Row=171&amp;Col=7","")</f>
      </c>
      <c r="I172" t="s" s="1">
        <f>HYPERLINK("http://141.218.60.56/~jnz1568/discussion.php?&amp;Z=8&amp;N=6&amp;Sheet=2&amp;Row=171&amp;Col=8","")</f>
      </c>
      <c r="J172" t="s" s="1">
        <f>HYPERLINK("http://141.218.60.56/~jnz1568/discussion.php?&amp;Z=8&amp;N=6&amp;Sheet=2&amp;Row=171&amp;Col=9","4.6")</f>
      </c>
      <c r="K172" t="s" s="1">
        <f>HYPERLINK("http://141.218.60.56/~jnz1568/discussion.php?&amp;Z=8&amp;N=6&amp;Sheet=2&amp;Row=171&amp;Col=10","0.197944444444")</f>
      </c>
      <c r="L172" t="s" s="1">
        <f>HYPERLINK("http://141.218.60.56/~jnz1568/discussion.php?&amp;Z=8&amp;N=6&amp;Sheet=2&amp;Row=171&amp;Col=11","4.11394335231")</f>
      </c>
      <c r="M172" t="s" s="1">
        <f>HYPERLINK("http://141.218.60.56/~jnz1568/discussion.php?&amp;Z=8&amp;N=6&amp;Sheet=2&amp;Row=171&amp;Col=12","0.15446400527")</f>
      </c>
    </row>
    <row r="173">
      <c r="A173" t="s">
        <v>1</v>
      </c>
      <c r="B173" t="s">
        <v>1</v>
      </c>
      <c r="C173" t="s">
        <v>1</v>
      </c>
      <c r="D173" t="s">
        <v>1</v>
      </c>
      <c r="E173" t="s">
        <v>53</v>
      </c>
      <c r="F173" t="s" s="1">
        <f>HYPERLINK("http://141.218.60.56/~jnz1568/discussion.php?&amp;Z=8&amp;N=6&amp;Sheet=2&amp;Row=172&amp;Col=5","4.48")</f>
      </c>
      <c r="G173" t="s" s="1">
        <f>HYPERLINK("http://141.218.60.56/~jnz1568/discussion.php?&amp;Z=8&amp;N=6&amp;Sheet=2&amp;Row=172&amp;Col=6","=")</f>
      </c>
      <c r="H173" t="s" s="1">
        <f>HYPERLINK("http://141.218.60.56/~jnz1568/discussion.php?&amp;Z=8&amp;N=6&amp;Sheet=2&amp;Row=172&amp;Col=7","")</f>
      </c>
      <c r="I173" t="s" s="1">
        <f>HYPERLINK("http://141.218.60.56/~jnz1568/discussion.php?&amp;Z=8&amp;N=6&amp;Sheet=2&amp;Row=172&amp;Col=8","")</f>
      </c>
      <c r="J173" t="s" s="1">
        <f>HYPERLINK("http://141.218.60.56/~jnz1568/discussion.php?&amp;Z=8&amp;N=6&amp;Sheet=2&amp;Row=172&amp;Col=9","4.8")</f>
      </c>
      <c r="K173" t="s" s="1">
        <f>HYPERLINK("http://141.218.60.56/~jnz1568/discussion.php?&amp;Z=8&amp;N=6&amp;Sheet=2&amp;Row=172&amp;Col=10","0.201166666667")</f>
      </c>
      <c r="L173" t="s" s="1">
        <f>HYPERLINK("http://141.218.60.56/~jnz1568/discussion.php?&amp;Z=8&amp;N=6&amp;Sheet=2&amp;Row=172&amp;Col=11","4.14612803568")</f>
      </c>
      <c r="M173" t="s" s="1">
        <f>HYPERLINK("http://141.218.60.56/~jnz1568/discussion.php?&amp;Z=8&amp;N=6&amp;Sheet=2&amp;Row=172&amp;Col=12","0.15786950077")</f>
      </c>
    </row>
    <row r="174">
      <c r="A174" t="s">
        <v>1</v>
      </c>
      <c r="B174" t="s">
        <v>1</v>
      </c>
      <c r="C174" t="s">
        <v>1</v>
      </c>
      <c r="D174" t="s">
        <v>1</v>
      </c>
      <c r="E174" t="s">
        <v>58</v>
      </c>
      <c r="F174" t="s" s="1">
        <f>HYPERLINK("http://141.218.60.56/~jnz1568/discussion.php?&amp;Z=8&amp;N=6&amp;Sheet=2&amp;Row=173&amp;Col=5","4.6")</f>
      </c>
      <c r="G174" t="s" s="1">
        <f>HYPERLINK("http://141.218.60.56/~jnz1568/discussion.php?&amp;Z=8&amp;N=6&amp;Sheet=2&amp;Row=173&amp;Col=6","=")</f>
      </c>
      <c r="H174" t="s" s="1">
        <f>HYPERLINK("http://141.218.60.56/~jnz1568/discussion.php?&amp;Z=8&amp;N=6&amp;Sheet=2&amp;Row=173&amp;Col=7","")</f>
      </c>
      <c r="I174" t="s" s="1">
        <f>HYPERLINK("http://141.218.60.56/~jnz1568/discussion.php?&amp;Z=8&amp;N=6&amp;Sheet=2&amp;Row=173&amp;Col=8","")</f>
      </c>
      <c r="J174" t="s" s="1">
        <f>HYPERLINK("http://141.218.60.56/~jnz1568/discussion.php?&amp;Z=8&amp;N=6&amp;Sheet=2&amp;Row=173&amp;Col=9","5")</f>
      </c>
      <c r="K174" t="s" s="1">
        <f>HYPERLINK("http://141.218.60.56/~jnz1568/discussion.php?&amp;Z=8&amp;N=6&amp;Sheet=2&amp;Row=173&amp;Col=10","0.198388888889")</f>
      </c>
      <c r="L174" t="s" s="1">
        <f>HYPERLINK("http://141.218.60.56/~jnz1568/discussion.php?&amp;Z=8&amp;N=6&amp;Sheet=2&amp;Row=173&amp;Col=11","4.17609125906")</f>
      </c>
      <c r="M174" t="s" s="1">
        <f>HYPERLINK("http://141.218.60.56/~jnz1568/discussion.php?&amp;Z=8&amp;N=6&amp;Sheet=2&amp;Row=173&amp;Col=12","0.16092298636")</f>
      </c>
    </row>
    <row r="175">
      <c r="A175" t="s">
        <v>1</v>
      </c>
      <c r="B175" t="s">
        <v>1</v>
      </c>
      <c r="C175" t="s">
        <v>1</v>
      </c>
      <c r="D175" t="s">
        <v>1</v>
      </c>
      <c r="E175" t="s">
        <v>61</v>
      </c>
      <c r="F175" t="s" s="1">
        <f>HYPERLINK("http://141.218.60.56/~jnz1568/discussion.php?&amp;Z=8&amp;N=6&amp;Sheet=2&amp;Row=174&amp;Col=5","4.7")</f>
      </c>
      <c r="G175" t="s" s="1">
        <f>HYPERLINK("http://141.218.60.56/~jnz1568/discussion.php?&amp;Z=8&amp;N=6&amp;Sheet=2&amp;Row=174&amp;Col=6","=")</f>
      </c>
      <c r="H175" t="s" s="1">
        <f>HYPERLINK("http://141.218.60.56/~jnz1568/discussion.php?&amp;Z=8&amp;N=6&amp;Sheet=2&amp;Row=174&amp;Col=7","")</f>
      </c>
      <c r="I175" t="s" s="1">
        <f>HYPERLINK("http://141.218.60.56/~jnz1568/discussion.php?&amp;Z=8&amp;N=6&amp;Sheet=2&amp;Row=174&amp;Col=8","")</f>
      </c>
      <c r="J175" t="s" s="1">
        <f>HYPERLINK("http://141.218.60.56/~jnz1568/discussion.php?&amp;Z=8&amp;N=6&amp;Sheet=2&amp;Row=174&amp;Col=9","")</f>
      </c>
      <c r="K175" t="s" s="1">
        <f>HYPERLINK("http://141.218.60.56/~jnz1568/discussion.php?&amp;Z=8&amp;N=6&amp;Sheet=2&amp;Row=174&amp;Col=10","")</f>
      </c>
      <c r="L175" t="s" s="1">
        <f>HYPERLINK("http://141.218.60.56/~jnz1568/discussion.php?&amp;Z=8&amp;N=6&amp;Sheet=2&amp;Row=174&amp;Col=11","4.20411998266")</f>
      </c>
      <c r="M175" t="s" s="1">
        <f>HYPERLINK("http://141.218.60.56/~jnz1568/discussion.php?&amp;Z=8&amp;N=6&amp;Sheet=2&amp;Row=174&amp;Col=12","0.16366829178")</f>
      </c>
    </row>
    <row r="176">
      <c r="A176" t="s">
        <v>1</v>
      </c>
      <c r="B176" t="s">
        <v>1</v>
      </c>
      <c r="C176" t="s">
        <v>1</v>
      </c>
      <c r="D176" t="s">
        <v>1</v>
      </c>
      <c r="E176" t="s">
        <v>64</v>
      </c>
      <c r="F176" t="s" s="1">
        <f>HYPERLINK("http://141.218.60.56/~jnz1568/discussion.php?&amp;Z=8&amp;N=6&amp;Sheet=2&amp;Row=175&amp;Col=5","4.78")</f>
      </c>
      <c r="G176" t="s" s="1">
        <f>HYPERLINK("http://141.218.60.56/~jnz1568/discussion.php?&amp;Z=8&amp;N=6&amp;Sheet=2&amp;Row=175&amp;Col=6","=")</f>
      </c>
      <c r="H176" t="s" s="1">
        <f>HYPERLINK("http://141.218.60.56/~jnz1568/discussion.php?&amp;Z=8&amp;N=6&amp;Sheet=2&amp;Row=175&amp;Col=7","")</f>
      </c>
      <c r="I176" t="s" s="1">
        <f>HYPERLINK("http://141.218.60.56/~jnz1568/discussion.php?&amp;Z=8&amp;N=6&amp;Sheet=2&amp;Row=175&amp;Col=8","")</f>
      </c>
      <c r="J176" t="s" s="1">
        <f>HYPERLINK("http://141.218.60.56/~jnz1568/discussion.php?&amp;Z=8&amp;N=6&amp;Sheet=2&amp;Row=175&amp;Col=9","")</f>
      </c>
      <c r="K176" t="s" s="1">
        <f>HYPERLINK("http://141.218.60.56/~jnz1568/discussion.php?&amp;Z=8&amp;N=6&amp;Sheet=2&amp;Row=175&amp;Col=10","")</f>
      </c>
      <c r="L176" t="s" s="1">
        <f>HYPERLINK("http://141.218.60.56/~jnz1568/discussion.php?&amp;Z=8&amp;N=6&amp;Sheet=2&amp;Row=175&amp;Col=11","4.23044892138")</f>
      </c>
      <c r="M176" t="s" s="1">
        <f>HYPERLINK("http://141.218.60.56/~jnz1568/discussion.php?&amp;Z=8&amp;N=6&amp;Sheet=2&amp;Row=175&amp;Col=12","0.166144339897")</f>
      </c>
    </row>
    <row r="177">
      <c r="A177" t="s">
        <v>1</v>
      </c>
      <c r="B177" t="s">
        <v>1</v>
      </c>
      <c r="C177" t="s">
        <v>1</v>
      </c>
      <c r="D177" t="s">
        <v>1</v>
      </c>
      <c r="E177" t="s">
        <v>69</v>
      </c>
      <c r="F177" t="s" s="1">
        <f>HYPERLINK("http://141.218.60.56/~jnz1568/discussion.php?&amp;Z=8&amp;N=6&amp;Sheet=2&amp;Row=176&amp;Col=5","4.9")</f>
      </c>
      <c r="G177" t="s" s="1">
        <f>HYPERLINK("http://141.218.60.56/~jnz1568/discussion.php?&amp;Z=8&amp;N=6&amp;Sheet=2&amp;Row=176&amp;Col=6","=")</f>
      </c>
      <c r="H177" t="s" s="1">
        <f>HYPERLINK("http://141.218.60.56/~jnz1568/discussion.php?&amp;Z=8&amp;N=6&amp;Sheet=2&amp;Row=176&amp;Col=7","")</f>
      </c>
      <c r="I177" t="s" s="1">
        <f>HYPERLINK("http://141.218.60.56/~jnz1568/discussion.php?&amp;Z=8&amp;N=6&amp;Sheet=2&amp;Row=176&amp;Col=8","")</f>
      </c>
      <c r="J177" t="s" s="1">
        <f>HYPERLINK("http://141.218.60.56/~jnz1568/discussion.php?&amp;Z=8&amp;N=6&amp;Sheet=2&amp;Row=176&amp;Col=9","")</f>
      </c>
      <c r="K177" t="s" s="1">
        <f>HYPERLINK("http://141.218.60.56/~jnz1568/discussion.php?&amp;Z=8&amp;N=6&amp;Sheet=2&amp;Row=176&amp;Col=10","")</f>
      </c>
      <c r="L177" t="s" s="1">
        <f>HYPERLINK("http://141.218.60.56/~jnz1568/discussion.php?&amp;Z=8&amp;N=6&amp;Sheet=2&amp;Row=176&amp;Col=11","4.2552725051")</f>
      </c>
      <c r="M177" t="s" s="1">
        <f>HYPERLINK("http://141.218.60.56/~jnz1568/discussion.php?&amp;Z=8&amp;N=6&amp;Sheet=2&amp;Row=176&amp;Col=12","0.168385133184")</f>
      </c>
    </row>
    <row r="178">
      <c r="A178" t="s">
        <v>1</v>
      </c>
      <c r="B178" t="s">
        <v>1</v>
      </c>
      <c r="C178" t="s">
        <v>1</v>
      </c>
      <c r="D178" t="s">
        <v>1</v>
      </c>
      <c r="E178" t="s">
        <v>74</v>
      </c>
      <c r="F178" t="s" s="1">
        <f>HYPERLINK("http://141.218.60.56/~jnz1568/discussion.php?&amp;Z=8&amp;N=6&amp;Sheet=2&amp;Row=177&amp;Col=5","5")</f>
      </c>
      <c r="G178" t="s" s="1">
        <f>HYPERLINK("http://141.218.60.56/~jnz1568/discussion.php?&amp;Z=8&amp;N=6&amp;Sheet=2&amp;Row=177&amp;Col=6","=")</f>
      </c>
      <c r="H178" t="s" s="1">
        <f>HYPERLINK("http://141.218.60.56/~jnz1568/discussion.php?&amp;Z=8&amp;N=6&amp;Sheet=2&amp;Row=177&amp;Col=7","")</f>
      </c>
      <c r="I178" t="s" s="1">
        <f>HYPERLINK("http://141.218.60.56/~jnz1568/discussion.php?&amp;Z=8&amp;N=6&amp;Sheet=2&amp;Row=177&amp;Col=8","")</f>
      </c>
      <c r="J178" t="s" s="1">
        <f>HYPERLINK("http://141.218.60.56/~jnz1568/discussion.php?&amp;Z=8&amp;N=6&amp;Sheet=2&amp;Row=177&amp;Col=9","")</f>
      </c>
      <c r="K178" t="s" s="1">
        <f>HYPERLINK("http://141.218.60.56/~jnz1568/discussion.php?&amp;Z=8&amp;N=6&amp;Sheet=2&amp;Row=177&amp;Col=10","")</f>
      </c>
      <c r="L178" t="s" s="1">
        <f>HYPERLINK("http://141.218.60.56/~jnz1568/discussion.php?&amp;Z=8&amp;N=6&amp;Sheet=2&amp;Row=177&amp;Col=11","4.27875360095")</f>
      </c>
      <c r="M178" t="s" s="1">
        <f>HYPERLINK("http://141.218.60.56/~jnz1568/discussion.php?&amp;Z=8&amp;N=6&amp;Sheet=2&amp;Row=177&amp;Col=12","0.170420103191")</f>
      </c>
    </row>
    <row r="179">
      <c r="A179" t="s">
        <v>1</v>
      </c>
      <c r="B179" t="s">
        <v>1</v>
      </c>
      <c r="C179" t="s">
        <v>1</v>
      </c>
      <c r="D179" t="s">
        <v>1</v>
      </c>
      <c r="E179" t="s">
        <v>79</v>
      </c>
      <c r="F179" t="s" s="1">
        <f>HYPERLINK("http://141.218.60.56/~jnz1568/discussion.php?&amp;Z=8&amp;N=6&amp;Sheet=2&amp;Row=178&amp;Col=5","5.08")</f>
      </c>
      <c r="G179" t="s" s="1">
        <f>HYPERLINK("http://141.218.60.56/~jnz1568/discussion.php?&amp;Z=8&amp;N=6&amp;Sheet=2&amp;Row=178&amp;Col=6","=")</f>
      </c>
      <c r="H179" t="s" s="1">
        <f>HYPERLINK("http://141.218.60.56/~jnz1568/discussion.php?&amp;Z=8&amp;N=6&amp;Sheet=2&amp;Row=178&amp;Col=7","")</f>
      </c>
      <c r="I179" t="s" s="1">
        <f>HYPERLINK("http://141.218.60.56/~jnz1568/discussion.php?&amp;Z=8&amp;N=6&amp;Sheet=2&amp;Row=178&amp;Col=8","")</f>
      </c>
      <c r="J179" t="s" s="1">
        <f>HYPERLINK("http://141.218.60.56/~jnz1568/discussion.php?&amp;Z=8&amp;N=6&amp;Sheet=2&amp;Row=178&amp;Col=9","")</f>
      </c>
      <c r="K179" t="s" s="1">
        <f>HYPERLINK("http://141.218.60.56/~jnz1568/discussion.php?&amp;Z=8&amp;N=6&amp;Sheet=2&amp;Row=178&amp;Col=10","")</f>
      </c>
      <c r="L179" t="s" s="1">
        <f>HYPERLINK("http://141.218.60.56/~jnz1568/discussion.php?&amp;Z=8&amp;N=6&amp;Sheet=2&amp;Row=178&amp;Col=11","4.30102999566")</f>
      </c>
      <c r="M179" t="s" s="1">
        <f>HYPERLINK("http://141.218.60.56/~jnz1568/discussion.php?&amp;Z=8&amp;N=6&amp;Sheet=2&amp;Row=178&amp;Col=12","0.172274605248")</f>
      </c>
    </row>
    <row r="180">
      <c r="A180" t="s">
        <v>1</v>
      </c>
      <c r="B180" t="s">
        <v>1</v>
      </c>
      <c r="C180" t="s">
        <v>1</v>
      </c>
      <c r="D180" t="s">
        <v>1</v>
      </c>
      <c r="E180" t="s">
        <v>84</v>
      </c>
      <c r="F180" t="s" s="1">
        <f>HYPERLINK("http://141.218.60.56/~jnz1568/discussion.php?&amp;Z=8&amp;N=6&amp;Sheet=2&amp;Row=179&amp;Col=5","5.15")</f>
      </c>
      <c r="G180" t="s" s="1">
        <f>HYPERLINK("http://141.218.60.56/~jnz1568/discussion.php?&amp;Z=8&amp;N=6&amp;Sheet=2&amp;Row=179&amp;Col=6","=")</f>
      </c>
      <c r="H180" t="s" s="1">
        <f>HYPERLINK("http://141.218.60.56/~jnz1568/discussion.php?&amp;Z=8&amp;N=6&amp;Sheet=2&amp;Row=179&amp;Col=7","")</f>
      </c>
      <c r="I180" t="s" s="1">
        <f>HYPERLINK("http://141.218.60.56/~jnz1568/discussion.php?&amp;Z=8&amp;N=6&amp;Sheet=2&amp;Row=179&amp;Col=8","")</f>
      </c>
      <c r="J180" t="s" s="1">
        <f>HYPERLINK("http://141.218.60.56/~jnz1568/discussion.php?&amp;Z=8&amp;N=6&amp;Sheet=2&amp;Row=179&amp;Col=9","")</f>
      </c>
      <c r="K180" t="s" s="1">
        <f>HYPERLINK("http://141.218.60.56/~jnz1568/discussion.php?&amp;Z=8&amp;N=6&amp;Sheet=2&amp;Row=179&amp;Col=10","")</f>
      </c>
      <c r="L180" t="s" s="1">
        <f>HYPERLINK("http://141.218.60.56/~jnz1568/discussion.php?&amp;Z=8&amp;N=6&amp;Sheet=2&amp;Row=179&amp;Col=11","")</f>
      </c>
      <c r="M180" t="s" s="1">
        <f>HYPERLINK("http://141.218.60.56/~jnz1568/discussion.php?&amp;Z=8&amp;N=6&amp;Sheet=2&amp;Row=179&amp;Col=12","")</f>
      </c>
    </row>
    <row r="181">
      <c r="A181" t="s">
        <v>1</v>
      </c>
      <c r="B181" t="s">
        <v>1</v>
      </c>
      <c r="C181" t="s">
        <v>1</v>
      </c>
      <c r="D181" t="s">
        <v>1</v>
      </c>
      <c r="E181" t="s">
        <v>87</v>
      </c>
      <c r="F181" t="s" s="1">
        <f>HYPERLINK("http://141.218.60.56/~jnz1568/discussion.php?&amp;Z=8&amp;N=6&amp;Sheet=2&amp;Row=180&amp;Col=5","5.2")</f>
      </c>
      <c r="G181" t="s" s="1">
        <f>HYPERLINK("http://141.218.60.56/~jnz1568/discussion.php?&amp;Z=8&amp;N=6&amp;Sheet=2&amp;Row=180&amp;Col=6","=")</f>
      </c>
      <c r="H181" t="s" s="1">
        <f>HYPERLINK("http://141.218.60.56/~jnz1568/discussion.php?&amp;Z=8&amp;N=6&amp;Sheet=2&amp;Row=180&amp;Col=7","")</f>
      </c>
      <c r="I181" t="s" s="1">
        <f>HYPERLINK("http://141.218.60.56/~jnz1568/discussion.php?&amp;Z=8&amp;N=6&amp;Sheet=2&amp;Row=180&amp;Col=8","")</f>
      </c>
      <c r="J181" t="s" s="1">
        <f>HYPERLINK("http://141.218.60.56/~jnz1568/discussion.php?&amp;Z=8&amp;N=6&amp;Sheet=2&amp;Row=180&amp;Col=9","")</f>
      </c>
      <c r="K181" t="s" s="1">
        <f>HYPERLINK("http://141.218.60.56/~jnz1568/discussion.php?&amp;Z=8&amp;N=6&amp;Sheet=2&amp;Row=180&amp;Col=10","")</f>
      </c>
      <c r="L181" t="s" s="1">
        <f>HYPERLINK("http://141.218.60.56/~jnz1568/discussion.php?&amp;Z=8&amp;N=6&amp;Sheet=2&amp;Row=180&amp;Col=11","")</f>
      </c>
      <c r="M181" t="s" s="1">
        <f>HYPERLINK("http://141.218.60.56/~jnz1568/discussion.php?&amp;Z=8&amp;N=6&amp;Sheet=2&amp;Row=180&amp;Col=12","")</f>
      </c>
    </row>
    <row r="182">
      <c r="A182" t="s">
        <v>1</v>
      </c>
      <c r="B182" t="s">
        <v>1</v>
      </c>
      <c r="C182" t="s">
        <v>1</v>
      </c>
      <c r="D182" t="s">
        <v>1</v>
      </c>
      <c r="E182" t="s">
        <v>90</v>
      </c>
      <c r="F182" t="s" s="1">
        <f>HYPERLINK("http://141.218.60.56/~jnz1568/discussion.php?&amp;Z=8&amp;N=6&amp;Sheet=2&amp;Row=181&amp;Col=5","5.26")</f>
      </c>
      <c r="G182" t="s" s="1">
        <f>HYPERLINK("http://141.218.60.56/~jnz1568/discussion.php?&amp;Z=8&amp;N=6&amp;Sheet=2&amp;Row=181&amp;Col=6","=")</f>
      </c>
      <c r="H182" t="s" s="1">
        <f>HYPERLINK("http://141.218.60.56/~jnz1568/discussion.php?&amp;Z=8&amp;N=6&amp;Sheet=2&amp;Row=181&amp;Col=7","")</f>
      </c>
      <c r="I182" t="s" s="1">
        <f>HYPERLINK("http://141.218.60.56/~jnz1568/discussion.php?&amp;Z=8&amp;N=6&amp;Sheet=2&amp;Row=181&amp;Col=8","")</f>
      </c>
      <c r="J182" t="s" s="1">
        <f>HYPERLINK("http://141.218.60.56/~jnz1568/discussion.php?&amp;Z=8&amp;N=6&amp;Sheet=2&amp;Row=181&amp;Col=9","")</f>
      </c>
      <c r="K182" t="s" s="1">
        <f>HYPERLINK("http://141.218.60.56/~jnz1568/discussion.php?&amp;Z=8&amp;N=6&amp;Sheet=2&amp;Row=181&amp;Col=10","")</f>
      </c>
      <c r="L182" t="s" s="1">
        <f>HYPERLINK("http://141.218.60.56/~jnz1568/discussion.php?&amp;Z=8&amp;N=6&amp;Sheet=2&amp;Row=181&amp;Col=11","")</f>
      </c>
      <c r="M182" t="s" s="1">
        <f>HYPERLINK("http://141.218.60.56/~jnz1568/discussion.php?&amp;Z=8&amp;N=6&amp;Sheet=2&amp;Row=181&amp;Col=12","")</f>
      </c>
    </row>
    <row r="183">
      <c r="A183" t="s">
        <v>1</v>
      </c>
      <c r="B183" t="s">
        <v>1</v>
      </c>
      <c r="C183" t="s">
        <v>1</v>
      </c>
      <c r="D183" t="s">
        <v>1</v>
      </c>
      <c r="E183" t="s">
        <v>94</v>
      </c>
      <c r="F183" t="s" s="1">
        <f>HYPERLINK("http://141.218.60.56/~jnz1568/discussion.php?&amp;Z=8&amp;N=6&amp;Sheet=2&amp;Row=182&amp;Col=5","5.3")</f>
      </c>
      <c r="G183" t="s" s="1">
        <f>HYPERLINK("http://141.218.60.56/~jnz1568/discussion.php?&amp;Z=8&amp;N=6&amp;Sheet=2&amp;Row=182&amp;Col=6","=")</f>
      </c>
      <c r="H183" t="s" s="1">
        <f>HYPERLINK("http://141.218.60.56/~jnz1568/discussion.php?&amp;Z=8&amp;N=6&amp;Sheet=2&amp;Row=182&amp;Col=7","")</f>
      </c>
      <c r="I183" t="s" s="1">
        <f>HYPERLINK("http://141.218.60.56/~jnz1568/discussion.php?&amp;Z=8&amp;N=6&amp;Sheet=2&amp;Row=182&amp;Col=8","")</f>
      </c>
      <c r="J183" t="s" s="1">
        <f>HYPERLINK("http://141.218.60.56/~jnz1568/discussion.php?&amp;Z=8&amp;N=6&amp;Sheet=2&amp;Row=182&amp;Col=9","")</f>
      </c>
      <c r="K183" t="s" s="1">
        <f>HYPERLINK("http://141.218.60.56/~jnz1568/discussion.php?&amp;Z=8&amp;N=6&amp;Sheet=2&amp;Row=182&amp;Col=10","")</f>
      </c>
      <c r="L183" t="s" s="1">
        <f>HYPERLINK("http://141.218.60.56/~jnz1568/discussion.php?&amp;Z=8&amp;N=6&amp;Sheet=2&amp;Row=182&amp;Col=11","")</f>
      </c>
      <c r="M183" t="s" s="1">
        <f>HYPERLINK("http://141.218.60.56/~jnz1568/discussion.php?&amp;Z=8&amp;N=6&amp;Sheet=2&amp;Row=182&amp;Col=12","")</f>
      </c>
    </row>
    <row r="184">
      <c r="A184" t="s">
        <v>15</v>
      </c>
      <c r="B184" t="s">
        <v>16</v>
      </c>
      <c r="C184" t="s">
        <v>33</v>
      </c>
      <c r="D184" t="s">
        <v>28</v>
      </c>
      <c r="E184" t="s">
        <v>17</v>
      </c>
      <c r="F184" t="s" s="1">
        <f>HYPERLINK("http://141.218.60.56/~jnz1568/discussion.php?&amp;Z=8&amp;N=6&amp;Sheet=2&amp;Row=183&amp;Col=5","3.4")</f>
      </c>
      <c r="G184" t="s" s="1">
        <f>HYPERLINK("http://141.218.60.56/~jnz1568/discussion.php?&amp;Z=8&amp;N=6&amp;Sheet=2&amp;Row=183&amp;Col=6","0.391")</f>
      </c>
      <c r="H184" t="s" s="1">
        <f>HYPERLINK("http://141.218.60.56/~jnz1568/discussion.php?&amp;Z=8&amp;N=6&amp;Sheet=2&amp;Row=183&amp;Col=7","2")</f>
      </c>
      <c r="I184" t="s" s="1">
        <f>HYPERLINK("http://141.218.60.56/~jnz1568/discussion.php?&amp;Z=8&amp;N=6&amp;Sheet=2&amp;Row=183&amp;Col=8","0.39")</f>
      </c>
      <c r="J184" t="s" s="1">
        <f>HYPERLINK("http://141.218.60.56/~jnz1568/discussion.php?&amp;Z=8&amp;N=6&amp;Sheet=2&amp;Row=183&amp;Col=9","3")</f>
      </c>
      <c r="K184" t="s" s="1">
        <f>HYPERLINK("http://141.218.60.56/~jnz1568/discussion.php?&amp;Z=8&amp;N=6&amp;Sheet=2&amp;Row=183&amp;Col=10","0.4241")</f>
      </c>
      <c r="L184" t="s" s="1">
        <f>HYPERLINK("http://141.218.60.56/~jnz1568/discussion.php?&amp;Z=8&amp;N=6&amp;Sheet=2&amp;Row=183&amp;Col=11","3.69897000434")</f>
      </c>
      <c r="M184" t="s" s="1">
        <f>HYPERLINK("http://141.218.60.56/~jnz1568/discussion.php?&amp;Z=8&amp;N=6&amp;Sheet=2&amp;Row=183&amp;Col=12","0.49285397318")</f>
      </c>
    </row>
    <row r="185">
      <c r="A185" t="s">
        <v>1</v>
      </c>
      <c r="B185" t="s">
        <v>1</v>
      </c>
      <c r="C185" t="s">
        <v>1</v>
      </c>
      <c r="D185" t="s">
        <v>1</v>
      </c>
      <c r="E185" t="s">
        <v>23</v>
      </c>
      <c r="F185" t="s" s="1">
        <f>HYPERLINK("http://141.218.60.56/~jnz1568/discussion.php?&amp;Z=8&amp;N=6&amp;Sheet=2&amp;Row=184&amp;Col=5","3.7")</f>
      </c>
      <c r="G185" t="s" s="1">
        <f>HYPERLINK("http://141.218.60.56/~jnz1568/discussion.php?&amp;Z=8&amp;N=6&amp;Sheet=2&amp;Row=184&amp;Col=6","0.431")</f>
      </c>
      <c r="H185" t="s" s="1">
        <f>HYPERLINK("http://141.218.60.56/~jnz1568/discussion.php?&amp;Z=8&amp;N=6&amp;Sheet=2&amp;Row=184&amp;Col=7","2.69897000434")</f>
      </c>
      <c r="I185" t="s" s="1">
        <f>HYPERLINK("http://141.218.60.56/~jnz1568/discussion.php?&amp;Z=8&amp;N=6&amp;Sheet=2&amp;Row=184&amp;Col=8","0.3899")</f>
      </c>
      <c r="J185" t="s" s="1">
        <f>HYPERLINK("http://141.218.60.56/~jnz1568/discussion.php?&amp;Z=8&amp;N=6&amp;Sheet=2&amp;Row=184&amp;Col=9","3.2")</f>
      </c>
      <c r="K185" t="s" s="1">
        <f>HYPERLINK("http://141.218.60.56/~jnz1568/discussion.php?&amp;Z=8&amp;N=6&amp;Sheet=2&amp;Row=184&amp;Col=10","0.4268")</f>
      </c>
      <c r="L185" t="s" s="1">
        <f>HYPERLINK("http://141.218.60.56/~jnz1568/discussion.php?&amp;Z=8&amp;N=6&amp;Sheet=2&amp;Row=184&amp;Col=11","3.77815125038")</f>
      </c>
      <c r="M185" t="s" s="1">
        <f>HYPERLINK("http://141.218.60.56/~jnz1568/discussion.php?&amp;Z=8&amp;N=6&amp;Sheet=2&amp;Row=184&amp;Col=12","0.53733881227")</f>
      </c>
    </row>
    <row r="186">
      <c r="A186" t="s">
        <v>1</v>
      </c>
      <c r="B186" t="s">
        <v>1</v>
      </c>
      <c r="C186" t="s">
        <v>1</v>
      </c>
      <c r="D186" t="s">
        <v>1</v>
      </c>
      <c r="E186" t="s">
        <v>20</v>
      </c>
      <c r="F186" t="s" s="1">
        <f>HYPERLINK("http://141.218.60.56/~jnz1568/discussion.php?&amp;Z=8&amp;N=6&amp;Sheet=2&amp;Row=185&amp;Col=5","3.88")</f>
      </c>
      <c r="G186" t="s" s="1">
        <f>HYPERLINK("http://141.218.60.56/~jnz1568/discussion.php?&amp;Z=8&amp;N=6&amp;Sheet=2&amp;Row=185&amp;Col=6","0.484")</f>
      </c>
      <c r="H186" t="s" s="1">
        <f>HYPERLINK("http://141.218.60.56/~jnz1568/discussion.php?&amp;Z=8&amp;N=6&amp;Sheet=2&amp;Row=185&amp;Col=7","3")</f>
      </c>
      <c r="I186" t="s" s="1">
        <f>HYPERLINK("http://141.218.60.56/~jnz1568/discussion.php?&amp;Z=8&amp;N=6&amp;Sheet=2&amp;Row=185&amp;Col=8","0.3899")</f>
      </c>
      <c r="J186" t="s" s="1">
        <f>HYPERLINK("http://141.218.60.56/~jnz1568/discussion.php?&amp;Z=8&amp;N=6&amp;Sheet=2&amp;Row=185&amp;Col=9","3.4")</f>
      </c>
      <c r="K186" t="s" s="1">
        <f>HYPERLINK("http://141.218.60.56/~jnz1568/discussion.php?&amp;Z=8&amp;N=6&amp;Sheet=2&amp;Row=185&amp;Col=10","0.4357")</f>
      </c>
      <c r="L186" t="s" s="1">
        <f>HYPERLINK("http://141.218.60.56/~jnz1568/discussion.php?&amp;Z=8&amp;N=6&amp;Sheet=2&amp;Row=185&amp;Col=11","3.84509804001")</f>
      </c>
      <c r="M186" t="s" s="1">
        <f>HYPERLINK("http://141.218.60.56/~jnz1568/discussion.php?&amp;Z=8&amp;N=6&amp;Sheet=2&amp;Row=185&amp;Col=12","0.571084796305")</f>
      </c>
    </row>
    <row r="187">
      <c r="A187" t="s">
        <v>1</v>
      </c>
      <c r="B187" t="s">
        <v>1</v>
      </c>
      <c r="C187" t="s">
        <v>1</v>
      </c>
      <c r="D187" t="s">
        <v>1</v>
      </c>
      <c r="E187" t="s">
        <v>28</v>
      </c>
      <c r="F187" t="s" s="1">
        <f>HYPERLINK("http://141.218.60.56/~jnz1568/discussion.php?&amp;Z=8&amp;N=6&amp;Sheet=2&amp;Row=186&amp;Col=5","4")</f>
      </c>
      <c r="G187" t="s" s="1">
        <f>HYPERLINK("http://141.218.60.56/~jnz1568/discussion.php?&amp;Z=8&amp;N=6&amp;Sheet=2&amp;Row=186&amp;Col=6","0.523")</f>
      </c>
      <c r="H187" t="s" s="1">
        <f>HYPERLINK("http://141.218.60.56/~jnz1568/discussion.php?&amp;Z=8&amp;N=6&amp;Sheet=2&amp;Row=186&amp;Col=7","3.69897000434")</f>
      </c>
      <c r="I187" t="s" s="1">
        <f>HYPERLINK("http://141.218.60.56/~jnz1568/discussion.php?&amp;Z=8&amp;N=6&amp;Sheet=2&amp;Row=186&amp;Col=8","0.4544")</f>
      </c>
      <c r="J187" t="s" s="1">
        <f>HYPERLINK("http://141.218.60.56/~jnz1568/discussion.php?&amp;Z=8&amp;N=6&amp;Sheet=2&amp;Row=186&amp;Col=9","3.6")</f>
      </c>
      <c r="K187" t="s" s="1">
        <f>HYPERLINK("http://141.218.60.56/~jnz1568/discussion.php?&amp;Z=8&amp;N=6&amp;Sheet=2&amp;Row=186&amp;Col=10","0.4652")</f>
      </c>
      <c r="L187" t="s" s="1">
        <f>HYPERLINK("http://141.218.60.56/~jnz1568/discussion.php?&amp;Z=8&amp;N=6&amp;Sheet=2&amp;Row=186&amp;Col=11","3.90308998699")</f>
      </c>
      <c r="M187" t="s" s="1">
        <f>HYPERLINK("http://141.218.60.56/~jnz1568/discussion.php?&amp;Z=8&amp;N=6&amp;Sheet=2&amp;Row=186&amp;Col=12","0.595591920104")</f>
      </c>
    </row>
    <row r="188">
      <c r="A188" t="s">
        <v>1</v>
      </c>
      <c r="B188" t="s">
        <v>1</v>
      </c>
      <c r="C188" t="s">
        <v>1</v>
      </c>
      <c r="D188" t="s">
        <v>1</v>
      </c>
      <c r="E188" t="s">
        <v>33</v>
      </c>
      <c r="F188" t="s" s="1">
        <f>HYPERLINK("http://141.218.60.56/~jnz1568/discussion.php?&amp;Z=8&amp;N=6&amp;Sheet=2&amp;Row=187&amp;Col=5","4.1")</f>
      </c>
      <c r="G188" t="s" s="1">
        <f>HYPERLINK("http://141.218.60.56/~jnz1568/discussion.php?&amp;Z=8&amp;N=6&amp;Sheet=2&amp;Row=187&amp;Col=6","0.548")</f>
      </c>
      <c r="H188" t="s" s="1">
        <f>HYPERLINK("http://141.218.60.56/~jnz1568/discussion.php?&amp;Z=8&amp;N=6&amp;Sheet=2&amp;Row=187&amp;Col=7","4")</f>
      </c>
      <c r="I188" t="s" s="1">
        <f>HYPERLINK("http://141.218.60.56/~jnz1568/discussion.php?&amp;Z=8&amp;N=6&amp;Sheet=2&amp;Row=187&amp;Col=8","0.5661")</f>
      </c>
      <c r="J188" t="s" s="1">
        <f>HYPERLINK("http://141.218.60.56/~jnz1568/discussion.php?&amp;Z=8&amp;N=6&amp;Sheet=2&amp;Row=187&amp;Col=9","3.8")</f>
      </c>
      <c r="K188" t="s" s="1">
        <f>HYPERLINK("http://141.218.60.56/~jnz1568/discussion.php?&amp;Z=8&amp;N=6&amp;Sheet=2&amp;Row=187&amp;Col=10","0.5232")</f>
      </c>
      <c r="L188" t="s" s="1">
        <f>HYPERLINK("http://141.218.60.56/~jnz1568/discussion.php?&amp;Z=8&amp;N=6&amp;Sheet=2&amp;Row=187&amp;Col=11","3.95424250944")</f>
      </c>
      <c r="M188" t="s" s="1">
        <f>HYPERLINK("http://141.218.60.56/~jnz1568/discussion.php?&amp;Z=8&amp;N=6&amp;Sheet=2&amp;Row=187&amp;Col=12","0.612759568671")</f>
      </c>
    </row>
    <row r="189">
      <c r="A189" t="s">
        <v>1</v>
      </c>
      <c r="B189" t="s">
        <v>1</v>
      </c>
      <c r="C189" t="s">
        <v>1</v>
      </c>
      <c r="D189" t="s">
        <v>1</v>
      </c>
      <c r="E189" t="s">
        <v>16</v>
      </c>
      <c r="F189" t="s" s="1">
        <f>HYPERLINK("http://141.218.60.56/~jnz1568/discussion.php?&amp;Z=8&amp;N=6&amp;Sheet=2&amp;Row=188&amp;Col=5","4.18")</f>
      </c>
      <c r="G189" t="s" s="1">
        <f>HYPERLINK("http://141.218.60.56/~jnz1568/discussion.php?&amp;Z=8&amp;N=6&amp;Sheet=2&amp;Row=188&amp;Col=6","0.563")</f>
      </c>
      <c r="H189" t="s" s="1">
        <f>HYPERLINK("http://141.218.60.56/~jnz1568/discussion.php?&amp;Z=8&amp;N=6&amp;Sheet=2&amp;Row=188&amp;Col=7","4.30102999566")</f>
      </c>
      <c r="I189" t="s" s="1">
        <f>HYPERLINK("http://141.218.60.56/~jnz1568/discussion.php?&amp;Z=8&amp;N=6&amp;Sheet=2&amp;Row=188&amp;Col=8","0.623")</f>
      </c>
      <c r="J189" t="s" s="1">
        <f>HYPERLINK("http://141.218.60.56/~jnz1568/discussion.php?&amp;Z=8&amp;N=6&amp;Sheet=2&amp;Row=188&amp;Col=9","4")</f>
      </c>
      <c r="K189" t="s" s="1">
        <f>HYPERLINK("http://141.218.60.56/~jnz1568/discussion.php?&amp;Z=8&amp;N=6&amp;Sheet=2&amp;Row=188&amp;Col=10","0.5815")</f>
      </c>
      <c r="L189" t="s" s="1">
        <f>HYPERLINK("http://141.218.60.56/~jnz1568/discussion.php?&amp;Z=8&amp;N=6&amp;Sheet=2&amp;Row=188&amp;Col=11","4")</f>
      </c>
      <c r="M189" t="s" s="1">
        <f>HYPERLINK("http://141.218.60.56/~jnz1568/discussion.php?&amp;Z=8&amp;N=6&amp;Sheet=2&amp;Row=188&amp;Col=12","0.62430933935")</f>
      </c>
    </row>
    <row r="190">
      <c r="A190" t="s">
        <v>1</v>
      </c>
      <c r="B190" t="s">
        <v>1</v>
      </c>
      <c r="C190" t="s">
        <v>1</v>
      </c>
      <c r="D190" t="s">
        <v>1</v>
      </c>
      <c r="E190" t="s">
        <v>43</v>
      </c>
      <c r="F190" t="s" s="1">
        <f>HYPERLINK("http://141.218.60.56/~jnz1568/discussion.php?&amp;Z=8&amp;N=6&amp;Sheet=2&amp;Row=189&amp;Col=5","4.24")</f>
      </c>
      <c r="G190" t="s" s="1">
        <f>HYPERLINK("http://141.218.60.56/~jnz1568/discussion.php?&amp;Z=8&amp;N=6&amp;Sheet=2&amp;Row=189&amp;Col=6","0.572")</f>
      </c>
      <c r="H190" t="s" s="1">
        <f>HYPERLINK("http://141.218.60.56/~jnz1568/discussion.php?&amp;Z=8&amp;N=6&amp;Sheet=2&amp;Row=189&amp;Col=7","4.47712125472")</f>
      </c>
      <c r="I190" t="s" s="1">
        <f>HYPERLINK("http://141.218.60.56/~jnz1568/discussion.php?&amp;Z=8&amp;N=6&amp;Sheet=2&amp;Row=189&amp;Col=8","0.6219")</f>
      </c>
      <c r="J190" t="s" s="1">
        <f>HYPERLINK("http://141.218.60.56/~jnz1568/discussion.php?&amp;Z=8&amp;N=6&amp;Sheet=2&amp;Row=189&amp;Col=9","4.2")</f>
      </c>
      <c r="K190" t="s" s="1">
        <f>HYPERLINK("http://141.218.60.56/~jnz1568/discussion.php?&amp;Z=8&amp;N=6&amp;Sheet=2&amp;Row=189&amp;Col=10","0.61")</f>
      </c>
      <c r="L190" t="s" s="1">
        <f>HYPERLINK("http://141.218.60.56/~jnz1568/discussion.php?&amp;Z=8&amp;N=6&amp;Sheet=2&amp;Row=189&amp;Col=11","4.04139268516")</f>
      </c>
      <c r="M190" t="s" s="1">
        <f>HYPERLINK("http://141.218.60.56/~jnz1568/discussion.php?&amp;Z=8&amp;N=6&amp;Sheet=2&amp;Row=189&amp;Col=12","0.63163933874")</f>
      </c>
    </row>
    <row r="191">
      <c r="A191" t="s">
        <v>1</v>
      </c>
      <c r="B191" t="s">
        <v>1</v>
      </c>
      <c r="C191" t="s">
        <v>1</v>
      </c>
      <c r="D191" t="s">
        <v>1</v>
      </c>
      <c r="E191" t="s">
        <v>15</v>
      </c>
      <c r="F191" t="s" s="1">
        <f>HYPERLINK("http://141.218.60.56/~jnz1568/discussion.php?&amp;Z=8&amp;N=6&amp;Sheet=2&amp;Row=190&amp;Col=5","4.3")</f>
      </c>
      <c r="G191" t="s" s="1">
        <f>HYPERLINK("http://141.218.60.56/~jnz1568/discussion.php?&amp;Z=8&amp;N=6&amp;Sheet=2&amp;Row=190&amp;Col=6","0.577")</f>
      </c>
      <c r="H191" t="s" s="1">
        <f>HYPERLINK("http://141.218.60.56/~jnz1568/discussion.php?&amp;Z=8&amp;N=6&amp;Sheet=2&amp;Row=190&amp;Col=7","")</f>
      </c>
      <c r="I191" t="s" s="1">
        <f>HYPERLINK("http://141.218.60.56/~jnz1568/discussion.php?&amp;Z=8&amp;N=6&amp;Sheet=2&amp;Row=190&amp;Col=8","")</f>
      </c>
      <c r="J191" t="s" s="1">
        <f>HYPERLINK("http://141.218.60.56/~jnz1568/discussion.php?&amp;Z=8&amp;N=6&amp;Sheet=2&amp;Row=190&amp;Col=9","4.4")</f>
      </c>
      <c r="K191" t="s" s="1">
        <f>HYPERLINK("http://141.218.60.56/~jnz1568/discussion.php?&amp;Z=8&amp;N=6&amp;Sheet=2&amp;Row=190&amp;Col=10","0.609")</f>
      </c>
      <c r="L191" t="s" s="1">
        <f>HYPERLINK("http://141.218.60.56/~jnz1568/discussion.php?&amp;Z=8&amp;N=6&amp;Sheet=2&amp;Row=190&amp;Col=11","4.07918124605")</f>
      </c>
      <c r="M191" t="s" s="1">
        <f>HYPERLINK("http://141.218.60.56/~jnz1568/discussion.php?&amp;Z=8&amp;N=6&amp;Sheet=2&amp;Row=190&amp;Col=12","0.63583320804")</f>
      </c>
    </row>
    <row r="192">
      <c r="A192" t="s">
        <v>1</v>
      </c>
      <c r="B192" t="s">
        <v>1</v>
      </c>
      <c r="C192" t="s">
        <v>1</v>
      </c>
      <c r="D192" t="s">
        <v>1</v>
      </c>
      <c r="E192" t="s">
        <v>50</v>
      </c>
      <c r="F192" t="s" s="1">
        <f>HYPERLINK("http://141.218.60.56/~jnz1568/discussion.php?&amp;Z=8&amp;N=6&amp;Sheet=2&amp;Row=191&amp;Col=5","4.4")</f>
      </c>
      <c r="G192" t="s" s="1">
        <f>HYPERLINK("http://141.218.60.56/~jnz1568/discussion.php?&amp;Z=8&amp;N=6&amp;Sheet=2&amp;Row=191&amp;Col=6","0.581")</f>
      </c>
      <c r="H192" t="s" s="1">
        <f>HYPERLINK("http://141.218.60.56/~jnz1568/discussion.php?&amp;Z=8&amp;N=6&amp;Sheet=2&amp;Row=191&amp;Col=7","")</f>
      </c>
      <c r="I192" t="s" s="1">
        <f>HYPERLINK("http://141.218.60.56/~jnz1568/discussion.php?&amp;Z=8&amp;N=6&amp;Sheet=2&amp;Row=191&amp;Col=8","")</f>
      </c>
      <c r="J192" t="s" s="1">
        <f>HYPERLINK("http://141.218.60.56/~jnz1568/discussion.php?&amp;Z=8&amp;N=6&amp;Sheet=2&amp;Row=191&amp;Col=9","4.6")</f>
      </c>
      <c r="K192" t="s" s="1">
        <f>HYPERLINK("http://141.218.60.56/~jnz1568/discussion.php?&amp;Z=8&amp;N=6&amp;Sheet=2&amp;Row=191&amp;Col=10","0.5971")</f>
      </c>
      <c r="L192" t="s" s="1">
        <f>HYPERLINK("http://141.218.60.56/~jnz1568/discussion.php?&amp;Z=8&amp;N=6&amp;Sheet=2&amp;Row=191&amp;Col=11","4.11394335231")</f>
      </c>
      <c r="M192" t="s" s="1">
        <f>HYPERLINK("http://141.218.60.56/~jnz1568/discussion.php?&amp;Z=8&amp;N=6&amp;Sheet=2&amp;Row=191&amp;Col=12","0.63771328463")</f>
      </c>
    </row>
    <row r="193">
      <c r="A193" t="s">
        <v>1</v>
      </c>
      <c r="B193" t="s">
        <v>1</v>
      </c>
      <c r="C193" t="s">
        <v>1</v>
      </c>
      <c r="D193" t="s">
        <v>1</v>
      </c>
      <c r="E193" t="s">
        <v>53</v>
      </c>
      <c r="F193" t="s" s="1">
        <f>HYPERLINK("http://141.218.60.56/~jnz1568/discussion.php?&amp;Z=8&amp;N=6&amp;Sheet=2&amp;Row=192&amp;Col=5","4.48")</f>
      </c>
      <c r="G193" t="s" s="1">
        <f>HYPERLINK("http://141.218.60.56/~jnz1568/discussion.php?&amp;Z=8&amp;N=6&amp;Sheet=2&amp;Row=192&amp;Col=6","0.581")</f>
      </c>
      <c r="H193" t="s" s="1">
        <f>HYPERLINK("http://141.218.60.56/~jnz1568/discussion.php?&amp;Z=8&amp;N=6&amp;Sheet=2&amp;Row=192&amp;Col=7","")</f>
      </c>
      <c r="I193" t="s" s="1">
        <f>HYPERLINK("http://141.218.60.56/~jnz1568/discussion.php?&amp;Z=8&amp;N=6&amp;Sheet=2&amp;Row=192&amp;Col=8","")</f>
      </c>
      <c r="J193" t="s" s="1">
        <f>HYPERLINK("http://141.218.60.56/~jnz1568/discussion.php?&amp;Z=8&amp;N=6&amp;Sheet=2&amp;Row=192&amp;Col=9","4.8")</f>
      </c>
      <c r="K193" t="s" s="1">
        <f>HYPERLINK("http://141.218.60.56/~jnz1568/discussion.php?&amp;Z=8&amp;N=6&amp;Sheet=2&amp;Row=192&amp;Col=10","0.5865")</f>
      </c>
      <c r="L193" t="s" s="1">
        <f>HYPERLINK("http://141.218.60.56/~jnz1568/discussion.php?&amp;Z=8&amp;N=6&amp;Sheet=2&amp;Row=192&amp;Col=11","4.14612803568")</f>
      </c>
      <c r="M193" t="s" s="1">
        <f>HYPERLINK("http://141.218.60.56/~jnz1568/discussion.php?&amp;Z=8&amp;N=6&amp;Sheet=2&amp;Row=192&amp;Col=12","0.63789791005")</f>
      </c>
    </row>
    <row r="194">
      <c r="A194" t="s">
        <v>1</v>
      </c>
      <c r="B194" t="s">
        <v>1</v>
      </c>
      <c r="C194" t="s">
        <v>1</v>
      </c>
      <c r="D194" t="s">
        <v>1</v>
      </c>
      <c r="E194" t="s">
        <v>58</v>
      </c>
      <c r="F194" t="s" s="1">
        <f>HYPERLINK("http://141.218.60.56/~jnz1568/discussion.php?&amp;Z=8&amp;N=6&amp;Sheet=2&amp;Row=193&amp;Col=5","4.6")</f>
      </c>
      <c r="G194" t="s" s="1">
        <f>HYPERLINK("http://141.218.60.56/~jnz1568/discussion.php?&amp;Z=8&amp;N=6&amp;Sheet=2&amp;Row=193&amp;Col=6","0.579")</f>
      </c>
      <c r="H194" t="s" s="1">
        <f>HYPERLINK("http://141.218.60.56/~jnz1568/discussion.php?&amp;Z=8&amp;N=6&amp;Sheet=2&amp;Row=193&amp;Col=7","")</f>
      </c>
      <c r="I194" t="s" s="1">
        <f>HYPERLINK("http://141.218.60.56/~jnz1568/discussion.php?&amp;Z=8&amp;N=6&amp;Sheet=2&amp;Row=193&amp;Col=8","")</f>
      </c>
      <c r="J194" t="s" s="1">
        <f>HYPERLINK("http://141.218.60.56/~jnz1568/discussion.php?&amp;Z=8&amp;N=6&amp;Sheet=2&amp;Row=193&amp;Col=9","5")</f>
      </c>
      <c r="K194" t="s" s="1">
        <f>HYPERLINK("http://141.218.60.56/~jnz1568/discussion.php?&amp;Z=8&amp;N=6&amp;Sheet=2&amp;Row=193&amp;Col=10","0.5725")</f>
      </c>
      <c r="L194" t="s" s="1">
        <f>HYPERLINK("http://141.218.60.56/~jnz1568/discussion.php?&amp;Z=8&amp;N=6&amp;Sheet=2&amp;Row=193&amp;Col=11","4.17609125906")</f>
      </c>
      <c r="M194" t="s" s="1">
        <f>HYPERLINK("http://141.218.60.56/~jnz1568/discussion.php?&amp;Z=8&amp;N=6&amp;Sheet=2&amp;Row=193&amp;Col=12","0.63685055376")</f>
      </c>
    </row>
    <row r="195">
      <c r="A195" t="s">
        <v>1</v>
      </c>
      <c r="B195" t="s">
        <v>1</v>
      </c>
      <c r="C195" t="s">
        <v>1</v>
      </c>
      <c r="D195" t="s">
        <v>1</v>
      </c>
      <c r="E195" t="s">
        <v>61</v>
      </c>
      <c r="F195" t="s" s="1">
        <f>HYPERLINK("http://141.218.60.56/~jnz1568/discussion.php?&amp;Z=8&amp;N=6&amp;Sheet=2&amp;Row=194&amp;Col=5","4.7")</f>
      </c>
      <c r="G195" t="s" s="1">
        <f>HYPERLINK("http://141.218.60.56/~jnz1568/discussion.php?&amp;Z=8&amp;N=6&amp;Sheet=2&amp;Row=194&amp;Col=6","0.578")</f>
      </c>
      <c r="H195" t="s" s="1">
        <f>HYPERLINK("http://141.218.60.56/~jnz1568/discussion.php?&amp;Z=8&amp;N=6&amp;Sheet=2&amp;Row=194&amp;Col=7","")</f>
      </c>
      <c r="I195" t="s" s="1">
        <f>HYPERLINK("http://141.218.60.56/~jnz1568/discussion.php?&amp;Z=8&amp;N=6&amp;Sheet=2&amp;Row=194&amp;Col=8","")</f>
      </c>
      <c r="J195" t="s" s="1">
        <f>HYPERLINK("http://141.218.60.56/~jnz1568/discussion.php?&amp;Z=8&amp;N=6&amp;Sheet=2&amp;Row=194&amp;Col=9","")</f>
      </c>
      <c r="K195" t="s" s="1">
        <f>HYPERLINK("http://141.218.60.56/~jnz1568/discussion.php?&amp;Z=8&amp;N=6&amp;Sheet=2&amp;Row=194&amp;Col=10","")</f>
      </c>
      <c r="L195" t="s" s="1">
        <f>HYPERLINK("http://141.218.60.56/~jnz1568/discussion.php?&amp;Z=8&amp;N=6&amp;Sheet=2&amp;Row=194&amp;Col=11","4.20411998266")</f>
      </c>
      <c r="M195" t="s" s="1">
        <f>HYPERLINK("http://141.218.60.56/~jnz1568/discussion.php?&amp;Z=8&amp;N=6&amp;Sheet=2&amp;Row=194&amp;Col=12","0.63491854162")</f>
      </c>
    </row>
    <row r="196">
      <c r="A196" t="s">
        <v>1</v>
      </c>
      <c r="B196" t="s">
        <v>1</v>
      </c>
      <c r="C196" t="s">
        <v>1</v>
      </c>
      <c r="D196" t="s">
        <v>1</v>
      </c>
      <c r="E196" t="s">
        <v>64</v>
      </c>
      <c r="F196" t="s" s="1">
        <f>HYPERLINK("http://141.218.60.56/~jnz1568/discussion.php?&amp;Z=8&amp;N=6&amp;Sheet=2&amp;Row=195&amp;Col=5","4.78")</f>
      </c>
      <c r="G196" t="s" s="1">
        <f>HYPERLINK("http://141.218.60.56/~jnz1568/discussion.php?&amp;Z=8&amp;N=6&amp;Sheet=2&amp;Row=195&amp;Col=6","0.577")</f>
      </c>
      <c r="H196" t="s" s="1">
        <f>HYPERLINK("http://141.218.60.56/~jnz1568/discussion.php?&amp;Z=8&amp;N=6&amp;Sheet=2&amp;Row=195&amp;Col=7","")</f>
      </c>
      <c r="I196" t="s" s="1">
        <f>HYPERLINK("http://141.218.60.56/~jnz1568/discussion.php?&amp;Z=8&amp;N=6&amp;Sheet=2&amp;Row=195&amp;Col=8","")</f>
      </c>
      <c r="J196" t="s" s="1">
        <f>HYPERLINK("http://141.218.60.56/~jnz1568/discussion.php?&amp;Z=8&amp;N=6&amp;Sheet=2&amp;Row=195&amp;Col=9","")</f>
      </c>
      <c r="K196" t="s" s="1">
        <f>HYPERLINK("http://141.218.60.56/~jnz1568/discussion.php?&amp;Z=8&amp;N=6&amp;Sheet=2&amp;Row=195&amp;Col=10","")</f>
      </c>
      <c r="L196" t="s" s="1">
        <f>HYPERLINK("http://141.218.60.56/~jnz1568/discussion.php?&amp;Z=8&amp;N=6&amp;Sheet=2&amp;Row=195&amp;Col=11","4.23044892138")</f>
      </c>
      <c r="M196" t="s" s="1">
        <f>HYPERLINK("http://141.218.60.56/~jnz1568/discussion.php?&amp;Z=8&amp;N=6&amp;Sheet=2&amp;Row=195&amp;Col=12","0.632362476588")</f>
      </c>
    </row>
    <row r="197">
      <c r="A197" t="s">
        <v>1</v>
      </c>
      <c r="B197" t="s">
        <v>1</v>
      </c>
      <c r="C197" t="s">
        <v>1</v>
      </c>
      <c r="D197" t="s">
        <v>1</v>
      </c>
      <c r="E197" t="s">
        <v>69</v>
      </c>
      <c r="F197" t="s" s="1">
        <f>HYPERLINK("http://141.218.60.56/~jnz1568/discussion.php?&amp;Z=8&amp;N=6&amp;Sheet=2&amp;Row=196&amp;Col=5","4.9")</f>
      </c>
      <c r="G197" t="s" s="1">
        <f>HYPERLINK("http://141.218.60.56/~jnz1568/discussion.php?&amp;Z=8&amp;N=6&amp;Sheet=2&amp;Row=196&amp;Col=6","0.576")</f>
      </c>
      <c r="H197" t="s" s="1">
        <f>HYPERLINK("http://141.218.60.56/~jnz1568/discussion.php?&amp;Z=8&amp;N=6&amp;Sheet=2&amp;Row=196&amp;Col=7","")</f>
      </c>
      <c r="I197" t="s" s="1">
        <f>HYPERLINK("http://141.218.60.56/~jnz1568/discussion.php?&amp;Z=8&amp;N=6&amp;Sheet=2&amp;Row=196&amp;Col=8","")</f>
      </c>
      <c r="J197" t="s" s="1">
        <f>HYPERLINK("http://141.218.60.56/~jnz1568/discussion.php?&amp;Z=8&amp;N=6&amp;Sheet=2&amp;Row=196&amp;Col=9","")</f>
      </c>
      <c r="K197" t="s" s="1">
        <f>HYPERLINK("http://141.218.60.56/~jnz1568/discussion.php?&amp;Z=8&amp;N=6&amp;Sheet=2&amp;Row=196&amp;Col=10","")</f>
      </c>
      <c r="L197" t="s" s="1">
        <f>HYPERLINK("http://141.218.60.56/~jnz1568/discussion.php?&amp;Z=8&amp;N=6&amp;Sheet=2&amp;Row=196&amp;Col=11","4.2552725051")</f>
      </c>
      <c r="M197" t="s" s="1">
        <f>HYPERLINK("http://141.218.60.56/~jnz1568/discussion.php?&amp;Z=8&amp;N=6&amp;Sheet=2&amp;Row=196&amp;Col=12","0.629378209519")</f>
      </c>
    </row>
    <row r="198">
      <c r="A198" t="s">
        <v>1</v>
      </c>
      <c r="B198" t="s">
        <v>1</v>
      </c>
      <c r="C198" t="s">
        <v>1</v>
      </c>
      <c r="D198" t="s">
        <v>1</v>
      </c>
      <c r="E198" t="s">
        <v>74</v>
      </c>
      <c r="F198" t="s" s="1">
        <f>HYPERLINK("http://141.218.60.56/~jnz1568/discussion.php?&amp;Z=8&amp;N=6&amp;Sheet=2&amp;Row=197&amp;Col=5","5")</f>
      </c>
      <c r="G198" t="s" s="1">
        <f>HYPERLINK("http://141.218.60.56/~jnz1568/discussion.php?&amp;Z=8&amp;N=6&amp;Sheet=2&amp;Row=197&amp;Col=6","0.574")</f>
      </c>
      <c r="H198" t="s" s="1">
        <f>HYPERLINK("http://141.218.60.56/~jnz1568/discussion.php?&amp;Z=8&amp;N=6&amp;Sheet=2&amp;Row=197&amp;Col=7","")</f>
      </c>
      <c r="I198" t="s" s="1">
        <f>HYPERLINK("http://141.218.60.56/~jnz1568/discussion.php?&amp;Z=8&amp;N=6&amp;Sheet=2&amp;Row=197&amp;Col=8","")</f>
      </c>
      <c r="J198" t="s" s="1">
        <f>HYPERLINK("http://141.218.60.56/~jnz1568/discussion.php?&amp;Z=8&amp;N=6&amp;Sheet=2&amp;Row=197&amp;Col=9","")</f>
      </c>
      <c r="K198" t="s" s="1">
        <f>HYPERLINK("http://141.218.60.56/~jnz1568/discussion.php?&amp;Z=8&amp;N=6&amp;Sheet=2&amp;Row=197&amp;Col=10","")</f>
      </c>
      <c r="L198" t="s" s="1">
        <f>HYPERLINK("http://141.218.60.56/~jnz1568/discussion.php?&amp;Z=8&amp;N=6&amp;Sheet=2&amp;Row=197&amp;Col=11","4.27875360095")</f>
      </c>
      <c r="M198" t="s" s="1">
        <f>HYPERLINK("http://141.218.60.56/~jnz1568/discussion.php?&amp;Z=8&amp;N=6&amp;Sheet=2&amp;Row=197&amp;Col=12","0.626113129606")</f>
      </c>
    </row>
    <row r="199">
      <c r="A199" t="s">
        <v>1</v>
      </c>
      <c r="B199" t="s">
        <v>1</v>
      </c>
      <c r="C199" t="s">
        <v>1</v>
      </c>
      <c r="D199" t="s">
        <v>1</v>
      </c>
      <c r="E199" t="s">
        <v>79</v>
      </c>
      <c r="F199" t="s" s="1">
        <f>HYPERLINK("http://141.218.60.56/~jnz1568/discussion.php?&amp;Z=8&amp;N=6&amp;Sheet=2&amp;Row=198&amp;Col=5","5.08")</f>
      </c>
      <c r="G199" t="s" s="1">
        <f>HYPERLINK("http://141.218.60.56/~jnz1568/discussion.php?&amp;Z=8&amp;N=6&amp;Sheet=2&amp;Row=198&amp;Col=6","0.572")</f>
      </c>
      <c r="H199" t="s" s="1">
        <f>HYPERLINK("http://141.218.60.56/~jnz1568/discussion.php?&amp;Z=8&amp;N=6&amp;Sheet=2&amp;Row=198&amp;Col=7","")</f>
      </c>
      <c r="I199" t="s" s="1">
        <f>HYPERLINK("http://141.218.60.56/~jnz1568/discussion.php?&amp;Z=8&amp;N=6&amp;Sheet=2&amp;Row=198&amp;Col=8","")</f>
      </c>
      <c r="J199" t="s" s="1">
        <f>HYPERLINK("http://141.218.60.56/~jnz1568/discussion.php?&amp;Z=8&amp;N=6&amp;Sheet=2&amp;Row=198&amp;Col=9","")</f>
      </c>
      <c r="K199" t="s" s="1">
        <f>HYPERLINK("http://141.218.60.56/~jnz1568/discussion.php?&amp;Z=8&amp;N=6&amp;Sheet=2&amp;Row=198&amp;Col=10","")</f>
      </c>
      <c r="L199" t="s" s="1">
        <f>HYPERLINK("http://141.218.60.56/~jnz1568/discussion.php?&amp;Z=8&amp;N=6&amp;Sheet=2&amp;Row=198&amp;Col=11","4.30102999566")</f>
      </c>
      <c r="M199" t="s" s="1">
        <f>HYPERLINK("http://141.218.60.56/~jnz1568/discussion.php?&amp;Z=8&amp;N=6&amp;Sheet=2&amp;Row=198&amp;Col=12","0.622678221987")</f>
      </c>
    </row>
    <row r="200">
      <c r="A200" t="s">
        <v>1</v>
      </c>
      <c r="B200" t="s">
        <v>1</v>
      </c>
      <c r="C200" t="s">
        <v>1</v>
      </c>
      <c r="D200" t="s">
        <v>1</v>
      </c>
      <c r="E200" t="s">
        <v>84</v>
      </c>
      <c r="F200" t="s" s="1">
        <f>HYPERLINK("http://141.218.60.56/~jnz1568/discussion.php?&amp;Z=8&amp;N=6&amp;Sheet=2&amp;Row=199&amp;Col=5","5.15")</f>
      </c>
      <c r="G200" t="s" s="1">
        <f>HYPERLINK("http://141.218.60.56/~jnz1568/discussion.php?&amp;Z=8&amp;N=6&amp;Sheet=2&amp;Row=199&amp;Col=6","0.568")</f>
      </c>
      <c r="H200" t="s" s="1">
        <f>HYPERLINK("http://141.218.60.56/~jnz1568/discussion.php?&amp;Z=8&amp;N=6&amp;Sheet=2&amp;Row=199&amp;Col=7","")</f>
      </c>
      <c r="I200" t="s" s="1">
        <f>HYPERLINK("http://141.218.60.56/~jnz1568/discussion.php?&amp;Z=8&amp;N=6&amp;Sheet=2&amp;Row=199&amp;Col=8","")</f>
      </c>
      <c r="J200" t="s" s="1">
        <f>HYPERLINK("http://141.218.60.56/~jnz1568/discussion.php?&amp;Z=8&amp;N=6&amp;Sheet=2&amp;Row=199&amp;Col=9","")</f>
      </c>
      <c r="K200" t="s" s="1">
        <f>HYPERLINK("http://141.218.60.56/~jnz1568/discussion.php?&amp;Z=8&amp;N=6&amp;Sheet=2&amp;Row=199&amp;Col=10","")</f>
      </c>
      <c r="L200" t="s" s="1">
        <f>HYPERLINK("http://141.218.60.56/~jnz1568/discussion.php?&amp;Z=8&amp;N=6&amp;Sheet=2&amp;Row=199&amp;Col=11","")</f>
      </c>
      <c r="M200" t="s" s="1">
        <f>HYPERLINK("http://141.218.60.56/~jnz1568/discussion.php?&amp;Z=8&amp;N=6&amp;Sheet=2&amp;Row=199&amp;Col=12","")</f>
      </c>
    </row>
    <row r="201">
      <c r="A201" t="s">
        <v>1</v>
      </c>
      <c r="B201" t="s">
        <v>1</v>
      </c>
      <c r="C201" t="s">
        <v>1</v>
      </c>
      <c r="D201" t="s">
        <v>1</v>
      </c>
      <c r="E201" t="s">
        <v>87</v>
      </c>
      <c r="F201" t="s" s="1">
        <f>HYPERLINK("http://141.218.60.56/~jnz1568/discussion.php?&amp;Z=8&amp;N=6&amp;Sheet=2&amp;Row=200&amp;Col=5","5.2")</f>
      </c>
      <c r="G201" t="s" s="1">
        <f>HYPERLINK("http://141.218.60.56/~jnz1568/discussion.php?&amp;Z=8&amp;N=6&amp;Sheet=2&amp;Row=200&amp;Col=6","0.564")</f>
      </c>
      <c r="H201" t="s" s="1">
        <f>HYPERLINK("http://141.218.60.56/~jnz1568/discussion.php?&amp;Z=8&amp;N=6&amp;Sheet=2&amp;Row=200&amp;Col=7","")</f>
      </c>
      <c r="I201" t="s" s="1">
        <f>HYPERLINK("http://141.218.60.56/~jnz1568/discussion.php?&amp;Z=8&amp;N=6&amp;Sheet=2&amp;Row=200&amp;Col=8","")</f>
      </c>
      <c r="J201" t="s" s="1">
        <f>HYPERLINK("http://141.218.60.56/~jnz1568/discussion.php?&amp;Z=8&amp;N=6&amp;Sheet=2&amp;Row=200&amp;Col=9","")</f>
      </c>
      <c r="K201" t="s" s="1">
        <f>HYPERLINK("http://141.218.60.56/~jnz1568/discussion.php?&amp;Z=8&amp;N=6&amp;Sheet=2&amp;Row=200&amp;Col=10","")</f>
      </c>
      <c r="L201" t="s" s="1">
        <f>HYPERLINK("http://141.218.60.56/~jnz1568/discussion.php?&amp;Z=8&amp;N=6&amp;Sheet=2&amp;Row=200&amp;Col=11","")</f>
      </c>
      <c r="M201" t="s" s="1">
        <f>HYPERLINK("http://141.218.60.56/~jnz1568/discussion.php?&amp;Z=8&amp;N=6&amp;Sheet=2&amp;Row=200&amp;Col=12","")</f>
      </c>
    </row>
    <row r="202">
      <c r="A202" t="s">
        <v>1</v>
      </c>
      <c r="B202" t="s">
        <v>1</v>
      </c>
      <c r="C202" t="s">
        <v>1</v>
      </c>
      <c r="D202" t="s">
        <v>1</v>
      </c>
      <c r="E202" t="s">
        <v>90</v>
      </c>
      <c r="F202" t="s" s="1">
        <f>HYPERLINK("http://141.218.60.56/~jnz1568/discussion.php?&amp;Z=8&amp;N=6&amp;Sheet=2&amp;Row=201&amp;Col=5","5.26")</f>
      </c>
      <c r="G202" t="s" s="1">
        <f>HYPERLINK("http://141.218.60.56/~jnz1568/discussion.php?&amp;Z=8&amp;N=6&amp;Sheet=2&amp;Row=201&amp;Col=6","0.56")</f>
      </c>
      <c r="H202" t="s" s="1">
        <f>HYPERLINK("http://141.218.60.56/~jnz1568/discussion.php?&amp;Z=8&amp;N=6&amp;Sheet=2&amp;Row=201&amp;Col=7","")</f>
      </c>
      <c r="I202" t="s" s="1">
        <f>HYPERLINK("http://141.218.60.56/~jnz1568/discussion.php?&amp;Z=8&amp;N=6&amp;Sheet=2&amp;Row=201&amp;Col=8","")</f>
      </c>
      <c r="J202" t="s" s="1">
        <f>HYPERLINK("http://141.218.60.56/~jnz1568/discussion.php?&amp;Z=8&amp;N=6&amp;Sheet=2&amp;Row=201&amp;Col=9","")</f>
      </c>
      <c r="K202" t="s" s="1">
        <f>HYPERLINK("http://141.218.60.56/~jnz1568/discussion.php?&amp;Z=8&amp;N=6&amp;Sheet=2&amp;Row=201&amp;Col=10","")</f>
      </c>
      <c r="L202" t="s" s="1">
        <f>HYPERLINK("http://141.218.60.56/~jnz1568/discussion.php?&amp;Z=8&amp;N=6&amp;Sheet=2&amp;Row=201&amp;Col=11","")</f>
      </c>
      <c r="M202" t="s" s="1">
        <f>HYPERLINK("http://141.218.60.56/~jnz1568/discussion.php?&amp;Z=8&amp;N=6&amp;Sheet=2&amp;Row=201&amp;Col=12","")</f>
      </c>
    </row>
    <row r="203">
      <c r="A203" t="s">
        <v>1</v>
      </c>
      <c r="B203" t="s">
        <v>1</v>
      </c>
      <c r="C203" t="s">
        <v>1</v>
      </c>
      <c r="D203" t="s">
        <v>1</v>
      </c>
      <c r="E203" t="s">
        <v>94</v>
      </c>
      <c r="F203" t="s" s="1">
        <f>HYPERLINK("http://141.218.60.56/~jnz1568/discussion.php?&amp;Z=8&amp;N=6&amp;Sheet=2&amp;Row=202&amp;Col=5","5.3")</f>
      </c>
      <c r="G203" t="s" s="1">
        <f>HYPERLINK("http://141.218.60.56/~jnz1568/discussion.php?&amp;Z=8&amp;N=6&amp;Sheet=2&amp;Row=202&amp;Col=6","0.556")</f>
      </c>
      <c r="H203" t="s" s="1">
        <f>HYPERLINK("http://141.218.60.56/~jnz1568/discussion.php?&amp;Z=8&amp;N=6&amp;Sheet=2&amp;Row=202&amp;Col=7","")</f>
      </c>
      <c r="I203" t="s" s="1">
        <f>HYPERLINK("http://141.218.60.56/~jnz1568/discussion.php?&amp;Z=8&amp;N=6&amp;Sheet=2&amp;Row=202&amp;Col=8","")</f>
      </c>
      <c r="J203" t="s" s="1">
        <f>HYPERLINK("http://141.218.60.56/~jnz1568/discussion.php?&amp;Z=8&amp;N=6&amp;Sheet=2&amp;Row=202&amp;Col=9","")</f>
      </c>
      <c r="K203" t="s" s="1">
        <f>HYPERLINK("http://141.218.60.56/~jnz1568/discussion.php?&amp;Z=8&amp;N=6&amp;Sheet=2&amp;Row=202&amp;Col=10","")</f>
      </c>
      <c r="L203" t="s" s="1">
        <f>HYPERLINK("http://141.218.60.56/~jnz1568/discussion.php?&amp;Z=8&amp;N=6&amp;Sheet=2&amp;Row=202&amp;Col=11","")</f>
      </c>
      <c r="M203" t="s" s="1">
        <f>HYPERLINK("http://141.218.60.56/~jnz1568/discussion.php?&amp;Z=8&amp;N=6&amp;Sheet=2&amp;Row=202&amp;Col=12","")</f>
      </c>
    </row>
    <row r="204">
      <c r="A204" t="s">
        <v>15</v>
      </c>
      <c r="B204" t="s">
        <v>16</v>
      </c>
      <c r="C204" t="s">
        <v>16</v>
      </c>
      <c r="D204" t="s">
        <v>17</v>
      </c>
      <c r="E204" t="s">
        <v>17</v>
      </c>
      <c r="F204" t="s" s="1">
        <f>HYPERLINK("http://141.218.60.56/~jnz1568/discussion.php?&amp;Z=8&amp;N=6&amp;Sheet=2&amp;Row=203&amp;Col=5","3.4")</f>
      </c>
      <c r="G204" t="s" s="1">
        <f>HYPERLINK("http://141.218.60.56/~jnz1568/discussion.php?&amp;Z=8&amp;N=6&amp;Sheet=2&amp;Row=203&amp;Col=6","0.111")</f>
      </c>
      <c r="H204" t="s" s="1">
        <f>HYPERLINK("http://141.218.60.56/~jnz1568/discussion.php?&amp;Z=8&amp;N=6&amp;Sheet=2&amp;Row=203&amp;Col=7","")</f>
      </c>
      <c r="I204" t="s" s="1">
        <f>HYPERLINK("http://141.218.60.56/~jnz1568/discussion.php?&amp;Z=8&amp;N=6&amp;Sheet=2&amp;Row=203&amp;Col=8","")</f>
      </c>
      <c r="J204" t="s" s="1">
        <f>HYPERLINK("http://141.218.60.56/~jnz1568/discussion.php?&amp;Z=8&amp;N=6&amp;Sheet=2&amp;Row=203&amp;Col=9","3")</f>
      </c>
      <c r="K204" t="s" s="1">
        <f>HYPERLINK("http://141.218.60.56/~jnz1568/discussion.php?&amp;Z=8&amp;N=6&amp;Sheet=2&amp;Row=203&amp;Col=10","0.108444444444")</f>
      </c>
      <c r="L204" t="s" s="1">
        <f>HYPERLINK("http://141.218.60.56/~jnz1568/discussion.php?&amp;Z=8&amp;N=6&amp;Sheet=2&amp;Row=203&amp;Col=11","")</f>
      </c>
      <c r="M204" t="s" s="1">
        <f>HYPERLINK("http://141.218.60.56/~jnz1568/discussion.php?&amp;Z=8&amp;N=6&amp;Sheet=2&amp;Row=203&amp;Col=12","")</f>
      </c>
    </row>
    <row r="205">
      <c r="A205" t="s">
        <v>1</v>
      </c>
      <c r="B205" t="s">
        <v>1</v>
      </c>
      <c r="C205" t="s">
        <v>1</v>
      </c>
      <c r="D205" t="s">
        <v>1</v>
      </c>
      <c r="E205" t="s">
        <v>23</v>
      </c>
      <c r="F205" t="s" s="1">
        <f>HYPERLINK("http://141.218.60.56/~jnz1568/discussion.php?&amp;Z=8&amp;N=6&amp;Sheet=2&amp;Row=204&amp;Col=5","3.7")</f>
      </c>
      <c r="G205" t="s" s="1">
        <f>HYPERLINK("http://141.218.60.56/~jnz1568/discussion.php?&amp;Z=8&amp;N=6&amp;Sheet=2&amp;Row=204&amp;Col=6","0.113")</f>
      </c>
      <c r="H205" t="s" s="1">
        <f>HYPERLINK("http://141.218.60.56/~jnz1568/discussion.php?&amp;Z=8&amp;N=6&amp;Sheet=2&amp;Row=204&amp;Col=7","")</f>
      </c>
      <c r="I205" t="s" s="1">
        <f>HYPERLINK("http://141.218.60.56/~jnz1568/discussion.php?&amp;Z=8&amp;N=6&amp;Sheet=2&amp;Row=204&amp;Col=8","")</f>
      </c>
      <c r="J205" t="s" s="1">
        <f>HYPERLINK("http://141.218.60.56/~jnz1568/discussion.php?&amp;Z=8&amp;N=6&amp;Sheet=2&amp;Row=204&amp;Col=9","3.2")</f>
      </c>
      <c r="K205" t="s" s="1">
        <f>HYPERLINK("http://141.218.60.56/~jnz1568/discussion.php?&amp;Z=8&amp;N=6&amp;Sheet=2&amp;Row=204&amp;Col=10","0.107477777778")</f>
      </c>
      <c r="L205" t="s" s="1">
        <f>HYPERLINK("http://141.218.60.56/~jnz1568/discussion.php?&amp;Z=8&amp;N=6&amp;Sheet=2&amp;Row=204&amp;Col=11","")</f>
      </c>
      <c r="M205" t="s" s="1">
        <f>HYPERLINK("http://141.218.60.56/~jnz1568/discussion.php?&amp;Z=8&amp;N=6&amp;Sheet=2&amp;Row=204&amp;Col=12","")</f>
      </c>
    </row>
    <row r="206">
      <c r="A206" t="s">
        <v>1</v>
      </c>
      <c r="B206" t="s">
        <v>1</v>
      </c>
      <c r="C206" t="s">
        <v>1</v>
      </c>
      <c r="D206" t="s">
        <v>1</v>
      </c>
      <c r="E206" t="s">
        <v>20</v>
      </c>
      <c r="F206" t="s" s="1">
        <f>HYPERLINK("http://141.218.60.56/~jnz1568/discussion.php?&amp;Z=8&amp;N=6&amp;Sheet=2&amp;Row=205&amp;Col=5","3.88")</f>
      </c>
      <c r="G206" t="s" s="1">
        <f>HYPERLINK("http://141.218.60.56/~jnz1568/discussion.php?&amp;Z=8&amp;N=6&amp;Sheet=2&amp;Row=205&amp;Col=6","0.119")</f>
      </c>
      <c r="H206" t="s" s="1">
        <f>HYPERLINK("http://141.218.60.56/~jnz1568/discussion.php?&amp;Z=8&amp;N=6&amp;Sheet=2&amp;Row=205&amp;Col=7","")</f>
      </c>
      <c r="I206" t="s" s="1">
        <f>HYPERLINK("http://141.218.60.56/~jnz1568/discussion.php?&amp;Z=8&amp;N=6&amp;Sheet=2&amp;Row=205&amp;Col=8","")</f>
      </c>
      <c r="J206" t="s" s="1">
        <f>HYPERLINK("http://141.218.60.56/~jnz1568/discussion.php?&amp;Z=8&amp;N=6&amp;Sheet=2&amp;Row=205&amp;Col=9","3.4")</f>
      </c>
      <c r="K206" t="s" s="1">
        <f>HYPERLINK("http://141.218.60.56/~jnz1568/discussion.php?&amp;Z=8&amp;N=6&amp;Sheet=2&amp;Row=205&amp;Col=10","0.107911111111")</f>
      </c>
      <c r="L206" t="s" s="1">
        <f>HYPERLINK("http://141.218.60.56/~jnz1568/discussion.php?&amp;Z=8&amp;N=6&amp;Sheet=2&amp;Row=205&amp;Col=11","")</f>
      </c>
      <c r="M206" t="s" s="1">
        <f>HYPERLINK("http://141.218.60.56/~jnz1568/discussion.php?&amp;Z=8&amp;N=6&amp;Sheet=2&amp;Row=205&amp;Col=12","")</f>
      </c>
    </row>
    <row r="207">
      <c r="A207" t="s">
        <v>1</v>
      </c>
      <c r="B207" t="s">
        <v>1</v>
      </c>
      <c r="C207" t="s">
        <v>1</v>
      </c>
      <c r="D207" t="s">
        <v>1</v>
      </c>
      <c r="E207" t="s">
        <v>28</v>
      </c>
      <c r="F207" t="s" s="1">
        <f>HYPERLINK("http://141.218.60.56/~jnz1568/discussion.php?&amp;Z=8&amp;N=6&amp;Sheet=2&amp;Row=206&amp;Col=5","4")</f>
      </c>
      <c r="G207" t="s" s="1">
        <f>HYPERLINK("http://141.218.60.56/~jnz1568/discussion.php?&amp;Z=8&amp;N=6&amp;Sheet=2&amp;Row=206&amp;Col=6","0.124")</f>
      </c>
      <c r="H207" t="s" s="1">
        <f>HYPERLINK("http://141.218.60.56/~jnz1568/discussion.php?&amp;Z=8&amp;N=6&amp;Sheet=2&amp;Row=206&amp;Col=7","")</f>
      </c>
      <c r="I207" t="s" s="1">
        <f>HYPERLINK("http://141.218.60.56/~jnz1568/discussion.php?&amp;Z=8&amp;N=6&amp;Sheet=2&amp;Row=206&amp;Col=8","")</f>
      </c>
      <c r="J207" t="s" s="1">
        <f>HYPERLINK("http://141.218.60.56/~jnz1568/discussion.php?&amp;Z=8&amp;N=6&amp;Sheet=2&amp;Row=206&amp;Col=9","3.6")</f>
      </c>
      <c r="K207" t="s" s="1">
        <f>HYPERLINK("http://141.218.60.56/~jnz1568/discussion.php?&amp;Z=8&amp;N=6&amp;Sheet=2&amp;Row=206&amp;Col=10","0.1136")</f>
      </c>
      <c r="L207" t="s" s="1">
        <f>HYPERLINK("http://141.218.60.56/~jnz1568/discussion.php?&amp;Z=8&amp;N=6&amp;Sheet=2&amp;Row=206&amp;Col=11","")</f>
      </c>
      <c r="M207" t="s" s="1">
        <f>HYPERLINK("http://141.218.60.56/~jnz1568/discussion.php?&amp;Z=8&amp;N=6&amp;Sheet=2&amp;Row=206&amp;Col=12","")</f>
      </c>
    </row>
    <row r="208">
      <c r="A208" t="s">
        <v>1</v>
      </c>
      <c r="B208" t="s">
        <v>1</v>
      </c>
      <c r="C208" t="s">
        <v>1</v>
      </c>
      <c r="D208" t="s">
        <v>1</v>
      </c>
      <c r="E208" t="s">
        <v>33</v>
      </c>
      <c r="F208" t="s" s="1">
        <f>HYPERLINK("http://141.218.60.56/~jnz1568/discussion.php?&amp;Z=8&amp;N=6&amp;Sheet=2&amp;Row=207&amp;Col=5","4.1")</f>
      </c>
      <c r="G208" t="s" s="1">
        <f>HYPERLINK("http://141.218.60.56/~jnz1568/discussion.php?&amp;Z=8&amp;N=6&amp;Sheet=2&amp;Row=207&amp;Col=6","0.128")</f>
      </c>
      <c r="H208" t="s" s="1">
        <f>HYPERLINK("http://141.218.60.56/~jnz1568/discussion.php?&amp;Z=8&amp;N=6&amp;Sheet=2&amp;Row=207&amp;Col=7","")</f>
      </c>
      <c r="I208" t="s" s="1">
        <f>HYPERLINK("http://141.218.60.56/~jnz1568/discussion.php?&amp;Z=8&amp;N=6&amp;Sheet=2&amp;Row=207&amp;Col=8","")</f>
      </c>
      <c r="J208" t="s" s="1">
        <f>HYPERLINK("http://141.218.60.56/~jnz1568/discussion.php?&amp;Z=8&amp;N=6&amp;Sheet=2&amp;Row=207&amp;Col=9","3.8")</f>
      </c>
      <c r="K208" t="s" s="1">
        <f>HYPERLINK("http://141.218.60.56/~jnz1568/discussion.php?&amp;Z=8&amp;N=6&amp;Sheet=2&amp;Row=207&amp;Col=10","0.1244")</f>
      </c>
      <c r="L208" t="s" s="1">
        <f>HYPERLINK("http://141.218.60.56/~jnz1568/discussion.php?&amp;Z=8&amp;N=6&amp;Sheet=2&amp;Row=207&amp;Col=11","")</f>
      </c>
      <c r="M208" t="s" s="1">
        <f>HYPERLINK("http://141.218.60.56/~jnz1568/discussion.php?&amp;Z=8&amp;N=6&amp;Sheet=2&amp;Row=207&amp;Col=12","")</f>
      </c>
    </row>
    <row r="209">
      <c r="A209" t="s">
        <v>1</v>
      </c>
      <c r="B209" t="s">
        <v>1</v>
      </c>
      <c r="C209" t="s">
        <v>1</v>
      </c>
      <c r="D209" t="s">
        <v>1</v>
      </c>
      <c r="E209" t="s">
        <v>16</v>
      </c>
      <c r="F209" t="s" s="1">
        <f>HYPERLINK("http://141.218.60.56/~jnz1568/discussion.php?&amp;Z=8&amp;N=6&amp;Sheet=2&amp;Row=208&amp;Col=5","4.18")</f>
      </c>
      <c r="G209" t="s" s="1">
        <f>HYPERLINK("http://141.218.60.56/~jnz1568/discussion.php?&amp;Z=8&amp;N=6&amp;Sheet=2&amp;Row=208&amp;Col=6","0.131")</f>
      </c>
      <c r="H209" t="s" s="1">
        <f>HYPERLINK("http://141.218.60.56/~jnz1568/discussion.php?&amp;Z=8&amp;N=6&amp;Sheet=2&amp;Row=208&amp;Col=7","")</f>
      </c>
      <c r="I209" t="s" s="1">
        <f>HYPERLINK("http://141.218.60.56/~jnz1568/discussion.php?&amp;Z=8&amp;N=6&amp;Sheet=2&amp;Row=208&amp;Col=8","")</f>
      </c>
      <c r="J209" t="s" s="1">
        <f>HYPERLINK("http://141.218.60.56/~jnz1568/discussion.php?&amp;Z=8&amp;N=6&amp;Sheet=2&amp;Row=208&amp;Col=9","4")</f>
      </c>
      <c r="K209" t="s" s="1">
        <f>HYPERLINK("http://141.218.60.56/~jnz1568/discussion.php?&amp;Z=8&amp;N=6&amp;Sheet=2&amp;Row=208&amp;Col=10","0.134155555556")</f>
      </c>
      <c r="L209" t="s" s="1">
        <f>HYPERLINK("http://141.218.60.56/~jnz1568/discussion.php?&amp;Z=8&amp;N=6&amp;Sheet=2&amp;Row=208&amp;Col=11","")</f>
      </c>
      <c r="M209" t="s" s="1">
        <f>HYPERLINK("http://141.218.60.56/~jnz1568/discussion.php?&amp;Z=8&amp;N=6&amp;Sheet=2&amp;Row=208&amp;Col=12","")</f>
      </c>
    </row>
    <row r="210">
      <c r="A210" t="s">
        <v>1</v>
      </c>
      <c r="B210" t="s">
        <v>1</v>
      </c>
      <c r="C210" t="s">
        <v>1</v>
      </c>
      <c r="D210" t="s">
        <v>1</v>
      </c>
      <c r="E210" t="s">
        <v>43</v>
      </c>
      <c r="F210" t="s" s="1">
        <f>HYPERLINK("http://141.218.60.56/~jnz1568/discussion.php?&amp;Z=8&amp;N=6&amp;Sheet=2&amp;Row=209&amp;Col=5","4.24")</f>
      </c>
      <c r="G210" t="s" s="1">
        <f>HYPERLINK("http://141.218.60.56/~jnz1568/discussion.php?&amp;Z=8&amp;N=6&amp;Sheet=2&amp;Row=209&amp;Col=6","0.133")</f>
      </c>
      <c r="H210" t="s" s="1">
        <f>HYPERLINK("http://141.218.60.56/~jnz1568/discussion.php?&amp;Z=8&amp;N=6&amp;Sheet=2&amp;Row=209&amp;Col=7","")</f>
      </c>
      <c r="I210" t="s" s="1">
        <f>HYPERLINK("http://141.218.60.56/~jnz1568/discussion.php?&amp;Z=8&amp;N=6&amp;Sheet=2&amp;Row=209&amp;Col=8","")</f>
      </c>
      <c r="J210" t="s" s="1">
        <f>HYPERLINK("http://141.218.60.56/~jnz1568/discussion.php?&amp;Z=8&amp;N=6&amp;Sheet=2&amp;Row=209&amp;Col=9","4.2")</f>
      </c>
      <c r="K210" t="s" s="1">
        <f>HYPERLINK("http://141.218.60.56/~jnz1568/discussion.php?&amp;Z=8&amp;N=6&amp;Sheet=2&amp;Row=209&amp;Col=10","0.139711111111")</f>
      </c>
      <c r="L210" t="s" s="1">
        <f>HYPERLINK("http://141.218.60.56/~jnz1568/discussion.php?&amp;Z=8&amp;N=6&amp;Sheet=2&amp;Row=209&amp;Col=11","")</f>
      </c>
      <c r="M210" t="s" s="1">
        <f>HYPERLINK("http://141.218.60.56/~jnz1568/discussion.php?&amp;Z=8&amp;N=6&amp;Sheet=2&amp;Row=209&amp;Col=12","")</f>
      </c>
    </row>
    <row r="211">
      <c r="A211" t="s">
        <v>1</v>
      </c>
      <c r="B211" t="s">
        <v>1</v>
      </c>
      <c r="C211" t="s">
        <v>1</v>
      </c>
      <c r="D211" t="s">
        <v>1</v>
      </c>
      <c r="E211" t="s">
        <v>15</v>
      </c>
      <c r="F211" t="s" s="1">
        <f>HYPERLINK("http://141.218.60.56/~jnz1568/discussion.php?&amp;Z=8&amp;N=6&amp;Sheet=2&amp;Row=210&amp;Col=5","4.3")</f>
      </c>
      <c r="G211" t="s" s="1">
        <f>HYPERLINK("http://141.218.60.56/~jnz1568/discussion.php?&amp;Z=8&amp;N=6&amp;Sheet=2&amp;Row=210&amp;Col=6","0.135")</f>
      </c>
      <c r="H211" t="s" s="1">
        <f>HYPERLINK("http://141.218.60.56/~jnz1568/discussion.php?&amp;Z=8&amp;N=6&amp;Sheet=2&amp;Row=210&amp;Col=7","")</f>
      </c>
      <c r="I211" t="s" s="1">
        <f>HYPERLINK("http://141.218.60.56/~jnz1568/discussion.php?&amp;Z=8&amp;N=6&amp;Sheet=2&amp;Row=210&amp;Col=8","")</f>
      </c>
      <c r="J211" t="s" s="1">
        <f>HYPERLINK("http://141.218.60.56/~jnz1568/discussion.php?&amp;Z=8&amp;N=6&amp;Sheet=2&amp;Row=210&amp;Col=9","4.4")</f>
      </c>
      <c r="K211" t="s" s="1">
        <f>HYPERLINK("http://141.218.60.56/~jnz1568/discussion.php?&amp;Z=8&amp;N=6&amp;Sheet=2&amp;Row=210&amp;Col=10","0.141333333333")</f>
      </c>
      <c r="L211" t="s" s="1">
        <f>HYPERLINK("http://141.218.60.56/~jnz1568/discussion.php?&amp;Z=8&amp;N=6&amp;Sheet=2&amp;Row=210&amp;Col=11","")</f>
      </c>
      <c r="M211" t="s" s="1">
        <f>HYPERLINK("http://141.218.60.56/~jnz1568/discussion.php?&amp;Z=8&amp;N=6&amp;Sheet=2&amp;Row=210&amp;Col=12","")</f>
      </c>
    </row>
    <row r="212">
      <c r="A212" t="s">
        <v>1</v>
      </c>
      <c r="B212" t="s">
        <v>1</v>
      </c>
      <c r="C212" t="s">
        <v>1</v>
      </c>
      <c r="D212" t="s">
        <v>1</v>
      </c>
      <c r="E212" t="s">
        <v>50</v>
      </c>
      <c r="F212" t="s" s="1">
        <f>HYPERLINK("http://141.218.60.56/~jnz1568/discussion.php?&amp;Z=8&amp;N=6&amp;Sheet=2&amp;Row=211&amp;Col=5","4.4")</f>
      </c>
      <c r="G212" t="s" s="1">
        <f>HYPERLINK("http://141.218.60.56/~jnz1568/discussion.php?&amp;Z=8&amp;N=6&amp;Sheet=2&amp;Row=211&amp;Col=6","0.137")</f>
      </c>
      <c r="H212" t="s" s="1">
        <f>HYPERLINK("http://141.218.60.56/~jnz1568/discussion.php?&amp;Z=8&amp;N=6&amp;Sheet=2&amp;Row=211&amp;Col=7","")</f>
      </c>
      <c r="I212" t="s" s="1">
        <f>HYPERLINK("http://141.218.60.56/~jnz1568/discussion.php?&amp;Z=8&amp;N=6&amp;Sheet=2&amp;Row=211&amp;Col=8","")</f>
      </c>
      <c r="J212" t="s" s="1">
        <f>HYPERLINK("http://141.218.60.56/~jnz1568/discussion.php?&amp;Z=8&amp;N=6&amp;Sheet=2&amp;Row=211&amp;Col=9","4.6")</f>
      </c>
      <c r="K212" t="s" s="1">
        <f>HYPERLINK("http://141.218.60.56/~jnz1568/discussion.php?&amp;Z=8&amp;N=6&amp;Sheet=2&amp;Row=211&amp;Col=10","0.138344444444")</f>
      </c>
      <c r="L212" t="s" s="1">
        <f>HYPERLINK("http://141.218.60.56/~jnz1568/discussion.php?&amp;Z=8&amp;N=6&amp;Sheet=2&amp;Row=211&amp;Col=11","")</f>
      </c>
      <c r="M212" t="s" s="1">
        <f>HYPERLINK("http://141.218.60.56/~jnz1568/discussion.php?&amp;Z=8&amp;N=6&amp;Sheet=2&amp;Row=211&amp;Col=12","")</f>
      </c>
    </row>
    <row r="213">
      <c r="A213" t="s">
        <v>1</v>
      </c>
      <c r="B213" t="s">
        <v>1</v>
      </c>
      <c r="C213" t="s">
        <v>1</v>
      </c>
      <c r="D213" t="s">
        <v>1</v>
      </c>
      <c r="E213" t="s">
        <v>53</v>
      </c>
      <c r="F213" t="s" s="1">
        <f>HYPERLINK("http://141.218.60.56/~jnz1568/discussion.php?&amp;Z=8&amp;N=6&amp;Sheet=2&amp;Row=212&amp;Col=5","4.48")</f>
      </c>
      <c r="G213" t="s" s="1">
        <f>HYPERLINK("http://141.218.60.56/~jnz1568/discussion.php?&amp;Z=8&amp;N=6&amp;Sheet=2&amp;Row=212&amp;Col=6","0.137")</f>
      </c>
      <c r="H213" t="s" s="1">
        <f>HYPERLINK("http://141.218.60.56/~jnz1568/discussion.php?&amp;Z=8&amp;N=6&amp;Sheet=2&amp;Row=212&amp;Col=7","")</f>
      </c>
      <c r="I213" t="s" s="1">
        <f>HYPERLINK("http://141.218.60.56/~jnz1568/discussion.php?&amp;Z=8&amp;N=6&amp;Sheet=2&amp;Row=212&amp;Col=8","")</f>
      </c>
      <c r="J213" t="s" s="1">
        <f>HYPERLINK("http://141.218.60.56/~jnz1568/discussion.php?&amp;Z=8&amp;N=6&amp;Sheet=2&amp;Row=212&amp;Col=9","4.8")</f>
      </c>
      <c r="K213" t="s" s="1">
        <f>HYPERLINK("http://141.218.60.56/~jnz1568/discussion.php?&amp;Z=8&amp;N=6&amp;Sheet=2&amp;Row=212&amp;Col=10","0.130044444444")</f>
      </c>
      <c r="L213" t="s" s="1">
        <f>HYPERLINK("http://141.218.60.56/~jnz1568/discussion.php?&amp;Z=8&amp;N=6&amp;Sheet=2&amp;Row=212&amp;Col=11","")</f>
      </c>
      <c r="M213" t="s" s="1">
        <f>HYPERLINK("http://141.218.60.56/~jnz1568/discussion.php?&amp;Z=8&amp;N=6&amp;Sheet=2&amp;Row=212&amp;Col=12","")</f>
      </c>
    </row>
    <row r="214">
      <c r="A214" t="s">
        <v>1</v>
      </c>
      <c r="B214" t="s">
        <v>1</v>
      </c>
      <c r="C214" t="s">
        <v>1</v>
      </c>
      <c r="D214" t="s">
        <v>1</v>
      </c>
      <c r="E214" t="s">
        <v>58</v>
      </c>
      <c r="F214" t="s" s="1">
        <f>HYPERLINK("http://141.218.60.56/~jnz1568/discussion.php?&amp;Z=8&amp;N=6&amp;Sheet=2&amp;Row=213&amp;Col=5","4.6")</f>
      </c>
      <c r="G214" t="s" s="1">
        <f>HYPERLINK("http://141.218.60.56/~jnz1568/discussion.php?&amp;Z=8&amp;N=6&amp;Sheet=2&amp;Row=213&amp;Col=6","0.137")</f>
      </c>
      <c r="H214" t="s" s="1">
        <f>HYPERLINK("http://141.218.60.56/~jnz1568/discussion.php?&amp;Z=8&amp;N=6&amp;Sheet=2&amp;Row=213&amp;Col=7","")</f>
      </c>
      <c r="I214" t="s" s="1">
        <f>HYPERLINK("http://141.218.60.56/~jnz1568/discussion.php?&amp;Z=8&amp;N=6&amp;Sheet=2&amp;Row=213&amp;Col=8","")</f>
      </c>
      <c r="J214" t="s" s="1">
        <f>HYPERLINK("http://141.218.60.56/~jnz1568/discussion.php?&amp;Z=8&amp;N=6&amp;Sheet=2&amp;Row=213&amp;Col=9","5")</f>
      </c>
      <c r="K214" t="s" s="1">
        <f>HYPERLINK("http://141.218.60.56/~jnz1568/discussion.php?&amp;Z=8&amp;N=6&amp;Sheet=2&amp;Row=213&amp;Col=10","0.117777777778")</f>
      </c>
      <c r="L214" t="s" s="1">
        <f>HYPERLINK("http://141.218.60.56/~jnz1568/discussion.php?&amp;Z=8&amp;N=6&amp;Sheet=2&amp;Row=213&amp;Col=11","")</f>
      </c>
      <c r="M214" t="s" s="1">
        <f>HYPERLINK("http://141.218.60.56/~jnz1568/discussion.php?&amp;Z=8&amp;N=6&amp;Sheet=2&amp;Row=213&amp;Col=12","")</f>
      </c>
    </row>
    <row r="215">
      <c r="A215" t="s">
        <v>1</v>
      </c>
      <c r="B215" t="s">
        <v>1</v>
      </c>
      <c r="C215" t="s">
        <v>1</v>
      </c>
      <c r="D215" t="s">
        <v>1</v>
      </c>
      <c r="E215" t="s">
        <v>61</v>
      </c>
      <c r="F215" t="s" s="1">
        <f>HYPERLINK("http://141.218.60.56/~jnz1568/discussion.php?&amp;Z=8&amp;N=6&amp;Sheet=2&amp;Row=214&amp;Col=5","4.7")</f>
      </c>
      <c r="G215" t="s" s="1">
        <f>HYPERLINK("http://141.218.60.56/~jnz1568/discussion.php?&amp;Z=8&amp;N=6&amp;Sheet=2&amp;Row=214&amp;Col=6","0.134")</f>
      </c>
      <c r="H215" t="s" s="1">
        <f>HYPERLINK("http://141.218.60.56/~jnz1568/discussion.php?&amp;Z=8&amp;N=6&amp;Sheet=2&amp;Row=214&amp;Col=7","")</f>
      </c>
      <c r="I215" t="s" s="1">
        <f>HYPERLINK("http://141.218.60.56/~jnz1568/discussion.php?&amp;Z=8&amp;N=6&amp;Sheet=2&amp;Row=214&amp;Col=8","")</f>
      </c>
      <c r="J215" t="s" s="1">
        <f>HYPERLINK("http://141.218.60.56/~jnz1568/discussion.php?&amp;Z=8&amp;N=6&amp;Sheet=2&amp;Row=214&amp;Col=9","")</f>
      </c>
      <c r="K215" t="s" s="1">
        <f>HYPERLINK("http://141.218.60.56/~jnz1568/discussion.php?&amp;Z=8&amp;N=6&amp;Sheet=2&amp;Row=214&amp;Col=10","")</f>
      </c>
      <c r="L215" t="s" s="1">
        <f>HYPERLINK("http://141.218.60.56/~jnz1568/discussion.php?&amp;Z=8&amp;N=6&amp;Sheet=2&amp;Row=214&amp;Col=11","")</f>
      </c>
      <c r="M215" t="s" s="1">
        <f>HYPERLINK("http://141.218.60.56/~jnz1568/discussion.php?&amp;Z=8&amp;N=6&amp;Sheet=2&amp;Row=214&amp;Col=12","")</f>
      </c>
    </row>
    <row r="216">
      <c r="A216" t="s">
        <v>1</v>
      </c>
      <c r="B216" t="s">
        <v>1</v>
      </c>
      <c r="C216" t="s">
        <v>1</v>
      </c>
      <c r="D216" t="s">
        <v>1</v>
      </c>
      <c r="E216" t="s">
        <v>64</v>
      </c>
      <c r="F216" t="s" s="1">
        <f>HYPERLINK("http://141.218.60.56/~jnz1568/discussion.php?&amp;Z=8&amp;N=6&amp;Sheet=2&amp;Row=215&amp;Col=5","4.78")</f>
      </c>
      <c r="G216" t="s" s="1">
        <f>HYPERLINK("http://141.218.60.56/~jnz1568/discussion.php?&amp;Z=8&amp;N=6&amp;Sheet=2&amp;Row=215&amp;Col=6","0.131")</f>
      </c>
      <c r="H216" t="s" s="1">
        <f>HYPERLINK("http://141.218.60.56/~jnz1568/discussion.php?&amp;Z=8&amp;N=6&amp;Sheet=2&amp;Row=215&amp;Col=7","")</f>
      </c>
      <c r="I216" t="s" s="1">
        <f>HYPERLINK("http://141.218.60.56/~jnz1568/discussion.php?&amp;Z=8&amp;N=6&amp;Sheet=2&amp;Row=215&amp;Col=8","")</f>
      </c>
      <c r="J216" t="s" s="1">
        <f>HYPERLINK("http://141.218.60.56/~jnz1568/discussion.php?&amp;Z=8&amp;N=6&amp;Sheet=2&amp;Row=215&amp;Col=9","")</f>
      </c>
      <c r="K216" t="s" s="1">
        <f>HYPERLINK("http://141.218.60.56/~jnz1568/discussion.php?&amp;Z=8&amp;N=6&amp;Sheet=2&amp;Row=215&amp;Col=10","")</f>
      </c>
      <c r="L216" t="s" s="1">
        <f>HYPERLINK("http://141.218.60.56/~jnz1568/discussion.php?&amp;Z=8&amp;N=6&amp;Sheet=2&amp;Row=215&amp;Col=11","")</f>
      </c>
      <c r="M216" t="s" s="1">
        <f>HYPERLINK("http://141.218.60.56/~jnz1568/discussion.php?&amp;Z=8&amp;N=6&amp;Sheet=2&amp;Row=215&amp;Col=12","")</f>
      </c>
    </row>
    <row r="217">
      <c r="A217" t="s">
        <v>1</v>
      </c>
      <c r="B217" t="s">
        <v>1</v>
      </c>
      <c r="C217" t="s">
        <v>1</v>
      </c>
      <c r="D217" t="s">
        <v>1</v>
      </c>
      <c r="E217" t="s">
        <v>69</v>
      </c>
      <c r="F217" t="s" s="1">
        <f>HYPERLINK("http://141.218.60.56/~jnz1568/discussion.php?&amp;Z=8&amp;N=6&amp;Sheet=2&amp;Row=216&amp;Col=5","4.9")</f>
      </c>
      <c r="G217" t="s" s="1">
        <f>HYPERLINK("http://141.218.60.56/~jnz1568/discussion.php?&amp;Z=8&amp;N=6&amp;Sheet=2&amp;Row=216&amp;Col=6","0.125")</f>
      </c>
      <c r="H217" t="s" s="1">
        <f>HYPERLINK("http://141.218.60.56/~jnz1568/discussion.php?&amp;Z=8&amp;N=6&amp;Sheet=2&amp;Row=216&amp;Col=7","")</f>
      </c>
      <c r="I217" t="s" s="1">
        <f>HYPERLINK("http://141.218.60.56/~jnz1568/discussion.php?&amp;Z=8&amp;N=6&amp;Sheet=2&amp;Row=216&amp;Col=8","")</f>
      </c>
      <c r="J217" t="s" s="1">
        <f>HYPERLINK("http://141.218.60.56/~jnz1568/discussion.php?&amp;Z=8&amp;N=6&amp;Sheet=2&amp;Row=216&amp;Col=9","")</f>
      </c>
      <c r="K217" t="s" s="1">
        <f>HYPERLINK("http://141.218.60.56/~jnz1568/discussion.php?&amp;Z=8&amp;N=6&amp;Sheet=2&amp;Row=216&amp;Col=10","")</f>
      </c>
      <c r="L217" t="s" s="1">
        <f>HYPERLINK("http://141.218.60.56/~jnz1568/discussion.php?&amp;Z=8&amp;N=6&amp;Sheet=2&amp;Row=216&amp;Col=11","")</f>
      </c>
      <c r="M217" t="s" s="1">
        <f>HYPERLINK("http://141.218.60.56/~jnz1568/discussion.php?&amp;Z=8&amp;N=6&amp;Sheet=2&amp;Row=216&amp;Col=12","")</f>
      </c>
    </row>
    <row r="218">
      <c r="A218" t="s">
        <v>1</v>
      </c>
      <c r="B218" t="s">
        <v>1</v>
      </c>
      <c r="C218" t="s">
        <v>1</v>
      </c>
      <c r="D218" t="s">
        <v>1</v>
      </c>
      <c r="E218" t="s">
        <v>74</v>
      </c>
      <c r="F218" t="s" s="1">
        <f>HYPERLINK("http://141.218.60.56/~jnz1568/discussion.php?&amp;Z=8&amp;N=6&amp;Sheet=2&amp;Row=217&amp;Col=5","5")</f>
      </c>
      <c r="G218" t="s" s="1">
        <f>HYPERLINK("http://141.218.60.56/~jnz1568/discussion.php?&amp;Z=8&amp;N=6&amp;Sheet=2&amp;Row=217&amp;Col=6","0.119")</f>
      </c>
      <c r="H218" t="s" s="1">
        <f>HYPERLINK("http://141.218.60.56/~jnz1568/discussion.php?&amp;Z=8&amp;N=6&amp;Sheet=2&amp;Row=217&amp;Col=7","")</f>
      </c>
      <c r="I218" t="s" s="1">
        <f>HYPERLINK("http://141.218.60.56/~jnz1568/discussion.php?&amp;Z=8&amp;N=6&amp;Sheet=2&amp;Row=217&amp;Col=8","")</f>
      </c>
      <c r="J218" t="s" s="1">
        <f>HYPERLINK("http://141.218.60.56/~jnz1568/discussion.php?&amp;Z=8&amp;N=6&amp;Sheet=2&amp;Row=217&amp;Col=9","")</f>
      </c>
      <c r="K218" t="s" s="1">
        <f>HYPERLINK("http://141.218.60.56/~jnz1568/discussion.php?&amp;Z=8&amp;N=6&amp;Sheet=2&amp;Row=217&amp;Col=10","")</f>
      </c>
      <c r="L218" t="s" s="1">
        <f>HYPERLINK("http://141.218.60.56/~jnz1568/discussion.php?&amp;Z=8&amp;N=6&amp;Sheet=2&amp;Row=217&amp;Col=11","")</f>
      </c>
      <c r="M218" t="s" s="1">
        <f>HYPERLINK("http://141.218.60.56/~jnz1568/discussion.php?&amp;Z=8&amp;N=6&amp;Sheet=2&amp;Row=217&amp;Col=12","")</f>
      </c>
    </row>
    <row r="219">
      <c r="A219" t="s">
        <v>1</v>
      </c>
      <c r="B219" t="s">
        <v>1</v>
      </c>
      <c r="C219" t="s">
        <v>1</v>
      </c>
      <c r="D219" t="s">
        <v>1</v>
      </c>
      <c r="E219" t="s">
        <v>79</v>
      </c>
      <c r="F219" t="s" s="1">
        <f>HYPERLINK("http://141.218.60.56/~jnz1568/discussion.php?&amp;Z=8&amp;N=6&amp;Sheet=2&amp;Row=218&amp;Col=5","5.08")</f>
      </c>
      <c r="G219" t="s" s="1">
        <f>HYPERLINK("http://141.218.60.56/~jnz1568/discussion.php?&amp;Z=8&amp;N=6&amp;Sheet=2&amp;Row=218&amp;Col=6","0.114")</f>
      </c>
      <c r="H219" t="s" s="1">
        <f>HYPERLINK("http://141.218.60.56/~jnz1568/discussion.php?&amp;Z=8&amp;N=6&amp;Sheet=2&amp;Row=218&amp;Col=7","")</f>
      </c>
      <c r="I219" t="s" s="1">
        <f>HYPERLINK("http://141.218.60.56/~jnz1568/discussion.php?&amp;Z=8&amp;N=6&amp;Sheet=2&amp;Row=218&amp;Col=8","")</f>
      </c>
      <c r="J219" t="s" s="1">
        <f>HYPERLINK("http://141.218.60.56/~jnz1568/discussion.php?&amp;Z=8&amp;N=6&amp;Sheet=2&amp;Row=218&amp;Col=9","")</f>
      </c>
      <c r="K219" t="s" s="1">
        <f>HYPERLINK("http://141.218.60.56/~jnz1568/discussion.php?&amp;Z=8&amp;N=6&amp;Sheet=2&amp;Row=218&amp;Col=10","")</f>
      </c>
      <c r="L219" t="s" s="1">
        <f>HYPERLINK("http://141.218.60.56/~jnz1568/discussion.php?&amp;Z=8&amp;N=6&amp;Sheet=2&amp;Row=218&amp;Col=11","")</f>
      </c>
      <c r="M219" t="s" s="1">
        <f>HYPERLINK("http://141.218.60.56/~jnz1568/discussion.php?&amp;Z=8&amp;N=6&amp;Sheet=2&amp;Row=218&amp;Col=12","")</f>
      </c>
    </row>
    <row r="220">
      <c r="A220" t="s">
        <v>1</v>
      </c>
      <c r="B220" t="s">
        <v>1</v>
      </c>
      <c r="C220" t="s">
        <v>1</v>
      </c>
      <c r="D220" t="s">
        <v>1</v>
      </c>
      <c r="E220" t="s">
        <v>84</v>
      </c>
      <c r="F220" t="s" s="1">
        <f>HYPERLINK("http://141.218.60.56/~jnz1568/discussion.php?&amp;Z=8&amp;N=6&amp;Sheet=2&amp;Row=219&amp;Col=5","5.15")</f>
      </c>
      <c r="G220" t="s" s="1">
        <f>HYPERLINK("http://141.218.60.56/~jnz1568/discussion.php?&amp;Z=8&amp;N=6&amp;Sheet=2&amp;Row=219&amp;Col=6","0.109")</f>
      </c>
      <c r="H220" t="s" s="1">
        <f>HYPERLINK("http://141.218.60.56/~jnz1568/discussion.php?&amp;Z=8&amp;N=6&amp;Sheet=2&amp;Row=219&amp;Col=7","")</f>
      </c>
      <c r="I220" t="s" s="1">
        <f>HYPERLINK("http://141.218.60.56/~jnz1568/discussion.php?&amp;Z=8&amp;N=6&amp;Sheet=2&amp;Row=219&amp;Col=8","")</f>
      </c>
      <c r="J220" t="s" s="1">
        <f>HYPERLINK("http://141.218.60.56/~jnz1568/discussion.php?&amp;Z=8&amp;N=6&amp;Sheet=2&amp;Row=219&amp;Col=9","")</f>
      </c>
      <c r="K220" t="s" s="1">
        <f>HYPERLINK("http://141.218.60.56/~jnz1568/discussion.php?&amp;Z=8&amp;N=6&amp;Sheet=2&amp;Row=219&amp;Col=10","")</f>
      </c>
      <c r="L220" t="s" s="1">
        <f>HYPERLINK("http://141.218.60.56/~jnz1568/discussion.php?&amp;Z=8&amp;N=6&amp;Sheet=2&amp;Row=219&amp;Col=11","")</f>
      </c>
      <c r="M220" t="s" s="1">
        <f>HYPERLINK("http://141.218.60.56/~jnz1568/discussion.php?&amp;Z=8&amp;N=6&amp;Sheet=2&amp;Row=219&amp;Col=12","")</f>
      </c>
    </row>
    <row r="221">
      <c r="A221" t="s">
        <v>1</v>
      </c>
      <c r="B221" t="s">
        <v>1</v>
      </c>
      <c r="C221" t="s">
        <v>1</v>
      </c>
      <c r="D221" t="s">
        <v>1</v>
      </c>
      <c r="E221" t="s">
        <v>87</v>
      </c>
      <c r="F221" t="s" s="1">
        <f>HYPERLINK("http://141.218.60.56/~jnz1568/discussion.php?&amp;Z=8&amp;N=6&amp;Sheet=2&amp;Row=220&amp;Col=5","5.2")</f>
      </c>
      <c r="G221" t="s" s="1">
        <f>HYPERLINK("http://141.218.60.56/~jnz1568/discussion.php?&amp;Z=8&amp;N=6&amp;Sheet=2&amp;Row=220&amp;Col=6","0.105")</f>
      </c>
      <c r="H221" t="s" s="1">
        <f>HYPERLINK("http://141.218.60.56/~jnz1568/discussion.php?&amp;Z=8&amp;N=6&amp;Sheet=2&amp;Row=220&amp;Col=7","")</f>
      </c>
      <c r="I221" t="s" s="1">
        <f>HYPERLINK("http://141.218.60.56/~jnz1568/discussion.php?&amp;Z=8&amp;N=6&amp;Sheet=2&amp;Row=220&amp;Col=8","")</f>
      </c>
      <c r="J221" t="s" s="1">
        <f>HYPERLINK("http://141.218.60.56/~jnz1568/discussion.php?&amp;Z=8&amp;N=6&amp;Sheet=2&amp;Row=220&amp;Col=9","")</f>
      </c>
      <c r="K221" t="s" s="1">
        <f>HYPERLINK("http://141.218.60.56/~jnz1568/discussion.php?&amp;Z=8&amp;N=6&amp;Sheet=2&amp;Row=220&amp;Col=10","")</f>
      </c>
      <c r="L221" t="s" s="1">
        <f>HYPERLINK("http://141.218.60.56/~jnz1568/discussion.php?&amp;Z=8&amp;N=6&amp;Sheet=2&amp;Row=220&amp;Col=11","")</f>
      </c>
      <c r="M221" t="s" s="1">
        <f>HYPERLINK("http://141.218.60.56/~jnz1568/discussion.php?&amp;Z=8&amp;N=6&amp;Sheet=2&amp;Row=220&amp;Col=12","")</f>
      </c>
    </row>
    <row r="222">
      <c r="A222" t="s">
        <v>1</v>
      </c>
      <c r="B222" t="s">
        <v>1</v>
      </c>
      <c r="C222" t="s">
        <v>1</v>
      </c>
      <c r="D222" t="s">
        <v>1</v>
      </c>
      <c r="E222" t="s">
        <v>90</v>
      </c>
      <c r="F222" t="s" s="1">
        <f>HYPERLINK("http://141.218.60.56/~jnz1568/discussion.php?&amp;Z=8&amp;N=6&amp;Sheet=2&amp;Row=221&amp;Col=5","5.26")</f>
      </c>
      <c r="G222" t="s" s="1">
        <f>HYPERLINK("http://141.218.60.56/~jnz1568/discussion.php?&amp;Z=8&amp;N=6&amp;Sheet=2&amp;Row=221&amp;Col=6","0.101")</f>
      </c>
      <c r="H222" t="s" s="1">
        <f>HYPERLINK("http://141.218.60.56/~jnz1568/discussion.php?&amp;Z=8&amp;N=6&amp;Sheet=2&amp;Row=221&amp;Col=7","")</f>
      </c>
      <c r="I222" t="s" s="1">
        <f>HYPERLINK("http://141.218.60.56/~jnz1568/discussion.php?&amp;Z=8&amp;N=6&amp;Sheet=2&amp;Row=221&amp;Col=8","")</f>
      </c>
      <c r="J222" t="s" s="1">
        <f>HYPERLINK("http://141.218.60.56/~jnz1568/discussion.php?&amp;Z=8&amp;N=6&amp;Sheet=2&amp;Row=221&amp;Col=9","")</f>
      </c>
      <c r="K222" t="s" s="1">
        <f>HYPERLINK("http://141.218.60.56/~jnz1568/discussion.php?&amp;Z=8&amp;N=6&amp;Sheet=2&amp;Row=221&amp;Col=10","")</f>
      </c>
      <c r="L222" t="s" s="1">
        <f>HYPERLINK("http://141.218.60.56/~jnz1568/discussion.php?&amp;Z=8&amp;N=6&amp;Sheet=2&amp;Row=221&amp;Col=11","")</f>
      </c>
      <c r="M222" t="s" s="1">
        <f>HYPERLINK("http://141.218.60.56/~jnz1568/discussion.php?&amp;Z=8&amp;N=6&amp;Sheet=2&amp;Row=221&amp;Col=12","")</f>
      </c>
    </row>
    <row r="223">
      <c r="A223" t="s">
        <v>1</v>
      </c>
      <c r="B223" t="s">
        <v>1</v>
      </c>
      <c r="C223" t="s">
        <v>1</v>
      </c>
      <c r="D223" t="s">
        <v>1</v>
      </c>
      <c r="E223" t="s">
        <v>94</v>
      </c>
      <c r="F223" t="s" s="1">
        <f>HYPERLINK("http://141.218.60.56/~jnz1568/discussion.php?&amp;Z=8&amp;N=6&amp;Sheet=2&amp;Row=222&amp;Col=5","5.3")</f>
      </c>
      <c r="G223" t="s" s="1">
        <f>HYPERLINK("http://141.218.60.56/~jnz1568/discussion.php?&amp;Z=8&amp;N=6&amp;Sheet=2&amp;Row=222&amp;Col=6","0.0981")</f>
      </c>
      <c r="H223" t="s" s="1">
        <f>HYPERLINK("http://141.218.60.56/~jnz1568/discussion.php?&amp;Z=8&amp;N=6&amp;Sheet=2&amp;Row=222&amp;Col=7","")</f>
      </c>
      <c r="I223" t="s" s="1">
        <f>HYPERLINK("http://141.218.60.56/~jnz1568/discussion.php?&amp;Z=8&amp;N=6&amp;Sheet=2&amp;Row=222&amp;Col=8","")</f>
      </c>
      <c r="J223" t="s" s="1">
        <f>HYPERLINK("http://141.218.60.56/~jnz1568/discussion.php?&amp;Z=8&amp;N=6&amp;Sheet=2&amp;Row=222&amp;Col=9","")</f>
      </c>
      <c r="K223" t="s" s="1">
        <f>HYPERLINK("http://141.218.60.56/~jnz1568/discussion.php?&amp;Z=8&amp;N=6&amp;Sheet=2&amp;Row=222&amp;Col=10","")</f>
      </c>
      <c r="L223" t="s" s="1">
        <f>HYPERLINK("http://141.218.60.56/~jnz1568/discussion.php?&amp;Z=8&amp;N=6&amp;Sheet=2&amp;Row=222&amp;Col=11","")</f>
      </c>
      <c r="M223" t="s" s="1">
        <f>HYPERLINK("http://141.218.60.56/~jnz1568/discussion.php?&amp;Z=8&amp;N=6&amp;Sheet=2&amp;Row=222&amp;Col=12","")</f>
      </c>
    </row>
    <row r="224">
      <c r="A224" t="s">
        <v>15</v>
      </c>
      <c r="B224" t="s">
        <v>16</v>
      </c>
      <c r="C224" t="s">
        <v>16</v>
      </c>
      <c r="D224" t="s">
        <v>23</v>
      </c>
      <c r="E224" t="s">
        <v>17</v>
      </c>
      <c r="F224" t="s" s="1">
        <f>HYPERLINK("http://141.218.60.56/~jnz1568/discussion.php?&amp;Z=8&amp;N=6&amp;Sheet=2&amp;Row=223&amp;Col=5","3.4")</f>
      </c>
      <c r="G224" t="s" s="1">
        <f>HYPERLINK("http://141.218.60.56/~jnz1568/discussion.php?&amp;Z=8&amp;N=6&amp;Sheet=2&amp;Row=223&amp;Col=6","0.333")</f>
      </c>
      <c r="H224" t="s" s="1">
        <f>HYPERLINK("http://141.218.60.56/~jnz1568/discussion.php?&amp;Z=8&amp;N=6&amp;Sheet=2&amp;Row=223&amp;Col=7","")</f>
      </c>
      <c r="I224" t="s" s="1">
        <f>HYPERLINK("http://141.218.60.56/~jnz1568/discussion.php?&amp;Z=8&amp;N=6&amp;Sheet=2&amp;Row=223&amp;Col=8","")</f>
      </c>
      <c r="J224" t="s" s="1">
        <f>HYPERLINK("http://141.218.60.56/~jnz1568/discussion.php?&amp;Z=8&amp;N=6&amp;Sheet=2&amp;Row=223&amp;Col=9","3")</f>
      </c>
      <c r="K224" t="s" s="1">
        <f>HYPERLINK("http://141.218.60.56/~jnz1568/discussion.php?&amp;Z=8&amp;N=6&amp;Sheet=2&amp;Row=223&amp;Col=10","0.325333333333")</f>
      </c>
      <c r="L224" t="s" s="1">
        <f>HYPERLINK("http://141.218.60.56/~jnz1568/discussion.php?&amp;Z=8&amp;N=6&amp;Sheet=2&amp;Row=223&amp;Col=11","")</f>
      </c>
      <c r="M224" t="s" s="1">
        <f>HYPERLINK("http://141.218.60.56/~jnz1568/discussion.php?&amp;Z=8&amp;N=6&amp;Sheet=2&amp;Row=223&amp;Col=12","")</f>
      </c>
    </row>
    <row r="225">
      <c r="A225" t="s">
        <v>1</v>
      </c>
      <c r="B225" t="s">
        <v>1</v>
      </c>
      <c r="C225" t="s">
        <v>1</v>
      </c>
      <c r="D225" t="s">
        <v>1</v>
      </c>
      <c r="E225" t="s">
        <v>23</v>
      </c>
      <c r="F225" t="s" s="1">
        <f>HYPERLINK("http://141.218.60.56/~jnz1568/discussion.php?&amp;Z=8&amp;N=6&amp;Sheet=2&amp;Row=224&amp;Col=5","3.7")</f>
      </c>
      <c r="G225" t="s" s="1">
        <f>HYPERLINK("http://141.218.60.56/~jnz1568/discussion.php?&amp;Z=8&amp;N=6&amp;Sheet=2&amp;Row=224&amp;Col=6","0.339")</f>
      </c>
      <c r="H225" t="s" s="1">
        <f>HYPERLINK("http://141.218.60.56/~jnz1568/discussion.php?&amp;Z=8&amp;N=6&amp;Sheet=2&amp;Row=224&amp;Col=7","")</f>
      </c>
      <c r="I225" t="s" s="1">
        <f>HYPERLINK("http://141.218.60.56/~jnz1568/discussion.php?&amp;Z=8&amp;N=6&amp;Sheet=2&amp;Row=224&amp;Col=8","")</f>
      </c>
      <c r="J225" t="s" s="1">
        <f>HYPERLINK("http://141.218.60.56/~jnz1568/discussion.php?&amp;Z=8&amp;N=6&amp;Sheet=2&amp;Row=224&amp;Col=9","3.2")</f>
      </c>
      <c r="K225" t="s" s="1">
        <f>HYPERLINK("http://141.218.60.56/~jnz1568/discussion.php?&amp;Z=8&amp;N=6&amp;Sheet=2&amp;Row=224&amp;Col=10","0.322433333333")</f>
      </c>
      <c r="L225" t="s" s="1">
        <f>HYPERLINK("http://141.218.60.56/~jnz1568/discussion.php?&amp;Z=8&amp;N=6&amp;Sheet=2&amp;Row=224&amp;Col=11","")</f>
      </c>
      <c r="M225" t="s" s="1">
        <f>HYPERLINK("http://141.218.60.56/~jnz1568/discussion.php?&amp;Z=8&amp;N=6&amp;Sheet=2&amp;Row=224&amp;Col=12","")</f>
      </c>
    </row>
    <row r="226">
      <c r="A226" t="s">
        <v>1</v>
      </c>
      <c r="B226" t="s">
        <v>1</v>
      </c>
      <c r="C226" t="s">
        <v>1</v>
      </c>
      <c r="D226" t="s">
        <v>1</v>
      </c>
      <c r="E226" t="s">
        <v>20</v>
      </c>
      <c r="F226" t="s" s="1">
        <f>HYPERLINK("http://141.218.60.56/~jnz1568/discussion.php?&amp;Z=8&amp;N=6&amp;Sheet=2&amp;Row=225&amp;Col=5","3.88")</f>
      </c>
      <c r="G226" t="s" s="1">
        <f>HYPERLINK("http://141.218.60.56/~jnz1568/discussion.php?&amp;Z=8&amp;N=6&amp;Sheet=2&amp;Row=225&amp;Col=6","0.357")</f>
      </c>
      <c r="H226" t="s" s="1">
        <f>HYPERLINK("http://141.218.60.56/~jnz1568/discussion.php?&amp;Z=8&amp;N=6&amp;Sheet=2&amp;Row=225&amp;Col=7","")</f>
      </c>
      <c r="I226" t="s" s="1">
        <f>HYPERLINK("http://141.218.60.56/~jnz1568/discussion.php?&amp;Z=8&amp;N=6&amp;Sheet=2&amp;Row=225&amp;Col=8","")</f>
      </c>
      <c r="J226" t="s" s="1">
        <f>HYPERLINK("http://141.218.60.56/~jnz1568/discussion.php?&amp;Z=8&amp;N=6&amp;Sheet=2&amp;Row=225&amp;Col=9","3.4")</f>
      </c>
      <c r="K226" t="s" s="1">
        <f>HYPERLINK("http://141.218.60.56/~jnz1568/discussion.php?&amp;Z=8&amp;N=6&amp;Sheet=2&amp;Row=225&amp;Col=10","0.323733333333")</f>
      </c>
      <c r="L226" t="s" s="1">
        <f>HYPERLINK("http://141.218.60.56/~jnz1568/discussion.php?&amp;Z=8&amp;N=6&amp;Sheet=2&amp;Row=225&amp;Col=11","")</f>
      </c>
      <c r="M226" t="s" s="1">
        <f>HYPERLINK("http://141.218.60.56/~jnz1568/discussion.php?&amp;Z=8&amp;N=6&amp;Sheet=2&amp;Row=225&amp;Col=12","")</f>
      </c>
    </row>
    <row r="227">
      <c r="A227" t="s">
        <v>1</v>
      </c>
      <c r="B227" t="s">
        <v>1</v>
      </c>
      <c r="C227" t="s">
        <v>1</v>
      </c>
      <c r="D227" t="s">
        <v>1</v>
      </c>
      <c r="E227" t="s">
        <v>28</v>
      </c>
      <c r="F227" t="s" s="1">
        <f>HYPERLINK("http://141.218.60.56/~jnz1568/discussion.php?&amp;Z=8&amp;N=6&amp;Sheet=2&amp;Row=226&amp;Col=5","4")</f>
      </c>
      <c r="G227" t="s" s="1">
        <f>HYPERLINK("http://141.218.60.56/~jnz1568/discussion.php?&amp;Z=8&amp;N=6&amp;Sheet=2&amp;Row=226&amp;Col=6","0.372")</f>
      </c>
      <c r="H227" t="s" s="1">
        <f>HYPERLINK("http://141.218.60.56/~jnz1568/discussion.php?&amp;Z=8&amp;N=6&amp;Sheet=2&amp;Row=226&amp;Col=7","")</f>
      </c>
      <c r="I227" t="s" s="1">
        <f>HYPERLINK("http://141.218.60.56/~jnz1568/discussion.php?&amp;Z=8&amp;N=6&amp;Sheet=2&amp;Row=226&amp;Col=8","")</f>
      </c>
      <c r="J227" t="s" s="1">
        <f>HYPERLINK("http://141.218.60.56/~jnz1568/discussion.php?&amp;Z=8&amp;N=6&amp;Sheet=2&amp;Row=226&amp;Col=9","3.6")</f>
      </c>
      <c r="K227" t="s" s="1">
        <f>HYPERLINK("http://141.218.60.56/~jnz1568/discussion.php?&amp;Z=8&amp;N=6&amp;Sheet=2&amp;Row=226&amp;Col=10","0.3408")</f>
      </c>
      <c r="L227" t="s" s="1">
        <f>HYPERLINK("http://141.218.60.56/~jnz1568/discussion.php?&amp;Z=8&amp;N=6&amp;Sheet=2&amp;Row=226&amp;Col=11","")</f>
      </c>
      <c r="M227" t="s" s="1">
        <f>HYPERLINK("http://141.218.60.56/~jnz1568/discussion.php?&amp;Z=8&amp;N=6&amp;Sheet=2&amp;Row=226&amp;Col=12","")</f>
      </c>
    </row>
    <row r="228">
      <c r="A228" t="s">
        <v>1</v>
      </c>
      <c r="B228" t="s">
        <v>1</v>
      </c>
      <c r="C228" t="s">
        <v>1</v>
      </c>
      <c r="D228" t="s">
        <v>1</v>
      </c>
      <c r="E228" t="s">
        <v>33</v>
      </c>
      <c r="F228" t="s" s="1">
        <f>HYPERLINK("http://141.218.60.56/~jnz1568/discussion.php?&amp;Z=8&amp;N=6&amp;Sheet=2&amp;Row=227&amp;Col=5","4.1")</f>
      </c>
      <c r="G228" t="s" s="1">
        <f>HYPERLINK("http://141.218.60.56/~jnz1568/discussion.php?&amp;Z=8&amp;N=6&amp;Sheet=2&amp;Row=227&amp;Col=6","0.384")</f>
      </c>
      <c r="H228" t="s" s="1">
        <f>HYPERLINK("http://141.218.60.56/~jnz1568/discussion.php?&amp;Z=8&amp;N=6&amp;Sheet=2&amp;Row=227&amp;Col=7","")</f>
      </c>
      <c r="I228" t="s" s="1">
        <f>HYPERLINK("http://141.218.60.56/~jnz1568/discussion.php?&amp;Z=8&amp;N=6&amp;Sheet=2&amp;Row=227&amp;Col=8","")</f>
      </c>
      <c r="J228" t="s" s="1">
        <f>HYPERLINK("http://141.218.60.56/~jnz1568/discussion.php?&amp;Z=8&amp;N=6&amp;Sheet=2&amp;Row=227&amp;Col=9","3.8")</f>
      </c>
      <c r="K228" t="s" s="1">
        <f>HYPERLINK("http://141.218.60.56/~jnz1568/discussion.php?&amp;Z=8&amp;N=6&amp;Sheet=2&amp;Row=227&amp;Col=10","0.3732")</f>
      </c>
      <c r="L228" t="s" s="1">
        <f>HYPERLINK("http://141.218.60.56/~jnz1568/discussion.php?&amp;Z=8&amp;N=6&amp;Sheet=2&amp;Row=227&amp;Col=11","")</f>
      </c>
      <c r="M228" t="s" s="1">
        <f>HYPERLINK("http://141.218.60.56/~jnz1568/discussion.php?&amp;Z=8&amp;N=6&amp;Sheet=2&amp;Row=227&amp;Col=12","")</f>
      </c>
    </row>
    <row r="229">
      <c r="A229" t="s">
        <v>1</v>
      </c>
      <c r="B229" t="s">
        <v>1</v>
      </c>
      <c r="C229" t="s">
        <v>1</v>
      </c>
      <c r="D229" t="s">
        <v>1</v>
      </c>
      <c r="E229" t="s">
        <v>16</v>
      </c>
      <c r="F229" t="s" s="1">
        <f>HYPERLINK("http://141.218.60.56/~jnz1568/discussion.php?&amp;Z=8&amp;N=6&amp;Sheet=2&amp;Row=228&amp;Col=5","4.18")</f>
      </c>
      <c r="G229" t="s" s="1">
        <f>HYPERLINK("http://141.218.60.56/~jnz1568/discussion.php?&amp;Z=8&amp;N=6&amp;Sheet=2&amp;Row=228&amp;Col=6","0.393")</f>
      </c>
      <c r="H229" t="s" s="1">
        <f>HYPERLINK("http://141.218.60.56/~jnz1568/discussion.php?&amp;Z=8&amp;N=6&amp;Sheet=2&amp;Row=228&amp;Col=7","")</f>
      </c>
      <c r="I229" t="s" s="1">
        <f>HYPERLINK("http://141.218.60.56/~jnz1568/discussion.php?&amp;Z=8&amp;N=6&amp;Sheet=2&amp;Row=228&amp;Col=8","")</f>
      </c>
      <c r="J229" t="s" s="1">
        <f>HYPERLINK("http://141.218.60.56/~jnz1568/discussion.php?&amp;Z=8&amp;N=6&amp;Sheet=2&amp;Row=228&amp;Col=9","4")</f>
      </c>
      <c r="K229" t="s" s="1">
        <f>HYPERLINK("http://141.218.60.56/~jnz1568/discussion.php?&amp;Z=8&amp;N=6&amp;Sheet=2&amp;Row=228&amp;Col=10","0.402466666667")</f>
      </c>
      <c r="L229" t="s" s="1">
        <f>HYPERLINK("http://141.218.60.56/~jnz1568/discussion.php?&amp;Z=8&amp;N=6&amp;Sheet=2&amp;Row=228&amp;Col=11","")</f>
      </c>
      <c r="M229" t="s" s="1">
        <f>HYPERLINK("http://141.218.60.56/~jnz1568/discussion.php?&amp;Z=8&amp;N=6&amp;Sheet=2&amp;Row=228&amp;Col=12","")</f>
      </c>
    </row>
    <row r="230">
      <c r="A230" t="s">
        <v>1</v>
      </c>
      <c r="B230" t="s">
        <v>1</v>
      </c>
      <c r="C230" t="s">
        <v>1</v>
      </c>
      <c r="D230" t="s">
        <v>1</v>
      </c>
      <c r="E230" t="s">
        <v>43</v>
      </c>
      <c r="F230" t="s" s="1">
        <f>HYPERLINK("http://141.218.60.56/~jnz1568/discussion.php?&amp;Z=8&amp;N=6&amp;Sheet=2&amp;Row=229&amp;Col=5","4.24")</f>
      </c>
      <c r="G230" t="s" s="1">
        <f>HYPERLINK("http://141.218.60.56/~jnz1568/discussion.php?&amp;Z=8&amp;N=6&amp;Sheet=2&amp;Row=229&amp;Col=6","0.399")</f>
      </c>
      <c r="H230" t="s" s="1">
        <f>HYPERLINK("http://141.218.60.56/~jnz1568/discussion.php?&amp;Z=8&amp;N=6&amp;Sheet=2&amp;Row=229&amp;Col=7","")</f>
      </c>
      <c r="I230" t="s" s="1">
        <f>HYPERLINK("http://141.218.60.56/~jnz1568/discussion.php?&amp;Z=8&amp;N=6&amp;Sheet=2&amp;Row=229&amp;Col=8","")</f>
      </c>
      <c r="J230" t="s" s="1">
        <f>HYPERLINK("http://141.218.60.56/~jnz1568/discussion.php?&amp;Z=8&amp;N=6&amp;Sheet=2&amp;Row=229&amp;Col=9","4.2")</f>
      </c>
      <c r="K230" t="s" s="1">
        <f>HYPERLINK("http://141.218.60.56/~jnz1568/discussion.php?&amp;Z=8&amp;N=6&amp;Sheet=2&amp;Row=229&amp;Col=10","0.419133333333")</f>
      </c>
      <c r="L230" t="s" s="1">
        <f>HYPERLINK("http://141.218.60.56/~jnz1568/discussion.php?&amp;Z=8&amp;N=6&amp;Sheet=2&amp;Row=229&amp;Col=11","")</f>
      </c>
      <c r="M230" t="s" s="1">
        <f>HYPERLINK("http://141.218.60.56/~jnz1568/discussion.php?&amp;Z=8&amp;N=6&amp;Sheet=2&amp;Row=229&amp;Col=12","")</f>
      </c>
    </row>
    <row r="231">
      <c r="A231" t="s">
        <v>1</v>
      </c>
      <c r="B231" t="s">
        <v>1</v>
      </c>
      <c r="C231" t="s">
        <v>1</v>
      </c>
      <c r="D231" t="s">
        <v>1</v>
      </c>
      <c r="E231" t="s">
        <v>15</v>
      </c>
      <c r="F231" t="s" s="1">
        <f>HYPERLINK("http://141.218.60.56/~jnz1568/discussion.php?&amp;Z=8&amp;N=6&amp;Sheet=2&amp;Row=230&amp;Col=5","4.3")</f>
      </c>
      <c r="G231" t="s" s="1">
        <f>HYPERLINK("http://141.218.60.56/~jnz1568/discussion.php?&amp;Z=8&amp;N=6&amp;Sheet=2&amp;Row=230&amp;Col=6","0.405")</f>
      </c>
      <c r="H231" t="s" s="1">
        <f>HYPERLINK("http://141.218.60.56/~jnz1568/discussion.php?&amp;Z=8&amp;N=6&amp;Sheet=2&amp;Row=230&amp;Col=7","")</f>
      </c>
      <c r="I231" t="s" s="1">
        <f>HYPERLINK("http://141.218.60.56/~jnz1568/discussion.php?&amp;Z=8&amp;N=6&amp;Sheet=2&amp;Row=230&amp;Col=8","")</f>
      </c>
      <c r="J231" t="s" s="1">
        <f>HYPERLINK("http://141.218.60.56/~jnz1568/discussion.php?&amp;Z=8&amp;N=6&amp;Sheet=2&amp;Row=230&amp;Col=9","4.4")</f>
      </c>
      <c r="K231" t="s" s="1">
        <f>HYPERLINK("http://141.218.60.56/~jnz1568/discussion.php?&amp;Z=8&amp;N=6&amp;Sheet=2&amp;Row=230&amp;Col=10","0.424")</f>
      </c>
      <c r="L231" t="s" s="1">
        <f>HYPERLINK("http://141.218.60.56/~jnz1568/discussion.php?&amp;Z=8&amp;N=6&amp;Sheet=2&amp;Row=230&amp;Col=11","")</f>
      </c>
      <c r="M231" t="s" s="1">
        <f>HYPERLINK("http://141.218.60.56/~jnz1568/discussion.php?&amp;Z=8&amp;N=6&amp;Sheet=2&amp;Row=230&amp;Col=12","")</f>
      </c>
    </row>
    <row r="232">
      <c r="A232" t="s">
        <v>1</v>
      </c>
      <c r="B232" t="s">
        <v>1</v>
      </c>
      <c r="C232" t="s">
        <v>1</v>
      </c>
      <c r="D232" t="s">
        <v>1</v>
      </c>
      <c r="E232" t="s">
        <v>50</v>
      </c>
      <c r="F232" t="s" s="1">
        <f>HYPERLINK("http://141.218.60.56/~jnz1568/discussion.php?&amp;Z=8&amp;N=6&amp;Sheet=2&amp;Row=231&amp;Col=5","4.4")</f>
      </c>
      <c r="G232" t="s" s="1">
        <f>HYPERLINK("http://141.218.60.56/~jnz1568/discussion.php?&amp;Z=8&amp;N=6&amp;Sheet=2&amp;Row=231&amp;Col=6","0.411")</f>
      </c>
      <c r="H232" t="s" s="1">
        <f>HYPERLINK("http://141.218.60.56/~jnz1568/discussion.php?&amp;Z=8&amp;N=6&amp;Sheet=2&amp;Row=231&amp;Col=7","")</f>
      </c>
      <c r="I232" t="s" s="1">
        <f>HYPERLINK("http://141.218.60.56/~jnz1568/discussion.php?&amp;Z=8&amp;N=6&amp;Sheet=2&amp;Row=231&amp;Col=8","")</f>
      </c>
      <c r="J232" t="s" s="1">
        <f>HYPERLINK("http://141.218.60.56/~jnz1568/discussion.php?&amp;Z=8&amp;N=6&amp;Sheet=2&amp;Row=231&amp;Col=9","4.6")</f>
      </c>
      <c r="K232" t="s" s="1">
        <f>HYPERLINK("http://141.218.60.56/~jnz1568/discussion.php?&amp;Z=8&amp;N=6&amp;Sheet=2&amp;Row=231&amp;Col=10","0.415033333333")</f>
      </c>
      <c r="L232" t="s" s="1">
        <f>HYPERLINK("http://141.218.60.56/~jnz1568/discussion.php?&amp;Z=8&amp;N=6&amp;Sheet=2&amp;Row=231&amp;Col=11","")</f>
      </c>
      <c r="M232" t="s" s="1">
        <f>HYPERLINK("http://141.218.60.56/~jnz1568/discussion.php?&amp;Z=8&amp;N=6&amp;Sheet=2&amp;Row=231&amp;Col=12","")</f>
      </c>
    </row>
    <row r="233">
      <c r="A233" t="s">
        <v>1</v>
      </c>
      <c r="B233" t="s">
        <v>1</v>
      </c>
      <c r="C233" t="s">
        <v>1</v>
      </c>
      <c r="D233" t="s">
        <v>1</v>
      </c>
      <c r="E233" t="s">
        <v>53</v>
      </c>
      <c r="F233" t="s" s="1">
        <f>HYPERLINK("http://141.218.60.56/~jnz1568/discussion.php?&amp;Z=8&amp;N=6&amp;Sheet=2&amp;Row=232&amp;Col=5","4.48")</f>
      </c>
      <c r="G233" t="s" s="1">
        <f>HYPERLINK("http://141.218.60.56/~jnz1568/discussion.php?&amp;Z=8&amp;N=6&amp;Sheet=2&amp;Row=232&amp;Col=6","0.411")</f>
      </c>
      <c r="H233" t="s" s="1">
        <f>HYPERLINK("http://141.218.60.56/~jnz1568/discussion.php?&amp;Z=8&amp;N=6&amp;Sheet=2&amp;Row=232&amp;Col=7","")</f>
      </c>
      <c r="I233" t="s" s="1">
        <f>HYPERLINK("http://141.218.60.56/~jnz1568/discussion.php?&amp;Z=8&amp;N=6&amp;Sheet=2&amp;Row=232&amp;Col=8","")</f>
      </c>
      <c r="J233" t="s" s="1">
        <f>HYPERLINK("http://141.218.60.56/~jnz1568/discussion.php?&amp;Z=8&amp;N=6&amp;Sheet=2&amp;Row=232&amp;Col=9","4.8")</f>
      </c>
      <c r="K233" t="s" s="1">
        <f>HYPERLINK("http://141.218.60.56/~jnz1568/discussion.php?&amp;Z=8&amp;N=6&amp;Sheet=2&amp;Row=232&amp;Col=10","0.390133333333")</f>
      </c>
      <c r="L233" t="s" s="1">
        <f>HYPERLINK("http://141.218.60.56/~jnz1568/discussion.php?&amp;Z=8&amp;N=6&amp;Sheet=2&amp;Row=232&amp;Col=11","")</f>
      </c>
      <c r="M233" t="s" s="1">
        <f>HYPERLINK("http://141.218.60.56/~jnz1568/discussion.php?&amp;Z=8&amp;N=6&amp;Sheet=2&amp;Row=232&amp;Col=12","")</f>
      </c>
    </row>
    <row r="234">
      <c r="A234" t="s">
        <v>1</v>
      </c>
      <c r="B234" t="s">
        <v>1</v>
      </c>
      <c r="C234" t="s">
        <v>1</v>
      </c>
      <c r="D234" t="s">
        <v>1</v>
      </c>
      <c r="E234" t="s">
        <v>58</v>
      </c>
      <c r="F234" t="s" s="1">
        <f>HYPERLINK("http://141.218.60.56/~jnz1568/discussion.php?&amp;Z=8&amp;N=6&amp;Sheet=2&amp;Row=233&amp;Col=5","4.6")</f>
      </c>
      <c r="G234" t="s" s="1">
        <f>HYPERLINK("http://141.218.60.56/~jnz1568/discussion.php?&amp;Z=8&amp;N=6&amp;Sheet=2&amp;Row=233&amp;Col=6","0.411")</f>
      </c>
      <c r="H234" t="s" s="1">
        <f>HYPERLINK("http://141.218.60.56/~jnz1568/discussion.php?&amp;Z=8&amp;N=6&amp;Sheet=2&amp;Row=233&amp;Col=7","")</f>
      </c>
      <c r="I234" t="s" s="1">
        <f>HYPERLINK("http://141.218.60.56/~jnz1568/discussion.php?&amp;Z=8&amp;N=6&amp;Sheet=2&amp;Row=233&amp;Col=8","")</f>
      </c>
      <c r="J234" t="s" s="1">
        <f>HYPERLINK("http://141.218.60.56/~jnz1568/discussion.php?&amp;Z=8&amp;N=6&amp;Sheet=2&amp;Row=233&amp;Col=9","5")</f>
      </c>
      <c r="K234" t="s" s="1">
        <f>HYPERLINK("http://141.218.60.56/~jnz1568/discussion.php?&amp;Z=8&amp;N=6&amp;Sheet=2&amp;Row=233&amp;Col=10","0.353333333333")</f>
      </c>
      <c r="L234" t="s" s="1">
        <f>HYPERLINK("http://141.218.60.56/~jnz1568/discussion.php?&amp;Z=8&amp;N=6&amp;Sheet=2&amp;Row=233&amp;Col=11","")</f>
      </c>
      <c r="M234" t="s" s="1">
        <f>HYPERLINK("http://141.218.60.56/~jnz1568/discussion.php?&amp;Z=8&amp;N=6&amp;Sheet=2&amp;Row=233&amp;Col=12","")</f>
      </c>
    </row>
    <row r="235">
      <c r="A235" t="s">
        <v>1</v>
      </c>
      <c r="B235" t="s">
        <v>1</v>
      </c>
      <c r="C235" t="s">
        <v>1</v>
      </c>
      <c r="D235" t="s">
        <v>1</v>
      </c>
      <c r="E235" t="s">
        <v>61</v>
      </c>
      <c r="F235" t="s" s="1">
        <f>HYPERLINK("http://141.218.60.56/~jnz1568/discussion.php?&amp;Z=8&amp;N=6&amp;Sheet=2&amp;Row=234&amp;Col=5","4.7")</f>
      </c>
      <c r="G235" t="s" s="1">
        <f>HYPERLINK("http://141.218.60.56/~jnz1568/discussion.php?&amp;Z=8&amp;N=6&amp;Sheet=2&amp;Row=234&amp;Col=6","0.402")</f>
      </c>
      <c r="H235" t="s" s="1">
        <f>HYPERLINK("http://141.218.60.56/~jnz1568/discussion.php?&amp;Z=8&amp;N=6&amp;Sheet=2&amp;Row=234&amp;Col=7","")</f>
      </c>
      <c r="I235" t="s" s="1">
        <f>HYPERLINK("http://141.218.60.56/~jnz1568/discussion.php?&amp;Z=8&amp;N=6&amp;Sheet=2&amp;Row=234&amp;Col=8","")</f>
      </c>
      <c r="J235" t="s" s="1">
        <f>HYPERLINK("http://141.218.60.56/~jnz1568/discussion.php?&amp;Z=8&amp;N=6&amp;Sheet=2&amp;Row=234&amp;Col=9","")</f>
      </c>
      <c r="K235" t="s" s="1">
        <f>HYPERLINK("http://141.218.60.56/~jnz1568/discussion.php?&amp;Z=8&amp;N=6&amp;Sheet=2&amp;Row=234&amp;Col=10","")</f>
      </c>
      <c r="L235" t="s" s="1">
        <f>HYPERLINK("http://141.218.60.56/~jnz1568/discussion.php?&amp;Z=8&amp;N=6&amp;Sheet=2&amp;Row=234&amp;Col=11","")</f>
      </c>
      <c r="M235" t="s" s="1">
        <f>HYPERLINK("http://141.218.60.56/~jnz1568/discussion.php?&amp;Z=8&amp;N=6&amp;Sheet=2&amp;Row=234&amp;Col=12","")</f>
      </c>
    </row>
    <row r="236">
      <c r="A236" t="s">
        <v>1</v>
      </c>
      <c r="B236" t="s">
        <v>1</v>
      </c>
      <c r="C236" t="s">
        <v>1</v>
      </c>
      <c r="D236" t="s">
        <v>1</v>
      </c>
      <c r="E236" t="s">
        <v>64</v>
      </c>
      <c r="F236" t="s" s="1">
        <f>HYPERLINK("http://141.218.60.56/~jnz1568/discussion.php?&amp;Z=8&amp;N=6&amp;Sheet=2&amp;Row=235&amp;Col=5","4.78")</f>
      </c>
      <c r="G236" t="s" s="1">
        <f>HYPERLINK("http://141.218.60.56/~jnz1568/discussion.php?&amp;Z=8&amp;N=6&amp;Sheet=2&amp;Row=235&amp;Col=6","0.393")</f>
      </c>
      <c r="H236" t="s" s="1">
        <f>HYPERLINK("http://141.218.60.56/~jnz1568/discussion.php?&amp;Z=8&amp;N=6&amp;Sheet=2&amp;Row=235&amp;Col=7","")</f>
      </c>
      <c r="I236" t="s" s="1">
        <f>HYPERLINK("http://141.218.60.56/~jnz1568/discussion.php?&amp;Z=8&amp;N=6&amp;Sheet=2&amp;Row=235&amp;Col=8","")</f>
      </c>
      <c r="J236" t="s" s="1">
        <f>HYPERLINK("http://141.218.60.56/~jnz1568/discussion.php?&amp;Z=8&amp;N=6&amp;Sheet=2&amp;Row=235&amp;Col=9","")</f>
      </c>
      <c r="K236" t="s" s="1">
        <f>HYPERLINK("http://141.218.60.56/~jnz1568/discussion.php?&amp;Z=8&amp;N=6&amp;Sheet=2&amp;Row=235&amp;Col=10","")</f>
      </c>
      <c r="L236" t="s" s="1">
        <f>HYPERLINK("http://141.218.60.56/~jnz1568/discussion.php?&amp;Z=8&amp;N=6&amp;Sheet=2&amp;Row=235&amp;Col=11","")</f>
      </c>
      <c r="M236" t="s" s="1">
        <f>HYPERLINK("http://141.218.60.56/~jnz1568/discussion.php?&amp;Z=8&amp;N=6&amp;Sheet=2&amp;Row=235&amp;Col=12","")</f>
      </c>
    </row>
    <row r="237">
      <c r="A237" t="s">
        <v>1</v>
      </c>
      <c r="B237" t="s">
        <v>1</v>
      </c>
      <c r="C237" t="s">
        <v>1</v>
      </c>
      <c r="D237" t="s">
        <v>1</v>
      </c>
      <c r="E237" t="s">
        <v>69</v>
      </c>
      <c r="F237" t="s" s="1">
        <f>HYPERLINK("http://141.218.60.56/~jnz1568/discussion.php?&amp;Z=8&amp;N=6&amp;Sheet=2&amp;Row=236&amp;Col=5","4.9")</f>
      </c>
      <c r="G237" t="s" s="1">
        <f>HYPERLINK("http://141.218.60.56/~jnz1568/discussion.php?&amp;Z=8&amp;N=6&amp;Sheet=2&amp;Row=236&amp;Col=6","0.375")</f>
      </c>
      <c r="H237" t="s" s="1">
        <f>HYPERLINK("http://141.218.60.56/~jnz1568/discussion.php?&amp;Z=8&amp;N=6&amp;Sheet=2&amp;Row=236&amp;Col=7","")</f>
      </c>
      <c r="I237" t="s" s="1">
        <f>HYPERLINK("http://141.218.60.56/~jnz1568/discussion.php?&amp;Z=8&amp;N=6&amp;Sheet=2&amp;Row=236&amp;Col=8","")</f>
      </c>
      <c r="J237" t="s" s="1">
        <f>HYPERLINK("http://141.218.60.56/~jnz1568/discussion.php?&amp;Z=8&amp;N=6&amp;Sheet=2&amp;Row=236&amp;Col=9","")</f>
      </c>
      <c r="K237" t="s" s="1">
        <f>HYPERLINK("http://141.218.60.56/~jnz1568/discussion.php?&amp;Z=8&amp;N=6&amp;Sheet=2&amp;Row=236&amp;Col=10","")</f>
      </c>
      <c r="L237" t="s" s="1">
        <f>HYPERLINK("http://141.218.60.56/~jnz1568/discussion.php?&amp;Z=8&amp;N=6&amp;Sheet=2&amp;Row=236&amp;Col=11","")</f>
      </c>
      <c r="M237" t="s" s="1">
        <f>HYPERLINK("http://141.218.60.56/~jnz1568/discussion.php?&amp;Z=8&amp;N=6&amp;Sheet=2&amp;Row=236&amp;Col=12","")</f>
      </c>
    </row>
    <row r="238">
      <c r="A238" t="s">
        <v>1</v>
      </c>
      <c r="B238" t="s">
        <v>1</v>
      </c>
      <c r="C238" t="s">
        <v>1</v>
      </c>
      <c r="D238" t="s">
        <v>1</v>
      </c>
      <c r="E238" t="s">
        <v>74</v>
      </c>
      <c r="F238" t="s" s="1">
        <f>HYPERLINK("http://141.218.60.56/~jnz1568/discussion.php?&amp;Z=8&amp;N=6&amp;Sheet=2&amp;Row=237&amp;Col=5","5")</f>
      </c>
      <c r="G238" t="s" s="1">
        <f>HYPERLINK("http://141.218.60.56/~jnz1568/discussion.php?&amp;Z=8&amp;N=6&amp;Sheet=2&amp;Row=237&amp;Col=6","0.357")</f>
      </c>
      <c r="H238" t="s" s="1">
        <f>HYPERLINK("http://141.218.60.56/~jnz1568/discussion.php?&amp;Z=8&amp;N=6&amp;Sheet=2&amp;Row=237&amp;Col=7","")</f>
      </c>
      <c r="I238" t="s" s="1">
        <f>HYPERLINK("http://141.218.60.56/~jnz1568/discussion.php?&amp;Z=8&amp;N=6&amp;Sheet=2&amp;Row=237&amp;Col=8","")</f>
      </c>
      <c r="J238" t="s" s="1">
        <f>HYPERLINK("http://141.218.60.56/~jnz1568/discussion.php?&amp;Z=8&amp;N=6&amp;Sheet=2&amp;Row=237&amp;Col=9","")</f>
      </c>
      <c r="K238" t="s" s="1">
        <f>HYPERLINK("http://141.218.60.56/~jnz1568/discussion.php?&amp;Z=8&amp;N=6&amp;Sheet=2&amp;Row=237&amp;Col=10","")</f>
      </c>
      <c r="L238" t="s" s="1">
        <f>HYPERLINK("http://141.218.60.56/~jnz1568/discussion.php?&amp;Z=8&amp;N=6&amp;Sheet=2&amp;Row=237&amp;Col=11","")</f>
      </c>
      <c r="M238" t="s" s="1">
        <f>HYPERLINK("http://141.218.60.56/~jnz1568/discussion.php?&amp;Z=8&amp;N=6&amp;Sheet=2&amp;Row=237&amp;Col=12","")</f>
      </c>
    </row>
    <row r="239">
      <c r="A239" t="s">
        <v>1</v>
      </c>
      <c r="B239" t="s">
        <v>1</v>
      </c>
      <c r="C239" t="s">
        <v>1</v>
      </c>
      <c r="D239" t="s">
        <v>1</v>
      </c>
      <c r="E239" t="s">
        <v>79</v>
      </c>
      <c r="F239" t="s" s="1">
        <f>HYPERLINK("http://141.218.60.56/~jnz1568/discussion.php?&amp;Z=8&amp;N=6&amp;Sheet=2&amp;Row=238&amp;Col=5","5.08")</f>
      </c>
      <c r="G239" t="s" s="1">
        <f>HYPERLINK("http://141.218.60.56/~jnz1568/discussion.php?&amp;Z=8&amp;N=6&amp;Sheet=2&amp;Row=238&amp;Col=6","0.342")</f>
      </c>
      <c r="H239" t="s" s="1">
        <f>HYPERLINK("http://141.218.60.56/~jnz1568/discussion.php?&amp;Z=8&amp;N=6&amp;Sheet=2&amp;Row=238&amp;Col=7","")</f>
      </c>
      <c r="I239" t="s" s="1">
        <f>HYPERLINK("http://141.218.60.56/~jnz1568/discussion.php?&amp;Z=8&amp;N=6&amp;Sheet=2&amp;Row=238&amp;Col=8","")</f>
      </c>
      <c r="J239" t="s" s="1">
        <f>HYPERLINK("http://141.218.60.56/~jnz1568/discussion.php?&amp;Z=8&amp;N=6&amp;Sheet=2&amp;Row=238&amp;Col=9","")</f>
      </c>
      <c r="K239" t="s" s="1">
        <f>HYPERLINK("http://141.218.60.56/~jnz1568/discussion.php?&amp;Z=8&amp;N=6&amp;Sheet=2&amp;Row=238&amp;Col=10","")</f>
      </c>
      <c r="L239" t="s" s="1">
        <f>HYPERLINK("http://141.218.60.56/~jnz1568/discussion.php?&amp;Z=8&amp;N=6&amp;Sheet=2&amp;Row=238&amp;Col=11","")</f>
      </c>
      <c r="M239" t="s" s="1">
        <f>HYPERLINK("http://141.218.60.56/~jnz1568/discussion.php?&amp;Z=8&amp;N=6&amp;Sheet=2&amp;Row=238&amp;Col=12","")</f>
      </c>
    </row>
    <row r="240">
      <c r="A240" t="s">
        <v>1</v>
      </c>
      <c r="B240" t="s">
        <v>1</v>
      </c>
      <c r="C240" t="s">
        <v>1</v>
      </c>
      <c r="D240" t="s">
        <v>1</v>
      </c>
      <c r="E240" t="s">
        <v>84</v>
      </c>
      <c r="F240" t="s" s="1">
        <f>HYPERLINK("http://141.218.60.56/~jnz1568/discussion.php?&amp;Z=8&amp;N=6&amp;Sheet=2&amp;Row=239&amp;Col=5","5.15")</f>
      </c>
      <c r="G240" t="s" s="1">
        <f>HYPERLINK("http://141.218.60.56/~jnz1568/discussion.php?&amp;Z=8&amp;N=6&amp;Sheet=2&amp;Row=239&amp;Col=6","0.327")</f>
      </c>
      <c r="H240" t="s" s="1">
        <f>HYPERLINK("http://141.218.60.56/~jnz1568/discussion.php?&amp;Z=8&amp;N=6&amp;Sheet=2&amp;Row=239&amp;Col=7","")</f>
      </c>
      <c r="I240" t="s" s="1">
        <f>HYPERLINK("http://141.218.60.56/~jnz1568/discussion.php?&amp;Z=8&amp;N=6&amp;Sheet=2&amp;Row=239&amp;Col=8","")</f>
      </c>
      <c r="J240" t="s" s="1">
        <f>HYPERLINK("http://141.218.60.56/~jnz1568/discussion.php?&amp;Z=8&amp;N=6&amp;Sheet=2&amp;Row=239&amp;Col=9","")</f>
      </c>
      <c r="K240" t="s" s="1">
        <f>HYPERLINK("http://141.218.60.56/~jnz1568/discussion.php?&amp;Z=8&amp;N=6&amp;Sheet=2&amp;Row=239&amp;Col=10","")</f>
      </c>
      <c r="L240" t="s" s="1">
        <f>HYPERLINK("http://141.218.60.56/~jnz1568/discussion.php?&amp;Z=8&amp;N=6&amp;Sheet=2&amp;Row=239&amp;Col=11","")</f>
      </c>
      <c r="M240" t="s" s="1">
        <f>HYPERLINK("http://141.218.60.56/~jnz1568/discussion.php?&amp;Z=8&amp;N=6&amp;Sheet=2&amp;Row=239&amp;Col=12","")</f>
      </c>
    </row>
    <row r="241">
      <c r="A241" t="s">
        <v>1</v>
      </c>
      <c r="B241" t="s">
        <v>1</v>
      </c>
      <c r="C241" t="s">
        <v>1</v>
      </c>
      <c r="D241" t="s">
        <v>1</v>
      </c>
      <c r="E241" t="s">
        <v>87</v>
      </c>
      <c r="F241" t="s" s="1">
        <f>HYPERLINK("http://141.218.60.56/~jnz1568/discussion.php?&amp;Z=8&amp;N=6&amp;Sheet=2&amp;Row=240&amp;Col=5","5.2")</f>
      </c>
      <c r="G241" t="s" s="1">
        <f>HYPERLINK("http://141.218.60.56/~jnz1568/discussion.php?&amp;Z=8&amp;N=6&amp;Sheet=2&amp;Row=240&amp;Col=6","0.315")</f>
      </c>
      <c r="H241" t="s" s="1">
        <f>HYPERLINK("http://141.218.60.56/~jnz1568/discussion.php?&amp;Z=8&amp;N=6&amp;Sheet=2&amp;Row=240&amp;Col=7","")</f>
      </c>
      <c r="I241" t="s" s="1">
        <f>HYPERLINK("http://141.218.60.56/~jnz1568/discussion.php?&amp;Z=8&amp;N=6&amp;Sheet=2&amp;Row=240&amp;Col=8","")</f>
      </c>
      <c r="J241" t="s" s="1">
        <f>HYPERLINK("http://141.218.60.56/~jnz1568/discussion.php?&amp;Z=8&amp;N=6&amp;Sheet=2&amp;Row=240&amp;Col=9","")</f>
      </c>
      <c r="K241" t="s" s="1">
        <f>HYPERLINK("http://141.218.60.56/~jnz1568/discussion.php?&amp;Z=8&amp;N=6&amp;Sheet=2&amp;Row=240&amp;Col=10","")</f>
      </c>
      <c r="L241" t="s" s="1">
        <f>HYPERLINK("http://141.218.60.56/~jnz1568/discussion.php?&amp;Z=8&amp;N=6&amp;Sheet=2&amp;Row=240&amp;Col=11","")</f>
      </c>
      <c r="M241" t="s" s="1">
        <f>HYPERLINK("http://141.218.60.56/~jnz1568/discussion.php?&amp;Z=8&amp;N=6&amp;Sheet=2&amp;Row=240&amp;Col=12","")</f>
      </c>
    </row>
    <row r="242">
      <c r="A242" t="s">
        <v>1</v>
      </c>
      <c r="B242" t="s">
        <v>1</v>
      </c>
      <c r="C242" t="s">
        <v>1</v>
      </c>
      <c r="D242" t="s">
        <v>1</v>
      </c>
      <c r="E242" t="s">
        <v>90</v>
      </c>
      <c r="F242" t="s" s="1">
        <f>HYPERLINK("http://141.218.60.56/~jnz1568/discussion.php?&amp;Z=8&amp;N=6&amp;Sheet=2&amp;Row=241&amp;Col=5","5.26")</f>
      </c>
      <c r="G242" t="s" s="1">
        <f>HYPERLINK("http://141.218.60.56/~jnz1568/discussion.php?&amp;Z=8&amp;N=6&amp;Sheet=2&amp;Row=241&amp;Col=6","0.303")</f>
      </c>
      <c r="H242" t="s" s="1">
        <f>HYPERLINK("http://141.218.60.56/~jnz1568/discussion.php?&amp;Z=8&amp;N=6&amp;Sheet=2&amp;Row=241&amp;Col=7","")</f>
      </c>
      <c r="I242" t="s" s="1">
        <f>HYPERLINK("http://141.218.60.56/~jnz1568/discussion.php?&amp;Z=8&amp;N=6&amp;Sheet=2&amp;Row=241&amp;Col=8","")</f>
      </c>
      <c r="J242" t="s" s="1">
        <f>HYPERLINK("http://141.218.60.56/~jnz1568/discussion.php?&amp;Z=8&amp;N=6&amp;Sheet=2&amp;Row=241&amp;Col=9","")</f>
      </c>
      <c r="K242" t="s" s="1">
        <f>HYPERLINK("http://141.218.60.56/~jnz1568/discussion.php?&amp;Z=8&amp;N=6&amp;Sheet=2&amp;Row=241&amp;Col=10","")</f>
      </c>
      <c r="L242" t="s" s="1">
        <f>HYPERLINK("http://141.218.60.56/~jnz1568/discussion.php?&amp;Z=8&amp;N=6&amp;Sheet=2&amp;Row=241&amp;Col=11","")</f>
      </c>
      <c r="M242" t="s" s="1">
        <f>HYPERLINK("http://141.218.60.56/~jnz1568/discussion.php?&amp;Z=8&amp;N=6&amp;Sheet=2&amp;Row=241&amp;Col=12","")</f>
      </c>
    </row>
    <row r="243">
      <c r="A243" t="s">
        <v>1</v>
      </c>
      <c r="B243" t="s">
        <v>1</v>
      </c>
      <c r="C243" t="s">
        <v>1</v>
      </c>
      <c r="D243" t="s">
        <v>1</v>
      </c>
      <c r="E243" t="s">
        <v>94</v>
      </c>
      <c r="F243" t="s" s="1">
        <f>HYPERLINK("http://141.218.60.56/~jnz1568/discussion.php?&amp;Z=8&amp;N=6&amp;Sheet=2&amp;Row=242&amp;Col=5","5.3")</f>
      </c>
      <c r="G243" t="s" s="1">
        <f>HYPERLINK("http://141.218.60.56/~jnz1568/discussion.php?&amp;Z=8&amp;N=6&amp;Sheet=2&amp;Row=242&amp;Col=6","0.2943")</f>
      </c>
      <c r="H243" t="s" s="1">
        <f>HYPERLINK("http://141.218.60.56/~jnz1568/discussion.php?&amp;Z=8&amp;N=6&amp;Sheet=2&amp;Row=242&amp;Col=7","")</f>
      </c>
      <c r="I243" t="s" s="1">
        <f>HYPERLINK("http://141.218.60.56/~jnz1568/discussion.php?&amp;Z=8&amp;N=6&amp;Sheet=2&amp;Row=242&amp;Col=8","")</f>
      </c>
      <c r="J243" t="s" s="1">
        <f>HYPERLINK("http://141.218.60.56/~jnz1568/discussion.php?&amp;Z=8&amp;N=6&amp;Sheet=2&amp;Row=242&amp;Col=9","")</f>
      </c>
      <c r="K243" t="s" s="1">
        <f>HYPERLINK("http://141.218.60.56/~jnz1568/discussion.php?&amp;Z=8&amp;N=6&amp;Sheet=2&amp;Row=242&amp;Col=10","")</f>
      </c>
      <c r="L243" t="s" s="1">
        <f>HYPERLINK("http://141.218.60.56/~jnz1568/discussion.php?&amp;Z=8&amp;N=6&amp;Sheet=2&amp;Row=242&amp;Col=11","")</f>
      </c>
      <c r="M243" t="s" s="1">
        <f>HYPERLINK("http://141.218.60.56/~jnz1568/discussion.php?&amp;Z=8&amp;N=6&amp;Sheet=2&amp;Row=242&amp;Col=12","")</f>
      </c>
    </row>
    <row r="244">
      <c r="A244" t="s">
        <v>15</v>
      </c>
      <c r="B244" t="s">
        <v>16</v>
      </c>
      <c r="C244" t="s">
        <v>16</v>
      </c>
      <c r="D244" t="s">
        <v>20</v>
      </c>
      <c r="E244" t="s">
        <v>17</v>
      </c>
      <c r="F244" t="s" s="1">
        <f>HYPERLINK("http://141.218.60.56/~jnz1568/discussion.php?&amp;Z=8&amp;N=6&amp;Sheet=2&amp;Row=243&amp;Col=5","3.4")</f>
      </c>
      <c r="G244" t="s" s="1">
        <f>HYPERLINK("http://141.218.60.56/~jnz1568/discussion.php?&amp;Z=8&amp;N=6&amp;Sheet=2&amp;Row=243&amp;Col=6","0.555")</f>
      </c>
      <c r="H244" t="s" s="1">
        <f>HYPERLINK("http://141.218.60.56/~jnz1568/discussion.php?&amp;Z=8&amp;N=6&amp;Sheet=2&amp;Row=243&amp;Col=7","")</f>
      </c>
      <c r="I244" t="s" s="1">
        <f>HYPERLINK("http://141.218.60.56/~jnz1568/discussion.php?&amp;Z=8&amp;N=6&amp;Sheet=2&amp;Row=243&amp;Col=8","")</f>
      </c>
      <c r="J244" t="s" s="1">
        <f>HYPERLINK("http://141.218.60.56/~jnz1568/discussion.php?&amp;Z=8&amp;N=6&amp;Sheet=2&amp;Row=243&amp;Col=9","3")</f>
      </c>
      <c r="K244" t="s" s="1">
        <f>HYPERLINK("http://141.218.60.56/~jnz1568/discussion.php?&amp;Z=8&amp;N=6&amp;Sheet=2&amp;Row=243&amp;Col=10","0.542222222222")</f>
      </c>
      <c r="L244" t="s" s="1">
        <f>HYPERLINK("http://141.218.60.56/~jnz1568/discussion.php?&amp;Z=8&amp;N=6&amp;Sheet=2&amp;Row=243&amp;Col=11","")</f>
      </c>
      <c r="M244" t="s" s="1">
        <f>HYPERLINK("http://141.218.60.56/~jnz1568/discussion.php?&amp;Z=8&amp;N=6&amp;Sheet=2&amp;Row=243&amp;Col=12","")</f>
      </c>
    </row>
    <row r="245">
      <c r="A245" t="s">
        <v>1</v>
      </c>
      <c r="B245" t="s">
        <v>1</v>
      </c>
      <c r="C245" t="s">
        <v>1</v>
      </c>
      <c r="D245" t="s">
        <v>1</v>
      </c>
      <c r="E245" t="s">
        <v>23</v>
      </c>
      <c r="F245" t="s" s="1">
        <f>HYPERLINK("http://141.218.60.56/~jnz1568/discussion.php?&amp;Z=8&amp;N=6&amp;Sheet=2&amp;Row=244&amp;Col=5","3.7")</f>
      </c>
      <c r="G245" t="s" s="1">
        <f>HYPERLINK("http://141.218.60.56/~jnz1568/discussion.php?&amp;Z=8&amp;N=6&amp;Sheet=2&amp;Row=244&amp;Col=6","0.565")</f>
      </c>
      <c r="H245" t="s" s="1">
        <f>HYPERLINK("http://141.218.60.56/~jnz1568/discussion.php?&amp;Z=8&amp;N=6&amp;Sheet=2&amp;Row=244&amp;Col=7","")</f>
      </c>
      <c r="I245" t="s" s="1">
        <f>HYPERLINK("http://141.218.60.56/~jnz1568/discussion.php?&amp;Z=8&amp;N=6&amp;Sheet=2&amp;Row=244&amp;Col=8","")</f>
      </c>
      <c r="J245" t="s" s="1">
        <f>HYPERLINK("http://141.218.60.56/~jnz1568/discussion.php?&amp;Z=8&amp;N=6&amp;Sheet=2&amp;Row=244&amp;Col=9","3.2")</f>
      </c>
      <c r="K245" t="s" s="1">
        <f>HYPERLINK("http://141.218.60.56/~jnz1568/discussion.php?&amp;Z=8&amp;N=6&amp;Sheet=2&amp;Row=244&amp;Col=10","0.537388888889")</f>
      </c>
      <c r="L245" t="s" s="1">
        <f>HYPERLINK("http://141.218.60.56/~jnz1568/discussion.php?&amp;Z=8&amp;N=6&amp;Sheet=2&amp;Row=244&amp;Col=11","")</f>
      </c>
      <c r="M245" t="s" s="1">
        <f>HYPERLINK("http://141.218.60.56/~jnz1568/discussion.php?&amp;Z=8&amp;N=6&amp;Sheet=2&amp;Row=244&amp;Col=12","")</f>
      </c>
    </row>
    <row r="246">
      <c r="A246" t="s">
        <v>1</v>
      </c>
      <c r="B246" t="s">
        <v>1</v>
      </c>
      <c r="C246" t="s">
        <v>1</v>
      </c>
      <c r="D246" t="s">
        <v>1</v>
      </c>
      <c r="E246" t="s">
        <v>20</v>
      </c>
      <c r="F246" t="s" s="1">
        <f>HYPERLINK("http://141.218.60.56/~jnz1568/discussion.php?&amp;Z=8&amp;N=6&amp;Sheet=2&amp;Row=245&amp;Col=5","3.88")</f>
      </c>
      <c r="G246" t="s" s="1">
        <f>HYPERLINK("http://141.218.60.56/~jnz1568/discussion.php?&amp;Z=8&amp;N=6&amp;Sheet=2&amp;Row=245&amp;Col=6","0.595")</f>
      </c>
      <c r="H246" t="s" s="1">
        <f>HYPERLINK("http://141.218.60.56/~jnz1568/discussion.php?&amp;Z=8&amp;N=6&amp;Sheet=2&amp;Row=245&amp;Col=7","")</f>
      </c>
      <c r="I246" t="s" s="1">
        <f>HYPERLINK("http://141.218.60.56/~jnz1568/discussion.php?&amp;Z=8&amp;N=6&amp;Sheet=2&amp;Row=245&amp;Col=8","")</f>
      </c>
      <c r="J246" t="s" s="1">
        <f>HYPERLINK("http://141.218.60.56/~jnz1568/discussion.php?&amp;Z=8&amp;N=6&amp;Sheet=2&amp;Row=245&amp;Col=9","3.4")</f>
      </c>
      <c r="K246" t="s" s="1">
        <f>HYPERLINK("http://141.218.60.56/~jnz1568/discussion.php?&amp;Z=8&amp;N=6&amp;Sheet=2&amp;Row=245&amp;Col=10","0.539555555556")</f>
      </c>
      <c r="L246" t="s" s="1">
        <f>HYPERLINK("http://141.218.60.56/~jnz1568/discussion.php?&amp;Z=8&amp;N=6&amp;Sheet=2&amp;Row=245&amp;Col=11","")</f>
      </c>
      <c r="M246" t="s" s="1">
        <f>HYPERLINK("http://141.218.60.56/~jnz1568/discussion.php?&amp;Z=8&amp;N=6&amp;Sheet=2&amp;Row=245&amp;Col=12","")</f>
      </c>
    </row>
    <row r="247">
      <c r="A247" t="s">
        <v>1</v>
      </c>
      <c r="B247" t="s">
        <v>1</v>
      </c>
      <c r="C247" t="s">
        <v>1</v>
      </c>
      <c r="D247" t="s">
        <v>1</v>
      </c>
      <c r="E247" t="s">
        <v>28</v>
      </c>
      <c r="F247" t="s" s="1">
        <f>HYPERLINK("http://141.218.60.56/~jnz1568/discussion.php?&amp;Z=8&amp;N=6&amp;Sheet=2&amp;Row=246&amp;Col=5","4")</f>
      </c>
      <c r="G247" t="s" s="1">
        <f>HYPERLINK("http://141.218.60.56/~jnz1568/discussion.php?&amp;Z=8&amp;N=6&amp;Sheet=2&amp;Row=246&amp;Col=6","0.62")</f>
      </c>
      <c r="H247" t="s" s="1">
        <f>HYPERLINK("http://141.218.60.56/~jnz1568/discussion.php?&amp;Z=8&amp;N=6&amp;Sheet=2&amp;Row=246&amp;Col=7","")</f>
      </c>
      <c r="I247" t="s" s="1">
        <f>HYPERLINK("http://141.218.60.56/~jnz1568/discussion.php?&amp;Z=8&amp;N=6&amp;Sheet=2&amp;Row=246&amp;Col=8","")</f>
      </c>
      <c r="J247" t="s" s="1">
        <f>HYPERLINK("http://141.218.60.56/~jnz1568/discussion.php?&amp;Z=8&amp;N=6&amp;Sheet=2&amp;Row=246&amp;Col=9","3.6")</f>
      </c>
      <c r="K247" t="s" s="1">
        <f>HYPERLINK("http://141.218.60.56/~jnz1568/discussion.php?&amp;Z=8&amp;N=6&amp;Sheet=2&amp;Row=246&amp;Col=10","0.568")</f>
      </c>
      <c r="L247" t="s" s="1">
        <f>HYPERLINK("http://141.218.60.56/~jnz1568/discussion.php?&amp;Z=8&amp;N=6&amp;Sheet=2&amp;Row=246&amp;Col=11","")</f>
      </c>
      <c r="M247" t="s" s="1">
        <f>HYPERLINK("http://141.218.60.56/~jnz1568/discussion.php?&amp;Z=8&amp;N=6&amp;Sheet=2&amp;Row=246&amp;Col=12","")</f>
      </c>
    </row>
    <row r="248">
      <c r="A248" t="s">
        <v>1</v>
      </c>
      <c r="B248" t="s">
        <v>1</v>
      </c>
      <c r="C248" t="s">
        <v>1</v>
      </c>
      <c r="D248" t="s">
        <v>1</v>
      </c>
      <c r="E248" t="s">
        <v>33</v>
      </c>
      <c r="F248" t="s" s="1">
        <f>HYPERLINK("http://141.218.60.56/~jnz1568/discussion.php?&amp;Z=8&amp;N=6&amp;Sheet=2&amp;Row=247&amp;Col=5","4.1")</f>
      </c>
      <c r="G248" t="s" s="1">
        <f>HYPERLINK("http://141.218.60.56/~jnz1568/discussion.php?&amp;Z=8&amp;N=6&amp;Sheet=2&amp;Row=247&amp;Col=6","0.64")</f>
      </c>
      <c r="H248" t="s" s="1">
        <f>HYPERLINK("http://141.218.60.56/~jnz1568/discussion.php?&amp;Z=8&amp;N=6&amp;Sheet=2&amp;Row=247&amp;Col=7","")</f>
      </c>
      <c r="I248" t="s" s="1">
        <f>HYPERLINK("http://141.218.60.56/~jnz1568/discussion.php?&amp;Z=8&amp;N=6&amp;Sheet=2&amp;Row=247&amp;Col=8","")</f>
      </c>
      <c r="J248" t="s" s="1">
        <f>HYPERLINK("http://141.218.60.56/~jnz1568/discussion.php?&amp;Z=8&amp;N=6&amp;Sheet=2&amp;Row=247&amp;Col=9","3.8")</f>
      </c>
      <c r="K248" t="s" s="1">
        <f>HYPERLINK("http://141.218.60.56/~jnz1568/discussion.php?&amp;Z=8&amp;N=6&amp;Sheet=2&amp;Row=247&amp;Col=10","0.622")</f>
      </c>
      <c r="L248" t="s" s="1">
        <f>HYPERLINK("http://141.218.60.56/~jnz1568/discussion.php?&amp;Z=8&amp;N=6&amp;Sheet=2&amp;Row=247&amp;Col=11","")</f>
      </c>
      <c r="M248" t="s" s="1">
        <f>HYPERLINK("http://141.218.60.56/~jnz1568/discussion.php?&amp;Z=8&amp;N=6&amp;Sheet=2&amp;Row=247&amp;Col=12","")</f>
      </c>
    </row>
    <row r="249">
      <c r="A249" t="s">
        <v>1</v>
      </c>
      <c r="B249" t="s">
        <v>1</v>
      </c>
      <c r="C249" t="s">
        <v>1</v>
      </c>
      <c r="D249" t="s">
        <v>1</v>
      </c>
      <c r="E249" t="s">
        <v>16</v>
      </c>
      <c r="F249" t="s" s="1">
        <f>HYPERLINK("http://141.218.60.56/~jnz1568/discussion.php?&amp;Z=8&amp;N=6&amp;Sheet=2&amp;Row=248&amp;Col=5","4.18")</f>
      </c>
      <c r="G249" t="s" s="1">
        <f>HYPERLINK("http://141.218.60.56/~jnz1568/discussion.php?&amp;Z=8&amp;N=6&amp;Sheet=2&amp;Row=248&amp;Col=6","0.655")</f>
      </c>
      <c r="H249" t="s" s="1">
        <f>HYPERLINK("http://141.218.60.56/~jnz1568/discussion.php?&amp;Z=8&amp;N=6&amp;Sheet=2&amp;Row=248&amp;Col=7","")</f>
      </c>
      <c r="I249" t="s" s="1">
        <f>HYPERLINK("http://141.218.60.56/~jnz1568/discussion.php?&amp;Z=8&amp;N=6&amp;Sheet=2&amp;Row=248&amp;Col=8","")</f>
      </c>
      <c r="J249" t="s" s="1">
        <f>HYPERLINK("http://141.218.60.56/~jnz1568/discussion.php?&amp;Z=8&amp;N=6&amp;Sheet=2&amp;Row=248&amp;Col=9","4")</f>
      </c>
      <c r="K249" t="s" s="1">
        <f>HYPERLINK("http://141.218.60.56/~jnz1568/discussion.php?&amp;Z=8&amp;N=6&amp;Sheet=2&amp;Row=248&amp;Col=10","0.670777777778")</f>
      </c>
      <c r="L249" t="s" s="1">
        <f>HYPERLINK("http://141.218.60.56/~jnz1568/discussion.php?&amp;Z=8&amp;N=6&amp;Sheet=2&amp;Row=248&amp;Col=11","")</f>
      </c>
      <c r="M249" t="s" s="1">
        <f>HYPERLINK("http://141.218.60.56/~jnz1568/discussion.php?&amp;Z=8&amp;N=6&amp;Sheet=2&amp;Row=248&amp;Col=12","")</f>
      </c>
    </row>
    <row r="250">
      <c r="A250" t="s">
        <v>1</v>
      </c>
      <c r="B250" t="s">
        <v>1</v>
      </c>
      <c r="C250" t="s">
        <v>1</v>
      </c>
      <c r="D250" t="s">
        <v>1</v>
      </c>
      <c r="E250" t="s">
        <v>43</v>
      </c>
      <c r="F250" t="s" s="1">
        <f>HYPERLINK("http://141.218.60.56/~jnz1568/discussion.php?&amp;Z=8&amp;N=6&amp;Sheet=2&amp;Row=249&amp;Col=5","4.24")</f>
      </c>
      <c r="G250" t="s" s="1">
        <f>HYPERLINK("http://141.218.60.56/~jnz1568/discussion.php?&amp;Z=8&amp;N=6&amp;Sheet=2&amp;Row=249&amp;Col=6","0.665")</f>
      </c>
      <c r="H250" t="s" s="1">
        <f>HYPERLINK("http://141.218.60.56/~jnz1568/discussion.php?&amp;Z=8&amp;N=6&amp;Sheet=2&amp;Row=249&amp;Col=7","")</f>
      </c>
      <c r="I250" t="s" s="1">
        <f>HYPERLINK("http://141.218.60.56/~jnz1568/discussion.php?&amp;Z=8&amp;N=6&amp;Sheet=2&amp;Row=249&amp;Col=8","")</f>
      </c>
      <c r="J250" t="s" s="1">
        <f>HYPERLINK("http://141.218.60.56/~jnz1568/discussion.php?&amp;Z=8&amp;N=6&amp;Sheet=2&amp;Row=249&amp;Col=9","4.2")</f>
      </c>
      <c r="K250" t="s" s="1">
        <f>HYPERLINK("http://141.218.60.56/~jnz1568/discussion.php?&amp;Z=8&amp;N=6&amp;Sheet=2&amp;Row=249&amp;Col=10","0.698555555556")</f>
      </c>
      <c r="L250" t="s" s="1">
        <f>HYPERLINK("http://141.218.60.56/~jnz1568/discussion.php?&amp;Z=8&amp;N=6&amp;Sheet=2&amp;Row=249&amp;Col=11","")</f>
      </c>
      <c r="M250" t="s" s="1">
        <f>HYPERLINK("http://141.218.60.56/~jnz1568/discussion.php?&amp;Z=8&amp;N=6&amp;Sheet=2&amp;Row=249&amp;Col=12","")</f>
      </c>
    </row>
    <row r="251">
      <c r="A251" t="s">
        <v>1</v>
      </c>
      <c r="B251" t="s">
        <v>1</v>
      </c>
      <c r="C251" t="s">
        <v>1</v>
      </c>
      <c r="D251" t="s">
        <v>1</v>
      </c>
      <c r="E251" t="s">
        <v>15</v>
      </c>
      <c r="F251" t="s" s="1">
        <f>HYPERLINK("http://141.218.60.56/~jnz1568/discussion.php?&amp;Z=8&amp;N=6&amp;Sheet=2&amp;Row=250&amp;Col=5","4.3")</f>
      </c>
      <c r="G251" t="s" s="1">
        <f>HYPERLINK("http://141.218.60.56/~jnz1568/discussion.php?&amp;Z=8&amp;N=6&amp;Sheet=2&amp;Row=250&amp;Col=6","0.675")</f>
      </c>
      <c r="H251" t="s" s="1">
        <f>HYPERLINK("http://141.218.60.56/~jnz1568/discussion.php?&amp;Z=8&amp;N=6&amp;Sheet=2&amp;Row=250&amp;Col=7","")</f>
      </c>
      <c r="I251" t="s" s="1">
        <f>HYPERLINK("http://141.218.60.56/~jnz1568/discussion.php?&amp;Z=8&amp;N=6&amp;Sheet=2&amp;Row=250&amp;Col=8","")</f>
      </c>
      <c r="J251" t="s" s="1">
        <f>HYPERLINK("http://141.218.60.56/~jnz1568/discussion.php?&amp;Z=8&amp;N=6&amp;Sheet=2&amp;Row=250&amp;Col=9","4.4")</f>
      </c>
      <c r="K251" t="s" s="1">
        <f>HYPERLINK("http://141.218.60.56/~jnz1568/discussion.php?&amp;Z=8&amp;N=6&amp;Sheet=2&amp;Row=250&amp;Col=10","0.706666666667")</f>
      </c>
      <c r="L251" t="s" s="1">
        <f>HYPERLINK("http://141.218.60.56/~jnz1568/discussion.php?&amp;Z=8&amp;N=6&amp;Sheet=2&amp;Row=250&amp;Col=11","")</f>
      </c>
      <c r="M251" t="s" s="1">
        <f>HYPERLINK("http://141.218.60.56/~jnz1568/discussion.php?&amp;Z=8&amp;N=6&amp;Sheet=2&amp;Row=250&amp;Col=12","")</f>
      </c>
    </row>
    <row r="252">
      <c r="A252" t="s">
        <v>1</v>
      </c>
      <c r="B252" t="s">
        <v>1</v>
      </c>
      <c r="C252" t="s">
        <v>1</v>
      </c>
      <c r="D252" t="s">
        <v>1</v>
      </c>
      <c r="E252" t="s">
        <v>50</v>
      </c>
      <c r="F252" t="s" s="1">
        <f>HYPERLINK("http://141.218.60.56/~jnz1568/discussion.php?&amp;Z=8&amp;N=6&amp;Sheet=2&amp;Row=251&amp;Col=5","4.4")</f>
      </c>
      <c r="G252" t="s" s="1">
        <f>HYPERLINK("http://141.218.60.56/~jnz1568/discussion.php?&amp;Z=8&amp;N=6&amp;Sheet=2&amp;Row=251&amp;Col=6","0.685")</f>
      </c>
      <c r="H252" t="s" s="1">
        <f>HYPERLINK("http://141.218.60.56/~jnz1568/discussion.php?&amp;Z=8&amp;N=6&amp;Sheet=2&amp;Row=251&amp;Col=7","")</f>
      </c>
      <c r="I252" t="s" s="1">
        <f>HYPERLINK("http://141.218.60.56/~jnz1568/discussion.php?&amp;Z=8&amp;N=6&amp;Sheet=2&amp;Row=251&amp;Col=8","")</f>
      </c>
      <c r="J252" t="s" s="1">
        <f>HYPERLINK("http://141.218.60.56/~jnz1568/discussion.php?&amp;Z=8&amp;N=6&amp;Sheet=2&amp;Row=251&amp;Col=9","4.6")</f>
      </c>
      <c r="K252" t="s" s="1">
        <f>HYPERLINK("http://141.218.60.56/~jnz1568/discussion.php?&amp;Z=8&amp;N=6&amp;Sheet=2&amp;Row=251&amp;Col=10","0.691722222222")</f>
      </c>
      <c r="L252" t="s" s="1">
        <f>HYPERLINK("http://141.218.60.56/~jnz1568/discussion.php?&amp;Z=8&amp;N=6&amp;Sheet=2&amp;Row=251&amp;Col=11","")</f>
      </c>
      <c r="M252" t="s" s="1">
        <f>HYPERLINK("http://141.218.60.56/~jnz1568/discussion.php?&amp;Z=8&amp;N=6&amp;Sheet=2&amp;Row=251&amp;Col=12","")</f>
      </c>
    </row>
    <row r="253">
      <c r="A253" t="s">
        <v>1</v>
      </c>
      <c r="B253" t="s">
        <v>1</v>
      </c>
      <c r="C253" t="s">
        <v>1</v>
      </c>
      <c r="D253" t="s">
        <v>1</v>
      </c>
      <c r="E253" t="s">
        <v>53</v>
      </c>
      <c r="F253" t="s" s="1">
        <f>HYPERLINK("http://141.218.60.56/~jnz1568/discussion.php?&amp;Z=8&amp;N=6&amp;Sheet=2&amp;Row=252&amp;Col=5","4.48")</f>
      </c>
      <c r="G253" t="s" s="1">
        <f>HYPERLINK("http://141.218.60.56/~jnz1568/discussion.php?&amp;Z=8&amp;N=6&amp;Sheet=2&amp;Row=252&amp;Col=6","0.685")</f>
      </c>
      <c r="H253" t="s" s="1">
        <f>HYPERLINK("http://141.218.60.56/~jnz1568/discussion.php?&amp;Z=8&amp;N=6&amp;Sheet=2&amp;Row=252&amp;Col=7","")</f>
      </c>
      <c r="I253" t="s" s="1">
        <f>HYPERLINK("http://141.218.60.56/~jnz1568/discussion.php?&amp;Z=8&amp;N=6&amp;Sheet=2&amp;Row=252&amp;Col=8","")</f>
      </c>
      <c r="J253" t="s" s="1">
        <f>HYPERLINK("http://141.218.60.56/~jnz1568/discussion.php?&amp;Z=8&amp;N=6&amp;Sheet=2&amp;Row=252&amp;Col=9","4.8")</f>
      </c>
      <c r="K253" t="s" s="1">
        <f>HYPERLINK("http://141.218.60.56/~jnz1568/discussion.php?&amp;Z=8&amp;N=6&amp;Sheet=2&amp;Row=252&amp;Col=10","0.650222222222")</f>
      </c>
      <c r="L253" t="s" s="1">
        <f>HYPERLINK("http://141.218.60.56/~jnz1568/discussion.php?&amp;Z=8&amp;N=6&amp;Sheet=2&amp;Row=252&amp;Col=11","")</f>
      </c>
      <c r="M253" t="s" s="1">
        <f>HYPERLINK("http://141.218.60.56/~jnz1568/discussion.php?&amp;Z=8&amp;N=6&amp;Sheet=2&amp;Row=252&amp;Col=12","")</f>
      </c>
    </row>
    <row r="254">
      <c r="A254" t="s">
        <v>1</v>
      </c>
      <c r="B254" t="s">
        <v>1</v>
      </c>
      <c r="C254" t="s">
        <v>1</v>
      </c>
      <c r="D254" t="s">
        <v>1</v>
      </c>
      <c r="E254" t="s">
        <v>58</v>
      </c>
      <c r="F254" t="s" s="1">
        <f>HYPERLINK("http://141.218.60.56/~jnz1568/discussion.php?&amp;Z=8&amp;N=6&amp;Sheet=2&amp;Row=253&amp;Col=5","4.6")</f>
      </c>
      <c r="G254" t="s" s="1">
        <f>HYPERLINK("http://141.218.60.56/~jnz1568/discussion.php?&amp;Z=8&amp;N=6&amp;Sheet=2&amp;Row=253&amp;Col=6","0.685")</f>
      </c>
      <c r="H254" t="s" s="1">
        <f>HYPERLINK("http://141.218.60.56/~jnz1568/discussion.php?&amp;Z=8&amp;N=6&amp;Sheet=2&amp;Row=253&amp;Col=7","")</f>
      </c>
      <c r="I254" t="s" s="1">
        <f>HYPERLINK("http://141.218.60.56/~jnz1568/discussion.php?&amp;Z=8&amp;N=6&amp;Sheet=2&amp;Row=253&amp;Col=8","")</f>
      </c>
      <c r="J254" t="s" s="1">
        <f>HYPERLINK("http://141.218.60.56/~jnz1568/discussion.php?&amp;Z=8&amp;N=6&amp;Sheet=2&amp;Row=253&amp;Col=9","5")</f>
      </c>
      <c r="K254" t="s" s="1">
        <f>HYPERLINK("http://141.218.60.56/~jnz1568/discussion.php?&amp;Z=8&amp;N=6&amp;Sheet=2&amp;Row=253&amp;Col=10","0.588888888889")</f>
      </c>
      <c r="L254" t="s" s="1">
        <f>HYPERLINK("http://141.218.60.56/~jnz1568/discussion.php?&amp;Z=8&amp;N=6&amp;Sheet=2&amp;Row=253&amp;Col=11","")</f>
      </c>
      <c r="M254" t="s" s="1">
        <f>HYPERLINK("http://141.218.60.56/~jnz1568/discussion.php?&amp;Z=8&amp;N=6&amp;Sheet=2&amp;Row=253&amp;Col=12","")</f>
      </c>
    </row>
    <row r="255">
      <c r="A255" t="s">
        <v>1</v>
      </c>
      <c r="B255" t="s">
        <v>1</v>
      </c>
      <c r="C255" t="s">
        <v>1</v>
      </c>
      <c r="D255" t="s">
        <v>1</v>
      </c>
      <c r="E255" t="s">
        <v>61</v>
      </c>
      <c r="F255" t="s" s="1">
        <f>HYPERLINK("http://141.218.60.56/~jnz1568/discussion.php?&amp;Z=8&amp;N=6&amp;Sheet=2&amp;Row=254&amp;Col=5","4.7")</f>
      </c>
      <c r="G255" t="s" s="1">
        <f>HYPERLINK("http://141.218.60.56/~jnz1568/discussion.php?&amp;Z=8&amp;N=6&amp;Sheet=2&amp;Row=254&amp;Col=6","0.67")</f>
      </c>
      <c r="H255" t="s" s="1">
        <f>HYPERLINK("http://141.218.60.56/~jnz1568/discussion.php?&amp;Z=8&amp;N=6&amp;Sheet=2&amp;Row=254&amp;Col=7","")</f>
      </c>
      <c r="I255" t="s" s="1">
        <f>HYPERLINK("http://141.218.60.56/~jnz1568/discussion.php?&amp;Z=8&amp;N=6&amp;Sheet=2&amp;Row=254&amp;Col=8","")</f>
      </c>
      <c r="J255" t="s" s="1">
        <f>HYPERLINK("http://141.218.60.56/~jnz1568/discussion.php?&amp;Z=8&amp;N=6&amp;Sheet=2&amp;Row=254&amp;Col=9","")</f>
      </c>
      <c r="K255" t="s" s="1">
        <f>HYPERLINK("http://141.218.60.56/~jnz1568/discussion.php?&amp;Z=8&amp;N=6&amp;Sheet=2&amp;Row=254&amp;Col=10","")</f>
      </c>
      <c r="L255" t="s" s="1">
        <f>HYPERLINK("http://141.218.60.56/~jnz1568/discussion.php?&amp;Z=8&amp;N=6&amp;Sheet=2&amp;Row=254&amp;Col=11","")</f>
      </c>
      <c r="M255" t="s" s="1">
        <f>HYPERLINK("http://141.218.60.56/~jnz1568/discussion.php?&amp;Z=8&amp;N=6&amp;Sheet=2&amp;Row=254&amp;Col=12","")</f>
      </c>
    </row>
    <row r="256">
      <c r="A256" t="s">
        <v>1</v>
      </c>
      <c r="B256" t="s">
        <v>1</v>
      </c>
      <c r="C256" t="s">
        <v>1</v>
      </c>
      <c r="D256" t="s">
        <v>1</v>
      </c>
      <c r="E256" t="s">
        <v>64</v>
      </c>
      <c r="F256" t="s" s="1">
        <f>HYPERLINK("http://141.218.60.56/~jnz1568/discussion.php?&amp;Z=8&amp;N=6&amp;Sheet=2&amp;Row=255&amp;Col=5","4.78")</f>
      </c>
      <c r="G256" t="s" s="1">
        <f>HYPERLINK("http://141.218.60.56/~jnz1568/discussion.php?&amp;Z=8&amp;N=6&amp;Sheet=2&amp;Row=255&amp;Col=6","0.655")</f>
      </c>
      <c r="H256" t="s" s="1">
        <f>HYPERLINK("http://141.218.60.56/~jnz1568/discussion.php?&amp;Z=8&amp;N=6&amp;Sheet=2&amp;Row=255&amp;Col=7","")</f>
      </c>
      <c r="I256" t="s" s="1">
        <f>HYPERLINK("http://141.218.60.56/~jnz1568/discussion.php?&amp;Z=8&amp;N=6&amp;Sheet=2&amp;Row=255&amp;Col=8","")</f>
      </c>
      <c r="J256" t="s" s="1">
        <f>HYPERLINK("http://141.218.60.56/~jnz1568/discussion.php?&amp;Z=8&amp;N=6&amp;Sheet=2&amp;Row=255&amp;Col=9","")</f>
      </c>
      <c r="K256" t="s" s="1">
        <f>HYPERLINK("http://141.218.60.56/~jnz1568/discussion.php?&amp;Z=8&amp;N=6&amp;Sheet=2&amp;Row=255&amp;Col=10","")</f>
      </c>
      <c r="L256" t="s" s="1">
        <f>HYPERLINK("http://141.218.60.56/~jnz1568/discussion.php?&amp;Z=8&amp;N=6&amp;Sheet=2&amp;Row=255&amp;Col=11","")</f>
      </c>
      <c r="M256" t="s" s="1">
        <f>HYPERLINK("http://141.218.60.56/~jnz1568/discussion.php?&amp;Z=8&amp;N=6&amp;Sheet=2&amp;Row=255&amp;Col=12","")</f>
      </c>
    </row>
    <row r="257">
      <c r="A257" t="s">
        <v>1</v>
      </c>
      <c r="B257" t="s">
        <v>1</v>
      </c>
      <c r="C257" t="s">
        <v>1</v>
      </c>
      <c r="D257" t="s">
        <v>1</v>
      </c>
      <c r="E257" t="s">
        <v>69</v>
      </c>
      <c r="F257" t="s" s="1">
        <f>HYPERLINK("http://141.218.60.56/~jnz1568/discussion.php?&amp;Z=8&amp;N=6&amp;Sheet=2&amp;Row=256&amp;Col=5","4.9")</f>
      </c>
      <c r="G257" t="s" s="1">
        <f>HYPERLINK("http://141.218.60.56/~jnz1568/discussion.php?&amp;Z=8&amp;N=6&amp;Sheet=2&amp;Row=256&amp;Col=6","0.625")</f>
      </c>
      <c r="H257" t="s" s="1">
        <f>HYPERLINK("http://141.218.60.56/~jnz1568/discussion.php?&amp;Z=8&amp;N=6&amp;Sheet=2&amp;Row=256&amp;Col=7","")</f>
      </c>
      <c r="I257" t="s" s="1">
        <f>HYPERLINK("http://141.218.60.56/~jnz1568/discussion.php?&amp;Z=8&amp;N=6&amp;Sheet=2&amp;Row=256&amp;Col=8","")</f>
      </c>
      <c r="J257" t="s" s="1">
        <f>HYPERLINK("http://141.218.60.56/~jnz1568/discussion.php?&amp;Z=8&amp;N=6&amp;Sheet=2&amp;Row=256&amp;Col=9","")</f>
      </c>
      <c r="K257" t="s" s="1">
        <f>HYPERLINK("http://141.218.60.56/~jnz1568/discussion.php?&amp;Z=8&amp;N=6&amp;Sheet=2&amp;Row=256&amp;Col=10","")</f>
      </c>
      <c r="L257" t="s" s="1">
        <f>HYPERLINK("http://141.218.60.56/~jnz1568/discussion.php?&amp;Z=8&amp;N=6&amp;Sheet=2&amp;Row=256&amp;Col=11","")</f>
      </c>
      <c r="M257" t="s" s="1">
        <f>HYPERLINK("http://141.218.60.56/~jnz1568/discussion.php?&amp;Z=8&amp;N=6&amp;Sheet=2&amp;Row=256&amp;Col=12","")</f>
      </c>
    </row>
    <row r="258">
      <c r="A258" t="s">
        <v>1</v>
      </c>
      <c r="B258" t="s">
        <v>1</v>
      </c>
      <c r="C258" t="s">
        <v>1</v>
      </c>
      <c r="D258" t="s">
        <v>1</v>
      </c>
      <c r="E258" t="s">
        <v>74</v>
      </c>
      <c r="F258" t="s" s="1">
        <f>HYPERLINK("http://141.218.60.56/~jnz1568/discussion.php?&amp;Z=8&amp;N=6&amp;Sheet=2&amp;Row=257&amp;Col=5","5")</f>
      </c>
      <c r="G258" t="s" s="1">
        <f>HYPERLINK("http://141.218.60.56/~jnz1568/discussion.php?&amp;Z=8&amp;N=6&amp;Sheet=2&amp;Row=257&amp;Col=6","0.595")</f>
      </c>
      <c r="H258" t="s" s="1">
        <f>HYPERLINK("http://141.218.60.56/~jnz1568/discussion.php?&amp;Z=8&amp;N=6&amp;Sheet=2&amp;Row=257&amp;Col=7","")</f>
      </c>
      <c r="I258" t="s" s="1">
        <f>HYPERLINK("http://141.218.60.56/~jnz1568/discussion.php?&amp;Z=8&amp;N=6&amp;Sheet=2&amp;Row=257&amp;Col=8","")</f>
      </c>
      <c r="J258" t="s" s="1">
        <f>HYPERLINK("http://141.218.60.56/~jnz1568/discussion.php?&amp;Z=8&amp;N=6&amp;Sheet=2&amp;Row=257&amp;Col=9","")</f>
      </c>
      <c r="K258" t="s" s="1">
        <f>HYPERLINK("http://141.218.60.56/~jnz1568/discussion.php?&amp;Z=8&amp;N=6&amp;Sheet=2&amp;Row=257&amp;Col=10","")</f>
      </c>
      <c r="L258" t="s" s="1">
        <f>HYPERLINK("http://141.218.60.56/~jnz1568/discussion.php?&amp;Z=8&amp;N=6&amp;Sheet=2&amp;Row=257&amp;Col=11","")</f>
      </c>
      <c r="M258" t="s" s="1">
        <f>HYPERLINK("http://141.218.60.56/~jnz1568/discussion.php?&amp;Z=8&amp;N=6&amp;Sheet=2&amp;Row=257&amp;Col=12","")</f>
      </c>
    </row>
    <row r="259">
      <c r="A259" t="s">
        <v>1</v>
      </c>
      <c r="B259" t="s">
        <v>1</v>
      </c>
      <c r="C259" t="s">
        <v>1</v>
      </c>
      <c r="D259" t="s">
        <v>1</v>
      </c>
      <c r="E259" t="s">
        <v>79</v>
      </c>
      <c r="F259" t="s" s="1">
        <f>HYPERLINK("http://141.218.60.56/~jnz1568/discussion.php?&amp;Z=8&amp;N=6&amp;Sheet=2&amp;Row=258&amp;Col=5","5.08")</f>
      </c>
      <c r="G259" t="s" s="1">
        <f>HYPERLINK("http://141.218.60.56/~jnz1568/discussion.php?&amp;Z=8&amp;N=6&amp;Sheet=2&amp;Row=258&amp;Col=6","0.57")</f>
      </c>
      <c r="H259" t="s" s="1">
        <f>HYPERLINK("http://141.218.60.56/~jnz1568/discussion.php?&amp;Z=8&amp;N=6&amp;Sheet=2&amp;Row=258&amp;Col=7","")</f>
      </c>
      <c r="I259" t="s" s="1">
        <f>HYPERLINK("http://141.218.60.56/~jnz1568/discussion.php?&amp;Z=8&amp;N=6&amp;Sheet=2&amp;Row=258&amp;Col=8","")</f>
      </c>
      <c r="J259" t="s" s="1">
        <f>HYPERLINK("http://141.218.60.56/~jnz1568/discussion.php?&amp;Z=8&amp;N=6&amp;Sheet=2&amp;Row=258&amp;Col=9","")</f>
      </c>
      <c r="K259" t="s" s="1">
        <f>HYPERLINK("http://141.218.60.56/~jnz1568/discussion.php?&amp;Z=8&amp;N=6&amp;Sheet=2&amp;Row=258&amp;Col=10","")</f>
      </c>
      <c r="L259" t="s" s="1">
        <f>HYPERLINK("http://141.218.60.56/~jnz1568/discussion.php?&amp;Z=8&amp;N=6&amp;Sheet=2&amp;Row=258&amp;Col=11","")</f>
      </c>
      <c r="M259" t="s" s="1">
        <f>HYPERLINK("http://141.218.60.56/~jnz1568/discussion.php?&amp;Z=8&amp;N=6&amp;Sheet=2&amp;Row=258&amp;Col=12","")</f>
      </c>
    </row>
    <row r="260">
      <c r="A260" t="s">
        <v>1</v>
      </c>
      <c r="B260" t="s">
        <v>1</v>
      </c>
      <c r="C260" t="s">
        <v>1</v>
      </c>
      <c r="D260" t="s">
        <v>1</v>
      </c>
      <c r="E260" t="s">
        <v>84</v>
      </c>
      <c r="F260" t="s" s="1">
        <f>HYPERLINK("http://141.218.60.56/~jnz1568/discussion.php?&amp;Z=8&amp;N=6&amp;Sheet=2&amp;Row=259&amp;Col=5","5.15")</f>
      </c>
      <c r="G260" t="s" s="1">
        <f>HYPERLINK("http://141.218.60.56/~jnz1568/discussion.php?&amp;Z=8&amp;N=6&amp;Sheet=2&amp;Row=259&amp;Col=6","0.545")</f>
      </c>
      <c r="H260" t="s" s="1">
        <f>HYPERLINK("http://141.218.60.56/~jnz1568/discussion.php?&amp;Z=8&amp;N=6&amp;Sheet=2&amp;Row=259&amp;Col=7","")</f>
      </c>
      <c r="I260" t="s" s="1">
        <f>HYPERLINK("http://141.218.60.56/~jnz1568/discussion.php?&amp;Z=8&amp;N=6&amp;Sheet=2&amp;Row=259&amp;Col=8","")</f>
      </c>
      <c r="J260" t="s" s="1">
        <f>HYPERLINK("http://141.218.60.56/~jnz1568/discussion.php?&amp;Z=8&amp;N=6&amp;Sheet=2&amp;Row=259&amp;Col=9","")</f>
      </c>
      <c r="K260" t="s" s="1">
        <f>HYPERLINK("http://141.218.60.56/~jnz1568/discussion.php?&amp;Z=8&amp;N=6&amp;Sheet=2&amp;Row=259&amp;Col=10","")</f>
      </c>
      <c r="L260" t="s" s="1">
        <f>HYPERLINK("http://141.218.60.56/~jnz1568/discussion.php?&amp;Z=8&amp;N=6&amp;Sheet=2&amp;Row=259&amp;Col=11","")</f>
      </c>
      <c r="M260" t="s" s="1">
        <f>HYPERLINK("http://141.218.60.56/~jnz1568/discussion.php?&amp;Z=8&amp;N=6&amp;Sheet=2&amp;Row=259&amp;Col=12","")</f>
      </c>
    </row>
    <row r="261">
      <c r="A261" t="s">
        <v>1</v>
      </c>
      <c r="B261" t="s">
        <v>1</v>
      </c>
      <c r="C261" t="s">
        <v>1</v>
      </c>
      <c r="D261" t="s">
        <v>1</v>
      </c>
      <c r="E261" t="s">
        <v>87</v>
      </c>
      <c r="F261" t="s" s="1">
        <f>HYPERLINK("http://141.218.60.56/~jnz1568/discussion.php?&amp;Z=8&amp;N=6&amp;Sheet=2&amp;Row=260&amp;Col=5","5.2")</f>
      </c>
      <c r="G261" t="s" s="1">
        <f>HYPERLINK("http://141.218.60.56/~jnz1568/discussion.php?&amp;Z=8&amp;N=6&amp;Sheet=2&amp;Row=260&amp;Col=6","0.525")</f>
      </c>
      <c r="H261" t="s" s="1">
        <f>HYPERLINK("http://141.218.60.56/~jnz1568/discussion.php?&amp;Z=8&amp;N=6&amp;Sheet=2&amp;Row=260&amp;Col=7","")</f>
      </c>
      <c r="I261" t="s" s="1">
        <f>HYPERLINK("http://141.218.60.56/~jnz1568/discussion.php?&amp;Z=8&amp;N=6&amp;Sheet=2&amp;Row=260&amp;Col=8","")</f>
      </c>
      <c r="J261" t="s" s="1">
        <f>HYPERLINK("http://141.218.60.56/~jnz1568/discussion.php?&amp;Z=8&amp;N=6&amp;Sheet=2&amp;Row=260&amp;Col=9","")</f>
      </c>
      <c r="K261" t="s" s="1">
        <f>HYPERLINK("http://141.218.60.56/~jnz1568/discussion.php?&amp;Z=8&amp;N=6&amp;Sheet=2&amp;Row=260&amp;Col=10","")</f>
      </c>
      <c r="L261" t="s" s="1">
        <f>HYPERLINK("http://141.218.60.56/~jnz1568/discussion.php?&amp;Z=8&amp;N=6&amp;Sheet=2&amp;Row=260&amp;Col=11","")</f>
      </c>
      <c r="M261" t="s" s="1">
        <f>HYPERLINK("http://141.218.60.56/~jnz1568/discussion.php?&amp;Z=8&amp;N=6&amp;Sheet=2&amp;Row=260&amp;Col=12","")</f>
      </c>
    </row>
    <row r="262">
      <c r="A262" t="s">
        <v>1</v>
      </c>
      <c r="B262" t="s">
        <v>1</v>
      </c>
      <c r="C262" t="s">
        <v>1</v>
      </c>
      <c r="D262" t="s">
        <v>1</v>
      </c>
      <c r="E262" t="s">
        <v>90</v>
      </c>
      <c r="F262" t="s" s="1">
        <f>HYPERLINK("http://141.218.60.56/~jnz1568/discussion.php?&amp;Z=8&amp;N=6&amp;Sheet=2&amp;Row=261&amp;Col=5","5.26")</f>
      </c>
      <c r="G262" t="s" s="1">
        <f>HYPERLINK("http://141.218.60.56/~jnz1568/discussion.php?&amp;Z=8&amp;N=6&amp;Sheet=2&amp;Row=261&amp;Col=6","0.505")</f>
      </c>
      <c r="H262" t="s" s="1">
        <f>HYPERLINK("http://141.218.60.56/~jnz1568/discussion.php?&amp;Z=8&amp;N=6&amp;Sheet=2&amp;Row=261&amp;Col=7","")</f>
      </c>
      <c r="I262" t="s" s="1">
        <f>HYPERLINK("http://141.218.60.56/~jnz1568/discussion.php?&amp;Z=8&amp;N=6&amp;Sheet=2&amp;Row=261&amp;Col=8","")</f>
      </c>
      <c r="J262" t="s" s="1">
        <f>HYPERLINK("http://141.218.60.56/~jnz1568/discussion.php?&amp;Z=8&amp;N=6&amp;Sheet=2&amp;Row=261&amp;Col=9","")</f>
      </c>
      <c r="K262" t="s" s="1">
        <f>HYPERLINK("http://141.218.60.56/~jnz1568/discussion.php?&amp;Z=8&amp;N=6&amp;Sheet=2&amp;Row=261&amp;Col=10","")</f>
      </c>
      <c r="L262" t="s" s="1">
        <f>HYPERLINK("http://141.218.60.56/~jnz1568/discussion.php?&amp;Z=8&amp;N=6&amp;Sheet=2&amp;Row=261&amp;Col=11","")</f>
      </c>
      <c r="M262" t="s" s="1">
        <f>HYPERLINK("http://141.218.60.56/~jnz1568/discussion.php?&amp;Z=8&amp;N=6&amp;Sheet=2&amp;Row=261&amp;Col=12","")</f>
      </c>
    </row>
    <row r="263">
      <c r="A263" t="s">
        <v>1</v>
      </c>
      <c r="B263" t="s">
        <v>1</v>
      </c>
      <c r="C263" t="s">
        <v>1</v>
      </c>
      <c r="D263" t="s">
        <v>1</v>
      </c>
      <c r="E263" t="s">
        <v>94</v>
      </c>
      <c r="F263" t="s" s="1">
        <f>HYPERLINK("http://141.218.60.56/~jnz1568/discussion.php?&amp;Z=8&amp;N=6&amp;Sheet=2&amp;Row=262&amp;Col=5","5.3")</f>
      </c>
      <c r="G263" t="s" s="1">
        <f>HYPERLINK("http://141.218.60.56/~jnz1568/discussion.php?&amp;Z=8&amp;N=6&amp;Sheet=2&amp;Row=262&amp;Col=6","0.4905")</f>
      </c>
      <c r="H263" t="s" s="1">
        <f>HYPERLINK("http://141.218.60.56/~jnz1568/discussion.php?&amp;Z=8&amp;N=6&amp;Sheet=2&amp;Row=262&amp;Col=7","")</f>
      </c>
      <c r="I263" t="s" s="1">
        <f>HYPERLINK("http://141.218.60.56/~jnz1568/discussion.php?&amp;Z=8&amp;N=6&amp;Sheet=2&amp;Row=262&amp;Col=8","")</f>
      </c>
      <c r="J263" t="s" s="1">
        <f>HYPERLINK("http://141.218.60.56/~jnz1568/discussion.php?&amp;Z=8&amp;N=6&amp;Sheet=2&amp;Row=262&amp;Col=9","")</f>
      </c>
      <c r="K263" t="s" s="1">
        <f>HYPERLINK("http://141.218.60.56/~jnz1568/discussion.php?&amp;Z=8&amp;N=6&amp;Sheet=2&amp;Row=262&amp;Col=10","")</f>
      </c>
      <c r="L263" t="s" s="1">
        <f>HYPERLINK("http://141.218.60.56/~jnz1568/discussion.php?&amp;Z=8&amp;N=6&amp;Sheet=2&amp;Row=262&amp;Col=11","")</f>
      </c>
      <c r="M263" t="s" s="1">
        <f>HYPERLINK("http://141.218.60.56/~jnz1568/discussion.php?&amp;Z=8&amp;N=6&amp;Sheet=2&amp;Row=262&amp;Col=12","")</f>
      </c>
    </row>
  </sheetData>
  <mergeCells>
    <mergeCell ref="A1:M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.90625" customWidth="true" bestFit="true"/>
    <col min="2" max="2" width="3.70703125" customWidth="true" bestFit="true"/>
    <col min="3" max="3" width="19.41015625" customWidth="true" bestFit="true"/>
  </cols>
  <sheetData>
    <row r="1">
      <c r="A1" t="s" s="89">
        <v>2421</v>
      </c>
      <c r="B1" t="s">
        <v>1</v>
      </c>
      <c r="C1" t="s">
        <v>1</v>
      </c>
    </row>
    <row r="2">
      <c r="A2" t="s" s="90">
        <v>1</v>
      </c>
      <c r="B2" t="s" s="91">
        <v>1</v>
      </c>
      <c r="C2" t="s" s="92">
        <v>1849</v>
      </c>
    </row>
    <row r="3">
      <c r="A3" t="s" s="93">
        <v>5</v>
      </c>
      <c r="B3" t="s" s="94">
        <v>6</v>
      </c>
      <c r="C3" t="s" s="95">
        <v>2422</v>
      </c>
    </row>
    <row r="4">
      <c r="A4" t="s">
        <v>15</v>
      </c>
      <c r="B4" t="s">
        <v>16</v>
      </c>
      <c r="C4" t="s" s="1">
        <f>HYPERLINK("http://141.218.60.56/~jnz1568/discussion.php?&amp;Z=8&amp;N=6&amp;Sheet=3&amp;Row=3&amp;Col=2","http://bit.ly/1gJ1SY5")</f>
      </c>
    </row>
  </sheetData>
  <mergeCells>
    <mergeCell ref="A1: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2015-12-17T22:13:19Z</dcterms:created>
  <dc:creator>Apache POI</dc:creator>
</cp:coreProperties>
</file>